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H\AI\qoder_sekta\SekTa_WebPages\public\"/>
    </mc:Choice>
  </mc:AlternateContent>
  <xr:revisionPtr revIDLastSave="0" documentId="13_ncr:1_{FD30AF40-1A91-414A-89BC-31D4C69E68FB}" xr6:coauthVersionLast="47" xr6:coauthVersionMax="47" xr10:uidLastSave="{00000000-0000-0000-0000-000000000000}"/>
  <bookViews>
    <workbookView xWindow="-108" yWindow="-108" windowWidth="23256" windowHeight="12456" tabRatio="814" firstSheet="15" activeTab="21" xr2:uid="{00000000-000D-0000-FFFF-FFFF00000000}"/>
  </bookViews>
  <sheets>
    <sheet name="Aakkostus" sheetId="34" r:id="rId1"/>
    <sheet name="10-11J" sheetId="24" r:id="rId2"/>
    <sheet name="15-16J" sheetId="19" r:id="rId3"/>
    <sheet name="15-16P" sheetId="20" r:id="rId4"/>
    <sheet name="16-17J" sheetId="22" r:id="rId5"/>
    <sheet name="16-17P" sheetId="21" r:id="rId6"/>
    <sheet name="KausiJ-uudempi" sheetId="29" r:id="rId7"/>
    <sheet name="Kausi  J" sheetId="26" r:id="rId8"/>
    <sheet name="Kausi P" sheetId="25" r:id="rId9"/>
    <sheet name="18-19J" sheetId="33" r:id="rId10"/>
    <sheet name="19-20" sheetId="35" r:id="rId11"/>
    <sheet name="18-19P" sheetId="28" r:id="rId12"/>
    <sheet name="17-18P" sheetId="30" r:id="rId13"/>
    <sheet name="17-18J" sheetId="27" r:id="rId14"/>
    <sheet name="23-24" sheetId="37" r:id="rId15"/>
    <sheet name="24-25" sheetId="38" r:id="rId16"/>
    <sheet name="Ottelut-Pelaajat" sheetId="39" r:id="rId17"/>
    <sheet name="MVmatriisi" sheetId="36" r:id="rId18"/>
    <sheet name="Pelaajamatriisi" sheetId="31" r:id="rId19"/>
    <sheet name="Ottelut" sheetId="32" r:id="rId20"/>
    <sheet name="Pelaajat - Tilastot" sheetId="13" r:id="rId21"/>
    <sheet name="Maalivahdit-tilastot" sheetId="40" r:id="rId22"/>
    <sheet name="Joukkue - Tilastot" sheetId="10" r:id="rId23"/>
    <sheet name="Joukkue - Kauden Ennätykset" sheetId="6" r:id="rId24"/>
    <sheet name="Joukkue - Ennätykset" sheetId="2" r:id="rId25"/>
    <sheet name="Joukkue - Hallitilastot" sheetId="5" r:id="rId26"/>
    <sheet name="Pelaajat - Maraton" sheetId="7" r:id="rId27"/>
    <sheet name="Pelaajat - Ennätykset" sheetId="4" r:id="rId28"/>
    <sheet name="Data" sheetId="18" r:id="rId29"/>
    <sheet name="Pelaajat - Tilastot vanha" sheetId="3" r:id="rId30"/>
    <sheet name="09-10" sheetId="9" r:id="rId31"/>
    <sheet name="Pelaajat - Tilastot U" sheetId="11" r:id="rId32"/>
    <sheet name="Kausi 10-11" sheetId="8" r:id="rId33"/>
    <sheet name="Kausi 11-12" sheetId="12" r:id="rId34"/>
    <sheet name="Kausi 12-13" sheetId="15" r:id="rId35"/>
    <sheet name="Kausi 13-14" sheetId="14" r:id="rId36"/>
    <sheet name="Kausi 14-15" sheetId="16" r:id="rId37"/>
    <sheet name="Kausi 15-16x" sheetId="17" r:id="rId38"/>
  </sheets>
  <definedNames>
    <definedName name="Hallit" localSheetId="1">tbl_Hallit[Hallit]</definedName>
    <definedName name="Hallit" localSheetId="13">tbl_Hallit[Hallit]</definedName>
    <definedName name="Hallit" localSheetId="12">tbl_Hallit[Hallit]</definedName>
    <definedName name="Hallit" localSheetId="9">tbl_Hallit[Hallit]</definedName>
    <definedName name="Hallit" localSheetId="11">tbl_Hallit[Hallit]</definedName>
    <definedName name="Hallit" localSheetId="14">tbl_Hallit[Hallit]</definedName>
    <definedName name="Hallit" localSheetId="15">tbl_Hallit[Hallit]</definedName>
    <definedName name="Hallit" localSheetId="0">tbl_Hallit[Hallit]</definedName>
    <definedName name="Hallit" localSheetId="7">tbl_Hallit[Hallit]</definedName>
    <definedName name="Hallit" localSheetId="8">tbl_Hallit[Hallit]</definedName>
    <definedName name="Hallit" localSheetId="6">tbl_Hallit[Hallit]</definedName>
    <definedName name="Hallit" localSheetId="17">tbl_Hallit[Hallit]</definedName>
    <definedName name="Hallit" localSheetId="16">tbl_Hallit[Hallit]</definedName>
    <definedName name="Hallit">tbl_Hallit[Hallit]</definedName>
    <definedName name="Kaudet" localSheetId="1">tbl_Kaudet[Kaudet]</definedName>
    <definedName name="Kaudet" localSheetId="13">tbl_Kaudet[Kaudet]</definedName>
    <definedName name="Kaudet" localSheetId="12">tbl_Kaudet[Kaudet]</definedName>
    <definedName name="Kaudet" localSheetId="9">tbl_Kaudet[Kaudet]</definedName>
    <definedName name="Kaudet" localSheetId="11">tbl_Kaudet[Kaudet]</definedName>
    <definedName name="Kaudet" localSheetId="14">tbl_Kaudet[Kaudet]</definedName>
    <definedName name="Kaudet" localSheetId="15">tbl_Kaudet[Kaudet]</definedName>
    <definedName name="Kaudet" localSheetId="0">tbl_Kaudet[Kaudet]</definedName>
    <definedName name="Kaudet" localSheetId="7">tbl_Kaudet[Kaudet]</definedName>
    <definedName name="Kaudet" localSheetId="8">tbl_Kaudet[Kaudet]</definedName>
    <definedName name="Kaudet" localSheetId="6">tbl_Kaudet[Kaudet]</definedName>
    <definedName name="Kaudet" localSheetId="17">tbl_Kaudet[Kaudet]</definedName>
    <definedName name="Kaudet" localSheetId="16">tbl_Kaudet[Kaudet]</definedName>
    <definedName name="Kaudet">tbl_Kaudet[Kaudet]</definedName>
    <definedName name="KausiV" localSheetId="1">tbl_Kausi1011[K10-11]</definedName>
    <definedName name="KausiV" localSheetId="13">tbl_Kausi1011[K10-11]</definedName>
    <definedName name="KausiV" localSheetId="12">tbl_Kausi1011[K10-11]</definedName>
    <definedName name="KausiV" localSheetId="9">tbl_Kausi1011[K10-11]</definedName>
    <definedName name="KausiV" localSheetId="11">tbl_Kausi1011[K10-11]</definedName>
    <definedName name="KausiV" localSheetId="14">tbl_Kausi1011[K10-11]</definedName>
    <definedName name="KausiV" localSheetId="15">tbl_Kausi1011[K10-11]</definedName>
    <definedName name="KausiV" localSheetId="0">tbl_Kausi1011[K10-11]</definedName>
    <definedName name="KausiV" localSheetId="7">tbl_Kausi1011[K10-11]</definedName>
    <definedName name="KausiV" localSheetId="8">tbl_Kausi1011[K10-11]</definedName>
    <definedName name="KausiV" localSheetId="6">tbl_Kausi1011[K10-11]</definedName>
    <definedName name="KausiV" localSheetId="17">tbl_Kausi1011[K10-11]</definedName>
    <definedName name="KausiV" localSheetId="16">tbl_Kausi1011[K10-11]</definedName>
    <definedName name="KausiV">tbl_Kausi1011[K10-11]</definedName>
    <definedName name="KausiVlookup" localSheetId="1">tbl_Kaudet[]</definedName>
    <definedName name="KausiVlookup" localSheetId="13">tbl_Kaudet[]</definedName>
    <definedName name="KausiVlookup" localSheetId="12">tbl_Kaudet[]</definedName>
    <definedName name="KausiVlookup" localSheetId="9">tbl_Kaudet[]</definedName>
    <definedName name="KausiVlookup" localSheetId="11">tbl_Kaudet[]</definedName>
    <definedName name="KausiVlookup" localSheetId="14">tbl_Kaudet[]</definedName>
    <definedName name="KausiVlookup" localSheetId="15">tbl_Kaudet[]</definedName>
    <definedName name="KausiVlookup" localSheetId="0">tbl_Kaudet[]</definedName>
    <definedName name="KausiVlookup" localSheetId="7">tbl_Kaudet[]</definedName>
    <definedName name="KausiVlookup" localSheetId="8">tbl_Kaudet[]</definedName>
    <definedName name="KausiVlookup" localSheetId="6">tbl_Kaudet[]</definedName>
    <definedName name="KausiVlookup" localSheetId="17">tbl_Kaudet[]</definedName>
    <definedName name="KausiVlookup" localSheetId="16">tbl_Kaudet[]</definedName>
    <definedName name="KausiVlookup">tbl_Kaudet[]</definedName>
    <definedName name="KausiX" localSheetId="1">tbl_Kausi1516[K15-16]</definedName>
    <definedName name="KausiX" localSheetId="13">tbl_Kausi1516[K15-16]</definedName>
    <definedName name="KausiX" localSheetId="12">tbl_Kausi1516[K15-16]</definedName>
    <definedName name="KausiX" localSheetId="9">tbl_Kausi1516[K15-16]</definedName>
    <definedName name="KausiX" localSheetId="11">tbl_Kausi1516[K15-16]</definedName>
    <definedName name="KausiX" localSheetId="14">tbl_Kausi1516[K15-16]</definedName>
    <definedName name="KausiX" localSheetId="15">tbl_Kausi1516[K15-16]</definedName>
    <definedName name="KausiX" localSheetId="0">tbl_Kausi1516[K15-16]</definedName>
    <definedName name="KausiX" localSheetId="7">tbl_Kausi1516[K15-16]</definedName>
    <definedName name="KausiX" localSheetId="8">tbl_Kausi1516[K15-16]</definedName>
    <definedName name="KausiX" localSheetId="6">tbl_Kausi1516[K15-16]</definedName>
    <definedName name="KausiX" localSheetId="17">tbl_Kausi1516[K15-16]</definedName>
    <definedName name="KausiX" localSheetId="16">tbl_Kausi1516[K15-16]</definedName>
    <definedName name="KausiX">tbl_Kausi1516[K15-16]</definedName>
    <definedName name="KausiXI" localSheetId="1">tbl_Kausi1617[K16-17]</definedName>
    <definedName name="KausiXI" localSheetId="13">tbl_Kausi1617[K16-17]</definedName>
    <definedName name="KausiXI" localSheetId="12">tbl_Kausi1617[K16-17]</definedName>
    <definedName name="KausiXI" localSheetId="9">tbl_Kausi1617[K16-17]</definedName>
    <definedName name="KausiXI" localSheetId="11">tbl_Kausi1617[K16-17]</definedName>
    <definedName name="KausiXI" localSheetId="14">tbl_Kausi1617[K16-17]</definedName>
    <definedName name="KausiXI" localSheetId="15">tbl_Kausi1617[K16-17]</definedName>
    <definedName name="KausiXI" localSheetId="0">tbl_Kausi1617[K16-17]</definedName>
    <definedName name="KausiXI" localSheetId="7">tbl_Kausi1617[K16-17]</definedName>
    <definedName name="KausiXI" localSheetId="8">tbl_Kausi1617[K16-17]</definedName>
    <definedName name="KausiXI" localSheetId="6">tbl_Kausi1617[K16-17]</definedName>
    <definedName name="KausiXI" localSheetId="17">tbl_Kausi1617[K16-17]</definedName>
    <definedName name="KausiXI" localSheetId="16">tbl_Kausi1617[K16-17]</definedName>
    <definedName name="KausiXI">tbl_Kausi1617[K16-17]</definedName>
    <definedName name="KausiXII" localSheetId="12">tbl_Kausi1718[K17-18]</definedName>
    <definedName name="KausiXII" localSheetId="9">tbl_Kausi1718[K17-18]</definedName>
    <definedName name="KausiXII" localSheetId="14">tbl_Kausi1718[K17-18]</definedName>
    <definedName name="KausiXII" localSheetId="15">tbl_Kausi1718[K17-18]</definedName>
    <definedName name="KausiXII" localSheetId="0">tbl_Kausi1718[K17-18]</definedName>
    <definedName name="KausiXII" localSheetId="6">tbl_Kausi1718[K17-18]</definedName>
    <definedName name="KausiXII" localSheetId="17">tbl_Kausi1718[K17-18]</definedName>
    <definedName name="KausiXII" localSheetId="16">tbl_Kausi1718[K17-18]</definedName>
    <definedName name="KausiXII">tbl_Kausi1718[K17-18]</definedName>
    <definedName name="KausiXIII" localSheetId="14">tbl_Kausi1819[K18-19]</definedName>
    <definedName name="KausiXIII" localSheetId="15">tbl_Kausi1819[K18-19]</definedName>
    <definedName name="KausiXIII" localSheetId="0">tbl_Kausi1819[K18-19]</definedName>
    <definedName name="KausiXIII" localSheetId="17">tbl_Kausi1819[K18-19]</definedName>
    <definedName name="KausiXIII" localSheetId="16">tbl_Kausi1819[K18-19]</definedName>
    <definedName name="KausiXIII">tbl_Kausi1819[K18-19]</definedName>
    <definedName name="Koti">Data!$G$14:$G$15</definedName>
    <definedName name="Pelaajat" localSheetId="1">tbl_Pelaajat[Pelaajat]</definedName>
    <definedName name="Pelaajat" localSheetId="13">tbl_Pelaajat[Pelaajat]</definedName>
    <definedName name="Pelaajat" localSheetId="12">tbl_Pelaajat[Pelaajat]</definedName>
    <definedName name="Pelaajat" localSheetId="9">tbl_Pelaajat[Pelaajat]</definedName>
    <definedName name="Pelaajat" localSheetId="11">tbl_Pelaajat[Pelaajat]</definedName>
    <definedName name="Pelaajat" localSheetId="14">tbl_Pelaajat[Pelaajat]</definedName>
    <definedName name="Pelaajat" localSheetId="15">tbl_Pelaajat[Pelaajat]</definedName>
    <definedName name="Pelaajat" localSheetId="0">tbl_Pelaajat[Pelaajat]</definedName>
    <definedName name="Pelaajat" localSheetId="7">tbl_Pelaajat[Pelaajat]</definedName>
    <definedName name="Pelaajat" localSheetId="8">tbl_Pelaajat[Pelaajat]</definedName>
    <definedName name="Pelaajat" localSheetId="6">tbl_Pelaajat[Pelaajat]</definedName>
    <definedName name="Pelaajat" localSheetId="17">tbl_Pelaajat[Pelaajat]</definedName>
    <definedName name="Pelaajat" localSheetId="16">tbl_Pelaajat[Pelaajat]</definedName>
    <definedName name="Pelaajat">tbl_Pelaajat[Pelaajat]</definedName>
    <definedName name="Sarjat" localSheetId="1">tbl_Div[Sarjat]</definedName>
    <definedName name="Sarjat" localSheetId="13">tbl_Div[Sarjat]</definedName>
    <definedName name="Sarjat" localSheetId="12">tbl_Div[Sarjat]</definedName>
    <definedName name="Sarjat" localSheetId="9">tbl_Div[Sarjat]</definedName>
    <definedName name="Sarjat" localSheetId="11">tbl_Div[Sarjat]</definedName>
    <definedName name="Sarjat" localSheetId="14">tbl_Div[Sarjat]</definedName>
    <definedName name="Sarjat" localSheetId="15">tbl_Div[Sarjat]</definedName>
    <definedName name="Sarjat" localSheetId="0">tbl_Div[Sarjat]</definedName>
    <definedName name="Sarjat" localSheetId="7">tbl_Div[Sarjat]</definedName>
    <definedName name="Sarjat" localSheetId="8">tbl_Div[Sarjat]</definedName>
    <definedName name="Sarjat" localSheetId="6">tbl_Div[Sarjat]</definedName>
    <definedName name="Sarjat" localSheetId="17">tbl_Div[Sarjat]</definedName>
    <definedName name="Sarjat" localSheetId="16">tbl_Div[Sarjat]</definedName>
    <definedName name="Sarjat">tbl_Div[Sarjat]</definedName>
    <definedName name="Tulos" localSheetId="1">tbl_Tulos[Tulos]</definedName>
    <definedName name="Tulos" localSheetId="13">tbl_Tulos[Tulos]</definedName>
    <definedName name="Tulos" localSheetId="12">tbl_Tulos[Tulos]</definedName>
    <definedName name="Tulos" localSheetId="9">tbl_Tulos[Tulos]</definedName>
    <definedName name="Tulos" localSheetId="11">tbl_Tulos[Tulos]</definedName>
    <definedName name="Tulos" localSheetId="14">tbl_Tulos[Tulos]</definedName>
    <definedName name="Tulos" localSheetId="15">tbl_Tulos[Tulos]</definedName>
    <definedName name="Tulos" localSheetId="0">tbl_Tulos[Tulos]</definedName>
    <definedName name="Tulos" localSheetId="7">tbl_Tulos[Tulos]</definedName>
    <definedName name="Tulos" localSheetId="8">tbl_Tulos[Tulos]</definedName>
    <definedName name="Tulos" localSheetId="6">tbl_Tulos[Tulos]</definedName>
    <definedName name="Tulos" localSheetId="17">tbl_Tulos[Tulos]</definedName>
    <definedName name="Tulos" localSheetId="16">tbl_Tulos[Tulos]</definedName>
    <definedName name="Tulos">tbl_Tulos[Tulos]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40" l="1"/>
  <c r="J9" i="40"/>
  <c r="I9" i="40"/>
  <c r="H9" i="40"/>
  <c r="E9" i="40"/>
  <c r="K8" i="40"/>
  <c r="J8" i="40"/>
  <c r="I8" i="40"/>
  <c r="H8" i="40"/>
  <c r="E8" i="40"/>
  <c r="G6" i="40"/>
  <c r="F6" i="40"/>
  <c r="G5" i="40"/>
  <c r="F5" i="40"/>
  <c r="G4" i="40"/>
  <c r="F4" i="40"/>
  <c r="G3" i="40"/>
  <c r="F3" i="40"/>
  <c r="G2" i="40"/>
  <c r="F2" i="40"/>
  <c r="BQ7" i="36"/>
  <c r="AY7" i="36"/>
  <c r="AG7" i="36"/>
  <c r="G7" i="36"/>
  <c r="NF13" i="31"/>
  <c r="NF14" i="31"/>
  <c r="NF15" i="31"/>
  <c r="NF16" i="31"/>
  <c r="NF17" i="31"/>
  <c r="NF18" i="31"/>
  <c r="NF19" i="31"/>
  <c r="NF20" i="31"/>
  <c r="NF21" i="31"/>
  <c r="NF22" i="31"/>
  <c r="NF23" i="31"/>
  <c r="NF24" i="31"/>
  <c r="NF25" i="31"/>
  <c r="NF26" i="31"/>
  <c r="NF27" i="31"/>
  <c r="NF28" i="31"/>
  <c r="NF29" i="31"/>
  <c r="NF30" i="31"/>
  <c r="NF31" i="31"/>
  <c r="NF32" i="31"/>
  <c r="NF33" i="31"/>
  <c r="NF34" i="31"/>
  <c r="NF35" i="31"/>
  <c r="NF36" i="31"/>
  <c r="NF37" i="31"/>
  <c r="NF38" i="31"/>
  <c r="NF39" i="31"/>
  <c r="NF40" i="31"/>
  <c r="NF41" i="31"/>
  <c r="NF42" i="31"/>
  <c r="NF43" i="31"/>
  <c r="NF44" i="31"/>
  <c r="NF45" i="31"/>
  <c r="NF46" i="31"/>
  <c r="NF47" i="31"/>
  <c r="NF48" i="31"/>
  <c r="NF49" i="31"/>
  <c r="NF50" i="31"/>
  <c r="NF51" i="31"/>
  <c r="NF52" i="31"/>
  <c r="NF53" i="31"/>
  <c r="NF54" i="31"/>
  <c r="NF55" i="31"/>
  <c r="NF56" i="31"/>
  <c r="NF57" i="31"/>
  <c r="NF58" i="31"/>
  <c r="NF59" i="31"/>
  <c r="NF60" i="31"/>
  <c r="NF61" i="31"/>
  <c r="NF62" i="31"/>
  <c r="NF63" i="31"/>
  <c r="NF64" i="31"/>
  <c r="NF65" i="31"/>
  <c r="NF66" i="31"/>
  <c r="NF67" i="31"/>
  <c r="NF68" i="31"/>
  <c r="NF69" i="31"/>
  <c r="NF70" i="31"/>
  <c r="NF71" i="31"/>
  <c r="NF72" i="31"/>
  <c r="NF73" i="31"/>
  <c r="NF74" i="31"/>
  <c r="NF75" i="31"/>
  <c r="NF76" i="31"/>
  <c r="NF77" i="31"/>
  <c r="NF78" i="31"/>
  <c r="NF79" i="31"/>
  <c r="NF80" i="31"/>
  <c r="NF81" i="31"/>
  <c r="NF82" i="31"/>
  <c r="NF83" i="31"/>
  <c r="NF84" i="31"/>
  <c r="NF85" i="31"/>
  <c r="NF86" i="31"/>
  <c r="NF87" i="31"/>
  <c r="NF88" i="31"/>
  <c r="NF89" i="31"/>
  <c r="NF90" i="31"/>
  <c r="NF91" i="31"/>
  <c r="NF92" i="31"/>
  <c r="NF93" i="31"/>
  <c r="NF94" i="31"/>
  <c r="NF95" i="31"/>
  <c r="NF96" i="31"/>
  <c r="NF97" i="31"/>
  <c r="NF98" i="31"/>
  <c r="NH7" i="31"/>
  <c r="OF13" i="31"/>
  <c r="OF14" i="31"/>
  <c r="OF15" i="31"/>
  <c r="OF16" i="31"/>
  <c r="OF17" i="31"/>
  <c r="OF18" i="31"/>
  <c r="OF19" i="31"/>
  <c r="OF20" i="31"/>
  <c r="OF21" i="31"/>
  <c r="OF22" i="31"/>
  <c r="OF23" i="31"/>
  <c r="OF24" i="31"/>
  <c r="OF25" i="31"/>
  <c r="OF26" i="31"/>
  <c r="OF27" i="31"/>
  <c r="OF28" i="31"/>
  <c r="OF29" i="31"/>
  <c r="OF30" i="31"/>
  <c r="OF31" i="31"/>
  <c r="OF32" i="31"/>
  <c r="OF33" i="31"/>
  <c r="OF34" i="31"/>
  <c r="OF35" i="31"/>
  <c r="OF36" i="31"/>
  <c r="OF37" i="31"/>
  <c r="OF38" i="31"/>
  <c r="OF39" i="31"/>
  <c r="OF40" i="31"/>
  <c r="OF41" i="31"/>
  <c r="OF42" i="31"/>
  <c r="OF43" i="31"/>
  <c r="OF44" i="31"/>
  <c r="OF45" i="31"/>
  <c r="OF46" i="31"/>
  <c r="OF47" i="31"/>
  <c r="OF48" i="31"/>
  <c r="OF49" i="31"/>
  <c r="OF50" i="31"/>
  <c r="OF51" i="31"/>
  <c r="OF52" i="31"/>
  <c r="OF53" i="31"/>
  <c r="OF54" i="31"/>
  <c r="OF55" i="31"/>
  <c r="OF56" i="31"/>
  <c r="OF57" i="31"/>
  <c r="OF58" i="31"/>
  <c r="OF59" i="31"/>
  <c r="OF60" i="31"/>
  <c r="OF61" i="31"/>
  <c r="OF62" i="31"/>
  <c r="OF63" i="31"/>
  <c r="OF64" i="31"/>
  <c r="OF65" i="31"/>
  <c r="OF66" i="31"/>
  <c r="OF67" i="31"/>
  <c r="OF68" i="31"/>
  <c r="OF69" i="31"/>
  <c r="OF70" i="31"/>
  <c r="OF71" i="31"/>
  <c r="OF72" i="31"/>
  <c r="OF73" i="31"/>
  <c r="OF74" i="31"/>
  <c r="OF75" i="31"/>
  <c r="OF76" i="31"/>
  <c r="OF77" i="31"/>
  <c r="OF78" i="31"/>
  <c r="OF79" i="31"/>
  <c r="OF80" i="31"/>
  <c r="OF81" i="31"/>
  <c r="OF82" i="31"/>
  <c r="OF83" i="31"/>
  <c r="OF84" i="31"/>
  <c r="OF85" i="31"/>
  <c r="OF86" i="31"/>
  <c r="OF87" i="31"/>
  <c r="OF88" i="31"/>
  <c r="OF89" i="31"/>
  <c r="OF90" i="31"/>
  <c r="OF91" i="31"/>
  <c r="OF92" i="31"/>
  <c r="OF93" i="31"/>
  <c r="OF94" i="31"/>
  <c r="OF95" i="31"/>
  <c r="OF96" i="31"/>
  <c r="OF97" i="31"/>
  <c r="OF98" i="31"/>
  <c r="OF99" i="31"/>
  <c r="OF100" i="31"/>
  <c r="OH7" i="31"/>
  <c r="PF13" i="31"/>
  <c r="PF14" i="31"/>
  <c r="PF15" i="31"/>
  <c r="PF16" i="31"/>
  <c r="PF17" i="31"/>
  <c r="PF18" i="31"/>
  <c r="PF19" i="31"/>
  <c r="PF20" i="31"/>
  <c r="PF21" i="31"/>
  <c r="PF22" i="31"/>
  <c r="PF23" i="31"/>
  <c r="PF24" i="31"/>
  <c r="PF25" i="31"/>
  <c r="PF26" i="31"/>
  <c r="PF27" i="31"/>
  <c r="PF28" i="31"/>
  <c r="PF29" i="31"/>
  <c r="PF30" i="31"/>
  <c r="PF31" i="31"/>
  <c r="PF32" i="31"/>
  <c r="PF33" i="31"/>
  <c r="PF34" i="31"/>
  <c r="PF35" i="31"/>
  <c r="PF36" i="31"/>
  <c r="PF37" i="31"/>
  <c r="PF38" i="31"/>
  <c r="PF39" i="31"/>
  <c r="PF40" i="31"/>
  <c r="PF41" i="31"/>
  <c r="PF42" i="31"/>
  <c r="PF43" i="31"/>
  <c r="PF44" i="31"/>
  <c r="PF45" i="31"/>
  <c r="PF46" i="31"/>
  <c r="PF47" i="31"/>
  <c r="PF48" i="31"/>
  <c r="PF49" i="31"/>
  <c r="PF50" i="31"/>
  <c r="PF51" i="31"/>
  <c r="PF52" i="31"/>
  <c r="PF53" i="31"/>
  <c r="PF54" i="31"/>
  <c r="PF55" i="31"/>
  <c r="PF56" i="31"/>
  <c r="PF57" i="31"/>
  <c r="PF58" i="31"/>
  <c r="PF59" i="31"/>
  <c r="PF60" i="31"/>
  <c r="PF61" i="31"/>
  <c r="PF62" i="31"/>
  <c r="PF63" i="31"/>
  <c r="PF64" i="31"/>
  <c r="PF65" i="31"/>
  <c r="PF66" i="31"/>
  <c r="PF67" i="31"/>
  <c r="PF68" i="31"/>
  <c r="PF69" i="31"/>
  <c r="PF70" i="31"/>
  <c r="PF71" i="31"/>
  <c r="PF72" i="31"/>
  <c r="PF73" i="31"/>
  <c r="PF74" i="31"/>
  <c r="PF75" i="31"/>
  <c r="PF76" i="31"/>
  <c r="PF77" i="31"/>
  <c r="PF78" i="31"/>
  <c r="PF79" i="31"/>
  <c r="PF80" i="31"/>
  <c r="PF81" i="31"/>
  <c r="PF82" i="31"/>
  <c r="PF83" i="31"/>
  <c r="PF84" i="31"/>
  <c r="PF85" i="31"/>
  <c r="PF86" i="31"/>
  <c r="PF87" i="31"/>
  <c r="PF88" i="31"/>
  <c r="PF89" i="31"/>
  <c r="PF90" i="31"/>
  <c r="PH7" i="31"/>
  <c r="MH7" i="31"/>
  <c r="MF13" i="31"/>
  <c r="MF14" i="31"/>
  <c r="MF15" i="31"/>
  <c r="MF16" i="31"/>
  <c r="MF17" i="31"/>
  <c r="MF18" i="31"/>
  <c r="MF19" i="31"/>
  <c r="MF20" i="31"/>
  <c r="MF21" i="31"/>
  <c r="MF22" i="31"/>
  <c r="MF23" i="31"/>
  <c r="MF24" i="31"/>
  <c r="MF25" i="31"/>
  <c r="MF26" i="31"/>
  <c r="MF27" i="31"/>
  <c r="MF28" i="31"/>
  <c r="MF29" i="31"/>
  <c r="MF30" i="31"/>
  <c r="MF31" i="31"/>
  <c r="MF32" i="31"/>
  <c r="MF33" i="31"/>
  <c r="MF34" i="31"/>
  <c r="MF35" i="31"/>
  <c r="MF36" i="31"/>
  <c r="MF37" i="31"/>
  <c r="MF38" i="31"/>
  <c r="MF39" i="31"/>
  <c r="MF40" i="31"/>
  <c r="MF41" i="31"/>
  <c r="MF42" i="31"/>
  <c r="MF43" i="31"/>
  <c r="MF44" i="31"/>
  <c r="MF45" i="31"/>
  <c r="MF46" i="31"/>
  <c r="MF47" i="31"/>
  <c r="MF48" i="31"/>
  <c r="MF49" i="31"/>
  <c r="MF50" i="31"/>
  <c r="MF51" i="31"/>
  <c r="MF52" i="31"/>
  <c r="MF53" i="31"/>
  <c r="MF54" i="31"/>
  <c r="MF55" i="31"/>
  <c r="MF56" i="31"/>
  <c r="MF57" i="31"/>
  <c r="MF58" i="31"/>
  <c r="MF59" i="31"/>
  <c r="MF60" i="31"/>
  <c r="MF61" i="31"/>
  <c r="MF62" i="31"/>
  <c r="MF63" i="31"/>
  <c r="MF64" i="31"/>
  <c r="MF65" i="31"/>
  <c r="MF66" i="31"/>
  <c r="MF67" i="31"/>
  <c r="MF68" i="31"/>
  <c r="MF69" i="31"/>
  <c r="MF70" i="31"/>
  <c r="MF71" i="31"/>
  <c r="MF72" i="31"/>
  <c r="MF73" i="31"/>
  <c r="MF74" i="31"/>
  <c r="MF75" i="31"/>
  <c r="MF76" i="31"/>
  <c r="MF77" i="31"/>
  <c r="MF78" i="31"/>
  <c r="MF79" i="31"/>
  <c r="MF80" i="31"/>
  <c r="MF81" i="31"/>
  <c r="MF82" i="31"/>
  <c r="MF83" i="31"/>
  <c r="MF84" i="31"/>
  <c r="MF85" i="31"/>
  <c r="MF86" i="31"/>
  <c r="MF87" i="31"/>
  <c r="MF88" i="31"/>
  <c r="MF89" i="31"/>
  <c r="MF90" i="31"/>
  <c r="MF91" i="31"/>
  <c r="MF92" i="31"/>
  <c r="MF93" i="31"/>
  <c r="MF94" i="31"/>
  <c r="MF95" i="31"/>
  <c r="MF96" i="31"/>
  <c r="MF97" i="31"/>
  <c r="MF98" i="31"/>
  <c r="LH7" i="31"/>
  <c r="LF13" i="31"/>
  <c r="LF14" i="31"/>
  <c r="LF15" i="31"/>
  <c r="LF16" i="31"/>
  <c r="LF17" i="31"/>
  <c r="LF18" i="31"/>
  <c r="LF19" i="31"/>
  <c r="LF20" i="31"/>
  <c r="LF21" i="31"/>
  <c r="LF22" i="31"/>
  <c r="LF23" i="31"/>
  <c r="LF24" i="31"/>
  <c r="LF25" i="31"/>
  <c r="LF26" i="31"/>
  <c r="LF27" i="31"/>
  <c r="LF28" i="31"/>
  <c r="LF29" i="31"/>
  <c r="LF30" i="31"/>
  <c r="LF31" i="31"/>
  <c r="LF32" i="31"/>
  <c r="LF33" i="31"/>
  <c r="LF34" i="31"/>
  <c r="LF35" i="31"/>
  <c r="LF36" i="31"/>
  <c r="LF37" i="31"/>
  <c r="LF38" i="31"/>
  <c r="LF39" i="31"/>
  <c r="LF40" i="31"/>
  <c r="LF41" i="31"/>
  <c r="LF42" i="31"/>
  <c r="LF43" i="31"/>
  <c r="LF44" i="31"/>
  <c r="LF45" i="31"/>
  <c r="LF46" i="31"/>
  <c r="LF47" i="31"/>
  <c r="LF48" i="31"/>
  <c r="LF49" i="31"/>
  <c r="LF50" i="31"/>
  <c r="LF51" i="31"/>
  <c r="LF52" i="31"/>
  <c r="LF53" i="31"/>
  <c r="LF54" i="31"/>
  <c r="LF55" i="31"/>
  <c r="LF56" i="31"/>
  <c r="LF57" i="31"/>
  <c r="LF58" i="31"/>
  <c r="LF59" i="31"/>
  <c r="LF60" i="31"/>
  <c r="LF61" i="31"/>
  <c r="LF62" i="31"/>
  <c r="LF63" i="31"/>
  <c r="LF64" i="31"/>
  <c r="LF65" i="31"/>
  <c r="LF66" i="31"/>
  <c r="LF67" i="31"/>
  <c r="LF68" i="31"/>
  <c r="LF69" i="31"/>
  <c r="LF70" i="31"/>
  <c r="LF71" i="31"/>
  <c r="LF72" i="31"/>
  <c r="LF73" i="31"/>
  <c r="LF74" i="31"/>
  <c r="LF75" i="31"/>
  <c r="LF76" i="31"/>
  <c r="LF77" i="31"/>
  <c r="LF78" i="31"/>
  <c r="LF79" i="31"/>
  <c r="LF80" i="31"/>
  <c r="LF81" i="31"/>
  <c r="LF82" i="31"/>
  <c r="LF83" i="31"/>
  <c r="LF84" i="31"/>
  <c r="LF85" i="31"/>
  <c r="LF86" i="31"/>
  <c r="LF87" i="31"/>
  <c r="LF88" i="31"/>
  <c r="LF89" i="31"/>
  <c r="LF90" i="31"/>
  <c r="LF91" i="31"/>
  <c r="LF92" i="31"/>
  <c r="LF93" i="31"/>
  <c r="LF94" i="31"/>
  <c r="LF95" i="31"/>
  <c r="KH7" i="31"/>
  <c r="KF11" i="31"/>
  <c r="KF12" i="31"/>
  <c r="KF13" i="31"/>
  <c r="KF14" i="31"/>
  <c r="KF15" i="31"/>
  <c r="KF16" i="31"/>
  <c r="KF17" i="31"/>
  <c r="KF18" i="31"/>
  <c r="KF19" i="31"/>
  <c r="KF20" i="31"/>
  <c r="KF21" i="31"/>
  <c r="KF22" i="31"/>
  <c r="KF23" i="31"/>
  <c r="KF24" i="31"/>
  <c r="KF25" i="31"/>
  <c r="KF26" i="31"/>
  <c r="KF27" i="31"/>
  <c r="KF28" i="31"/>
  <c r="KF29" i="31"/>
  <c r="KF30" i="31"/>
  <c r="KF31" i="31"/>
  <c r="KF32" i="31"/>
  <c r="KF33" i="31"/>
  <c r="KF34" i="31"/>
  <c r="KF35" i="31"/>
  <c r="KF36" i="31"/>
  <c r="KF37" i="31"/>
  <c r="KF38" i="31"/>
  <c r="KF39" i="31"/>
  <c r="KF40" i="31"/>
  <c r="KF41" i="31"/>
  <c r="KF42" i="31"/>
  <c r="KF43" i="31"/>
  <c r="KF44" i="31"/>
  <c r="KF45" i="31"/>
  <c r="KF46" i="31"/>
  <c r="KF47" i="31"/>
  <c r="KF48" i="31"/>
  <c r="KF49" i="31"/>
  <c r="KF50" i="31"/>
  <c r="KF51" i="31"/>
  <c r="KF52" i="31"/>
  <c r="KF53" i="31"/>
  <c r="KF54" i="31"/>
  <c r="KF55" i="31"/>
  <c r="KF56" i="31"/>
  <c r="KF57" i="31"/>
  <c r="KF58" i="31"/>
  <c r="KF59" i="31"/>
  <c r="KF60" i="31"/>
  <c r="KF61" i="31"/>
  <c r="KF62" i="31"/>
  <c r="KF63" i="31"/>
  <c r="KF64" i="31"/>
  <c r="KF65" i="31"/>
  <c r="KF66" i="31"/>
  <c r="KF67" i="31"/>
  <c r="KF68" i="31"/>
  <c r="KF69" i="31"/>
  <c r="KF70" i="31"/>
  <c r="KF71" i="31"/>
  <c r="KF72" i="31"/>
  <c r="KF73" i="31"/>
  <c r="KF74" i="31"/>
  <c r="KF75" i="31"/>
  <c r="KF76" i="31"/>
  <c r="KF77" i="31"/>
  <c r="KF78" i="31"/>
  <c r="KF79" i="31"/>
  <c r="KF80" i="31"/>
  <c r="KF81" i="31"/>
  <c r="KF82" i="31"/>
  <c r="KF83" i="31"/>
  <c r="KF84" i="31"/>
  <c r="KF85" i="31"/>
  <c r="KF86" i="31"/>
  <c r="KF87" i="31"/>
  <c r="KF88" i="31"/>
  <c r="KF89" i="31"/>
  <c r="KF90" i="31"/>
  <c r="KF91" i="31"/>
  <c r="KF92" i="31"/>
  <c r="KF93" i="31"/>
  <c r="KF94" i="31"/>
  <c r="KF95" i="31"/>
  <c r="KF96" i="31"/>
  <c r="KF97" i="31"/>
  <c r="KF98" i="31"/>
  <c r="KF99" i="31"/>
  <c r="JH7" i="31"/>
  <c r="JF11" i="31"/>
  <c r="JF12" i="31"/>
  <c r="JF13" i="31"/>
  <c r="JF14" i="31"/>
  <c r="JF15" i="31"/>
  <c r="JF16" i="31"/>
  <c r="JF17" i="31"/>
  <c r="JF18" i="31"/>
  <c r="JF19" i="31"/>
  <c r="JF20" i="31"/>
  <c r="JF21" i="31"/>
  <c r="JF22" i="31"/>
  <c r="JF23" i="31"/>
  <c r="JF24" i="31"/>
  <c r="JF25" i="31"/>
  <c r="JF26" i="31"/>
  <c r="JF27" i="31"/>
  <c r="JF28" i="31"/>
  <c r="JF29" i="31"/>
  <c r="JF30" i="31"/>
  <c r="JF31" i="31"/>
  <c r="JF32" i="31"/>
  <c r="JF33" i="31"/>
  <c r="JF34" i="31"/>
  <c r="JF35" i="31"/>
  <c r="JF36" i="31"/>
  <c r="JF37" i="31"/>
  <c r="JF38" i="31"/>
  <c r="JF39" i="31"/>
  <c r="JF40" i="31"/>
  <c r="JF41" i="31"/>
  <c r="JF42" i="31"/>
  <c r="JF43" i="31"/>
  <c r="JF44" i="31"/>
  <c r="JF45" i="31"/>
  <c r="JF46" i="31"/>
  <c r="JF47" i="31"/>
  <c r="JF48" i="31"/>
  <c r="JF49" i="31"/>
  <c r="JF50" i="31"/>
  <c r="JF51" i="31"/>
  <c r="JF52" i="31"/>
  <c r="JF53" i="31"/>
  <c r="JF54" i="31"/>
  <c r="JF55" i="31"/>
  <c r="JF56" i="31"/>
  <c r="JF57" i="31"/>
  <c r="JF58" i="31"/>
  <c r="JF59" i="31"/>
  <c r="JF60" i="31"/>
  <c r="JF61" i="31"/>
  <c r="JF62" i="31"/>
  <c r="JF63" i="31"/>
  <c r="JF64" i="31"/>
  <c r="JF65" i="31"/>
  <c r="JF66" i="31"/>
  <c r="JF67" i="31"/>
  <c r="JF68" i="31"/>
  <c r="JF69" i="31"/>
  <c r="JF70" i="31"/>
  <c r="JF71" i="31"/>
  <c r="JF72" i="31"/>
  <c r="JF73" i="31"/>
  <c r="JF74" i="31"/>
  <c r="JF75" i="31"/>
  <c r="JF76" i="31"/>
  <c r="JF77" i="31"/>
  <c r="JF78" i="31"/>
  <c r="JF79" i="31"/>
  <c r="JF80" i="31"/>
  <c r="JF81" i="31"/>
  <c r="JF82" i="31"/>
  <c r="JF83" i="31"/>
  <c r="JF84" i="31"/>
  <c r="JF85" i="31"/>
  <c r="JF86" i="31"/>
  <c r="JF87" i="31"/>
  <c r="JF88" i="31"/>
  <c r="JF89" i="31"/>
  <c r="JF90" i="31"/>
  <c r="JF91" i="31"/>
  <c r="JF92" i="31"/>
  <c r="JF93" i="31"/>
  <c r="JF94" i="31"/>
  <c r="JF95" i="31"/>
  <c r="JF96" i="31"/>
  <c r="JF97" i="31"/>
  <c r="JF98" i="31"/>
  <c r="JF99" i="31"/>
  <c r="JF100" i="31"/>
  <c r="IH7" i="31"/>
  <c r="IF11" i="31"/>
  <c r="IF12" i="31"/>
  <c r="IF13" i="31"/>
  <c r="IF14" i="31"/>
  <c r="IF15" i="31"/>
  <c r="IF16" i="31"/>
  <c r="IF17" i="31"/>
  <c r="IF18" i="31"/>
  <c r="IF19" i="31"/>
  <c r="IF20" i="31"/>
  <c r="IF21" i="31"/>
  <c r="IF22" i="31"/>
  <c r="IF23" i="31"/>
  <c r="IF24" i="31"/>
  <c r="IF25" i="31"/>
  <c r="IF26" i="31"/>
  <c r="IF27" i="31"/>
  <c r="IF28" i="31"/>
  <c r="IF29" i="31"/>
  <c r="IF30" i="31"/>
  <c r="IF31" i="31"/>
  <c r="IF32" i="31"/>
  <c r="IF33" i="31"/>
  <c r="IF34" i="31"/>
  <c r="IF35" i="31"/>
  <c r="IF36" i="31"/>
  <c r="IF37" i="31"/>
  <c r="IF38" i="31"/>
  <c r="IF39" i="31"/>
  <c r="IF40" i="31"/>
  <c r="IF41" i="31"/>
  <c r="IF42" i="31"/>
  <c r="IF43" i="31"/>
  <c r="IF44" i="31"/>
  <c r="IF45" i="31"/>
  <c r="IF46" i="31"/>
  <c r="IF47" i="31"/>
  <c r="IF48" i="31"/>
  <c r="IF49" i="31"/>
  <c r="IF50" i="31"/>
  <c r="IF51" i="31"/>
  <c r="IF52" i="31"/>
  <c r="IF53" i="31"/>
  <c r="IF54" i="31"/>
  <c r="IF55" i="31"/>
  <c r="IF56" i="31"/>
  <c r="IF57" i="31"/>
  <c r="IF58" i="31"/>
  <c r="IF59" i="31"/>
  <c r="IF60" i="31"/>
  <c r="IF61" i="31"/>
  <c r="IF62" i="31"/>
  <c r="IF63" i="31"/>
  <c r="IF64" i="31"/>
  <c r="IF65" i="31"/>
  <c r="IF66" i="31"/>
  <c r="IF67" i="31"/>
  <c r="IF68" i="31"/>
  <c r="IF69" i="31"/>
  <c r="IF70" i="31"/>
  <c r="IF71" i="31"/>
  <c r="IF72" i="31"/>
  <c r="IF73" i="31"/>
  <c r="IF74" i="31"/>
  <c r="IF75" i="31"/>
  <c r="IF76" i="31"/>
  <c r="IF77" i="31"/>
  <c r="IF78" i="31"/>
  <c r="IF79" i="31"/>
  <c r="IF80" i="31"/>
  <c r="IF81" i="31"/>
  <c r="IF82" i="31"/>
  <c r="IF83" i="31"/>
  <c r="IF84" i="31"/>
  <c r="IF85" i="31"/>
  <c r="IF86" i="31"/>
  <c r="IF87" i="31"/>
  <c r="IF88" i="31"/>
  <c r="IF89" i="31"/>
  <c r="IF90" i="31"/>
  <c r="IF91" i="31"/>
  <c r="IF92" i="31"/>
  <c r="IF93" i="31"/>
  <c r="IF94" i="31"/>
  <c r="IF95" i="31"/>
  <c r="IF96" i="31"/>
  <c r="HH7" i="31"/>
  <c r="HF13" i="31"/>
  <c r="HF14" i="31"/>
  <c r="HF15" i="31"/>
  <c r="HF16" i="31"/>
  <c r="HF17" i="31"/>
  <c r="HF18" i="31"/>
  <c r="HF19" i="31"/>
  <c r="HF20" i="31"/>
  <c r="HF21" i="31"/>
  <c r="HF22" i="31"/>
  <c r="HF23" i="31"/>
  <c r="HF24" i="31"/>
  <c r="HF25" i="31"/>
  <c r="HF26" i="31"/>
  <c r="HF27" i="31"/>
  <c r="HF28" i="31"/>
  <c r="HF29" i="31"/>
  <c r="HF30" i="31"/>
  <c r="HF31" i="31"/>
  <c r="HF32" i="31"/>
  <c r="HF33" i="31"/>
  <c r="HF34" i="31"/>
  <c r="HF35" i="31"/>
  <c r="HF36" i="31"/>
  <c r="HF37" i="31"/>
  <c r="HF38" i="31"/>
  <c r="HF39" i="31"/>
  <c r="HF40" i="31"/>
  <c r="HF41" i="31"/>
  <c r="HF42" i="31"/>
  <c r="HF43" i="31"/>
  <c r="HF44" i="31"/>
  <c r="HF45" i="31"/>
  <c r="HF46" i="31"/>
  <c r="HF47" i="31"/>
  <c r="HF48" i="31"/>
  <c r="HF49" i="31"/>
  <c r="HF50" i="31"/>
  <c r="HF51" i="31"/>
  <c r="HF52" i="31"/>
  <c r="HF53" i="31"/>
  <c r="HF54" i="31"/>
  <c r="HF55" i="31"/>
  <c r="HF56" i="31"/>
  <c r="HF57" i="31"/>
  <c r="HF58" i="31"/>
  <c r="HF59" i="31"/>
  <c r="HF60" i="31"/>
  <c r="HF61" i="31"/>
  <c r="HF62" i="31"/>
  <c r="HF63" i="31"/>
  <c r="HF64" i="31"/>
  <c r="HF65" i="31"/>
  <c r="HF66" i="31"/>
  <c r="HF67" i="31"/>
  <c r="HF68" i="31"/>
  <c r="HF69" i="31"/>
  <c r="HF70" i="31"/>
  <c r="HF71" i="31"/>
  <c r="HF72" i="31"/>
  <c r="HF73" i="31"/>
  <c r="HF74" i="31"/>
  <c r="HF75" i="31"/>
  <c r="HF76" i="31"/>
  <c r="HF77" i="31"/>
  <c r="HF78" i="31"/>
  <c r="HF79" i="31"/>
  <c r="HF80" i="31"/>
  <c r="HF81" i="31"/>
  <c r="HF82" i="31"/>
  <c r="HF83" i="31"/>
  <c r="HF84" i="31"/>
  <c r="HF85" i="31"/>
  <c r="HF86" i="31"/>
  <c r="HF87" i="31"/>
  <c r="HF88" i="31"/>
  <c r="HF89" i="31"/>
  <c r="HF90" i="31"/>
  <c r="HF91" i="31"/>
  <c r="HF92" i="31"/>
  <c r="HF93" i="31"/>
  <c r="HF94" i="31"/>
  <c r="HF95" i="31"/>
  <c r="HF96" i="31"/>
  <c r="HF97" i="31"/>
  <c r="HF98" i="31"/>
  <c r="GH7" i="31"/>
  <c r="GF12" i="31"/>
  <c r="GF13" i="31"/>
  <c r="GF14" i="31"/>
  <c r="GF15" i="31"/>
  <c r="GF16" i="31"/>
  <c r="GF17" i="31"/>
  <c r="GF18" i="31"/>
  <c r="GF19" i="31"/>
  <c r="GF20" i="31"/>
  <c r="GF21" i="31"/>
  <c r="GF22" i="31"/>
  <c r="GF23" i="31"/>
  <c r="GF24" i="31"/>
  <c r="GF25" i="31"/>
  <c r="GF26" i="31"/>
  <c r="GF27" i="31"/>
  <c r="GF28" i="31"/>
  <c r="GF29" i="31"/>
  <c r="GF30" i="31"/>
  <c r="GF31" i="31"/>
  <c r="GF32" i="31"/>
  <c r="GF33" i="31"/>
  <c r="GF34" i="31"/>
  <c r="GF35" i="31"/>
  <c r="GF36" i="31"/>
  <c r="GF37" i="31"/>
  <c r="GF38" i="31"/>
  <c r="GF39" i="31"/>
  <c r="GF40" i="31"/>
  <c r="GF41" i="31"/>
  <c r="GF42" i="31"/>
  <c r="GF43" i="31"/>
  <c r="GF44" i="31"/>
  <c r="GF45" i="31"/>
  <c r="GF46" i="31"/>
  <c r="GF47" i="31"/>
  <c r="GF48" i="31"/>
  <c r="GF49" i="31"/>
  <c r="GF50" i="31"/>
  <c r="GF51" i="31"/>
  <c r="GF52" i="31"/>
  <c r="GF53" i="31"/>
  <c r="GF54" i="31"/>
  <c r="GF55" i="31"/>
  <c r="GF56" i="31"/>
  <c r="GF57" i="31"/>
  <c r="GF58" i="31"/>
  <c r="GF59" i="31"/>
  <c r="GF60" i="31"/>
  <c r="GF61" i="31"/>
  <c r="GF62" i="31"/>
  <c r="GF63" i="31"/>
  <c r="GF64" i="31"/>
  <c r="GF65" i="31"/>
  <c r="GF66" i="31"/>
  <c r="GF67" i="31"/>
  <c r="GF68" i="31"/>
  <c r="GF69" i="31"/>
  <c r="GF70" i="31"/>
  <c r="GF71" i="31"/>
  <c r="GF72" i="31"/>
  <c r="GF73" i="31"/>
  <c r="GF74" i="31"/>
  <c r="GF75" i="31"/>
  <c r="GF76" i="31"/>
  <c r="GF77" i="31"/>
  <c r="GF78" i="31"/>
  <c r="GF79" i="31"/>
  <c r="GF80" i="31"/>
  <c r="GF81" i="31"/>
  <c r="GF82" i="31"/>
  <c r="GF83" i="31"/>
  <c r="GF84" i="31"/>
  <c r="GF85" i="31"/>
  <c r="GF86" i="31"/>
  <c r="GF87" i="31"/>
  <c r="GF88" i="31"/>
  <c r="GF89" i="31"/>
  <c r="GF90" i="31"/>
  <c r="GF91" i="31"/>
  <c r="FH7" i="31"/>
  <c r="FF10" i="31"/>
  <c r="FF11" i="31"/>
  <c r="FF12" i="31"/>
  <c r="FF13" i="31"/>
  <c r="FF14" i="31"/>
  <c r="FF15" i="31"/>
  <c r="FF16" i="31"/>
  <c r="FF17" i="31"/>
  <c r="FF18" i="31"/>
  <c r="FF19" i="31"/>
  <c r="FF20" i="31"/>
  <c r="FF21" i="31"/>
  <c r="FF22" i="31"/>
  <c r="FF23" i="31"/>
  <c r="FF24" i="31"/>
  <c r="FF25" i="31"/>
  <c r="FF26" i="31"/>
  <c r="FF27" i="31"/>
  <c r="FF28" i="31"/>
  <c r="FF29" i="31"/>
  <c r="FF30" i="31"/>
  <c r="FF31" i="31"/>
  <c r="FF32" i="31"/>
  <c r="FF33" i="31"/>
  <c r="FF34" i="31"/>
  <c r="FF35" i="31"/>
  <c r="FF36" i="31"/>
  <c r="FF37" i="31"/>
  <c r="FF38" i="31"/>
  <c r="FF39" i="31"/>
  <c r="FF40" i="31"/>
  <c r="FF41" i="31"/>
  <c r="FF42" i="31"/>
  <c r="FF43" i="31"/>
  <c r="FF44" i="31"/>
  <c r="FF45" i="31"/>
  <c r="FF46" i="31"/>
  <c r="FF47" i="31"/>
  <c r="FF48" i="31"/>
  <c r="FF49" i="31"/>
  <c r="FF50" i="31"/>
  <c r="FF51" i="31"/>
  <c r="FF52" i="31"/>
  <c r="FF53" i="31"/>
  <c r="FF54" i="31"/>
  <c r="FF55" i="31"/>
  <c r="FF56" i="31"/>
  <c r="FF57" i="31"/>
  <c r="FF58" i="31"/>
  <c r="FF59" i="31"/>
  <c r="FF60" i="31"/>
  <c r="FF61" i="31"/>
  <c r="FF62" i="31"/>
  <c r="FF63" i="31"/>
  <c r="FF64" i="31"/>
  <c r="FF65" i="31"/>
  <c r="FF66" i="31"/>
  <c r="FF67" i="31"/>
  <c r="FF68" i="31"/>
  <c r="FF69" i="31"/>
  <c r="FF70" i="31"/>
  <c r="FF71" i="31"/>
  <c r="FF72" i="31"/>
  <c r="FF73" i="31"/>
  <c r="FF74" i="31"/>
  <c r="FF75" i="31"/>
  <c r="FF76" i="31"/>
  <c r="FF77" i="31"/>
  <c r="FF78" i="31"/>
  <c r="FF79" i="31"/>
  <c r="FF80" i="31"/>
  <c r="FF81" i="31"/>
  <c r="FF82" i="31"/>
  <c r="FF83" i="31"/>
  <c r="FF84" i="31"/>
  <c r="FF85" i="31"/>
  <c r="FF86" i="31"/>
  <c r="FF87" i="31"/>
  <c r="FF88" i="31"/>
  <c r="FF89" i="31"/>
  <c r="FF90" i="31"/>
  <c r="FF91" i="31"/>
  <c r="FF92" i="31"/>
  <c r="FF93" i="31"/>
  <c r="EH7" i="31"/>
  <c r="EF12" i="31"/>
  <c r="EF13" i="31"/>
  <c r="EF14" i="31"/>
  <c r="EF15" i="31"/>
  <c r="EF16" i="31"/>
  <c r="EF17" i="31"/>
  <c r="EF18" i="31"/>
  <c r="EF19" i="31"/>
  <c r="EF20" i="31"/>
  <c r="EF21" i="31"/>
  <c r="EF22" i="31"/>
  <c r="EF23" i="31"/>
  <c r="EF24" i="31"/>
  <c r="EF25" i="31"/>
  <c r="EF26" i="31"/>
  <c r="EF27" i="31"/>
  <c r="EF28" i="31"/>
  <c r="EF29" i="31"/>
  <c r="EF30" i="31"/>
  <c r="EF31" i="31"/>
  <c r="EF32" i="31"/>
  <c r="EF33" i="31"/>
  <c r="EF34" i="31"/>
  <c r="EF35" i="31"/>
  <c r="EF36" i="31"/>
  <c r="EF37" i="31"/>
  <c r="EF38" i="31"/>
  <c r="EF39" i="31"/>
  <c r="EF40" i="31"/>
  <c r="EF41" i="31"/>
  <c r="EF42" i="31"/>
  <c r="EF43" i="31"/>
  <c r="EF44" i="31"/>
  <c r="EF45" i="31"/>
  <c r="EF46" i="31"/>
  <c r="EF47" i="31"/>
  <c r="EF48" i="31"/>
  <c r="EF49" i="31"/>
  <c r="EF50" i="31"/>
  <c r="EF51" i="31"/>
  <c r="EF52" i="31"/>
  <c r="EF53" i="31"/>
  <c r="EF54" i="31"/>
  <c r="EF55" i="31"/>
  <c r="EF56" i="31"/>
  <c r="EF57" i="31"/>
  <c r="EF58" i="31"/>
  <c r="EF59" i="31"/>
  <c r="EF60" i="31"/>
  <c r="EF61" i="31"/>
  <c r="EF62" i="31"/>
  <c r="EF63" i="31"/>
  <c r="EF64" i="31"/>
  <c r="EF65" i="31"/>
  <c r="EF66" i="31"/>
  <c r="EF67" i="31"/>
  <c r="EF68" i="31"/>
  <c r="EF69" i="31"/>
  <c r="EF70" i="31"/>
  <c r="EF71" i="31"/>
  <c r="EF72" i="31"/>
  <c r="EF73" i="31"/>
  <c r="EF74" i="31"/>
  <c r="EF75" i="31"/>
  <c r="EF76" i="31"/>
  <c r="EF77" i="31"/>
  <c r="EF78" i="31"/>
  <c r="EF79" i="31"/>
  <c r="EF80" i="31"/>
  <c r="EF81" i="31"/>
  <c r="EF82" i="31"/>
  <c r="EF83" i="31"/>
  <c r="EF84" i="31"/>
  <c r="EF85" i="31"/>
  <c r="EF86" i="31"/>
  <c r="EF87" i="31"/>
  <c r="EF88" i="31"/>
  <c r="EF89" i="31"/>
  <c r="EF90" i="31"/>
  <c r="EF91" i="31"/>
  <c r="DF11" i="31"/>
  <c r="DF12" i="31"/>
  <c r="DF13" i="31"/>
  <c r="DF14" i="31"/>
  <c r="DF15" i="31"/>
  <c r="DF16" i="31"/>
  <c r="DF17" i="31"/>
  <c r="DF18" i="31"/>
  <c r="DF19" i="31"/>
  <c r="DF20" i="31"/>
  <c r="DF21" i="31"/>
  <c r="DF22" i="31"/>
  <c r="DF23" i="31"/>
  <c r="DF24" i="31"/>
  <c r="DF25" i="31"/>
  <c r="DF26" i="31"/>
  <c r="DF27" i="31"/>
  <c r="DF28" i="31"/>
  <c r="DF29" i="31"/>
  <c r="DF30" i="31"/>
  <c r="DF31" i="31"/>
  <c r="DF32" i="31"/>
  <c r="DF33" i="31"/>
  <c r="DF34" i="31"/>
  <c r="DF35" i="31"/>
  <c r="DF36" i="31"/>
  <c r="DF37" i="31"/>
  <c r="DF38" i="31"/>
  <c r="DF39" i="31"/>
  <c r="DF40" i="31"/>
  <c r="DF41" i="31"/>
  <c r="DF42" i="31"/>
  <c r="DF43" i="31"/>
  <c r="DF44" i="31"/>
  <c r="DF45" i="31"/>
  <c r="DF46" i="31"/>
  <c r="DF47" i="31"/>
  <c r="DF48" i="31"/>
  <c r="DF49" i="31"/>
  <c r="DF50" i="31"/>
  <c r="DF51" i="31"/>
  <c r="DF52" i="31"/>
  <c r="DF53" i="31"/>
  <c r="DF54" i="31"/>
  <c r="DF55" i="31"/>
  <c r="DF56" i="31"/>
  <c r="DF57" i="31"/>
  <c r="DF58" i="31"/>
  <c r="DF59" i="31"/>
  <c r="DF60" i="31"/>
  <c r="DF61" i="31"/>
  <c r="DF62" i="31"/>
  <c r="DF63" i="31"/>
  <c r="DF64" i="31"/>
  <c r="DF65" i="31"/>
  <c r="DF66" i="31"/>
  <c r="DF67" i="31"/>
  <c r="DF68" i="31"/>
  <c r="DF69" i="31"/>
  <c r="DF70" i="31"/>
  <c r="DF71" i="31"/>
  <c r="DF72" i="31"/>
  <c r="DF73" i="31"/>
  <c r="DF74" i="31"/>
  <c r="DF75" i="31"/>
  <c r="DF76" i="31"/>
  <c r="DF77" i="31"/>
  <c r="DF78" i="31"/>
  <c r="DF79" i="31"/>
  <c r="DF80" i="31"/>
  <c r="DF81" i="31"/>
  <c r="DF82" i="31"/>
  <c r="DF83" i="31"/>
  <c r="DF84" i="31"/>
  <c r="DF85" i="31"/>
  <c r="DF86" i="31"/>
  <c r="DF87" i="31"/>
  <c r="DF88" i="31"/>
  <c r="DF89" i="31"/>
  <c r="DF90" i="31"/>
  <c r="DF91" i="31"/>
  <c r="DF92" i="31"/>
  <c r="DF93" i="31"/>
  <c r="DF94" i="31"/>
  <c r="DF95" i="31"/>
  <c r="DF96" i="31"/>
  <c r="DH7" i="31"/>
  <c r="CH7" i="31"/>
  <c r="CF15" i="31"/>
  <c r="CF17" i="31"/>
  <c r="CF18" i="31"/>
  <c r="CF19" i="31"/>
  <c r="CF21" i="31"/>
  <c r="CF23" i="31"/>
  <c r="CF24" i="31"/>
  <c r="CF25" i="31"/>
  <c r="CF26" i="31"/>
  <c r="CF28" i="31"/>
  <c r="CF29" i="31"/>
  <c r="CF32" i="31"/>
  <c r="CF33" i="31"/>
  <c r="CF34" i="31"/>
  <c r="CF36" i="31"/>
  <c r="CF37" i="31"/>
  <c r="CF38" i="31"/>
  <c r="CF39" i="31"/>
  <c r="CF41" i="31"/>
  <c r="CF42" i="31"/>
  <c r="CF44" i="31"/>
  <c r="CF47" i="31"/>
  <c r="CF49" i="31"/>
  <c r="CF51" i="31"/>
  <c r="CF53" i="31"/>
  <c r="CF54" i="31"/>
  <c r="CF55" i="31"/>
  <c r="CF56" i="31"/>
  <c r="CF57" i="31"/>
  <c r="CF58" i="31"/>
  <c r="CF59" i="31"/>
  <c r="CF60" i="31"/>
  <c r="CF61" i="31"/>
  <c r="CF62" i="31"/>
  <c r="CF63" i="31"/>
  <c r="CF64" i="31"/>
  <c r="CF67" i="31"/>
  <c r="CF69" i="31"/>
  <c r="CF73" i="31"/>
  <c r="CF75" i="31"/>
  <c r="CF77" i="31"/>
  <c r="CF78" i="31"/>
  <c r="CF79" i="31"/>
  <c r="CF80" i="31"/>
  <c r="CF82" i="31"/>
  <c r="CF83" i="31"/>
  <c r="CF84" i="31"/>
  <c r="CF85" i="31"/>
  <c r="CF86" i="31"/>
  <c r="CF87" i="31"/>
  <c r="CF88" i="31"/>
  <c r="CF89" i="31"/>
  <c r="CF90" i="31"/>
  <c r="CF91" i="31"/>
  <c r="CF92" i="31"/>
  <c r="CF93" i="31"/>
  <c r="CF94" i="31"/>
  <c r="CF95" i="31"/>
  <c r="CF96" i="31"/>
  <c r="CF97" i="31"/>
  <c r="CF98" i="31"/>
  <c r="CF99" i="31"/>
  <c r="CF100" i="31"/>
  <c r="CF101" i="31"/>
  <c r="CF102" i="31"/>
  <c r="CF103" i="31"/>
  <c r="CF104" i="31"/>
  <c r="BF13" i="31"/>
  <c r="BF14" i="31"/>
  <c r="BF15" i="31"/>
  <c r="BF16" i="31"/>
  <c r="BF17" i="31"/>
  <c r="BF18" i="31"/>
  <c r="BF19" i="31"/>
  <c r="BF20" i="31"/>
  <c r="BF21" i="31"/>
  <c r="BF22" i="31"/>
  <c r="BF23" i="31"/>
  <c r="BF24" i="31"/>
  <c r="BF25" i="31"/>
  <c r="BF26" i="31"/>
  <c r="BF27" i="31"/>
  <c r="BF28" i="31"/>
  <c r="BF29" i="31"/>
  <c r="BF30" i="31"/>
  <c r="BF31" i="31"/>
  <c r="BF32" i="31"/>
  <c r="BF33" i="31"/>
  <c r="BF34" i="31"/>
  <c r="BF35" i="31"/>
  <c r="BF36" i="31"/>
  <c r="BF37" i="31"/>
  <c r="BF38" i="31"/>
  <c r="BF39" i="31"/>
  <c r="BF40" i="31"/>
  <c r="BF41" i="31"/>
  <c r="BF42" i="31"/>
  <c r="BF43" i="31"/>
  <c r="BF44" i="31"/>
  <c r="BF45" i="31"/>
  <c r="BF46" i="31"/>
  <c r="BF47" i="31"/>
  <c r="BF48" i="31"/>
  <c r="BF49" i="31"/>
  <c r="BF50" i="31"/>
  <c r="BF51" i="31"/>
  <c r="BF52" i="31"/>
  <c r="BF53" i="31"/>
  <c r="BF54" i="31"/>
  <c r="BF55" i="31"/>
  <c r="BF56" i="31"/>
  <c r="BF57" i="31"/>
  <c r="BF58" i="31"/>
  <c r="BF59" i="31"/>
  <c r="BF60" i="31"/>
  <c r="BF61" i="31"/>
  <c r="BF62" i="31"/>
  <c r="BF63" i="31"/>
  <c r="BF64" i="31"/>
  <c r="BF65" i="31"/>
  <c r="BF66" i="31"/>
  <c r="BF67" i="31"/>
  <c r="BF68" i="31"/>
  <c r="BF69" i="31"/>
  <c r="BF70" i="31"/>
  <c r="BF71" i="31"/>
  <c r="BF72" i="31"/>
  <c r="BF73" i="31"/>
  <c r="BF74" i="31"/>
  <c r="BF75" i="31"/>
  <c r="BF76" i="31"/>
  <c r="BF77" i="31"/>
  <c r="BF78" i="31"/>
  <c r="BF79" i="31"/>
  <c r="BF80" i="31"/>
  <c r="BF81" i="31"/>
  <c r="BF82" i="31"/>
  <c r="BF83" i="31"/>
  <c r="BH7" i="31"/>
  <c r="AF14" i="31"/>
  <c r="AF15" i="31"/>
  <c r="AF16" i="31"/>
  <c r="AF17" i="31"/>
  <c r="AF18" i="31"/>
  <c r="AF19" i="31"/>
  <c r="AF20" i="31"/>
  <c r="AF21" i="31"/>
  <c r="AF22" i="31"/>
  <c r="AF23" i="31"/>
  <c r="AF24" i="31"/>
  <c r="AF25" i="31"/>
  <c r="AF26" i="31"/>
  <c r="AF27" i="31"/>
  <c r="AF28" i="31"/>
  <c r="AF29" i="31"/>
  <c r="AF30" i="31"/>
  <c r="AF31" i="31"/>
  <c r="AF32" i="31"/>
  <c r="AF33" i="31"/>
  <c r="AF34" i="31"/>
  <c r="AF35" i="31"/>
  <c r="AF36" i="31"/>
  <c r="AF37" i="31"/>
  <c r="AF38" i="31"/>
  <c r="AF39" i="31"/>
  <c r="AF40" i="31"/>
  <c r="AF41" i="31"/>
  <c r="AF42" i="31"/>
  <c r="AF43" i="31"/>
  <c r="AF44" i="31"/>
  <c r="AF45" i="31"/>
  <c r="AF46" i="31"/>
  <c r="AF47" i="31"/>
  <c r="AF48" i="31"/>
  <c r="AF49" i="31"/>
  <c r="AF50" i="31"/>
  <c r="AF51" i="31"/>
  <c r="AF52" i="31"/>
  <c r="AF53" i="31"/>
  <c r="AF54" i="31"/>
  <c r="AF55" i="31"/>
  <c r="AF56" i="31"/>
  <c r="AF57" i="31"/>
  <c r="AF58" i="31"/>
  <c r="AF59" i="31"/>
  <c r="AF60" i="31"/>
  <c r="AF61" i="31"/>
  <c r="AF62" i="31"/>
  <c r="AF63" i="31"/>
  <c r="AF64" i="31"/>
  <c r="AF65" i="31"/>
  <c r="AF66" i="31"/>
  <c r="AF67" i="31"/>
  <c r="AF68" i="31"/>
  <c r="AF69" i="31"/>
  <c r="AF70" i="31"/>
  <c r="AF71" i="31"/>
  <c r="AF72" i="31"/>
  <c r="AF73" i="31"/>
  <c r="AF74" i="31"/>
  <c r="AF75" i="31"/>
  <c r="AF76" i="31"/>
  <c r="AF77" i="31"/>
  <c r="AF78" i="31"/>
  <c r="AF79" i="31"/>
  <c r="AF80" i="31"/>
  <c r="AH7" i="31"/>
  <c r="H7" i="31"/>
  <c r="F79" i="31"/>
  <c r="F56" i="31"/>
  <c r="F47" i="31"/>
  <c r="F33" i="31"/>
  <c r="F15" i="31"/>
  <c r="L120" i="7"/>
  <c r="H128" i="7"/>
  <c r="D121" i="7"/>
  <c r="H116" i="7"/>
  <c r="D118" i="7"/>
  <c r="D139" i="7"/>
  <c r="H149" i="7"/>
  <c r="L129" i="7"/>
  <c r="L128" i="7"/>
  <c r="H123" i="7"/>
  <c r="D124" i="7"/>
  <c r="L145" i="7"/>
  <c r="H120" i="7"/>
  <c r="D128" i="7"/>
  <c r="L114" i="7"/>
  <c r="H115" i="7"/>
  <c r="D114" i="7"/>
  <c r="L143" i="7"/>
  <c r="H150" i="7"/>
  <c r="D145" i="7"/>
  <c r="L117" i="7"/>
  <c r="H124" i="7"/>
  <c r="D119" i="7"/>
  <c r="L166" i="7"/>
  <c r="H139" i="7"/>
  <c r="D153" i="7"/>
  <c r="L167" i="7"/>
  <c r="H152" i="7"/>
  <c r="D161" i="7"/>
  <c r="L157" i="7"/>
  <c r="H148" i="7"/>
  <c r="D154" i="7"/>
  <c r="L134" i="7"/>
  <c r="H141" i="7"/>
  <c r="D142" i="7"/>
  <c r="D144" i="7"/>
  <c r="H161" i="7"/>
  <c r="L133" i="7"/>
  <c r="L132" i="7"/>
  <c r="H131" i="7"/>
  <c r="D134" i="7"/>
  <c r="L112" i="7"/>
  <c r="H111" i="7"/>
  <c r="D112" i="7"/>
  <c r="D61" i="7"/>
  <c r="D64" i="7"/>
  <c r="D59" i="7"/>
  <c r="D70" i="7"/>
  <c r="D47" i="7"/>
  <c r="D46" i="7"/>
  <c r="D34" i="7"/>
  <c r="D54" i="7"/>
  <c r="D39" i="7"/>
  <c r="D36" i="7"/>
  <c r="D35" i="7"/>
  <c r="D32" i="7"/>
  <c r="D37" i="7"/>
  <c r="D30" i="7"/>
  <c r="D26" i="7"/>
  <c r="D27" i="7"/>
  <c r="D19" i="7"/>
  <c r="D16" i="7"/>
  <c r="D14" i="7"/>
  <c r="D11" i="7"/>
  <c r="D8" i="7"/>
  <c r="D245" i="7"/>
  <c r="D235" i="7"/>
  <c r="D227" i="7"/>
  <c r="L188" i="7"/>
  <c r="L187" i="7"/>
  <c r="H200" i="7"/>
  <c r="H190" i="7"/>
  <c r="H183" i="7"/>
  <c r="D199" i="7"/>
  <c r="D196" i="7"/>
  <c r="D195" i="7"/>
  <c r="D213" i="7"/>
  <c r="D194" i="7"/>
  <c r="D183" i="7"/>
  <c r="L44" i="7"/>
  <c r="L24" i="7"/>
  <c r="L17" i="7"/>
  <c r="L25" i="7"/>
  <c r="L29" i="7"/>
  <c r="L30" i="7"/>
  <c r="L19" i="7"/>
  <c r="L15" i="7"/>
  <c r="L35" i="7"/>
  <c r="L36" i="7"/>
  <c r="L14" i="7"/>
  <c r="I464" i="4"/>
  <c r="I443" i="4"/>
  <c r="I425" i="4"/>
  <c r="I399" i="4"/>
  <c r="I376" i="4"/>
  <c r="I355" i="4"/>
  <c r="I332" i="4"/>
  <c r="I179" i="4"/>
  <c r="I159" i="4"/>
  <c r="I140" i="4"/>
  <c r="I114" i="4"/>
  <c r="I96" i="4"/>
  <c r="G190" i="5"/>
  <c r="F190" i="5"/>
  <c r="E190" i="5"/>
  <c r="C156" i="5"/>
  <c r="G527" i="2"/>
  <c r="G501" i="2"/>
  <c r="G484" i="2"/>
  <c r="G457" i="2"/>
  <c r="G439" i="2"/>
  <c r="G417" i="2"/>
  <c r="G393" i="2"/>
  <c r="G373" i="2"/>
  <c r="G349" i="2"/>
  <c r="G328" i="2"/>
  <c r="G312" i="2"/>
  <c r="G293" i="2"/>
  <c r="G269" i="2"/>
  <c r="G251" i="2"/>
  <c r="G229" i="2"/>
  <c r="G203" i="2"/>
  <c r="G192" i="2"/>
  <c r="G168" i="2"/>
  <c r="G144" i="2"/>
  <c r="G128" i="2"/>
  <c r="G104" i="2"/>
  <c r="G82" i="2"/>
  <c r="G62" i="2"/>
  <c r="G19" i="2"/>
  <c r="E15" i="10"/>
  <c r="E12" i="10"/>
  <c r="BD175" i="39"/>
  <c r="BF175" i="39" s="1"/>
  <c r="BD155" i="39"/>
  <c r="BF155" i="39" s="1"/>
  <c r="BF591" i="32"/>
  <c r="BE591" i="32"/>
  <c r="AP591" i="32"/>
  <c r="AQ591" i="32"/>
  <c r="AR591" i="32"/>
  <c r="AS591" i="32"/>
  <c r="AT591" i="32"/>
  <c r="AU591" i="32"/>
  <c r="AV591" i="32"/>
  <c r="AW591" i="32"/>
  <c r="AX591" i="32"/>
  <c r="AY591" i="32"/>
  <c r="AZ591" i="32"/>
  <c r="BA591" i="32"/>
  <c r="BB591" i="32"/>
  <c r="BC591" i="32"/>
  <c r="BD591" i="32"/>
  <c r="AO591" i="32"/>
  <c r="AM591" i="32"/>
  <c r="AL591" i="32"/>
  <c r="W591" i="32"/>
  <c r="X591" i="32"/>
  <c r="Y591" i="32"/>
  <c r="Z591" i="32"/>
  <c r="AA591" i="32"/>
  <c r="AB591" i="32"/>
  <c r="AC591" i="32"/>
  <c r="AD591" i="32"/>
  <c r="AE591" i="32"/>
  <c r="AF591" i="32"/>
  <c r="AG591" i="32"/>
  <c r="AH591" i="32"/>
  <c r="AI591" i="32"/>
  <c r="AJ591" i="32"/>
  <c r="AK591" i="32"/>
  <c r="V591" i="32"/>
  <c r="M591" i="32"/>
  <c r="L591" i="32"/>
  <c r="DI208" i="39"/>
  <c r="CY208" i="39"/>
  <c r="CO208" i="39"/>
  <c r="CE208" i="39"/>
  <c r="BU208" i="39"/>
  <c r="AO173" i="39"/>
  <c r="AQ173" i="39"/>
  <c r="AU173" i="39"/>
  <c r="AO174" i="39"/>
  <c r="AQ174" i="39"/>
  <c r="AU174" i="39"/>
  <c r="D174" i="39"/>
  <c r="F174" i="39"/>
  <c r="H174" i="39"/>
  <c r="L174" i="39"/>
  <c r="N174" i="39"/>
  <c r="P174" i="39"/>
  <c r="R174" i="39"/>
  <c r="T174" i="39"/>
  <c r="V174" i="39"/>
  <c r="X174" i="39"/>
  <c r="Z174" i="39"/>
  <c r="AB174" i="39"/>
  <c r="AD174" i="39"/>
  <c r="AF174" i="39"/>
  <c r="AH174" i="39"/>
  <c r="AJ174" i="39"/>
  <c r="AL174" i="39"/>
  <c r="D173" i="39"/>
  <c r="F173" i="39"/>
  <c r="H173" i="39"/>
  <c r="L173" i="39"/>
  <c r="N173" i="39"/>
  <c r="P173" i="39"/>
  <c r="R173" i="39"/>
  <c r="T173" i="39"/>
  <c r="V173" i="39"/>
  <c r="X173" i="39"/>
  <c r="Z173" i="39"/>
  <c r="AB173" i="39"/>
  <c r="AD173" i="39"/>
  <c r="AF173" i="39"/>
  <c r="AH173" i="39"/>
  <c r="AJ173" i="39"/>
  <c r="AL173" i="39"/>
  <c r="AO162" i="39"/>
  <c r="AQ162" i="39"/>
  <c r="AU162" i="39"/>
  <c r="D162" i="39"/>
  <c r="F162" i="39"/>
  <c r="H162" i="39"/>
  <c r="L162" i="39"/>
  <c r="N162" i="39"/>
  <c r="P162" i="39"/>
  <c r="R162" i="39"/>
  <c r="T162" i="39"/>
  <c r="V162" i="39"/>
  <c r="X162" i="39"/>
  <c r="Z162" i="39"/>
  <c r="AB162" i="39"/>
  <c r="AD162" i="39"/>
  <c r="AF162" i="39"/>
  <c r="AH162" i="39"/>
  <c r="AJ162" i="39"/>
  <c r="AL162" i="39"/>
  <c r="AZ175" i="39"/>
  <c r="AZ155" i="39"/>
  <c r="AU156" i="39"/>
  <c r="AU157" i="39"/>
  <c r="AU158" i="39"/>
  <c r="AU159" i="39"/>
  <c r="AU160" i="39"/>
  <c r="AU161" i="39"/>
  <c r="AU163" i="39"/>
  <c r="AU164" i="39"/>
  <c r="AU165" i="39"/>
  <c r="AU166" i="39"/>
  <c r="AU167" i="39"/>
  <c r="AU168" i="39"/>
  <c r="AU169" i="39"/>
  <c r="AU170" i="39"/>
  <c r="AU171" i="39"/>
  <c r="AU172" i="39"/>
  <c r="AU154" i="39"/>
  <c r="AQ155" i="39"/>
  <c r="AQ156" i="39"/>
  <c r="AQ157" i="39"/>
  <c r="AQ158" i="39"/>
  <c r="AQ159" i="39"/>
  <c r="AQ160" i="39"/>
  <c r="AQ161" i="39"/>
  <c r="AQ163" i="39"/>
  <c r="AQ164" i="39"/>
  <c r="AQ165" i="39"/>
  <c r="AQ166" i="39"/>
  <c r="AQ167" i="39"/>
  <c r="AQ168" i="39"/>
  <c r="AQ169" i="39"/>
  <c r="AQ170" i="39"/>
  <c r="AQ171" i="39"/>
  <c r="AQ172" i="39"/>
  <c r="AQ175" i="39"/>
  <c r="AQ154" i="39"/>
  <c r="AO155" i="39"/>
  <c r="AO156" i="39"/>
  <c r="AO157" i="39"/>
  <c r="AO158" i="39"/>
  <c r="AO159" i="39"/>
  <c r="AO160" i="39"/>
  <c r="AO161" i="39"/>
  <c r="AO163" i="39"/>
  <c r="AO164" i="39"/>
  <c r="AO165" i="39"/>
  <c r="AO166" i="39"/>
  <c r="AO167" i="39"/>
  <c r="AO168" i="39"/>
  <c r="AO169" i="39"/>
  <c r="AO170" i="39"/>
  <c r="AO171" i="39"/>
  <c r="AO172" i="39"/>
  <c r="AO175" i="39"/>
  <c r="AO154" i="39"/>
  <c r="AL175" i="39"/>
  <c r="AL172" i="39"/>
  <c r="AL171" i="39"/>
  <c r="AL170" i="39"/>
  <c r="AL169" i="39"/>
  <c r="AL168" i="39"/>
  <c r="AL167" i="39"/>
  <c r="AL166" i="39"/>
  <c r="AL165" i="39"/>
  <c r="AL164" i="39"/>
  <c r="AL163" i="39"/>
  <c r="AL161" i="39"/>
  <c r="AL160" i="39"/>
  <c r="AL159" i="39"/>
  <c r="AL158" i="39"/>
  <c r="AL157" i="39"/>
  <c r="AL156" i="39"/>
  <c r="AL155" i="39"/>
  <c r="AL154" i="39"/>
  <c r="BB175" i="39"/>
  <c r="BH175" i="39" s="1"/>
  <c r="BB155" i="39"/>
  <c r="AX175" i="39"/>
  <c r="AX155" i="39"/>
  <c r="L585" i="32"/>
  <c r="M585" i="32"/>
  <c r="L586" i="32"/>
  <c r="M586" i="32"/>
  <c r="L587" i="32"/>
  <c r="M587" i="32"/>
  <c r="L588" i="32"/>
  <c r="M588" i="32"/>
  <c r="M584" i="32"/>
  <c r="L584" i="32"/>
  <c r="M583" i="32"/>
  <c r="L583" i="32"/>
  <c r="M582" i="32"/>
  <c r="L582" i="32"/>
  <c r="M581" i="32"/>
  <c r="L581" i="32"/>
  <c r="M580" i="32"/>
  <c r="L580" i="32"/>
  <c r="M579" i="32"/>
  <c r="L579" i="32"/>
  <c r="M578" i="32"/>
  <c r="L578" i="32"/>
  <c r="M577" i="32"/>
  <c r="L577" i="32"/>
  <c r="M576" i="32"/>
  <c r="L576" i="32"/>
  <c r="M575" i="32"/>
  <c r="L575" i="32"/>
  <c r="M574" i="32"/>
  <c r="L574" i="32"/>
  <c r="M573" i="32"/>
  <c r="L573" i="32"/>
  <c r="M572" i="32"/>
  <c r="L572" i="32"/>
  <c r="M571" i="32"/>
  <c r="L571" i="32"/>
  <c r="M570" i="32"/>
  <c r="L570" i="32"/>
  <c r="M569" i="32"/>
  <c r="L569" i="32"/>
  <c r="M568" i="32"/>
  <c r="L568" i="32"/>
  <c r="M567" i="32"/>
  <c r="L567" i="32"/>
  <c r="IK180" i="39"/>
  <c r="IK179" i="39"/>
  <c r="IK178" i="39"/>
  <c r="IA180" i="39"/>
  <c r="IA179" i="39"/>
  <c r="IA178" i="39"/>
  <c r="HP180" i="39"/>
  <c r="HP179" i="39"/>
  <c r="HP178" i="39"/>
  <c r="HF180" i="39"/>
  <c r="HF179" i="39"/>
  <c r="HF178" i="39"/>
  <c r="GV180" i="39"/>
  <c r="GV179" i="39"/>
  <c r="GV178" i="39"/>
  <c r="GL180" i="39"/>
  <c r="GL179" i="39"/>
  <c r="GL178" i="39"/>
  <c r="GB180" i="39"/>
  <c r="GB179" i="39"/>
  <c r="GB178" i="39"/>
  <c r="FQ180" i="39"/>
  <c r="FQ179" i="39"/>
  <c r="FQ178" i="39"/>
  <c r="FG180" i="39"/>
  <c r="FG179" i="39"/>
  <c r="FG178" i="39"/>
  <c r="EW180" i="39"/>
  <c r="EW179" i="39"/>
  <c r="EW178" i="39"/>
  <c r="EM180" i="39"/>
  <c r="EM179" i="39"/>
  <c r="EM178" i="39"/>
  <c r="EC180" i="39"/>
  <c r="EC179" i="39"/>
  <c r="EC178" i="39"/>
  <c r="DS180" i="39"/>
  <c r="DS179" i="39"/>
  <c r="DS178" i="39"/>
  <c r="DI180" i="39"/>
  <c r="DI179" i="39"/>
  <c r="DI178" i="39"/>
  <c r="CY180" i="39"/>
  <c r="CY179" i="39"/>
  <c r="CY178" i="39"/>
  <c r="CO180" i="39"/>
  <c r="CO179" i="39"/>
  <c r="CO178" i="39"/>
  <c r="CE180" i="39"/>
  <c r="CE179" i="39"/>
  <c r="CE178" i="39"/>
  <c r="BU180" i="39"/>
  <c r="BU179" i="39"/>
  <c r="BU178" i="39"/>
  <c r="BH180" i="39"/>
  <c r="BH179" i="39"/>
  <c r="BH178" i="39"/>
  <c r="AU180" i="39"/>
  <c r="AU179" i="39"/>
  <c r="AU178" i="39"/>
  <c r="AI180" i="39"/>
  <c r="AI179" i="39"/>
  <c r="AI178" i="39"/>
  <c r="Y180" i="39"/>
  <c r="Y179" i="39"/>
  <c r="Y178" i="39"/>
  <c r="O180" i="39"/>
  <c r="O179" i="39"/>
  <c r="O178" i="39"/>
  <c r="E180" i="39"/>
  <c r="E179" i="39"/>
  <c r="E178" i="39"/>
  <c r="D155" i="39"/>
  <c r="F155" i="39"/>
  <c r="H155" i="39"/>
  <c r="L155" i="39"/>
  <c r="N155" i="39"/>
  <c r="P155" i="39"/>
  <c r="R155" i="39"/>
  <c r="T155" i="39"/>
  <c r="V155" i="39"/>
  <c r="X155" i="39"/>
  <c r="Z155" i="39"/>
  <c r="AB155" i="39"/>
  <c r="AD155" i="39"/>
  <c r="AF155" i="39"/>
  <c r="AH155" i="39"/>
  <c r="AJ155" i="39"/>
  <c r="D156" i="39"/>
  <c r="F156" i="39"/>
  <c r="H156" i="39"/>
  <c r="L156" i="39"/>
  <c r="N156" i="39"/>
  <c r="P156" i="39"/>
  <c r="R156" i="39"/>
  <c r="T156" i="39"/>
  <c r="V156" i="39"/>
  <c r="X156" i="39"/>
  <c r="Z156" i="39"/>
  <c r="AB156" i="39"/>
  <c r="AD156" i="39"/>
  <c r="AF156" i="39"/>
  <c r="AH156" i="39"/>
  <c r="AJ156" i="39"/>
  <c r="D157" i="39"/>
  <c r="F157" i="39"/>
  <c r="H157" i="39"/>
  <c r="L157" i="39"/>
  <c r="N157" i="39"/>
  <c r="P157" i="39"/>
  <c r="R157" i="39"/>
  <c r="T157" i="39"/>
  <c r="V157" i="39"/>
  <c r="X157" i="39"/>
  <c r="Z157" i="39"/>
  <c r="AB157" i="39"/>
  <c r="AD157" i="39"/>
  <c r="AF157" i="39"/>
  <c r="AH157" i="39"/>
  <c r="AJ157" i="39"/>
  <c r="D158" i="39"/>
  <c r="F158" i="39"/>
  <c r="H158" i="39"/>
  <c r="L158" i="39"/>
  <c r="N158" i="39"/>
  <c r="P158" i="39"/>
  <c r="R158" i="39"/>
  <c r="T158" i="39"/>
  <c r="V158" i="39"/>
  <c r="X158" i="39"/>
  <c r="Z158" i="39"/>
  <c r="AB158" i="39"/>
  <c r="AD158" i="39"/>
  <c r="AF158" i="39"/>
  <c r="AH158" i="39"/>
  <c r="AJ158" i="39"/>
  <c r="D159" i="39"/>
  <c r="F159" i="39"/>
  <c r="H159" i="39"/>
  <c r="L159" i="39"/>
  <c r="N159" i="39"/>
  <c r="P159" i="39"/>
  <c r="R159" i="39"/>
  <c r="T159" i="39"/>
  <c r="V159" i="39"/>
  <c r="X159" i="39"/>
  <c r="Z159" i="39"/>
  <c r="AB159" i="39"/>
  <c r="AD159" i="39"/>
  <c r="AF159" i="39"/>
  <c r="AH159" i="39"/>
  <c r="AJ159" i="39"/>
  <c r="D160" i="39"/>
  <c r="F160" i="39"/>
  <c r="H160" i="39"/>
  <c r="L160" i="39"/>
  <c r="N160" i="39"/>
  <c r="P160" i="39"/>
  <c r="R160" i="39"/>
  <c r="T160" i="39"/>
  <c r="V160" i="39"/>
  <c r="X160" i="39"/>
  <c r="Z160" i="39"/>
  <c r="AB160" i="39"/>
  <c r="AD160" i="39"/>
  <c r="AF160" i="39"/>
  <c r="AH160" i="39"/>
  <c r="AJ160" i="39"/>
  <c r="D161" i="39"/>
  <c r="F161" i="39"/>
  <c r="H161" i="39"/>
  <c r="L161" i="39"/>
  <c r="N161" i="39"/>
  <c r="P161" i="39"/>
  <c r="R161" i="39"/>
  <c r="T161" i="39"/>
  <c r="V161" i="39"/>
  <c r="X161" i="39"/>
  <c r="Z161" i="39"/>
  <c r="AB161" i="39"/>
  <c r="AD161" i="39"/>
  <c r="AF161" i="39"/>
  <c r="AH161" i="39"/>
  <c r="AJ161" i="39"/>
  <c r="D163" i="39"/>
  <c r="F163" i="39"/>
  <c r="H163" i="39"/>
  <c r="L163" i="39"/>
  <c r="N163" i="39"/>
  <c r="P163" i="39"/>
  <c r="R163" i="39"/>
  <c r="T163" i="39"/>
  <c r="V163" i="39"/>
  <c r="X163" i="39"/>
  <c r="Z163" i="39"/>
  <c r="AB163" i="39"/>
  <c r="AD163" i="39"/>
  <c r="AF163" i="39"/>
  <c r="AH163" i="39"/>
  <c r="AJ163" i="39"/>
  <c r="D164" i="39"/>
  <c r="F164" i="39"/>
  <c r="H164" i="39"/>
  <c r="L164" i="39"/>
  <c r="N164" i="39"/>
  <c r="P164" i="39"/>
  <c r="R164" i="39"/>
  <c r="T164" i="39"/>
  <c r="V164" i="39"/>
  <c r="X164" i="39"/>
  <c r="Z164" i="39"/>
  <c r="AB164" i="39"/>
  <c r="AD164" i="39"/>
  <c r="AF164" i="39"/>
  <c r="AH164" i="39"/>
  <c r="AJ164" i="39"/>
  <c r="D165" i="39"/>
  <c r="F165" i="39"/>
  <c r="H165" i="39"/>
  <c r="L165" i="39"/>
  <c r="N165" i="39"/>
  <c r="P165" i="39"/>
  <c r="R165" i="39"/>
  <c r="T165" i="39"/>
  <c r="V165" i="39"/>
  <c r="X165" i="39"/>
  <c r="Z165" i="39"/>
  <c r="AB165" i="39"/>
  <c r="AD165" i="39"/>
  <c r="AF165" i="39"/>
  <c r="AH165" i="39"/>
  <c r="AJ165" i="39"/>
  <c r="D166" i="39"/>
  <c r="F166" i="39"/>
  <c r="H166" i="39"/>
  <c r="L166" i="39"/>
  <c r="N166" i="39"/>
  <c r="P166" i="39"/>
  <c r="R166" i="39"/>
  <c r="T166" i="39"/>
  <c r="V166" i="39"/>
  <c r="X166" i="39"/>
  <c r="Z166" i="39"/>
  <c r="AB166" i="39"/>
  <c r="AD166" i="39"/>
  <c r="AF166" i="39"/>
  <c r="AH166" i="39"/>
  <c r="AJ166" i="39"/>
  <c r="D167" i="39"/>
  <c r="F167" i="39"/>
  <c r="H167" i="39"/>
  <c r="L167" i="39"/>
  <c r="N167" i="39"/>
  <c r="P167" i="39"/>
  <c r="R167" i="39"/>
  <c r="T167" i="39"/>
  <c r="V167" i="39"/>
  <c r="X167" i="39"/>
  <c r="Z167" i="39"/>
  <c r="AB167" i="39"/>
  <c r="AD167" i="39"/>
  <c r="AF167" i="39"/>
  <c r="AH167" i="39"/>
  <c r="AJ167" i="39"/>
  <c r="D168" i="39"/>
  <c r="F168" i="39"/>
  <c r="H168" i="39"/>
  <c r="L168" i="39"/>
  <c r="N168" i="39"/>
  <c r="P168" i="39"/>
  <c r="R168" i="39"/>
  <c r="T168" i="39"/>
  <c r="V168" i="39"/>
  <c r="X168" i="39"/>
  <c r="Z168" i="39"/>
  <c r="AB168" i="39"/>
  <c r="AD168" i="39"/>
  <c r="AF168" i="39"/>
  <c r="AH168" i="39"/>
  <c r="AJ168" i="39"/>
  <c r="D169" i="39"/>
  <c r="F169" i="39"/>
  <c r="H169" i="39"/>
  <c r="L169" i="39"/>
  <c r="N169" i="39"/>
  <c r="P169" i="39"/>
  <c r="R169" i="39"/>
  <c r="T169" i="39"/>
  <c r="V169" i="39"/>
  <c r="X169" i="39"/>
  <c r="Z169" i="39"/>
  <c r="AB169" i="39"/>
  <c r="AD169" i="39"/>
  <c r="AF169" i="39"/>
  <c r="AH169" i="39"/>
  <c r="AJ169" i="39"/>
  <c r="D170" i="39"/>
  <c r="F170" i="39"/>
  <c r="H170" i="39"/>
  <c r="L170" i="39"/>
  <c r="N170" i="39"/>
  <c r="P170" i="39"/>
  <c r="R170" i="39"/>
  <c r="T170" i="39"/>
  <c r="V170" i="39"/>
  <c r="X170" i="39"/>
  <c r="Z170" i="39"/>
  <c r="AB170" i="39"/>
  <c r="AD170" i="39"/>
  <c r="AF170" i="39"/>
  <c r="AH170" i="39"/>
  <c r="AJ170" i="39"/>
  <c r="D171" i="39"/>
  <c r="F171" i="39"/>
  <c r="H171" i="39"/>
  <c r="L171" i="39"/>
  <c r="N171" i="39"/>
  <c r="P171" i="39"/>
  <c r="R171" i="39"/>
  <c r="T171" i="39"/>
  <c r="V171" i="39"/>
  <c r="X171" i="39"/>
  <c r="Z171" i="39"/>
  <c r="AB171" i="39"/>
  <c r="AD171" i="39"/>
  <c r="AF171" i="39"/>
  <c r="AH171" i="39"/>
  <c r="AJ171" i="39"/>
  <c r="D172" i="39"/>
  <c r="F172" i="39"/>
  <c r="H172" i="39"/>
  <c r="L172" i="39"/>
  <c r="N172" i="39"/>
  <c r="P172" i="39"/>
  <c r="R172" i="39"/>
  <c r="T172" i="39"/>
  <c r="V172" i="39"/>
  <c r="X172" i="39"/>
  <c r="Z172" i="39"/>
  <c r="AB172" i="39"/>
  <c r="AD172" i="39"/>
  <c r="AF172" i="39"/>
  <c r="AH172" i="39"/>
  <c r="AJ172" i="39"/>
  <c r="D175" i="39"/>
  <c r="F175" i="39"/>
  <c r="H175" i="39"/>
  <c r="L175" i="39"/>
  <c r="N175" i="39"/>
  <c r="P175" i="39"/>
  <c r="R175" i="39"/>
  <c r="T175" i="39"/>
  <c r="V175" i="39"/>
  <c r="X175" i="39"/>
  <c r="Z175" i="39"/>
  <c r="AB175" i="39"/>
  <c r="AD175" i="39"/>
  <c r="AF175" i="39"/>
  <c r="AH175" i="39"/>
  <c r="AJ175" i="39"/>
  <c r="F154" i="39"/>
  <c r="H154" i="39"/>
  <c r="L154" i="39"/>
  <c r="N154" i="39"/>
  <c r="P154" i="39"/>
  <c r="R154" i="39"/>
  <c r="T154" i="39"/>
  <c r="V154" i="39"/>
  <c r="X154" i="39"/>
  <c r="Z154" i="39"/>
  <c r="AB154" i="39"/>
  <c r="AD154" i="39"/>
  <c r="AF154" i="39"/>
  <c r="AH154" i="39"/>
  <c r="AJ154" i="39"/>
  <c r="D154" i="39"/>
  <c r="BR104" i="39"/>
  <c r="BE104" i="39"/>
  <c r="AR104" i="39"/>
  <c r="AF104" i="39"/>
  <c r="BR103" i="39"/>
  <c r="BE103" i="39"/>
  <c r="AR103" i="39"/>
  <c r="AF103" i="39"/>
  <c r="BR102" i="39"/>
  <c r="BE102" i="39"/>
  <c r="AR102" i="39"/>
  <c r="AF102" i="39"/>
  <c r="JL77" i="39"/>
  <c r="JB77" i="39"/>
  <c r="IR77" i="39"/>
  <c r="IH77" i="39"/>
  <c r="HX77" i="39"/>
  <c r="HM77" i="39"/>
  <c r="HC77" i="39"/>
  <c r="GS77" i="39"/>
  <c r="GI77" i="39"/>
  <c r="FY77" i="39"/>
  <c r="FN77" i="39"/>
  <c r="FD77" i="39"/>
  <c r="ET77" i="39"/>
  <c r="EJ77" i="39"/>
  <c r="DZ77" i="39"/>
  <c r="DP77" i="39"/>
  <c r="DF77" i="39"/>
  <c r="CV77" i="39"/>
  <c r="CL77" i="39"/>
  <c r="CB77" i="39"/>
  <c r="BR77" i="39"/>
  <c r="BE77" i="39"/>
  <c r="AR77" i="39"/>
  <c r="AF77" i="39"/>
  <c r="JL76" i="39"/>
  <c r="JB76" i="39"/>
  <c r="IR76" i="39"/>
  <c r="IH76" i="39"/>
  <c r="HX76" i="39"/>
  <c r="HM76" i="39"/>
  <c r="HC76" i="39"/>
  <c r="GS76" i="39"/>
  <c r="GI76" i="39"/>
  <c r="FY76" i="39"/>
  <c r="FN76" i="39"/>
  <c r="FD76" i="39"/>
  <c r="ET76" i="39"/>
  <c r="EJ76" i="39"/>
  <c r="DZ76" i="39"/>
  <c r="DP76" i="39"/>
  <c r="DF76" i="39"/>
  <c r="CV76" i="39"/>
  <c r="CL76" i="39"/>
  <c r="CB76" i="39"/>
  <c r="BR76" i="39"/>
  <c r="BE76" i="39"/>
  <c r="AR76" i="39"/>
  <c r="AF76" i="39"/>
  <c r="JL75" i="39"/>
  <c r="JB75" i="39"/>
  <c r="IR75" i="39"/>
  <c r="IH75" i="39"/>
  <c r="HX75" i="39"/>
  <c r="HM75" i="39"/>
  <c r="HC75" i="39"/>
  <c r="GS75" i="39"/>
  <c r="GI75" i="39"/>
  <c r="FY75" i="39"/>
  <c r="FN75" i="39"/>
  <c r="FD75" i="39"/>
  <c r="ET75" i="39"/>
  <c r="EJ75" i="39"/>
  <c r="DZ75" i="39"/>
  <c r="DP75" i="39"/>
  <c r="DF75" i="39"/>
  <c r="CV75" i="39"/>
  <c r="CL75" i="39"/>
  <c r="CB75" i="39"/>
  <c r="BR75" i="39"/>
  <c r="BE75" i="39"/>
  <c r="AR75" i="39"/>
  <c r="AF75" i="39"/>
  <c r="G55" i="39"/>
  <c r="F55" i="39"/>
  <c r="E55" i="39"/>
  <c r="D55" i="39"/>
  <c r="G50" i="39"/>
  <c r="F50" i="39"/>
  <c r="E50" i="39"/>
  <c r="D50" i="39"/>
  <c r="G49" i="39"/>
  <c r="F49" i="39"/>
  <c r="E49" i="39"/>
  <c r="D49" i="39"/>
  <c r="T44" i="39"/>
  <c r="S44" i="39"/>
  <c r="R44" i="39"/>
  <c r="Q44" i="39"/>
  <c r="P44" i="39"/>
  <c r="O44" i="39"/>
  <c r="N44" i="39"/>
  <c r="M44" i="39"/>
  <c r="L44" i="39"/>
  <c r="K44" i="39"/>
  <c r="J44" i="39"/>
  <c r="I44" i="39"/>
  <c r="H44" i="39"/>
  <c r="F44" i="39"/>
  <c r="E44" i="39"/>
  <c r="D44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F43" i="39"/>
  <c r="E43" i="39"/>
  <c r="D43" i="39"/>
  <c r="T42" i="39"/>
  <c r="S42" i="39"/>
  <c r="R42" i="39"/>
  <c r="Q42" i="39"/>
  <c r="P42" i="39"/>
  <c r="O42" i="39"/>
  <c r="N42" i="39"/>
  <c r="M42" i="39"/>
  <c r="L42" i="39"/>
  <c r="K42" i="39"/>
  <c r="J42" i="39"/>
  <c r="I42" i="39"/>
  <c r="H42" i="39"/>
  <c r="F42" i="39"/>
  <c r="E42" i="39"/>
  <c r="D42" i="39"/>
  <c r="T41" i="39"/>
  <c r="S41" i="39"/>
  <c r="R41" i="39"/>
  <c r="Q41" i="39"/>
  <c r="P41" i="39"/>
  <c r="O41" i="39"/>
  <c r="N41" i="39"/>
  <c r="M41" i="39"/>
  <c r="L41" i="39"/>
  <c r="K41" i="39"/>
  <c r="J41" i="39"/>
  <c r="I41" i="39"/>
  <c r="H41" i="39"/>
  <c r="F41" i="39"/>
  <c r="E41" i="39"/>
  <c r="D41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F40" i="39"/>
  <c r="E40" i="39"/>
  <c r="D40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F39" i="39"/>
  <c r="E39" i="39"/>
  <c r="D39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F38" i="39"/>
  <c r="E38" i="39"/>
  <c r="D38" i="39"/>
  <c r="T37" i="39"/>
  <c r="S37" i="39"/>
  <c r="R37" i="39"/>
  <c r="Q37" i="39"/>
  <c r="P37" i="39"/>
  <c r="O37" i="39"/>
  <c r="N37" i="39"/>
  <c r="M37" i="39"/>
  <c r="L37" i="39"/>
  <c r="K37" i="39"/>
  <c r="J37" i="39"/>
  <c r="I37" i="39"/>
  <c r="H37" i="39"/>
  <c r="F37" i="39"/>
  <c r="E37" i="39"/>
  <c r="D37" i="39"/>
  <c r="T36" i="39"/>
  <c r="S36" i="39"/>
  <c r="R36" i="39"/>
  <c r="Q36" i="39"/>
  <c r="P36" i="39"/>
  <c r="O36" i="39"/>
  <c r="N36" i="39"/>
  <c r="M36" i="39"/>
  <c r="L36" i="39"/>
  <c r="K36" i="39"/>
  <c r="J36" i="39"/>
  <c r="I36" i="39"/>
  <c r="H36" i="39"/>
  <c r="F36" i="39"/>
  <c r="E36" i="39"/>
  <c r="D36" i="39"/>
  <c r="T35" i="39"/>
  <c r="S35" i="39"/>
  <c r="R35" i="39"/>
  <c r="Q35" i="39"/>
  <c r="P35" i="39"/>
  <c r="O35" i="39"/>
  <c r="N35" i="39"/>
  <c r="M35" i="39"/>
  <c r="L35" i="39"/>
  <c r="K35" i="39"/>
  <c r="J35" i="39"/>
  <c r="I35" i="39"/>
  <c r="H35" i="39"/>
  <c r="F35" i="39"/>
  <c r="E35" i="39"/>
  <c r="D35" i="39"/>
  <c r="T34" i="39"/>
  <c r="S34" i="39"/>
  <c r="R34" i="39"/>
  <c r="Q34" i="39"/>
  <c r="P34" i="39"/>
  <c r="O34" i="39"/>
  <c r="N34" i="39"/>
  <c r="M34" i="39"/>
  <c r="L34" i="39"/>
  <c r="K34" i="39"/>
  <c r="J34" i="39"/>
  <c r="I34" i="39"/>
  <c r="H34" i="39"/>
  <c r="F34" i="39"/>
  <c r="E34" i="39"/>
  <c r="D34" i="39"/>
  <c r="T33" i="39"/>
  <c r="S33" i="39"/>
  <c r="R33" i="39"/>
  <c r="Q33" i="39"/>
  <c r="P33" i="39"/>
  <c r="O33" i="39"/>
  <c r="N33" i="39"/>
  <c r="M33" i="39"/>
  <c r="L33" i="39"/>
  <c r="K33" i="39"/>
  <c r="J33" i="39"/>
  <c r="I33" i="39"/>
  <c r="H33" i="39"/>
  <c r="F33" i="39"/>
  <c r="E33" i="39"/>
  <c r="D33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F32" i="39"/>
  <c r="E32" i="39"/>
  <c r="D32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F31" i="39"/>
  <c r="E31" i="39"/>
  <c r="D31" i="39"/>
  <c r="T30" i="39"/>
  <c r="S30" i="39"/>
  <c r="R30" i="39"/>
  <c r="Q30" i="39"/>
  <c r="P30" i="39"/>
  <c r="O30" i="39"/>
  <c r="N30" i="39"/>
  <c r="M30" i="39"/>
  <c r="L30" i="39"/>
  <c r="K30" i="39"/>
  <c r="J30" i="39"/>
  <c r="I30" i="39"/>
  <c r="H30" i="39"/>
  <c r="F30" i="39"/>
  <c r="E30" i="39"/>
  <c r="D30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F29" i="39"/>
  <c r="E29" i="39"/>
  <c r="D29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F28" i="39"/>
  <c r="E28" i="39"/>
  <c r="D28" i="39"/>
  <c r="T27" i="39"/>
  <c r="S27" i="39"/>
  <c r="R27" i="39"/>
  <c r="Q27" i="39"/>
  <c r="P27" i="39"/>
  <c r="O27" i="39"/>
  <c r="N27" i="39"/>
  <c r="M27" i="39"/>
  <c r="L27" i="39"/>
  <c r="K27" i="39"/>
  <c r="J27" i="39"/>
  <c r="I27" i="39"/>
  <c r="H27" i="39"/>
  <c r="F27" i="39"/>
  <c r="E27" i="39"/>
  <c r="D27" i="39"/>
  <c r="T23" i="39"/>
  <c r="S23" i="39"/>
  <c r="R23" i="39"/>
  <c r="Q23" i="39"/>
  <c r="P23" i="39"/>
  <c r="O23" i="39"/>
  <c r="N23" i="39"/>
  <c r="M23" i="39"/>
  <c r="L23" i="39"/>
  <c r="K23" i="39"/>
  <c r="J23" i="39"/>
  <c r="I23" i="39"/>
  <c r="H23" i="39"/>
  <c r="F23" i="39"/>
  <c r="E23" i="39"/>
  <c r="T22" i="39"/>
  <c r="S22" i="39"/>
  <c r="R22" i="39"/>
  <c r="Q22" i="39"/>
  <c r="P22" i="39"/>
  <c r="O22" i="39"/>
  <c r="N22" i="39"/>
  <c r="M22" i="39"/>
  <c r="L22" i="39"/>
  <c r="K22" i="39"/>
  <c r="J22" i="39"/>
  <c r="I22" i="39"/>
  <c r="H22" i="39"/>
  <c r="F22" i="39"/>
  <c r="E22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F21" i="39"/>
  <c r="E21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F20" i="39"/>
  <c r="E20" i="39"/>
  <c r="T19" i="39"/>
  <c r="S19" i="39"/>
  <c r="R19" i="39"/>
  <c r="Q19" i="39"/>
  <c r="P19" i="39"/>
  <c r="O19" i="39"/>
  <c r="N19" i="39"/>
  <c r="M19" i="39"/>
  <c r="L19" i="39"/>
  <c r="K19" i="39"/>
  <c r="J19" i="39"/>
  <c r="I19" i="39"/>
  <c r="H19" i="39"/>
  <c r="F19" i="39"/>
  <c r="E19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F18" i="39"/>
  <c r="E18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F17" i="39"/>
  <c r="E17" i="39"/>
  <c r="T16" i="39"/>
  <c r="S16" i="39"/>
  <c r="R16" i="39"/>
  <c r="Q16" i="39"/>
  <c r="P16" i="39"/>
  <c r="O16" i="39"/>
  <c r="N16" i="39"/>
  <c r="M16" i="39"/>
  <c r="L16" i="39"/>
  <c r="K16" i="39"/>
  <c r="J16" i="39"/>
  <c r="I16" i="39"/>
  <c r="H16" i="39"/>
  <c r="F16" i="39"/>
  <c r="E16" i="39"/>
  <c r="T15" i="39"/>
  <c r="S15" i="39"/>
  <c r="R15" i="39"/>
  <c r="Q15" i="39"/>
  <c r="P15" i="39"/>
  <c r="O15" i="39"/>
  <c r="N15" i="39"/>
  <c r="M15" i="39"/>
  <c r="L15" i="39"/>
  <c r="K15" i="39"/>
  <c r="J15" i="39"/>
  <c r="I15" i="39"/>
  <c r="H15" i="39"/>
  <c r="F15" i="39"/>
  <c r="E15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F14" i="39"/>
  <c r="E14" i="39"/>
  <c r="T13" i="39"/>
  <c r="S13" i="39"/>
  <c r="R13" i="39"/>
  <c r="Q13" i="39"/>
  <c r="P13" i="39"/>
  <c r="O13" i="39"/>
  <c r="N13" i="39"/>
  <c r="M13" i="39"/>
  <c r="L13" i="39"/>
  <c r="K13" i="39"/>
  <c r="J13" i="39"/>
  <c r="I13" i="39"/>
  <c r="H13" i="39"/>
  <c r="F13" i="39"/>
  <c r="E13" i="39"/>
  <c r="T12" i="39"/>
  <c r="S12" i="39"/>
  <c r="R12" i="39"/>
  <c r="Q12" i="39"/>
  <c r="P12" i="39"/>
  <c r="O12" i="39"/>
  <c r="N12" i="39"/>
  <c r="M12" i="39"/>
  <c r="L12" i="39"/>
  <c r="K12" i="39"/>
  <c r="J12" i="39"/>
  <c r="I12" i="39"/>
  <c r="H12" i="39"/>
  <c r="F12" i="39"/>
  <c r="E12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H11" i="39"/>
  <c r="F11" i="39"/>
  <c r="E11" i="39"/>
  <c r="T10" i="39"/>
  <c r="S10" i="39"/>
  <c r="R10" i="39"/>
  <c r="Q10" i="39"/>
  <c r="P10" i="39"/>
  <c r="O10" i="39"/>
  <c r="N10" i="39"/>
  <c r="M10" i="39"/>
  <c r="L10" i="39"/>
  <c r="K10" i="39"/>
  <c r="J10" i="39"/>
  <c r="I10" i="39"/>
  <c r="H10" i="39"/>
  <c r="F10" i="39"/>
  <c r="E10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F9" i="39"/>
  <c r="E9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F8" i="39"/>
  <c r="E8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F7" i="39"/>
  <c r="E7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F6" i="39"/>
  <c r="E6" i="39"/>
  <c r="BQ569" i="32"/>
  <c r="BY569" i="32" s="1"/>
  <c r="BQ570" i="32"/>
  <c r="BY570" i="32" s="1"/>
  <c r="BQ571" i="32"/>
  <c r="BY571" i="32" s="1"/>
  <c r="BQ572" i="32"/>
  <c r="BY572" i="32" s="1"/>
  <c r="BQ573" i="32"/>
  <c r="BY573" i="32" s="1"/>
  <c r="BQ574" i="32"/>
  <c r="BY574" i="32" s="1"/>
  <c r="BQ575" i="32"/>
  <c r="BY575" i="32" s="1"/>
  <c r="BQ576" i="32"/>
  <c r="BY576" i="32" s="1"/>
  <c r="BQ577" i="32"/>
  <c r="BY577" i="32" s="1"/>
  <c r="BQ578" i="32"/>
  <c r="BY578" i="32" s="1"/>
  <c r="BQ579" i="32"/>
  <c r="BY579" i="32" s="1"/>
  <c r="BQ568" i="32"/>
  <c r="BY568" i="32" s="1"/>
  <c r="BW579" i="32"/>
  <c r="BW578" i="32"/>
  <c r="BW577" i="32"/>
  <c r="BW576" i="32"/>
  <c r="BW575" i="32"/>
  <c r="BW574" i="32"/>
  <c r="BW573" i="32"/>
  <c r="BW572" i="32"/>
  <c r="BW571" i="32"/>
  <c r="BW570" i="32"/>
  <c r="BW569" i="32"/>
  <c r="BW568" i="32"/>
  <c r="BY534" i="32"/>
  <c r="BY535" i="32"/>
  <c r="BY536" i="32"/>
  <c r="BY537" i="32"/>
  <c r="BY538" i="32"/>
  <c r="BY539" i="32"/>
  <c r="BY540" i="32"/>
  <c r="BY541" i="32"/>
  <c r="BY542" i="32"/>
  <c r="BY543" i="32"/>
  <c r="BY533" i="32"/>
  <c r="BW534" i="32"/>
  <c r="BW535" i="32"/>
  <c r="BW536" i="32"/>
  <c r="BW537" i="32"/>
  <c r="BW538" i="32"/>
  <c r="BW539" i="32"/>
  <c r="BW540" i="32"/>
  <c r="BW541" i="32"/>
  <c r="BW542" i="32"/>
  <c r="BW543" i="32"/>
  <c r="BW533" i="32"/>
  <c r="M558" i="32"/>
  <c r="L558" i="32"/>
  <c r="M525" i="32"/>
  <c r="L525" i="32"/>
  <c r="M491" i="32"/>
  <c r="L491" i="32"/>
  <c r="M490" i="32"/>
  <c r="L490" i="32"/>
  <c r="M462" i="32"/>
  <c r="L462" i="32"/>
  <c r="L387" i="32"/>
  <c r="M387" i="32"/>
  <c r="L388" i="32"/>
  <c r="M388" i="32"/>
  <c r="L389" i="32"/>
  <c r="M389" i="32"/>
  <c r="L390" i="32"/>
  <c r="M390" i="32"/>
  <c r="L391" i="32"/>
  <c r="M391" i="32"/>
  <c r="L392" i="32"/>
  <c r="M392" i="32"/>
  <c r="L393" i="32"/>
  <c r="M393" i="32"/>
  <c r="L394" i="32"/>
  <c r="M394" i="32"/>
  <c r="M386" i="32"/>
  <c r="L386" i="32"/>
  <c r="M385" i="32"/>
  <c r="L385" i="32"/>
  <c r="M384" i="32"/>
  <c r="L384" i="32"/>
  <c r="M383" i="32"/>
  <c r="L383" i="32"/>
  <c r="M382" i="32"/>
  <c r="L382" i="32"/>
  <c r="M381" i="32"/>
  <c r="L381" i="32"/>
  <c r="M380" i="32"/>
  <c r="L380" i="32"/>
  <c r="M379" i="32"/>
  <c r="L379" i="32"/>
  <c r="M378" i="32"/>
  <c r="L378" i="32"/>
  <c r="M377" i="32"/>
  <c r="L377" i="32"/>
  <c r="M376" i="32"/>
  <c r="L376" i="32"/>
  <c r="M375" i="32"/>
  <c r="L375" i="32"/>
  <c r="M374" i="32"/>
  <c r="L374" i="32"/>
  <c r="M373" i="32"/>
  <c r="L373" i="32"/>
  <c r="M372" i="32"/>
  <c r="L372" i="32"/>
  <c r="M371" i="32"/>
  <c r="L371" i="32"/>
  <c r="P431" i="32"/>
  <c r="P430" i="32"/>
  <c r="Q430" i="32"/>
  <c r="O431" i="32"/>
  <c r="O430" i="32"/>
  <c r="L431" i="32"/>
  <c r="M431" i="32"/>
  <c r="M430" i="32"/>
  <c r="L430" i="32"/>
  <c r="F591" i="32"/>
  <c r="F560" i="32"/>
  <c r="F525" i="32"/>
  <c r="F492" i="32"/>
  <c r="F462" i="32"/>
  <c r="F432" i="32"/>
  <c r="F9" i="40" l="1"/>
  <c r="G8" i="40"/>
  <c r="G9" i="40"/>
  <c r="F8" i="40"/>
  <c r="H190" i="5"/>
  <c r="I190" i="5" s="1"/>
  <c r="BF152" i="39"/>
  <c r="BH155" i="39"/>
  <c r="BH152" i="39" s="1"/>
  <c r="O25" i="39"/>
  <c r="BD152" i="39"/>
  <c r="AS171" i="39"/>
  <c r="AS173" i="39"/>
  <c r="AZ152" i="39"/>
  <c r="J174" i="39"/>
  <c r="J162" i="39"/>
  <c r="AS162" i="39"/>
  <c r="J173" i="39"/>
  <c r="AS174" i="39"/>
  <c r="AO152" i="39"/>
  <c r="AU152" i="39"/>
  <c r="AQ152" i="39"/>
  <c r="AS163" i="39"/>
  <c r="AS161" i="39"/>
  <c r="G18" i="39"/>
  <c r="AS168" i="39"/>
  <c r="AS160" i="39"/>
  <c r="AS169" i="39"/>
  <c r="AS154" i="39"/>
  <c r="AS167" i="39"/>
  <c r="AS170" i="39"/>
  <c r="AS175" i="39"/>
  <c r="AS157" i="39"/>
  <c r="AS172" i="39"/>
  <c r="AS155" i="39"/>
  <c r="AS166" i="39"/>
  <c r="AS158" i="39"/>
  <c r="AS165" i="39"/>
  <c r="AS164" i="39"/>
  <c r="AS156" i="39"/>
  <c r="AS159" i="39"/>
  <c r="J171" i="39"/>
  <c r="J168" i="39"/>
  <c r="J157" i="39"/>
  <c r="G14" i="39"/>
  <c r="G22" i="39"/>
  <c r="J172" i="39"/>
  <c r="J164" i="39"/>
  <c r="J159" i="39"/>
  <c r="J156" i="39"/>
  <c r="J161" i="39"/>
  <c r="J158" i="39"/>
  <c r="J175" i="39"/>
  <c r="J160" i="39"/>
  <c r="J169" i="39"/>
  <c r="J163" i="39"/>
  <c r="J166" i="39"/>
  <c r="J170" i="39"/>
  <c r="J167" i="39"/>
  <c r="J165" i="39"/>
  <c r="J154" i="39"/>
  <c r="J155" i="39"/>
  <c r="BB152" i="39"/>
  <c r="AL152" i="39"/>
  <c r="AX152" i="39"/>
  <c r="AB152" i="39"/>
  <c r="P152" i="39"/>
  <c r="AF152" i="39"/>
  <c r="V152" i="39"/>
  <c r="F152" i="39"/>
  <c r="Z152" i="39"/>
  <c r="L152" i="39"/>
  <c r="X152" i="39"/>
  <c r="H152" i="39"/>
  <c r="AJ152" i="39"/>
  <c r="T152" i="39"/>
  <c r="AH152" i="39"/>
  <c r="R152" i="39"/>
  <c r="AD152" i="39"/>
  <c r="N152" i="39"/>
  <c r="E72" i="39"/>
  <c r="N4" i="39"/>
  <c r="G28" i="39"/>
  <c r="G30" i="39"/>
  <c r="G31" i="39"/>
  <c r="G33" i="39"/>
  <c r="G34" i="39"/>
  <c r="G35" i="39"/>
  <c r="G36" i="39"/>
  <c r="G38" i="39"/>
  <c r="G39" i="39"/>
  <c r="G41" i="39"/>
  <c r="G42" i="39"/>
  <c r="G43" i="39"/>
  <c r="G44" i="39"/>
  <c r="G12" i="39"/>
  <c r="G20" i="39"/>
  <c r="G27" i="39"/>
  <c r="O4" i="39"/>
  <c r="P4" i="39"/>
  <c r="K4" i="39"/>
  <c r="H4" i="39"/>
  <c r="J4" i="39"/>
  <c r="I4" i="39"/>
  <c r="Q4" i="39"/>
  <c r="R4" i="39"/>
  <c r="S4" i="39"/>
  <c r="G10" i="39"/>
  <c r="G9" i="39"/>
  <c r="G17" i="39"/>
  <c r="L25" i="39"/>
  <c r="T25" i="39"/>
  <c r="G11" i="39"/>
  <c r="G19" i="39"/>
  <c r="F25" i="39"/>
  <c r="N25" i="39"/>
  <c r="M25" i="39"/>
  <c r="E66" i="39"/>
  <c r="H25" i="39"/>
  <c r="P25" i="39"/>
  <c r="G29" i="39"/>
  <c r="G32" i="39"/>
  <c r="L4" i="39"/>
  <c r="T4" i="39"/>
  <c r="G8" i="39"/>
  <c r="G16" i="39"/>
  <c r="I25" i="39"/>
  <c r="Q25" i="39"/>
  <c r="E67" i="39"/>
  <c r="E68" i="39"/>
  <c r="E70" i="39"/>
  <c r="M4" i="39"/>
  <c r="G7" i="39"/>
  <c r="G15" i="39"/>
  <c r="G23" i="39"/>
  <c r="K25" i="39"/>
  <c r="S25" i="39"/>
  <c r="J25" i="39"/>
  <c r="R25" i="39"/>
  <c r="G37" i="39"/>
  <c r="E71" i="39"/>
  <c r="E4" i="39"/>
  <c r="G40" i="39"/>
  <c r="F4" i="39"/>
  <c r="G13" i="39"/>
  <c r="G21" i="39"/>
  <c r="E25" i="39"/>
  <c r="G6" i="39"/>
  <c r="L492" i="32"/>
  <c r="L432" i="32"/>
  <c r="M432" i="32"/>
  <c r="M492" i="32"/>
  <c r="P432" i="32"/>
  <c r="O432" i="32"/>
  <c r="H374" i="32"/>
  <c r="H378" i="32"/>
  <c r="H382" i="32"/>
  <c r="H386" i="32"/>
  <c r="H387" i="32"/>
  <c r="H372" i="32"/>
  <c r="H384" i="32"/>
  <c r="H393" i="32"/>
  <c r="H375" i="32"/>
  <c r="H389" i="32"/>
  <c r="L398" i="32"/>
  <c r="H394" i="32"/>
  <c r="H390" i="32"/>
  <c r="H377" i="32"/>
  <c r="M398" i="32"/>
  <c r="H392" i="32"/>
  <c r="Q398" i="32" s="1"/>
  <c r="H391" i="32"/>
  <c r="H388" i="32"/>
  <c r="H385" i="32"/>
  <c r="H383" i="32"/>
  <c r="H381" i="32"/>
  <c r="H380" i="32"/>
  <c r="H379" i="32"/>
  <c r="H376" i="32"/>
  <c r="Q397" i="32" s="1"/>
  <c r="Q399" i="32" s="1"/>
  <c r="H373" i="32"/>
  <c r="M397" i="32"/>
  <c r="H371" i="32"/>
  <c r="L397" i="32"/>
  <c r="L399" i="32" s="1"/>
  <c r="F399" i="32"/>
  <c r="L359" i="32"/>
  <c r="L363" i="32" s="1"/>
  <c r="M359" i="32"/>
  <c r="M363" i="32" s="1"/>
  <c r="M358" i="32"/>
  <c r="L358" i="32"/>
  <c r="M357" i="32"/>
  <c r="L357" i="32"/>
  <c r="M356" i="32"/>
  <c r="L356" i="32"/>
  <c r="M355" i="32"/>
  <c r="L355" i="32"/>
  <c r="M354" i="32"/>
  <c r="L354" i="32"/>
  <c r="M353" i="32"/>
  <c r="L353" i="32"/>
  <c r="M352" i="32"/>
  <c r="L352" i="32"/>
  <c r="M351" i="32"/>
  <c r="L351" i="32"/>
  <c r="M350" i="32"/>
  <c r="L350" i="32"/>
  <c r="M349" i="32"/>
  <c r="L349" i="32"/>
  <c r="M348" i="32"/>
  <c r="L348" i="32"/>
  <c r="M347" i="32"/>
  <c r="L347" i="32"/>
  <c r="M346" i="32"/>
  <c r="L346" i="32"/>
  <c r="M345" i="32"/>
  <c r="L345" i="32"/>
  <c r="M344" i="32"/>
  <c r="L344" i="32"/>
  <c r="M343" i="32"/>
  <c r="L343" i="32"/>
  <c r="F336" i="32"/>
  <c r="AS152" i="39" l="1"/>
  <c r="J152" i="39"/>
  <c r="G25" i="39"/>
  <c r="G4" i="39"/>
  <c r="M399" i="32"/>
  <c r="H348" i="32"/>
  <c r="P398" i="32"/>
  <c r="P397" i="32"/>
  <c r="P399" i="32" s="1"/>
  <c r="L362" i="32"/>
  <c r="L364" i="32" s="1"/>
  <c r="M362" i="32"/>
  <c r="M364" i="32" s="1"/>
  <c r="O397" i="32"/>
  <c r="O398" i="32"/>
  <c r="H345" i="32"/>
  <c r="H349" i="32"/>
  <c r="H353" i="32"/>
  <c r="H357" i="32"/>
  <c r="H344" i="32"/>
  <c r="H352" i="32"/>
  <c r="H356" i="32"/>
  <c r="H346" i="32"/>
  <c r="H350" i="32"/>
  <c r="H354" i="32"/>
  <c r="H358" i="32"/>
  <c r="H343" i="32"/>
  <c r="H347" i="32"/>
  <c r="H351" i="32"/>
  <c r="H355" i="32"/>
  <c r="H359" i="32"/>
  <c r="L277" i="32"/>
  <c r="L281" i="32" s="1"/>
  <c r="M277" i="32"/>
  <c r="M281" i="32" s="1"/>
  <c r="F311" i="32"/>
  <c r="F250" i="32"/>
  <c r="L206" i="32"/>
  <c r="M206" i="32"/>
  <c r="BH206" i="32"/>
  <c r="BI206" i="32"/>
  <c r="BJ206" i="32"/>
  <c r="L207" i="32"/>
  <c r="M207" i="32"/>
  <c r="BH207" i="32"/>
  <c r="BI207" i="32"/>
  <c r="BJ207" i="32"/>
  <c r="L208" i="32"/>
  <c r="M208" i="32"/>
  <c r="BH208" i="32"/>
  <c r="BI208" i="32"/>
  <c r="BJ208" i="32"/>
  <c r="L209" i="32"/>
  <c r="M209" i="32"/>
  <c r="BH209" i="32"/>
  <c r="BI209" i="32"/>
  <c r="BJ209" i="32"/>
  <c r="L210" i="32"/>
  <c r="M210" i="32"/>
  <c r="BH210" i="32"/>
  <c r="BI210" i="32"/>
  <c r="BJ210" i="32"/>
  <c r="L211" i="32"/>
  <c r="M211" i="32"/>
  <c r="BH211" i="32"/>
  <c r="BI211" i="32"/>
  <c r="BJ211" i="32"/>
  <c r="L212" i="32"/>
  <c r="M212" i="32"/>
  <c r="BH212" i="32"/>
  <c r="BI212" i="32"/>
  <c r="BJ212" i="32"/>
  <c r="L213" i="32"/>
  <c r="M213" i="32"/>
  <c r="BH213" i="32"/>
  <c r="BI213" i="32"/>
  <c r="BJ213" i="32"/>
  <c r="L214" i="32"/>
  <c r="M214" i="32"/>
  <c r="BH214" i="32"/>
  <c r="BI214" i="32"/>
  <c r="BJ214" i="32"/>
  <c r="L215" i="32"/>
  <c r="M215" i="32"/>
  <c r="BH215" i="32"/>
  <c r="BI215" i="32"/>
  <c r="BJ215" i="32"/>
  <c r="L216" i="32"/>
  <c r="M216" i="32"/>
  <c r="BH216" i="32"/>
  <c r="BI216" i="32"/>
  <c r="BJ216" i="32"/>
  <c r="L217" i="32"/>
  <c r="M217" i="32"/>
  <c r="BH217" i="32"/>
  <c r="BI217" i="32"/>
  <c r="BJ217" i="32"/>
  <c r="F193" i="32"/>
  <c r="F166" i="32"/>
  <c r="M190" i="32"/>
  <c r="L190" i="32"/>
  <c r="M189" i="32"/>
  <c r="L189" i="32"/>
  <c r="M188" i="32"/>
  <c r="L188" i="32"/>
  <c r="M187" i="32"/>
  <c r="L187" i="32"/>
  <c r="M186" i="32"/>
  <c r="L186" i="32"/>
  <c r="M185" i="32"/>
  <c r="L185" i="32"/>
  <c r="M184" i="32"/>
  <c r="L184" i="32"/>
  <c r="M183" i="32"/>
  <c r="L183" i="32"/>
  <c r="M182" i="32"/>
  <c r="L182" i="32"/>
  <c r="M181" i="32"/>
  <c r="L181" i="32"/>
  <c r="M180" i="32"/>
  <c r="L180" i="32"/>
  <c r="M179" i="32"/>
  <c r="L179" i="32"/>
  <c r="M178" i="32"/>
  <c r="L178" i="32"/>
  <c r="M177" i="32"/>
  <c r="L177" i="32"/>
  <c r="M176" i="32"/>
  <c r="L176" i="32"/>
  <c r="M175" i="32"/>
  <c r="L175" i="32"/>
  <c r="M174" i="32"/>
  <c r="L174" i="32"/>
  <c r="M173" i="32"/>
  <c r="L173" i="32"/>
  <c r="M163" i="32"/>
  <c r="L163" i="32"/>
  <c r="M162" i="32"/>
  <c r="L162" i="32"/>
  <c r="M161" i="32"/>
  <c r="L161" i="32"/>
  <c r="M160" i="32"/>
  <c r="L160" i="32"/>
  <c r="M159" i="32"/>
  <c r="L159" i="32"/>
  <c r="M158" i="32"/>
  <c r="L158" i="32"/>
  <c r="M157" i="32"/>
  <c r="L157" i="32"/>
  <c r="M156" i="32"/>
  <c r="L156" i="32"/>
  <c r="M155" i="32"/>
  <c r="L155" i="32"/>
  <c r="M154" i="32"/>
  <c r="L154" i="32"/>
  <c r="M153" i="32"/>
  <c r="L153" i="32"/>
  <c r="M152" i="32"/>
  <c r="L152" i="32"/>
  <c r="M151" i="32"/>
  <c r="L151" i="32"/>
  <c r="M150" i="32"/>
  <c r="L150" i="32"/>
  <c r="M149" i="32"/>
  <c r="L149" i="32"/>
  <c r="M148" i="32"/>
  <c r="L148" i="32"/>
  <c r="M147" i="32"/>
  <c r="L147" i="32"/>
  <c r="M146" i="32"/>
  <c r="L146" i="32"/>
  <c r="V112" i="32"/>
  <c r="BF338" i="32"/>
  <c r="BE338" i="32"/>
  <c r="BD338" i="32"/>
  <c r="BC338" i="32"/>
  <c r="BB338" i="32"/>
  <c r="BA338" i="32"/>
  <c r="AZ338" i="32"/>
  <c r="AY338" i="32"/>
  <c r="AX338" i="32"/>
  <c r="AW338" i="32"/>
  <c r="AV338" i="32"/>
  <c r="AU338" i="32"/>
  <c r="AT338" i="32"/>
  <c r="AS338" i="32"/>
  <c r="AR338" i="32"/>
  <c r="AQ338" i="32"/>
  <c r="AP338" i="32"/>
  <c r="AO338" i="32"/>
  <c r="AM338" i="32"/>
  <c r="AL338" i="32"/>
  <c r="AK338" i="32"/>
  <c r="AJ338" i="32"/>
  <c r="AI338" i="32"/>
  <c r="AH338" i="32"/>
  <c r="AG338" i="32"/>
  <c r="AF338" i="32"/>
  <c r="AE338" i="32"/>
  <c r="AD338" i="32"/>
  <c r="AC338" i="32"/>
  <c r="AB338" i="32"/>
  <c r="AA338" i="32"/>
  <c r="Z338" i="32"/>
  <c r="Y338" i="32"/>
  <c r="X338" i="32"/>
  <c r="W338" i="32"/>
  <c r="V338" i="32"/>
  <c r="BJ335" i="32"/>
  <c r="BI335" i="32"/>
  <c r="BH335" i="32"/>
  <c r="BJ334" i="32"/>
  <c r="BI334" i="32"/>
  <c r="BH334" i="32"/>
  <c r="BJ333" i="32"/>
  <c r="BI333" i="32"/>
  <c r="BH333" i="32"/>
  <c r="BJ332" i="32"/>
  <c r="BI332" i="32"/>
  <c r="BH332" i="32"/>
  <c r="BJ331" i="32"/>
  <c r="BI331" i="32"/>
  <c r="BH331" i="32"/>
  <c r="BJ330" i="32"/>
  <c r="BI330" i="32"/>
  <c r="BH330" i="32"/>
  <c r="BJ329" i="32"/>
  <c r="BI329" i="32"/>
  <c r="BH329" i="32"/>
  <c r="BJ328" i="32"/>
  <c r="BI328" i="32"/>
  <c r="BH328" i="32"/>
  <c r="BJ327" i="32"/>
  <c r="BI327" i="32"/>
  <c r="BH327" i="32"/>
  <c r="BJ326" i="32"/>
  <c r="BI326" i="32"/>
  <c r="BH326" i="32"/>
  <c r="BJ325" i="32"/>
  <c r="BI325" i="32"/>
  <c r="BH325" i="32"/>
  <c r="BJ324" i="32"/>
  <c r="BI324" i="32"/>
  <c r="BH324" i="32"/>
  <c r="BJ323" i="32"/>
  <c r="BI323" i="32"/>
  <c r="BH323" i="32"/>
  <c r="BJ322" i="32"/>
  <c r="BI322" i="32"/>
  <c r="BH322" i="32"/>
  <c r="BJ321" i="32"/>
  <c r="BI321" i="32"/>
  <c r="BH321" i="32"/>
  <c r="BJ320" i="32"/>
  <c r="BI320" i="32"/>
  <c r="BH320" i="32"/>
  <c r="BJ319" i="32"/>
  <c r="BI319" i="32"/>
  <c r="BH319" i="32"/>
  <c r="BJ318" i="32"/>
  <c r="BI318" i="32"/>
  <c r="BH318" i="32"/>
  <c r="BF309" i="32"/>
  <c r="BE309" i="32"/>
  <c r="BD309" i="32"/>
  <c r="BC309" i="32"/>
  <c r="BB309" i="32"/>
  <c r="BA309" i="32"/>
  <c r="AZ309" i="32"/>
  <c r="AY309" i="32"/>
  <c r="AX309" i="32"/>
  <c r="AW309" i="32"/>
  <c r="AV309" i="32"/>
  <c r="AU309" i="32"/>
  <c r="AT309" i="32"/>
  <c r="AS309" i="32"/>
  <c r="AR309" i="32"/>
  <c r="AQ309" i="32"/>
  <c r="AP309" i="32"/>
  <c r="AO309" i="32"/>
  <c r="AM309" i="32"/>
  <c r="AL309" i="32"/>
  <c r="AK309" i="32"/>
  <c r="AJ309" i="32"/>
  <c r="AI309" i="32"/>
  <c r="AH309" i="32"/>
  <c r="AG309" i="32"/>
  <c r="AF309" i="32"/>
  <c r="AE309" i="32"/>
  <c r="AD309" i="32"/>
  <c r="AC309" i="32"/>
  <c r="AB309" i="32"/>
  <c r="AA309" i="32"/>
  <c r="Z309" i="32"/>
  <c r="Y309" i="32"/>
  <c r="X309" i="32"/>
  <c r="W309" i="32"/>
  <c r="V309" i="32"/>
  <c r="BJ306" i="32"/>
  <c r="BI306" i="32"/>
  <c r="BH306" i="32"/>
  <c r="BJ305" i="32"/>
  <c r="BI305" i="32"/>
  <c r="BH305" i="32"/>
  <c r="BJ304" i="32"/>
  <c r="BI304" i="32"/>
  <c r="BH304" i="32"/>
  <c r="BJ303" i="32"/>
  <c r="BI303" i="32"/>
  <c r="BH303" i="32"/>
  <c r="BJ302" i="32"/>
  <c r="BI302" i="32"/>
  <c r="BH302" i="32"/>
  <c r="BJ301" i="32"/>
  <c r="BI301" i="32"/>
  <c r="BH301" i="32"/>
  <c r="BJ300" i="32"/>
  <c r="BI300" i="32"/>
  <c r="BH300" i="32"/>
  <c r="BJ299" i="32"/>
  <c r="BI299" i="32"/>
  <c r="BH299" i="32"/>
  <c r="BJ298" i="32"/>
  <c r="BI298" i="32"/>
  <c r="BH298" i="32"/>
  <c r="BJ297" i="32"/>
  <c r="BI297" i="32"/>
  <c r="BH297" i="32"/>
  <c r="BJ296" i="32"/>
  <c r="BI296" i="32"/>
  <c r="BH296" i="32"/>
  <c r="BJ295" i="32"/>
  <c r="BI295" i="32"/>
  <c r="BH295" i="32"/>
  <c r="BJ294" i="32"/>
  <c r="BI294" i="32"/>
  <c r="BH294" i="32"/>
  <c r="BJ293" i="32"/>
  <c r="BI293" i="32"/>
  <c r="BH293" i="32"/>
  <c r="BJ292" i="32"/>
  <c r="BI292" i="32"/>
  <c r="BH292" i="32"/>
  <c r="BJ291" i="32"/>
  <c r="BI291" i="32"/>
  <c r="BH291" i="32"/>
  <c r="BJ290" i="32"/>
  <c r="BI290" i="32"/>
  <c r="BH290" i="32"/>
  <c r="BJ289" i="32"/>
  <c r="BI289" i="32"/>
  <c r="BH289" i="32"/>
  <c r="BF280" i="32"/>
  <c r="BE280" i="32"/>
  <c r="BD280" i="32"/>
  <c r="BC280" i="32"/>
  <c r="BB280" i="32"/>
  <c r="BA280" i="32"/>
  <c r="AZ280" i="32"/>
  <c r="AY280" i="32"/>
  <c r="AX280" i="32"/>
  <c r="AW280" i="32"/>
  <c r="AV280" i="32"/>
  <c r="AU280" i="32"/>
  <c r="AT280" i="32"/>
  <c r="AS280" i="32"/>
  <c r="AR280" i="32"/>
  <c r="AQ280" i="32"/>
  <c r="AP280" i="32"/>
  <c r="AO280" i="32"/>
  <c r="AM280" i="32"/>
  <c r="AL280" i="32"/>
  <c r="AK280" i="32"/>
  <c r="AJ280" i="32"/>
  <c r="AI280" i="32"/>
  <c r="AH280" i="32"/>
  <c r="AG280" i="32"/>
  <c r="AF280" i="32"/>
  <c r="AE280" i="32"/>
  <c r="AD280" i="32"/>
  <c r="AC280" i="32"/>
  <c r="AB280" i="32"/>
  <c r="AA280" i="32"/>
  <c r="Z280" i="32"/>
  <c r="Y280" i="32"/>
  <c r="X280" i="32"/>
  <c r="W280" i="32"/>
  <c r="V280" i="32"/>
  <c r="BJ274" i="32"/>
  <c r="BI274" i="32"/>
  <c r="BH274" i="32"/>
  <c r="BJ273" i="32"/>
  <c r="BI273" i="32"/>
  <c r="BH273" i="32"/>
  <c r="BJ272" i="32"/>
  <c r="BI272" i="32"/>
  <c r="BH272" i="32"/>
  <c r="BJ271" i="32"/>
  <c r="BI271" i="32"/>
  <c r="BH271" i="32"/>
  <c r="BJ270" i="32"/>
  <c r="BI270" i="32"/>
  <c r="BH270" i="32"/>
  <c r="BJ269" i="32"/>
  <c r="BI269" i="32"/>
  <c r="BH269" i="32"/>
  <c r="BJ268" i="32"/>
  <c r="BI268" i="32"/>
  <c r="BH268" i="32"/>
  <c r="BJ267" i="32"/>
  <c r="BI267" i="32"/>
  <c r="BH267" i="32"/>
  <c r="BJ266" i="32"/>
  <c r="BI266" i="32"/>
  <c r="BH266" i="32"/>
  <c r="BJ265" i="32"/>
  <c r="BI265" i="32"/>
  <c r="BH265" i="32"/>
  <c r="BJ264" i="32"/>
  <c r="BI264" i="32"/>
  <c r="BH264" i="32"/>
  <c r="BJ263" i="32"/>
  <c r="BI263" i="32"/>
  <c r="BH263" i="32"/>
  <c r="BJ262" i="32"/>
  <c r="BI262" i="32"/>
  <c r="BH262" i="32"/>
  <c r="BJ261" i="32"/>
  <c r="BI261" i="32"/>
  <c r="BH261" i="32"/>
  <c r="BJ260" i="32"/>
  <c r="BI260" i="32"/>
  <c r="BH260" i="32"/>
  <c r="BJ259" i="32"/>
  <c r="BI259" i="32"/>
  <c r="BH259" i="32"/>
  <c r="BJ258" i="32"/>
  <c r="BI258" i="32"/>
  <c r="BH258" i="32"/>
  <c r="BJ257" i="32"/>
  <c r="BI257" i="32"/>
  <c r="BH257" i="32"/>
  <c r="BF250" i="32"/>
  <c r="BE250" i="32"/>
  <c r="BD250" i="32"/>
  <c r="BC250" i="32"/>
  <c r="BB250" i="32"/>
  <c r="BA250" i="32"/>
  <c r="AZ250" i="32"/>
  <c r="AY250" i="32"/>
  <c r="AX250" i="32"/>
  <c r="AW250" i="32"/>
  <c r="AV250" i="32"/>
  <c r="AU250" i="32"/>
  <c r="AT250" i="32"/>
  <c r="AS250" i="32"/>
  <c r="AR250" i="32"/>
  <c r="AQ250" i="32"/>
  <c r="AP250" i="32"/>
  <c r="AO250" i="32"/>
  <c r="AM250" i="32"/>
  <c r="AL250" i="32"/>
  <c r="AK250" i="32"/>
  <c r="AJ250" i="32"/>
  <c r="AI250" i="32"/>
  <c r="AH250" i="32"/>
  <c r="AG250" i="32"/>
  <c r="AF250" i="32"/>
  <c r="AE250" i="32"/>
  <c r="AD250" i="32"/>
  <c r="AC250" i="32"/>
  <c r="AB250" i="32"/>
  <c r="AA250" i="32"/>
  <c r="Z250" i="32"/>
  <c r="Y250" i="32"/>
  <c r="X250" i="32"/>
  <c r="W250" i="32"/>
  <c r="V250" i="32"/>
  <c r="BJ247" i="32"/>
  <c r="BI247" i="32"/>
  <c r="BH247" i="32"/>
  <c r="BJ246" i="32"/>
  <c r="BI246" i="32"/>
  <c r="BH246" i="32"/>
  <c r="BJ245" i="32"/>
  <c r="BI245" i="32"/>
  <c r="BH245" i="32"/>
  <c r="BJ244" i="32"/>
  <c r="BI244" i="32"/>
  <c r="BH244" i="32"/>
  <c r="BJ243" i="32"/>
  <c r="BI243" i="32"/>
  <c r="BH243" i="32"/>
  <c r="BJ242" i="32"/>
  <c r="BI242" i="32"/>
  <c r="BH242" i="32"/>
  <c r="BJ241" i="32"/>
  <c r="BI241" i="32"/>
  <c r="BH241" i="32"/>
  <c r="BJ240" i="32"/>
  <c r="BI240" i="32"/>
  <c r="BH240" i="32"/>
  <c r="BJ239" i="32"/>
  <c r="BI239" i="32"/>
  <c r="BH239" i="32"/>
  <c r="BJ238" i="32"/>
  <c r="BI238" i="32"/>
  <c r="BH238" i="32"/>
  <c r="BJ237" i="32"/>
  <c r="BI237" i="32"/>
  <c r="BH237" i="32"/>
  <c r="BJ236" i="32"/>
  <c r="BI236" i="32"/>
  <c r="BH236" i="32"/>
  <c r="BJ235" i="32"/>
  <c r="BI235" i="32"/>
  <c r="BH235" i="32"/>
  <c r="BJ234" i="32"/>
  <c r="BI234" i="32"/>
  <c r="BH234" i="32"/>
  <c r="BJ233" i="32"/>
  <c r="BI233" i="32"/>
  <c r="BH233" i="32"/>
  <c r="BJ232" i="32"/>
  <c r="BI232" i="32"/>
  <c r="BH232" i="32"/>
  <c r="BJ231" i="32"/>
  <c r="BI231" i="32"/>
  <c r="BH231" i="32"/>
  <c r="BJ230" i="32"/>
  <c r="BI230" i="32"/>
  <c r="BH230" i="32"/>
  <c r="BF221" i="32"/>
  <c r="BE221" i="32"/>
  <c r="BD221" i="32"/>
  <c r="BC221" i="32"/>
  <c r="BB221" i="32"/>
  <c r="BA221" i="32"/>
  <c r="AZ221" i="32"/>
  <c r="AY221" i="32"/>
  <c r="AX221" i="32"/>
  <c r="AW221" i="32"/>
  <c r="AV221" i="32"/>
  <c r="AU221" i="32"/>
  <c r="AT221" i="32"/>
  <c r="AS221" i="32"/>
  <c r="AR221" i="32"/>
  <c r="AQ221" i="32"/>
  <c r="AP221" i="32"/>
  <c r="AO221" i="32"/>
  <c r="AM221" i="32"/>
  <c r="AL221" i="32"/>
  <c r="AK221" i="32"/>
  <c r="AJ221" i="32"/>
  <c r="AI221" i="32"/>
  <c r="AH221" i="32"/>
  <c r="AG221" i="32"/>
  <c r="AF221" i="32"/>
  <c r="AE221" i="32"/>
  <c r="AD221" i="32"/>
  <c r="AC221" i="32"/>
  <c r="AB221" i="32"/>
  <c r="AA221" i="32"/>
  <c r="Z221" i="32"/>
  <c r="Y221" i="32"/>
  <c r="X221" i="32"/>
  <c r="W221" i="32"/>
  <c r="V221" i="32"/>
  <c r="BJ218" i="32"/>
  <c r="BI218" i="32"/>
  <c r="BH218" i="32"/>
  <c r="BJ205" i="32"/>
  <c r="BI205" i="32"/>
  <c r="BH205" i="32"/>
  <c r="BJ204" i="32"/>
  <c r="BI204" i="32"/>
  <c r="BH204" i="32"/>
  <c r="BJ203" i="32"/>
  <c r="BI203" i="32"/>
  <c r="BH203" i="32"/>
  <c r="BJ202" i="32"/>
  <c r="BI202" i="32"/>
  <c r="BH202" i="32"/>
  <c r="BJ201" i="32"/>
  <c r="BI201" i="32"/>
  <c r="BH201" i="32"/>
  <c r="BJ200" i="32"/>
  <c r="BI200" i="32"/>
  <c r="BH200" i="32"/>
  <c r="BF193" i="32"/>
  <c r="BE193" i="32"/>
  <c r="BD193" i="32"/>
  <c r="BC193" i="32"/>
  <c r="BB193" i="32"/>
  <c r="BA193" i="32"/>
  <c r="AZ193" i="32"/>
  <c r="AY193" i="32"/>
  <c r="AX193" i="32"/>
  <c r="AW193" i="32"/>
  <c r="AV193" i="32"/>
  <c r="AU193" i="32"/>
  <c r="AT193" i="32"/>
  <c r="AS193" i="32"/>
  <c r="AR193" i="32"/>
  <c r="AQ193" i="32"/>
  <c r="AP193" i="32"/>
  <c r="AO193" i="32"/>
  <c r="AM193" i="32"/>
  <c r="AL193" i="32"/>
  <c r="AK193" i="32"/>
  <c r="AJ193" i="32"/>
  <c r="AI193" i="32"/>
  <c r="AH193" i="32"/>
  <c r="AG193" i="32"/>
  <c r="AF193" i="32"/>
  <c r="AE193" i="32"/>
  <c r="AD193" i="32"/>
  <c r="AC193" i="32"/>
  <c r="AB193" i="32"/>
  <c r="AA193" i="32"/>
  <c r="Z193" i="32"/>
  <c r="Y193" i="32"/>
  <c r="X193" i="32"/>
  <c r="W193" i="32"/>
  <c r="V193" i="32"/>
  <c r="BJ190" i="32"/>
  <c r="BI190" i="32"/>
  <c r="BH190" i="32"/>
  <c r="BJ189" i="32"/>
  <c r="BI189" i="32"/>
  <c r="BH189" i="32"/>
  <c r="BJ188" i="32"/>
  <c r="BI188" i="32"/>
  <c r="BH188" i="32"/>
  <c r="BJ187" i="32"/>
  <c r="BI187" i="32"/>
  <c r="BH187" i="32"/>
  <c r="BJ186" i="32"/>
  <c r="BI186" i="32"/>
  <c r="BH186" i="32"/>
  <c r="BJ185" i="32"/>
  <c r="BI185" i="32"/>
  <c r="BH185" i="32"/>
  <c r="BJ184" i="32"/>
  <c r="BI184" i="32"/>
  <c r="BH184" i="32"/>
  <c r="BJ183" i="32"/>
  <c r="BI183" i="32"/>
  <c r="BH183" i="32"/>
  <c r="BJ182" i="32"/>
  <c r="BI182" i="32"/>
  <c r="BH182" i="32"/>
  <c r="BJ181" i="32"/>
  <c r="BI181" i="32"/>
  <c r="BH181" i="32"/>
  <c r="BJ180" i="32"/>
  <c r="BI180" i="32"/>
  <c r="BH180" i="32"/>
  <c r="BJ179" i="32"/>
  <c r="BI179" i="32"/>
  <c r="BH179" i="32"/>
  <c r="BJ178" i="32"/>
  <c r="BI178" i="32"/>
  <c r="BH178" i="32"/>
  <c r="BJ177" i="32"/>
  <c r="BI177" i="32"/>
  <c r="BH177" i="32"/>
  <c r="BJ176" i="32"/>
  <c r="BI176" i="32"/>
  <c r="BH176" i="32"/>
  <c r="BJ175" i="32"/>
  <c r="BI175" i="32"/>
  <c r="BH175" i="32"/>
  <c r="BJ174" i="32"/>
  <c r="BI174" i="32"/>
  <c r="BH174" i="32"/>
  <c r="BJ173" i="32"/>
  <c r="BI173" i="32"/>
  <c r="BH173" i="32"/>
  <c r="BF166" i="32"/>
  <c r="BE166" i="32"/>
  <c r="BD166" i="32"/>
  <c r="BC166" i="32"/>
  <c r="BB166" i="32"/>
  <c r="BA166" i="32"/>
  <c r="AZ166" i="32"/>
  <c r="AY166" i="32"/>
  <c r="AX166" i="32"/>
  <c r="AW166" i="32"/>
  <c r="AV166" i="32"/>
  <c r="AU166" i="32"/>
  <c r="AT166" i="32"/>
  <c r="AS166" i="32"/>
  <c r="AR166" i="32"/>
  <c r="AQ166" i="32"/>
  <c r="AP166" i="32"/>
  <c r="AO166" i="32"/>
  <c r="AM166" i="32"/>
  <c r="AL166" i="32"/>
  <c r="AK166" i="32"/>
  <c r="AJ166" i="32"/>
  <c r="AI166" i="32"/>
  <c r="AH166" i="32"/>
  <c r="AG166" i="32"/>
  <c r="AF166" i="32"/>
  <c r="AE166" i="32"/>
  <c r="AD166" i="32"/>
  <c r="AC166" i="32"/>
  <c r="AB166" i="32"/>
  <c r="AA166" i="32"/>
  <c r="Z166" i="32"/>
  <c r="Y166" i="32"/>
  <c r="X166" i="32"/>
  <c r="W166" i="32"/>
  <c r="V166" i="32"/>
  <c r="BJ163" i="32"/>
  <c r="BI163" i="32"/>
  <c r="BH163" i="32"/>
  <c r="BJ162" i="32"/>
  <c r="BI162" i="32"/>
  <c r="BH162" i="32"/>
  <c r="BJ161" i="32"/>
  <c r="BI161" i="32"/>
  <c r="BH161" i="32"/>
  <c r="BJ160" i="32"/>
  <c r="BI160" i="32"/>
  <c r="BH160" i="32"/>
  <c r="BJ159" i="32"/>
  <c r="BI159" i="32"/>
  <c r="BH159" i="32"/>
  <c r="BJ158" i="32"/>
  <c r="BI158" i="32"/>
  <c r="BH158" i="32"/>
  <c r="BJ157" i="32"/>
  <c r="BI157" i="32"/>
  <c r="BH157" i="32"/>
  <c r="BJ156" i="32"/>
  <c r="BI156" i="32"/>
  <c r="BH156" i="32"/>
  <c r="BJ155" i="32"/>
  <c r="BI155" i="32"/>
  <c r="BH155" i="32"/>
  <c r="BJ154" i="32"/>
  <c r="BI154" i="32"/>
  <c r="BH154" i="32"/>
  <c r="BJ153" i="32"/>
  <c r="BI153" i="32"/>
  <c r="BH153" i="32"/>
  <c r="BJ152" i="32"/>
  <c r="BI152" i="32"/>
  <c r="BH152" i="32"/>
  <c r="BJ151" i="32"/>
  <c r="BI151" i="32"/>
  <c r="BH151" i="32"/>
  <c r="BJ150" i="32"/>
  <c r="BI150" i="32"/>
  <c r="BH150" i="32"/>
  <c r="BJ149" i="32"/>
  <c r="BI149" i="32"/>
  <c r="BH149" i="32"/>
  <c r="BJ148" i="32"/>
  <c r="BI148" i="32"/>
  <c r="BH148" i="32"/>
  <c r="BJ147" i="32"/>
  <c r="BI147" i="32"/>
  <c r="BH147" i="32"/>
  <c r="BJ146" i="32"/>
  <c r="BI146" i="32"/>
  <c r="BH146" i="32"/>
  <c r="BF139" i="32"/>
  <c r="BE139" i="32"/>
  <c r="BD139" i="32"/>
  <c r="BC139" i="32"/>
  <c r="BB139" i="32"/>
  <c r="BA139" i="32"/>
  <c r="AZ139" i="32"/>
  <c r="AY139" i="32"/>
  <c r="AX139" i="32"/>
  <c r="AW139" i="32"/>
  <c r="AV139" i="32"/>
  <c r="AU139" i="32"/>
  <c r="AT139" i="32"/>
  <c r="AS139" i="32"/>
  <c r="AR139" i="32"/>
  <c r="AQ139" i="32"/>
  <c r="AP139" i="32"/>
  <c r="AO139" i="32"/>
  <c r="AM139" i="32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BJ136" i="32"/>
  <c r="BI136" i="32"/>
  <c r="BH136" i="32"/>
  <c r="BJ135" i="32"/>
  <c r="BI135" i="32"/>
  <c r="BH135" i="32"/>
  <c r="BJ134" i="32"/>
  <c r="BI134" i="32"/>
  <c r="BH134" i="32"/>
  <c r="BJ133" i="32"/>
  <c r="BI133" i="32"/>
  <c r="BH133" i="32"/>
  <c r="BJ132" i="32"/>
  <c r="BI132" i="32"/>
  <c r="BH132" i="32"/>
  <c r="BJ131" i="32"/>
  <c r="BI131" i="32"/>
  <c r="BH131" i="32"/>
  <c r="BJ130" i="32"/>
  <c r="BI130" i="32"/>
  <c r="BH130" i="32"/>
  <c r="BJ129" i="32"/>
  <c r="BI129" i="32"/>
  <c r="BH129" i="32"/>
  <c r="BJ128" i="32"/>
  <c r="BI128" i="32"/>
  <c r="BH128" i="32"/>
  <c r="BJ127" i="32"/>
  <c r="BI127" i="32"/>
  <c r="BH127" i="32"/>
  <c r="BJ126" i="32"/>
  <c r="BI126" i="32"/>
  <c r="BH126" i="32"/>
  <c r="BJ125" i="32"/>
  <c r="BI125" i="32"/>
  <c r="BH125" i="32"/>
  <c r="BJ124" i="32"/>
  <c r="BI124" i="32"/>
  <c r="BH124" i="32"/>
  <c r="BJ123" i="32"/>
  <c r="BI123" i="32"/>
  <c r="BH123" i="32"/>
  <c r="BJ122" i="32"/>
  <c r="BI122" i="32"/>
  <c r="BH122" i="32"/>
  <c r="BJ121" i="32"/>
  <c r="BI121" i="32"/>
  <c r="BH121" i="32"/>
  <c r="BJ120" i="32"/>
  <c r="BI120" i="32"/>
  <c r="BH120" i="32"/>
  <c r="BJ119" i="32"/>
  <c r="BI119" i="32"/>
  <c r="BH119" i="32"/>
  <c r="BF112" i="32"/>
  <c r="BE112" i="32"/>
  <c r="BD112" i="32"/>
  <c r="BC112" i="32"/>
  <c r="BB112" i="32"/>
  <c r="BA112" i="32"/>
  <c r="AZ112" i="32"/>
  <c r="AY112" i="32"/>
  <c r="AX112" i="32"/>
  <c r="AW112" i="32"/>
  <c r="AV112" i="32"/>
  <c r="AU112" i="32"/>
  <c r="AT112" i="32"/>
  <c r="AS112" i="32"/>
  <c r="AR112" i="32"/>
  <c r="AQ112" i="32"/>
  <c r="AP112" i="32"/>
  <c r="AO112" i="32"/>
  <c r="AM112" i="32"/>
  <c r="AL112" i="32"/>
  <c r="AK112" i="32"/>
  <c r="AJ112" i="32"/>
  <c r="AI112" i="32"/>
  <c r="AH112" i="32"/>
  <c r="AG112" i="32"/>
  <c r="AF112" i="32"/>
  <c r="AE112" i="32"/>
  <c r="AD112" i="32"/>
  <c r="AC112" i="32"/>
  <c r="AB112" i="32"/>
  <c r="AA112" i="32"/>
  <c r="Z112" i="32"/>
  <c r="Y112" i="32"/>
  <c r="X112" i="32"/>
  <c r="W112" i="32"/>
  <c r="BJ109" i="32"/>
  <c r="BI109" i="32"/>
  <c r="BH109" i="32"/>
  <c r="BJ108" i="32"/>
  <c r="BI108" i="32"/>
  <c r="BH108" i="32"/>
  <c r="BJ107" i="32"/>
  <c r="BI107" i="32"/>
  <c r="BH107" i="32"/>
  <c r="BJ106" i="32"/>
  <c r="BI106" i="32"/>
  <c r="BH106" i="32"/>
  <c r="BJ105" i="32"/>
  <c r="BI105" i="32"/>
  <c r="BH105" i="32"/>
  <c r="BJ104" i="32"/>
  <c r="BI104" i="32"/>
  <c r="BH104" i="32"/>
  <c r="BJ103" i="32"/>
  <c r="BI103" i="32"/>
  <c r="BH103" i="32"/>
  <c r="BJ102" i="32"/>
  <c r="BI102" i="32"/>
  <c r="BH102" i="32"/>
  <c r="BJ101" i="32"/>
  <c r="BI101" i="32"/>
  <c r="BH101" i="32"/>
  <c r="BJ100" i="32"/>
  <c r="BI100" i="32"/>
  <c r="BH100" i="32"/>
  <c r="BJ99" i="32"/>
  <c r="BI99" i="32"/>
  <c r="BH99" i="32"/>
  <c r="BJ98" i="32"/>
  <c r="BI98" i="32"/>
  <c r="BH98" i="32"/>
  <c r="BJ97" i="32"/>
  <c r="BI97" i="32"/>
  <c r="BH97" i="32"/>
  <c r="BJ96" i="32"/>
  <c r="BI96" i="32"/>
  <c r="BH96" i="32"/>
  <c r="BJ95" i="32"/>
  <c r="BI95" i="32"/>
  <c r="BH95" i="32"/>
  <c r="BJ94" i="32"/>
  <c r="BI94" i="32"/>
  <c r="BH94" i="32"/>
  <c r="BJ93" i="32"/>
  <c r="BI93" i="32"/>
  <c r="BH93" i="32"/>
  <c r="BJ92" i="32"/>
  <c r="BI92" i="32"/>
  <c r="BH92" i="32"/>
  <c r="BF85" i="32"/>
  <c r="BE85" i="32"/>
  <c r="AP85" i="32"/>
  <c r="AQ85" i="32"/>
  <c r="AR85" i="32"/>
  <c r="AS85" i="32"/>
  <c r="AT85" i="32"/>
  <c r="AU85" i="32"/>
  <c r="AV85" i="32"/>
  <c r="AW85" i="32"/>
  <c r="AX85" i="32"/>
  <c r="AY85" i="32"/>
  <c r="AZ85" i="32"/>
  <c r="BA85" i="32"/>
  <c r="BB85" i="32"/>
  <c r="BC85" i="32"/>
  <c r="BD85" i="32"/>
  <c r="AO85" i="32"/>
  <c r="AM85" i="32"/>
  <c r="AL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V85" i="32"/>
  <c r="BJ82" i="32"/>
  <c r="BI82" i="32"/>
  <c r="BH82" i="32"/>
  <c r="BJ81" i="32"/>
  <c r="BI81" i="32"/>
  <c r="BH81" i="32"/>
  <c r="BJ80" i="32"/>
  <c r="BI80" i="32"/>
  <c r="BH80" i="32"/>
  <c r="BJ79" i="32"/>
  <c r="BI79" i="32"/>
  <c r="BH79" i="32"/>
  <c r="BJ78" i="32"/>
  <c r="BI78" i="32"/>
  <c r="BH78" i="32"/>
  <c r="BJ77" i="32"/>
  <c r="BI77" i="32"/>
  <c r="BH77" i="32"/>
  <c r="BJ76" i="32"/>
  <c r="BI76" i="32"/>
  <c r="BH76" i="32"/>
  <c r="BJ75" i="32"/>
  <c r="BI75" i="32"/>
  <c r="BH75" i="32"/>
  <c r="BJ74" i="32"/>
  <c r="BI74" i="32"/>
  <c r="BH74" i="32"/>
  <c r="BJ73" i="32"/>
  <c r="BI73" i="32"/>
  <c r="BH73" i="32"/>
  <c r="BJ72" i="32"/>
  <c r="BI72" i="32"/>
  <c r="BH72" i="32"/>
  <c r="BJ71" i="32"/>
  <c r="BI71" i="32"/>
  <c r="BH71" i="32"/>
  <c r="BJ70" i="32"/>
  <c r="BI70" i="32"/>
  <c r="BH70" i="32"/>
  <c r="BJ69" i="32"/>
  <c r="BI69" i="32"/>
  <c r="BH69" i="32"/>
  <c r="BJ68" i="32"/>
  <c r="BI68" i="32"/>
  <c r="BH68" i="32"/>
  <c r="BJ67" i="32"/>
  <c r="BI67" i="32"/>
  <c r="BH67" i="32"/>
  <c r="BJ66" i="32"/>
  <c r="BI66" i="32"/>
  <c r="BH66" i="32"/>
  <c r="BJ65" i="32"/>
  <c r="BI65" i="32"/>
  <c r="BH65" i="32"/>
  <c r="BH54" i="32"/>
  <c r="BI54" i="32"/>
  <c r="BJ54" i="32"/>
  <c r="BH55" i="32"/>
  <c r="BI55" i="32"/>
  <c r="BJ55" i="32"/>
  <c r="BF58" i="32"/>
  <c r="BE58" i="32"/>
  <c r="BD58" i="32"/>
  <c r="AP58" i="32"/>
  <c r="AQ58" i="32"/>
  <c r="AR58" i="32"/>
  <c r="AS58" i="32"/>
  <c r="AT58" i="32"/>
  <c r="AU58" i="32"/>
  <c r="AV58" i="32"/>
  <c r="AW58" i="32"/>
  <c r="AX58" i="32"/>
  <c r="AY58" i="32"/>
  <c r="AZ58" i="32"/>
  <c r="BA58" i="32"/>
  <c r="BB58" i="32"/>
  <c r="BC58" i="32"/>
  <c r="AO58" i="32"/>
  <c r="AK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M58" i="32"/>
  <c r="AL58" i="32"/>
  <c r="V58" i="32"/>
  <c r="BJ53" i="32"/>
  <c r="BI53" i="32"/>
  <c r="BH53" i="32"/>
  <c r="BJ52" i="32"/>
  <c r="BI52" i="32"/>
  <c r="BH52" i="32"/>
  <c r="BJ51" i="32"/>
  <c r="BI51" i="32"/>
  <c r="BH51" i="32"/>
  <c r="BJ50" i="32"/>
  <c r="BI50" i="32"/>
  <c r="BH50" i="32"/>
  <c r="BJ49" i="32"/>
  <c r="BI49" i="32"/>
  <c r="BH49" i="32"/>
  <c r="BJ48" i="32"/>
  <c r="BI48" i="32"/>
  <c r="BH48" i="32"/>
  <c r="BJ47" i="32"/>
  <c r="BI47" i="32"/>
  <c r="BH47" i="32"/>
  <c r="BJ46" i="32"/>
  <c r="BI46" i="32"/>
  <c r="BH46" i="32"/>
  <c r="BJ45" i="32"/>
  <c r="BI45" i="32"/>
  <c r="BH45" i="32"/>
  <c r="BJ44" i="32"/>
  <c r="BI44" i="32"/>
  <c r="BH44" i="32"/>
  <c r="BJ43" i="32"/>
  <c r="BI43" i="32"/>
  <c r="BH43" i="32"/>
  <c r="BJ42" i="32"/>
  <c r="BI42" i="32"/>
  <c r="BH42" i="32"/>
  <c r="BJ41" i="32"/>
  <c r="BI41" i="32"/>
  <c r="BH41" i="32"/>
  <c r="BJ40" i="32"/>
  <c r="BI40" i="32"/>
  <c r="BH40" i="32"/>
  <c r="BJ39" i="32"/>
  <c r="BI39" i="32"/>
  <c r="BH39" i="32"/>
  <c r="BJ38" i="32"/>
  <c r="BI38" i="32"/>
  <c r="BH38" i="32"/>
  <c r="BJ37" i="32"/>
  <c r="BI37" i="32"/>
  <c r="BH37" i="32"/>
  <c r="BJ36" i="32"/>
  <c r="BI36" i="32"/>
  <c r="BH36" i="32"/>
  <c r="BJ35" i="32"/>
  <c r="BI35" i="32"/>
  <c r="BH35" i="32"/>
  <c r="O399" i="32" l="1"/>
  <c r="L166" i="32"/>
  <c r="Q362" i="32"/>
  <c r="P362" i="32"/>
  <c r="O362" i="32"/>
  <c r="Q363" i="32"/>
  <c r="P363" i="32"/>
  <c r="O363" i="32"/>
  <c r="M193" i="32"/>
  <c r="BL218" i="32"/>
  <c r="BL296" i="32"/>
  <c r="M166" i="32"/>
  <c r="L193" i="32"/>
  <c r="BL217" i="32"/>
  <c r="BK207" i="32"/>
  <c r="BL304" i="32"/>
  <c r="BL214" i="32"/>
  <c r="H277" i="32"/>
  <c r="BL213" i="32"/>
  <c r="H212" i="32"/>
  <c r="BK332" i="32"/>
  <c r="BL206" i="32"/>
  <c r="BK209" i="32"/>
  <c r="BK271" i="32"/>
  <c r="BK289" i="32"/>
  <c r="BL267" i="32"/>
  <c r="BL233" i="32"/>
  <c r="H210" i="32"/>
  <c r="BK73" i="32"/>
  <c r="H216" i="32"/>
  <c r="BL272" i="32"/>
  <c r="BL71" i="32"/>
  <c r="BK236" i="32"/>
  <c r="BK257" i="32"/>
  <c r="BK265" i="32"/>
  <c r="BL98" i="32"/>
  <c r="BK125" i="32"/>
  <c r="BK133" i="32"/>
  <c r="BK268" i="32"/>
  <c r="BK216" i="32"/>
  <c r="BL210" i="32"/>
  <c r="BL207" i="32"/>
  <c r="H206" i="32"/>
  <c r="BL120" i="32"/>
  <c r="BL128" i="32"/>
  <c r="BK213" i="32"/>
  <c r="BL208" i="32"/>
  <c r="BK214" i="32"/>
  <c r="BL211" i="32"/>
  <c r="BL209" i="32"/>
  <c r="BK37" i="32"/>
  <c r="BK66" i="32"/>
  <c r="BK74" i="32"/>
  <c r="BK82" i="32"/>
  <c r="BK95" i="32"/>
  <c r="BK103" i="32"/>
  <c r="BK119" i="32"/>
  <c r="BL215" i="32"/>
  <c r="H214" i="32"/>
  <c r="BL212" i="32"/>
  <c r="BK206" i="32"/>
  <c r="BK212" i="32"/>
  <c r="BK208" i="32"/>
  <c r="BK217" i="32"/>
  <c r="BL107" i="32"/>
  <c r="BK290" i="32"/>
  <c r="H208" i="32"/>
  <c r="BK210" i="32"/>
  <c r="BL152" i="32"/>
  <c r="BL216" i="32"/>
  <c r="BK215" i="32"/>
  <c r="BK211" i="32"/>
  <c r="BK157" i="32"/>
  <c r="BL268" i="32"/>
  <c r="H215" i="32"/>
  <c r="H207" i="32"/>
  <c r="H211" i="32"/>
  <c r="H209" i="32"/>
  <c r="H217" i="32"/>
  <c r="H213" i="32"/>
  <c r="BK231" i="32"/>
  <c r="BL43" i="32"/>
  <c r="BK78" i="32"/>
  <c r="BK123" i="32"/>
  <c r="BK131" i="32"/>
  <c r="BL94" i="32"/>
  <c r="BL184" i="32"/>
  <c r="BL258" i="32"/>
  <c r="BK305" i="32"/>
  <c r="BK320" i="32"/>
  <c r="BK108" i="32"/>
  <c r="BK331" i="32"/>
  <c r="BK48" i="32"/>
  <c r="BK77" i="32"/>
  <c r="BL103" i="32"/>
  <c r="BL119" i="32"/>
  <c r="BL290" i="32"/>
  <c r="BK318" i="32"/>
  <c r="BK334" i="32"/>
  <c r="BK306" i="32"/>
  <c r="BL321" i="32"/>
  <c r="BL124" i="32"/>
  <c r="BK177" i="32"/>
  <c r="BK122" i="32"/>
  <c r="BK188" i="32"/>
  <c r="BL241" i="32"/>
  <c r="BK262" i="32"/>
  <c r="BK36" i="32"/>
  <c r="BK104" i="32"/>
  <c r="BL154" i="32"/>
  <c r="BL329" i="32"/>
  <c r="BL136" i="32"/>
  <c r="BK152" i="32"/>
  <c r="BL293" i="32"/>
  <c r="BL158" i="32"/>
  <c r="BL240" i="32"/>
  <c r="BL271" i="32"/>
  <c r="BK97" i="32"/>
  <c r="BL205" i="32"/>
  <c r="BL237" i="32"/>
  <c r="BL101" i="32"/>
  <c r="BL180" i="32"/>
  <c r="BL264" i="32"/>
  <c r="BK244" i="32"/>
  <c r="BL149" i="32"/>
  <c r="BK160" i="32"/>
  <c r="BL186" i="32"/>
  <c r="BL295" i="32"/>
  <c r="BL185" i="32"/>
  <c r="BL79" i="32"/>
  <c r="BK260" i="32"/>
  <c r="BK319" i="32"/>
  <c r="BL80" i="32"/>
  <c r="BL121" i="32"/>
  <c r="BL161" i="32"/>
  <c r="BK203" i="32"/>
  <c r="BL263" i="32"/>
  <c r="BL291" i="32"/>
  <c r="BL327" i="32"/>
  <c r="BK42" i="32"/>
  <c r="BL68" i="32"/>
  <c r="BK71" i="32"/>
  <c r="BK76" i="32"/>
  <c r="BK81" i="32"/>
  <c r="BK102" i="32"/>
  <c r="BK146" i="32"/>
  <c r="BK159" i="32"/>
  <c r="BK180" i="32"/>
  <c r="BK187" i="32"/>
  <c r="BK247" i="32"/>
  <c r="BK274" i="32"/>
  <c r="BL302" i="32"/>
  <c r="BL322" i="32"/>
  <c r="BL335" i="32"/>
  <c r="BK174" i="32"/>
  <c r="BL269" i="32"/>
  <c r="BK45" i="32"/>
  <c r="BK55" i="32"/>
  <c r="BL66" i="32"/>
  <c r="BK69" i="32"/>
  <c r="BL77" i="32"/>
  <c r="BK92" i="32"/>
  <c r="BK100" i="32"/>
  <c r="BK105" i="32"/>
  <c r="BK134" i="32"/>
  <c r="BL157" i="32"/>
  <c r="BL178" i="32"/>
  <c r="BK292" i="32"/>
  <c r="BL300" i="32"/>
  <c r="BK303" i="32"/>
  <c r="BK328" i="32"/>
  <c r="BL156" i="32"/>
  <c r="BK185" i="32"/>
  <c r="BL78" i="32"/>
  <c r="BL332" i="32"/>
  <c r="BL54" i="32"/>
  <c r="BK75" i="32"/>
  <c r="BK79" i="32"/>
  <c r="BK98" i="32"/>
  <c r="BL129" i="32"/>
  <c r="BK132" i="32"/>
  <c r="BK176" i="32"/>
  <c r="BK181" i="32"/>
  <c r="BL201" i="32"/>
  <c r="BK261" i="32"/>
  <c r="BK266" i="32"/>
  <c r="BL298" i="32"/>
  <c r="BL326" i="32"/>
  <c r="BL331" i="32"/>
  <c r="BL122" i="32"/>
  <c r="BK41" i="32"/>
  <c r="BK93" i="32"/>
  <c r="BK135" i="32"/>
  <c r="BK148" i="32"/>
  <c r="BL153" i="32"/>
  <c r="BK241" i="32"/>
  <c r="BK264" i="32"/>
  <c r="BK296" i="32"/>
  <c r="BK304" i="32"/>
  <c r="BL324" i="32"/>
  <c r="BK329" i="32"/>
  <c r="BL70" i="32"/>
  <c r="BL133" i="32"/>
  <c r="BK189" i="32"/>
  <c r="BK218" i="32"/>
  <c r="BK295" i="32"/>
  <c r="BK297" i="32"/>
  <c r="BL299" i="32"/>
  <c r="BL323" i="32"/>
  <c r="BL92" i="32"/>
  <c r="BL109" i="32"/>
  <c r="BL239" i="32"/>
  <c r="BL74" i="32"/>
  <c r="BL93" i="32"/>
  <c r="BK149" i="32"/>
  <c r="BK321" i="32"/>
  <c r="BK183" i="32"/>
  <c r="BL69" i="32"/>
  <c r="BL96" i="32"/>
  <c r="BL126" i="32"/>
  <c r="BL177" i="32"/>
  <c r="BK182" i="32"/>
  <c r="BL202" i="32"/>
  <c r="BK293" i="32"/>
  <c r="BL42" i="32"/>
  <c r="BL155" i="32"/>
  <c r="BL234" i="32"/>
  <c r="BK39" i="32"/>
  <c r="BK65" i="32"/>
  <c r="BK67" i="32"/>
  <c r="BJ85" i="32"/>
  <c r="BK99" i="32"/>
  <c r="BK106" i="32"/>
  <c r="BK147" i="32"/>
  <c r="BL175" i="32"/>
  <c r="BL236" i="32"/>
  <c r="BL246" i="32"/>
  <c r="BL259" i="32"/>
  <c r="BL273" i="32"/>
  <c r="BL306" i="32"/>
  <c r="BK324" i="32"/>
  <c r="BL319" i="32"/>
  <c r="BL82" i="32"/>
  <c r="BL104" i="32"/>
  <c r="BK130" i="32"/>
  <c r="BL135" i="32"/>
  <c r="BL160" i="32"/>
  <c r="BL173" i="32"/>
  <c r="BL188" i="32"/>
  <c r="BL247" i="32"/>
  <c r="BL274" i="32"/>
  <c r="BL294" i="32"/>
  <c r="BK298" i="32"/>
  <c r="BK300" i="32"/>
  <c r="BL303" i="32"/>
  <c r="BL127" i="32"/>
  <c r="BL35" i="32"/>
  <c r="BK80" i="32"/>
  <c r="BL95" i="32"/>
  <c r="BK151" i="32"/>
  <c r="BL163" i="32"/>
  <c r="BK179" i="32"/>
  <c r="BL235" i="32"/>
  <c r="BL245" i="32"/>
  <c r="BL270" i="32"/>
  <c r="BL320" i="32"/>
  <c r="BL232" i="32"/>
  <c r="BL244" i="32"/>
  <c r="BL106" i="32"/>
  <c r="BL151" i="32"/>
  <c r="BJ221" i="32"/>
  <c r="BK301" i="32"/>
  <c r="BK50" i="32"/>
  <c r="BJ58" i="32"/>
  <c r="BL100" i="32"/>
  <c r="BL102" i="32"/>
  <c r="BK109" i="32"/>
  <c r="BK126" i="32"/>
  <c r="BK163" i="32"/>
  <c r="BK173" i="32"/>
  <c r="BJ280" i="32"/>
  <c r="BJ309" i="32"/>
  <c r="BL301" i="32"/>
  <c r="BL333" i="32"/>
  <c r="BK54" i="32"/>
  <c r="BL75" i="32"/>
  <c r="BL97" i="32"/>
  <c r="BL108" i="32"/>
  <c r="BL261" i="32"/>
  <c r="BL132" i="32"/>
  <c r="BK162" i="32"/>
  <c r="BL183" i="32"/>
  <c r="BL230" i="32"/>
  <c r="BK263" i="32"/>
  <c r="BK269" i="32"/>
  <c r="BK35" i="32"/>
  <c r="BK40" i="32"/>
  <c r="BK70" i="32"/>
  <c r="BL72" i="32"/>
  <c r="BK94" i="32"/>
  <c r="BK96" i="32"/>
  <c r="BK107" i="32"/>
  <c r="BJ139" i="32"/>
  <c r="BK124" i="32"/>
  <c r="BL130" i="32"/>
  <c r="BL147" i="32"/>
  <c r="BL203" i="32"/>
  <c r="BL238" i="32"/>
  <c r="BL243" i="32"/>
  <c r="BK258" i="32"/>
  <c r="BL260" i="32"/>
  <c r="BL262" i="32"/>
  <c r="BK294" i="32"/>
  <c r="BK302" i="32"/>
  <c r="BK327" i="32"/>
  <c r="BL73" i="32"/>
  <c r="BL99" i="32"/>
  <c r="BL134" i="32"/>
  <c r="BJ166" i="32"/>
  <c r="BK200" i="32"/>
  <c r="BJ193" i="32"/>
  <c r="BL179" i="32"/>
  <c r="BK51" i="32"/>
  <c r="BL81" i="32"/>
  <c r="BJ112" i="32"/>
  <c r="BK101" i="32"/>
  <c r="BL105" i="32"/>
  <c r="BK120" i="32"/>
  <c r="BK129" i="32"/>
  <c r="BL131" i="32"/>
  <c r="BK136" i="32"/>
  <c r="BL148" i="32"/>
  <c r="BL150" i="32"/>
  <c r="BK155" i="32"/>
  <c r="BL159" i="32"/>
  <c r="BL176" i="32"/>
  <c r="BL187" i="32"/>
  <c r="BL189" i="32"/>
  <c r="BL204" i="32"/>
  <c r="BL231" i="32"/>
  <c r="BK239" i="32"/>
  <c r="BL266" i="32"/>
  <c r="BK273" i="32"/>
  <c r="BJ338" i="32"/>
  <c r="BK323" i="32"/>
  <c r="BL325" i="32"/>
  <c r="BL328" i="32"/>
  <c r="BL330" i="32"/>
  <c r="BK335" i="32"/>
  <c r="BL125" i="32"/>
  <c r="BK127" i="32"/>
  <c r="BL181" i="32"/>
  <c r="BK190" i="32"/>
  <c r="BL265" i="32"/>
  <c r="BK47" i="32"/>
  <c r="BL65" i="32"/>
  <c r="BL67" i="32"/>
  <c r="BK121" i="32"/>
  <c r="BL123" i="32"/>
  <c r="BK128" i="32"/>
  <c r="BK156" i="32"/>
  <c r="BK175" i="32"/>
  <c r="BK184" i="32"/>
  <c r="BK186" i="32"/>
  <c r="BK201" i="32"/>
  <c r="BJ250" i="32"/>
  <c r="BK233" i="32"/>
  <c r="BL242" i="32"/>
  <c r="BL257" i="32"/>
  <c r="BK270" i="32"/>
  <c r="BK272" i="32"/>
  <c r="BL289" i="32"/>
  <c r="BL297" i="32"/>
  <c r="BL305" i="32"/>
  <c r="BK326" i="32"/>
  <c r="BL318" i="32"/>
  <c r="BL334" i="32"/>
  <c r="BK325" i="32"/>
  <c r="BK333" i="32"/>
  <c r="BK322" i="32"/>
  <c r="BK330" i="32"/>
  <c r="BL292" i="32"/>
  <c r="BK291" i="32"/>
  <c r="BK299" i="32"/>
  <c r="BK259" i="32"/>
  <c r="BK267" i="32"/>
  <c r="BK230" i="32"/>
  <c r="BK238" i="32"/>
  <c r="BK246" i="32"/>
  <c r="BK235" i="32"/>
  <c r="BK243" i="32"/>
  <c r="BK232" i="32"/>
  <c r="BK240" i="32"/>
  <c r="BK237" i="32"/>
  <c r="BK245" i="32"/>
  <c r="BK234" i="32"/>
  <c r="BK242" i="32"/>
  <c r="BL200" i="32"/>
  <c r="BK205" i="32"/>
  <c r="BK202" i="32"/>
  <c r="BK204" i="32"/>
  <c r="BL174" i="32"/>
  <c r="BL182" i="32"/>
  <c r="BL190" i="32"/>
  <c r="BK178" i="32"/>
  <c r="BK154" i="32"/>
  <c r="BL146" i="32"/>
  <c r="BL162" i="32"/>
  <c r="BK153" i="32"/>
  <c r="BK161" i="32"/>
  <c r="BK150" i="32"/>
  <c r="BK158" i="32"/>
  <c r="BK68" i="32"/>
  <c r="BL76" i="32"/>
  <c r="BK72" i="32"/>
  <c r="BL55" i="32"/>
  <c r="BK43" i="32"/>
  <c r="BL53" i="32"/>
  <c r="BL45" i="32"/>
  <c r="BK44" i="32"/>
  <c r="BL37" i="32"/>
  <c r="BK49" i="32"/>
  <c r="BK52" i="32"/>
  <c r="BL39" i="32"/>
  <c r="BL44" i="32"/>
  <c r="BL46" i="32"/>
  <c r="BL48" i="32"/>
  <c r="BL51" i="32"/>
  <c r="BK53" i="32"/>
  <c r="BL49" i="32"/>
  <c r="BL47" i="32"/>
  <c r="BL36" i="32"/>
  <c r="BL38" i="32"/>
  <c r="BL40" i="32"/>
  <c r="BL52" i="32"/>
  <c r="BL50" i="32"/>
  <c r="BK38" i="32"/>
  <c r="BL41" i="32"/>
  <c r="BK46" i="32"/>
  <c r="F112" i="32"/>
  <c r="M109" i="32"/>
  <c r="L109" i="32"/>
  <c r="M108" i="32"/>
  <c r="L108" i="32"/>
  <c r="M107" i="32"/>
  <c r="L107" i="32"/>
  <c r="M106" i="32"/>
  <c r="L106" i="32"/>
  <c r="M105" i="32"/>
  <c r="L105" i="32"/>
  <c r="M104" i="32"/>
  <c r="L104" i="32"/>
  <c r="M103" i="32"/>
  <c r="L103" i="32"/>
  <c r="M102" i="32"/>
  <c r="L102" i="32"/>
  <c r="M101" i="32"/>
  <c r="L101" i="32"/>
  <c r="M100" i="32"/>
  <c r="L100" i="32"/>
  <c r="M99" i="32"/>
  <c r="L99" i="32"/>
  <c r="M98" i="32"/>
  <c r="L98" i="32"/>
  <c r="M97" i="32"/>
  <c r="L97" i="32"/>
  <c r="M96" i="32"/>
  <c r="L96" i="32"/>
  <c r="M95" i="32"/>
  <c r="L95" i="32"/>
  <c r="M94" i="32"/>
  <c r="L94" i="32"/>
  <c r="M93" i="32"/>
  <c r="L93" i="32"/>
  <c r="M92" i="32"/>
  <c r="L92" i="32"/>
  <c r="F139" i="32"/>
  <c r="M136" i="32"/>
  <c r="L136" i="32"/>
  <c r="M135" i="32"/>
  <c r="L135" i="32"/>
  <c r="M134" i="32"/>
  <c r="L134" i="32"/>
  <c r="M133" i="32"/>
  <c r="L133" i="32"/>
  <c r="M132" i="32"/>
  <c r="L132" i="32"/>
  <c r="M131" i="32"/>
  <c r="L131" i="32"/>
  <c r="M130" i="32"/>
  <c r="L130" i="32"/>
  <c r="M129" i="32"/>
  <c r="L129" i="32"/>
  <c r="M128" i="32"/>
  <c r="L128" i="32"/>
  <c r="M127" i="32"/>
  <c r="L127" i="32"/>
  <c r="M126" i="32"/>
  <c r="L126" i="32"/>
  <c r="M125" i="32"/>
  <c r="L125" i="32"/>
  <c r="M124" i="32"/>
  <c r="L124" i="32"/>
  <c r="M123" i="32"/>
  <c r="L123" i="32"/>
  <c r="M122" i="32"/>
  <c r="L122" i="32"/>
  <c r="M121" i="32"/>
  <c r="L121" i="32"/>
  <c r="M120" i="32"/>
  <c r="L120" i="32"/>
  <c r="M119" i="32"/>
  <c r="L119" i="32"/>
  <c r="F85" i="32"/>
  <c r="F58" i="32"/>
  <c r="M82" i="32"/>
  <c r="L82" i="32"/>
  <c r="M81" i="32"/>
  <c r="L81" i="32"/>
  <c r="M80" i="32"/>
  <c r="L80" i="32"/>
  <c r="M79" i="32"/>
  <c r="L79" i="32"/>
  <c r="M78" i="32"/>
  <c r="L78" i="32"/>
  <c r="M77" i="32"/>
  <c r="L77" i="32"/>
  <c r="M76" i="32"/>
  <c r="L76" i="32"/>
  <c r="M75" i="32"/>
  <c r="L75" i="32"/>
  <c r="M74" i="32"/>
  <c r="L74" i="32"/>
  <c r="M73" i="32"/>
  <c r="L73" i="32"/>
  <c r="M72" i="32"/>
  <c r="L72" i="32"/>
  <c r="M71" i="32"/>
  <c r="L71" i="32"/>
  <c r="M70" i="32"/>
  <c r="L70" i="32"/>
  <c r="M69" i="32"/>
  <c r="L69" i="32"/>
  <c r="M68" i="32"/>
  <c r="L68" i="32"/>
  <c r="M67" i="32"/>
  <c r="L67" i="32"/>
  <c r="M66" i="32"/>
  <c r="L66" i="32"/>
  <c r="M65" i="32"/>
  <c r="L65" i="32"/>
  <c r="C6" i="5"/>
  <c r="M55" i="32"/>
  <c r="L55" i="32"/>
  <c r="M54" i="32"/>
  <c r="L54" i="32"/>
  <c r="M53" i="32"/>
  <c r="L53" i="32"/>
  <c r="M52" i="32"/>
  <c r="L52" i="32"/>
  <c r="M51" i="32"/>
  <c r="L51" i="32"/>
  <c r="M50" i="32"/>
  <c r="L50" i="32"/>
  <c r="M49" i="32"/>
  <c r="L49" i="32"/>
  <c r="M48" i="32"/>
  <c r="L48" i="32"/>
  <c r="M47" i="32"/>
  <c r="L47" i="32"/>
  <c r="M46" i="32"/>
  <c r="L46" i="32"/>
  <c r="M45" i="32"/>
  <c r="L45" i="32"/>
  <c r="M44" i="32"/>
  <c r="L44" i="32"/>
  <c r="M43" i="32"/>
  <c r="L43" i="32"/>
  <c r="M42" i="32"/>
  <c r="L42" i="32"/>
  <c r="M41" i="32"/>
  <c r="L41" i="32"/>
  <c r="M40" i="32"/>
  <c r="L40" i="32"/>
  <c r="M39" i="32"/>
  <c r="L39" i="32"/>
  <c r="M38" i="32"/>
  <c r="L38" i="32"/>
  <c r="M37" i="32"/>
  <c r="L37" i="32"/>
  <c r="L36" i="32"/>
  <c r="M36" i="32"/>
  <c r="M35" i="32"/>
  <c r="L35" i="32"/>
  <c r="PL7" i="31"/>
  <c r="PM7" i="31"/>
  <c r="PN7" i="31"/>
  <c r="PO7" i="31"/>
  <c r="PP7" i="31"/>
  <c r="PQ7" i="31"/>
  <c r="PR7" i="31"/>
  <c r="PS7" i="31"/>
  <c r="PT7" i="31"/>
  <c r="PU7" i="31"/>
  <c r="PV7" i="31"/>
  <c r="PW7" i="31"/>
  <c r="PX7" i="31"/>
  <c r="PY7" i="31"/>
  <c r="PZ7" i="31"/>
  <c r="OL7" i="31"/>
  <c r="OM7" i="31"/>
  <c r="ON7" i="31"/>
  <c r="OO7" i="31"/>
  <c r="OP7" i="31"/>
  <c r="OQ7" i="31"/>
  <c r="OR7" i="31"/>
  <c r="OS7" i="31"/>
  <c r="OT7" i="31"/>
  <c r="OU7" i="31"/>
  <c r="OV7" i="31"/>
  <c r="OW7" i="31"/>
  <c r="OX7" i="31"/>
  <c r="OY7" i="31"/>
  <c r="OZ7" i="31"/>
  <c r="NL7" i="31"/>
  <c r="NM7" i="31"/>
  <c r="NN7" i="31"/>
  <c r="NO7" i="31"/>
  <c r="NP7" i="31"/>
  <c r="NQ7" i="31"/>
  <c r="NR7" i="31"/>
  <c r="NS7" i="31"/>
  <c r="NT7" i="31"/>
  <c r="NU7" i="31"/>
  <c r="NV7" i="31"/>
  <c r="NW7" i="31"/>
  <c r="NX7" i="31"/>
  <c r="NY7" i="31"/>
  <c r="NZ7" i="31"/>
  <c r="LI7" i="31"/>
  <c r="LJ7" i="31"/>
  <c r="LK7" i="31"/>
  <c r="LL7" i="31"/>
  <c r="LM7" i="31"/>
  <c r="LN7" i="31"/>
  <c r="LO7" i="31"/>
  <c r="LP7" i="31"/>
  <c r="LQ7" i="31"/>
  <c r="LR7" i="31"/>
  <c r="LS7" i="31"/>
  <c r="LT7" i="31"/>
  <c r="LU7" i="31"/>
  <c r="LV7" i="31"/>
  <c r="LW7" i="31"/>
  <c r="LX7" i="31"/>
  <c r="LY7" i="31"/>
  <c r="LZ7" i="31"/>
  <c r="KL7" i="31"/>
  <c r="KM7" i="31"/>
  <c r="KN7" i="31"/>
  <c r="KO7" i="31"/>
  <c r="KP7" i="31"/>
  <c r="KQ7" i="31"/>
  <c r="KR7" i="31"/>
  <c r="KS7" i="31"/>
  <c r="KT7" i="31"/>
  <c r="KU7" i="31"/>
  <c r="KV7" i="31"/>
  <c r="KW7" i="31"/>
  <c r="KX7" i="31"/>
  <c r="KY7" i="31"/>
  <c r="KZ7" i="31"/>
  <c r="JL7" i="31"/>
  <c r="JM7" i="31"/>
  <c r="JN7" i="31"/>
  <c r="JO7" i="31"/>
  <c r="JP7" i="31"/>
  <c r="JQ7" i="31"/>
  <c r="JR7" i="31"/>
  <c r="JS7" i="31"/>
  <c r="JT7" i="31"/>
  <c r="JU7" i="31"/>
  <c r="JV7" i="31"/>
  <c r="JW7" i="31"/>
  <c r="JX7" i="31"/>
  <c r="JY7" i="31"/>
  <c r="JZ7" i="31"/>
  <c r="IL7" i="31"/>
  <c r="IM7" i="31"/>
  <c r="IN7" i="31"/>
  <c r="IO7" i="31"/>
  <c r="IP7" i="31"/>
  <c r="IQ7" i="31"/>
  <c r="IR7" i="31"/>
  <c r="IS7" i="31"/>
  <c r="IT7" i="31"/>
  <c r="IU7" i="31"/>
  <c r="IV7" i="31"/>
  <c r="IW7" i="31"/>
  <c r="IX7" i="31"/>
  <c r="IY7" i="31"/>
  <c r="IZ7" i="31"/>
  <c r="HL7" i="31"/>
  <c r="HM7" i="31"/>
  <c r="HN7" i="31"/>
  <c r="HO7" i="31"/>
  <c r="HP7" i="31"/>
  <c r="HQ7" i="31"/>
  <c r="HR7" i="31"/>
  <c r="HS7" i="31"/>
  <c r="HT7" i="31"/>
  <c r="HU7" i="31"/>
  <c r="HV7" i="31"/>
  <c r="HW7" i="31"/>
  <c r="HX7" i="31"/>
  <c r="HY7" i="31"/>
  <c r="HZ7" i="31"/>
  <c r="ML7" i="31"/>
  <c r="MM7" i="31"/>
  <c r="MN7" i="31"/>
  <c r="MO7" i="31"/>
  <c r="MP7" i="31"/>
  <c r="MQ7" i="31"/>
  <c r="MR7" i="31"/>
  <c r="MS7" i="31"/>
  <c r="MT7" i="31"/>
  <c r="MU7" i="31"/>
  <c r="MV7" i="31"/>
  <c r="MW7" i="31"/>
  <c r="MX7" i="31"/>
  <c r="MY7" i="31"/>
  <c r="MZ7" i="31"/>
  <c r="NA7" i="31"/>
  <c r="NB7" i="31"/>
  <c r="NC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DU7" i="31"/>
  <c r="DV7" i="31"/>
  <c r="DW7" i="31"/>
  <c r="DX7" i="31"/>
  <c r="DY7" i="31"/>
  <c r="DZ7" i="31"/>
  <c r="EA7" i="31"/>
  <c r="EB7" i="31"/>
  <c r="EC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FB4" i="31"/>
  <c r="M10" i="32" l="1"/>
  <c r="M18" i="32"/>
  <c r="P18" i="32"/>
  <c r="L20" i="32"/>
  <c r="L18" i="32"/>
  <c r="L17" i="32"/>
  <c r="Q18" i="32"/>
  <c r="M20" i="32"/>
  <c r="M21" i="32"/>
  <c r="M17" i="32"/>
  <c r="R18" i="32"/>
  <c r="L22" i="32"/>
  <c r="M19" i="32"/>
  <c r="L11" i="32"/>
  <c r="L19" i="32"/>
  <c r="M22" i="32"/>
  <c r="M11" i="32"/>
  <c r="L24" i="32"/>
  <c r="P19" i="32"/>
  <c r="L21" i="32"/>
  <c r="M24" i="32"/>
  <c r="L10" i="32"/>
  <c r="Q19" i="32"/>
  <c r="O364" i="32"/>
  <c r="P17" i="32" s="1"/>
  <c r="Q364" i="32"/>
  <c r="R17" i="32" s="1"/>
  <c r="P364" i="32"/>
  <c r="Q17" i="32" s="1"/>
  <c r="J7" i="32"/>
  <c r="J15" i="32"/>
  <c r="J23" i="32"/>
  <c r="J22" i="32"/>
  <c r="J8" i="32"/>
  <c r="J16" i="32"/>
  <c r="J24" i="32"/>
  <c r="J9" i="32"/>
  <c r="J17" i="32"/>
  <c r="J6" i="32"/>
  <c r="J10" i="32"/>
  <c r="J18" i="32"/>
  <c r="J11" i="32"/>
  <c r="J19" i="32"/>
  <c r="J12" i="32"/>
  <c r="J20" i="32"/>
  <c r="J13" i="32"/>
  <c r="J21" i="32"/>
  <c r="J14" i="32"/>
  <c r="M85" i="32"/>
  <c r="M7" i="32" s="1"/>
  <c r="M112" i="32"/>
  <c r="M8" i="32" s="1"/>
  <c r="L112" i="32"/>
  <c r="L8" i="32" s="1"/>
  <c r="L58" i="32"/>
  <c r="L6" i="32" s="1"/>
  <c r="Q281" i="32"/>
  <c r="P281" i="32"/>
  <c r="O281" i="32"/>
  <c r="L139" i="32"/>
  <c r="L9" i="32" s="1"/>
  <c r="M58" i="32"/>
  <c r="M6" i="32" s="1"/>
  <c r="M139" i="32"/>
  <c r="M9" i="32" s="1"/>
  <c r="L85" i="32"/>
  <c r="L7" i="32" s="1"/>
  <c r="BL338" i="32"/>
  <c r="BL309" i="32"/>
  <c r="BL139" i="32"/>
  <c r="BK112" i="32"/>
  <c r="BK85" i="32"/>
  <c r="BK221" i="32"/>
  <c r="BK280" i="32"/>
  <c r="BL112" i="32"/>
  <c r="BK193" i="32"/>
  <c r="BK139" i="32"/>
  <c r="BK166" i="32"/>
  <c r="BL280" i="32"/>
  <c r="BL250" i="32"/>
  <c r="BK58" i="32"/>
  <c r="BL58" i="32"/>
  <c r="BL193" i="32"/>
  <c r="BL166" i="32"/>
  <c r="BK309" i="32"/>
  <c r="BL85" i="32"/>
  <c r="BK338" i="32"/>
  <c r="H122" i="32"/>
  <c r="H100" i="32"/>
  <c r="H96" i="32"/>
  <c r="BK250" i="32"/>
  <c r="BL221" i="32"/>
  <c r="H134" i="32"/>
  <c r="H93" i="32"/>
  <c r="H97" i="32"/>
  <c r="H101" i="32"/>
  <c r="H102" i="32"/>
  <c r="H119" i="32"/>
  <c r="H105" i="32"/>
  <c r="H120" i="32"/>
  <c r="H106" i="32"/>
  <c r="H128" i="32"/>
  <c r="H66" i="32"/>
  <c r="H78" i="32"/>
  <c r="H82" i="32"/>
  <c r="H125" i="32"/>
  <c r="H75" i="32"/>
  <c r="H69" i="32"/>
  <c r="H81" i="32"/>
  <c r="H132" i="32"/>
  <c r="H136" i="32"/>
  <c r="H104" i="32"/>
  <c r="H108" i="32"/>
  <c r="H109" i="32"/>
  <c r="H133" i="32"/>
  <c r="H123" i="32"/>
  <c r="H131" i="32"/>
  <c r="H135" i="32"/>
  <c r="H92" i="32"/>
  <c r="H103" i="32"/>
  <c r="H79" i="32"/>
  <c r="H107" i="32"/>
  <c r="H130" i="32"/>
  <c r="H127" i="32"/>
  <c r="H95" i="32"/>
  <c r="H98" i="32"/>
  <c r="H99" i="32"/>
  <c r="H94" i="32"/>
  <c r="H74" i="32"/>
  <c r="H126" i="32"/>
  <c r="H129" i="32"/>
  <c r="H76" i="32"/>
  <c r="H124" i="32"/>
  <c r="H121" i="32"/>
  <c r="H67" i="32"/>
  <c r="H71" i="32"/>
  <c r="H65" i="32"/>
  <c r="H72" i="32"/>
  <c r="H68" i="32"/>
  <c r="H80" i="32"/>
  <c r="H70" i="32"/>
  <c r="H73" i="32"/>
  <c r="H77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M333" i="32"/>
  <c r="L333" i="32"/>
  <c r="M332" i="32"/>
  <c r="L332" i="32"/>
  <c r="M331" i="32"/>
  <c r="L331" i="32"/>
  <c r="M330" i="32"/>
  <c r="L330" i="32"/>
  <c r="M329" i="32"/>
  <c r="L329" i="32"/>
  <c r="M328" i="32"/>
  <c r="L328" i="32"/>
  <c r="M327" i="32"/>
  <c r="L327" i="32"/>
  <c r="M326" i="32"/>
  <c r="L326" i="32"/>
  <c r="M325" i="32"/>
  <c r="L325" i="32"/>
  <c r="M324" i="32"/>
  <c r="L324" i="32"/>
  <c r="M323" i="32"/>
  <c r="L323" i="32"/>
  <c r="M322" i="32"/>
  <c r="L322" i="32"/>
  <c r="M321" i="32"/>
  <c r="L321" i="32"/>
  <c r="M320" i="32"/>
  <c r="L320" i="32"/>
  <c r="M319" i="32"/>
  <c r="L319" i="32"/>
  <c r="M318" i="32"/>
  <c r="L318" i="32"/>
  <c r="N10" i="32" l="1"/>
  <c r="N21" i="32"/>
  <c r="N7" i="32"/>
  <c r="O18" i="32"/>
  <c r="O17" i="32"/>
  <c r="N24" i="32"/>
  <c r="N19" i="32"/>
  <c r="N9" i="32"/>
  <c r="N11" i="32"/>
  <c r="N17" i="32"/>
  <c r="N18" i="32"/>
  <c r="N22" i="32"/>
  <c r="N20" i="32"/>
  <c r="N8" i="32"/>
  <c r="N6" i="32"/>
  <c r="L336" i="32"/>
  <c r="L16" i="32" s="1"/>
  <c r="M336" i="32"/>
  <c r="M16" i="32" s="1"/>
  <c r="P139" i="32"/>
  <c r="Q9" i="32" s="1"/>
  <c r="Q139" i="32"/>
  <c r="R9" i="32" s="1"/>
  <c r="O139" i="32"/>
  <c r="P9" i="32" s="1"/>
  <c r="P85" i="32"/>
  <c r="Q7" i="32" s="1"/>
  <c r="O85" i="32"/>
  <c r="P7" i="32" s="1"/>
  <c r="Q85" i="32"/>
  <c r="R7" i="32" s="1"/>
  <c r="Q112" i="32"/>
  <c r="R8" i="32" s="1"/>
  <c r="P112" i="32"/>
  <c r="Q8" i="32" s="1"/>
  <c r="O112" i="32"/>
  <c r="P8" i="32" s="1"/>
  <c r="O58" i="32"/>
  <c r="P6" i="32" s="1"/>
  <c r="Q58" i="32"/>
  <c r="R6" i="32" s="1"/>
  <c r="P58" i="32"/>
  <c r="Q6" i="32" s="1"/>
  <c r="H332" i="32"/>
  <c r="H331" i="32"/>
  <c r="H330" i="32"/>
  <c r="H328" i="32"/>
  <c r="H327" i="32"/>
  <c r="H326" i="32"/>
  <c r="H325" i="32"/>
  <c r="H323" i="32"/>
  <c r="H322" i="32"/>
  <c r="H321" i="32"/>
  <c r="H320" i="32"/>
  <c r="H319" i="32"/>
  <c r="H318" i="32"/>
  <c r="H324" i="32"/>
  <c r="H329" i="32"/>
  <c r="H333" i="32"/>
  <c r="M308" i="32"/>
  <c r="L308" i="32"/>
  <c r="M307" i="32"/>
  <c r="L307" i="32"/>
  <c r="M306" i="32"/>
  <c r="L306" i="32"/>
  <c r="M305" i="32"/>
  <c r="L305" i="32"/>
  <c r="M304" i="32"/>
  <c r="L304" i="32"/>
  <c r="M303" i="32"/>
  <c r="L303" i="32"/>
  <c r="M302" i="32"/>
  <c r="L302" i="32"/>
  <c r="M301" i="32"/>
  <c r="L301" i="32"/>
  <c r="M300" i="32"/>
  <c r="L300" i="32"/>
  <c r="M299" i="32"/>
  <c r="L299" i="32"/>
  <c r="M298" i="32"/>
  <c r="L298" i="32"/>
  <c r="M297" i="32"/>
  <c r="L297" i="32"/>
  <c r="M296" i="32"/>
  <c r="L296" i="32"/>
  <c r="M295" i="32"/>
  <c r="L295" i="32"/>
  <c r="M294" i="32"/>
  <c r="L294" i="32"/>
  <c r="M293" i="32"/>
  <c r="L293" i="32"/>
  <c r="M292" i="32"/>
  <c r="L292" i="32"/>
  <c r="M291" i="32"/>
  <c r="L291" i="32"/>
  <c r="M290" i="32"/>
  <c r="L290" i="32"/>
  <c r="M289" i="32"/>
  <c r="L289" i="32"/>
  <c r="M276" i="32"/>
  <c r="L276" i="32"/>
  <c r="M275" i="32"/>
  <c r="L275" i="32"/>
  <c r="M274" i="32"/>
  <c r="L274" i="32"/>
  <c r="M273" i="32"/>
  <c r="L273" i="32"/>
  <c r="M272" i="32"/>
  <c r="L272" i="32"/>
  <c r="M271" i="32"/>
  <c r="L271" i="32"/>
  <c r="M270" i="32"/>
  <c r="L270" i="32"/>
  <c r="M269" i="32"/>
  <c r="L269" i="32"/>
  <c r="M268" i="32"/>
  <c r="L268" i="32"/>
  <c r="M267" i="32"/>
  <c r="L267" i="32"/>
  <c r="M266" i="32"/>
  <c r="L266" i="32"/>
  <c r="M265" i="32"/>
  <c r="L265" i="32"/>
  <c r="M264" i="32"/>
  <c r="L264" i="32"/>
  <c r="M263" i="32"/>
  <c r="L263" i="32"/>
  <c r="M262" i="32"/>
  <c r="L262" i="32"/>
  <c r="M261" i="32"/>
  <c r="L261" i="32"/>
  <c r="M260" i="32"/>
  <c r="L260" i="32"/>
  <c r="M259" i="32"/>
  <c r="L259" i="32"/>
  <c r="M258" i="32"/>
  <c r="L258" i="32"/>
  <c r="M257" i="32"/>
  <c r="L257" i="32"/>
  <c r="M247" i="32"/>
  <c r="L247" i="32"/>
  <c r="M246" i="32"/>
  <c r="L246" i="32"/>
  <c r="M245" i="32"/>
  <c r="L245" i="32"/>
  <c r="M244" i="32"/>
  <c r="L244" i="32"/>
  <c r="M243" i="32"/>
  <c r="L243" i="32"/>
  <c r="M242" i="32"/>
  <c r="L242" i="32"/>
  <c r="M241" i="32"/>
  <c r="L241" i="32"/>
  <c r="M240" i="32"/>
  <c r="L240" i="32"/>
  <c r="M239" i="32"/>
  <c r="L239" i="32"/>
  <c r="M238" i="32"/>
  <c r="L238" i="32"/>
  <c r="M237" i="32"/>
  <c r="L237" i="32"/>
  <c r="M236" i="32"/>
  <c r="L236" i="32"/>
  <c r="M235" i="32"/>
  <c r="L235" i="32"/>
  <c r="M234" i="32"/>
  <c r="L234" i="32"/>
  <c r="M233" i="32"/>
  <c r="L233" i="32"/>
  <c r="M232" i="32"/>
  <c r="L232" i="32"/>
  <c r="M231" i="32"/>
  <c r="L231" i="32"/>
  <c r="M230" i="32"/>
  <c r="L230" i="32"/>
  <c r="L218" i="32"/>
  <c r="M218" i="32"/>
  <c r="M200" i="32"/>
  <c r="M201" i="32"/>
  <c r="M202" i="32"/>
  <c r="M203" i="32"/>
  <c r="M204" i="32"/>
  <c r="L200" i="32"/>
  <c r="L201" i="32"/>
  <c r="L202" i="32"/>
  <c r="L203" i="32"/>
  <c r="L204" i="32"/>
  <c r="H174" i="32"/>
  <c r="H175" i="32"/>
  <c r="H176" i="32"/>
  <c r="H177" i="32"/>
  <c r="H178" i="32"/>
  <c r="H179" i="32"/>
  <c r="H180" i="32"/>
  <c r="H181" i="32"/>
  <c r="H182" i="32"/>
  <c r="H183" i="32"/>
  <c r="H184" i="32"/>
  <c r="H185" i="32"/>
  <c r="H186" i="32"/>
  <c r="H187" i="32"/>
  <c r="H188" i="32"/>
  <c r="H189" i="32"/>
  <c r="H190" i="32"/>
  <c r="H173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160" i="32"/>
  <c r="H161" i="32"/>
  <c r="H162" i="32"/>
  <c r="H163" i="32"/>
  <c r="H146" i="32"/>
  <c r="BJ588" i="32"/>
  <c r="BI588" i="32"/>
  <c r="BH588" i="32"/>
  <c r="H588" i="32"/>
  <c r="BJ587" i="32"/>
  <c r="BI587" i="32"/>
  <c r="BH587" i="32"/>
  <c r="H587" i="32"/>
  <c r="BJ586" i="32"/>
  <c r="BI586" i="32"/>
  <c r="BH586" i="32"/>
  <c r="H586" i="32"/>
  <c r="BJ585" i="32"/>
  <c r="BI585" i="32"/>
  <c r="BH585" i="32"/>
  <c r="H585" i="32"/>
  <c r="BJ584" i="32"/>
  <c r="BI584" i="32"/>
  <c r="BH584" i="32"/>
  <c r="H584" i="32"/>
  <c r="BJ583" i="32"/>
  <c r="BI583" i="32"/>
  <c r="BH583" i="32"/>
  <c r="H583" i="32"/>
  <c r="BJ582" i="32"/>
  <c r="BI582" i="32"/>
  <c r="BH582" i="32"/>
  <c r="H582" i="32"/>
  <c r="BJ581" i="32"/>
  <c r="BI581" i="32"/>
  <c r="BH581" i="32"/>
  <c r="H581" i="32"/>
  <c r="BJ580" i="32"/>
  <c r="BI580" i="32"/>
  <c r="BH580" i="32"/>
  <c r="H580" i="32"/>
  <c r="BJ579" i="32"/>
  <c r="BI579" i="32"/>
  <c r="BH579" i="32"/>
  <c r="H579" i="32"/>
  <c r="BJ578" i="32"/>
  <c r="BI578" i="32"/>
  <c r="BH578" i="32"/>
  <c r="H578" i="32"/>
  <c r="BJ577" i="32"/>
  <c r="BI577" i="32"/>
  <c r="BH577" i="32"/>
  <c r="H577" i="32"/>
  <c r="BJ576" i="32"/>
  <c r="BI576" i="32"/>
  <c r="BH576" i="32"/>
  <c r="H576" i="32"/>
  <c r="BJ575" i="32"/>
  <c r="BI575" i="32"/>
  <c r="BH575" i="32"/>
  <c r="H575" i="32"/>
  <c r="BJ574" i="32"/>
  <c r="BI574" i="32"/>
  <c r="BH574" i="32"/>
  <c r="H574" i="32"/>
  <c r="BJ573" i="32"/>
  <c r="BI573" i="32"/>
  <c r="BH573" i="32"/>
  <c r="H573" i="32"/>
  <c r="BJ572" i="32"/>
  <c r="BI572" i="32"/>
  <c r="BH572" i="32"/>
  <c r="H572" i="32"/>
  <c r="BJ571" i="32"/>
  <c r="BI571" i="32"/>
  <c r="BH571" i="32"/>
  <c r="H571" i="32"/>
  <c r="BJ570" i="32"/>
  <c r="BI570" i="32"/>
  <c r="BH570" i="32"/>
  <c r="H570" i="32"/>
  <c r="BJ569" i="32"/>
  <c r="BI569" i="32"/>
  <c r="BH569" i="32"/>
  <c r="H569" i="32"/>
  <c r="BJ568" i="32"/>
  <c r="BI568" i="32"/>
  <c r="BH568" i="32"/>
  <c r="H568" i="32"/>
  <c r="BJ567" i="32"/>
  <c r="BI567" i="32"/>
  <c r="BH567" i="32"/>
  <c r="H567" i="32"/>
  <c r="D106" i="7"/>
  <c r="G350" i="2"/>
  <c r="BJ104" i="38"/>
  <c r="AZ104" i="38"/>
  <c r="AP104" i="38"/>
  <c r="AF104" i="38"/>
  <c r="BJ103" i="38"/>
  <c r="AZ103" i="38"/>
  <c r="AP103" i="38"/>
  <c r="AF103" i="38"/>
  <c r="E71" i="38" s="1"/>
  <c r="BJ102" i="38"/>
  <c r="AZ102" i="38"/>
  <c r="AP102" i="38"/>
  <c r="AF102" i="38"/>
  <c r="JB77" i="38"/>
  <c r="IR77" i="38"/>
  <c r="IH77" i="38"/>
  <c r="HX77" i="38"/>
  <c r="HN77" i="38"/>
  <c r="HD77" i="38"/>
  <c r="GT77" i="38"/>
  <c r="GJ77" i="38"/>
  <c r="FZ77" i="38"/>
  <c r="FP77" i="38"/>
  <c r="FF77" i="38"/>
  <c r="EV77" i="38"/>
  <c r="EL77" i="38"/>
  <c r="EB77" i="38"/>
  <c r="DR77" i="38"/>
  <c r="DH77" i="38"/>
  <c r="CX77" i="38"/>
  <c r="CN77" i="38"/>
  <c r="CD77" i="38"/>
  <c r="BT77" i="38"/>
  <c r="BJ77" i="38"/>
  <c r="AZ77" i="38"/>
  <c r="AP77" i="38"/>
  <c r="AF77" i="38"/>
  <c r="JB76" i="38"/>
  <c r="IR76" i="38"/>
  <c r="IH76" i="38"/>
  <c r="HX76" i="38"/>
  <c r="HN76" i="38"/>
  <c r="HD76" i="38"/>
  <c r="GT76" i="38"/>
  <c r="GJ76" i="38"/>
  <c r="FZ76" i="38"/>
  <c r="FP76" i="38"/>
  <c r="FF76" i="38"/>
  <c r="EV76" i="38"/>
  <c r="EL76" i="38"/>
  <c r="EB76" i="38"/>
  <c r="DR76" i="38"/>
  <c r="DH76" i="38"/>
  <c r="CX76" i="38"/>
  <c r="CN76" i="38"/>
  <c r="CD76" i="38"/>
  <c r="BT76" i="38"/>
  <c r="E67" i="38" s="1"/>
  <c r="BJ76" i="38"/>
  <c r="AZ76" i="38"/>
  <c r="AP76" i="38"/>
  <c r="AF76" i="38"/>
  <c r="JB75" i="38"/>
  <c r="IR75" i="38"/>
  <c r="IH75" i="38"/>
  <c r="HX75" i="38"/>
  <c r="HN75" i="38"/>
  <c r="HD75" i="38"/>
  <c r="GT75" i="38"/>
  <c r="GJ75" i="38"/>
  <c r="FZ75" i="38"/>
  <c r="FP75" i="38"/>
  <c r="FF75" i="38"/>
  <c r="EV75" i="38"/>
  <c r="EL75" i="38"/>
  <c r="EB75" i="38"/>
  <c r="DR75" i="38"/>
  <c r="DH75" i="38"/>
  <c r="CX75" i="38"/>
  <c r="CN75" i="38"/>
  <c r="CD75" i="38"/>
  <c r="BT75" i="38"/>
  <c r="BJ75" i="38"/>
  <c r="E66" i="38" s="1"/>
  <c r="AZ75" i="38"/>
  <c r="AP75" i="38"/>
  <c r="AF75" i="38"/>
  <c r="E72" i="38"/>
  <c r="E70" i="38"/>
  <c r="E68" i="38"/>
  <c r="G55" i="38"/>
  <c r="F55" i="38"/>
  <c r="E55" i="38"/>
  <c r="D55" i="38"/>
  <c r="G50" i="38"/>
  <c r="F50" i="38"/>
  <c r="E50" i="38"/>
  <c r="D50" i="38"/>
  <c r="G49" i="38"/>
  <c r="F49" i="38"/>
  <c r="E49" i="38"/>
  <c r="D49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F43" i="38"/>
  <c r="G43" i="38" s="1"/>
  <c r="E43" i="38"/>
  <c r="D43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F41" i="38"/>
  <c r="E41" i="38"/>
  <c r="G41" i="38" s="1"/>
  <c r="D41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F40" i="38"/>
  <c r="E40" i="38"/>
  <c r="G40" i="38" s="1"/>
  <c r="D40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F39" i="38"/>
  <c r="G39" i="38" s="1"/>
  <c r="E39" i="38"/>
  <c r="D39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F38" i="38"/>
  <c r="E38" i="38"/>
  <c r="G38" i="38" s="1"/>
  <c r="D38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F37" i="38"/>
  <c r="G37" i="38" s="1"/>
  <c r="E37" i="38"/>
  <c r="D37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F35" i="38"/>
  <c r="G35" i="38" s="1"/>
  <c r="E35" i="38"/>
  <c r="D35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T33" i="38"/>
  <c r="S33" i="38"/>
  <c r="R33" i="38"/>
  <c r="R25" i="38" s="1"/>
  <c r="Q33" i="38"/>
  <c r="P33" i="38"/>
  <c r="O33" i="38"/>
  <c r="N33" i="38"/>
  <c r="M33" i="38"/>
  <c r="L33" i="38"/>
  <c r="K33" i="38"/>
  <c r="J33" i="38"/>
  <c r="J25" i="38" s="1"/>
  <c r="I33" i="38"/>
  <c r="H33" i="38"/>
  <c r="F33" i="38"/>
  <c r="E33" i="38"/>
  <c r="G33" i="38" s="1"/>
  <c r="D33" i="38"/>
  <c r="T32" i="38"/>
  <c r="S32" i="38"/>
  <c r="S25" i="38" s="1"/>
  <c r="R32" i="38"/>
  <c r="Q32" i="38"/>
  <c r="P32" i="38"/>
  <c r="O32" i="38"/>
  <c r="N32" i="38"/>
  <c r="M32" i="38"/>
  <c r="L32" i="38"/>
  <c r="K32" i="38"/>
  <c r="K25" i="38" s="1"/>
  <c r="J32" i="38"/>
  <c r="I32" i="38"/>
  <c r="H32" i="38"/>
  <c r="F32" i="38"/>
  <c r="E32" i="38"/>
  <c r="G32" i="38" s="1"/>
  <c r="D32" i="38"/>
  <c r="T31" i="38"/>
  <c r="T25" i="38" s="1"/>
  <c r="S31" i="38"/>
  <c r="R31" i="38"/>
  <c r="Q31" i="38"/>
  <c r="P31" i="38"/>
  <c r="O31" i="38"/>
  <c r="N31" i="38"/>
  <c r="M31" i="38"/>
  <c r="L31" i="38"/>
  <c r="L25" i="38" s="1"/>
  <c r="K31" i="38"/>
  <c r="J31" i="38"/>
  <c r="I31" i="38"/>
  <c r="H31" i="38"/>
  <c r="F31" i="38"/>
  <c r="E31" i="38"/>
  <c r="G31" i="38" s="1"/>
  <c r="D31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F30" i="38"/>
  <c r="E30" i="38"/>
  <c r="G30" i="38" s="1"/>
  <c r="D30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F29" i="38"/>
  <c r="G29" i="38" s="1"/>
  <c r="E29" i="38"/>
  <c r="D29" i="38"/>
  <c r="T28" i="38"/>
  <c r="S28" i="38"/>
  <c r="R28" i="38"/>
  <c r="Q28" i="38"/>
  <c r="P28" i="38"/>
  <c r="O28" i="38"/>
  <c r="O25" i="38" s="1"/>
  <c r="N28" i="38"/>
  <c r="M28" i="38"/>
  <c r="L28" i="38"/>
  <c r="K28" i="38"/>
  <c r="J28" i="38"/>
  <c r="I28" i="38"/>
  <c r="H28" i="38"/>
  <c r="G28" i="38"/>
  <c r="F28" i="38"/>
  <c r="E28" i="38"/>
  <c r="D28" i="38"/>
  <c r="T27" i="38"/>
  <c r="S27" i="38"/>
  <c r="R27" i="38"/>
  <c r="Q27" i="38"/>
  <c r="P27" i="38"/>
  <c r="P25" i="38" s="1"/>
  <c r="O27" i="38"/>
  <c r="N27" i="38"/>
  <c r="N25" i="38" s="1"/>
  <c r="M27" i="38"/>
  <c r="M25" i="38" s="1"/>
  <c r="L27" i="38"/>
  <c r="K27" i="38"/>
  <c r="J27" i="38"/>
  <c r="I27" i="38"/>
  <c r="H27" i="38"/>
  <c r="H25" i="38" s="1"/>
  <c r="F27" i="38"/>
  <c r="G27" i="38" s="1"/>
  <c r="G25" i="38" s="1"/>
  <c r="E27" i="38"/>
  <c r="E25" i="38" s="1"/>
  <c r="D27" i="38"/>
  <c r="Q25" i="38"/>
  <c r="I25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F18" i="38"/>
  <c r="G18" i="38" s="1"/>
  <c r="E18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F17" i="38"/>
  <c r="G17" i="38" s="1"/>
  <c r="E17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F15" i="38"/>
  <c r="G15" i="38" s="1"/>
  <c r="E15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F14" i="38"/>
  <c r="G14" i="38" s="1"/>
  <c r="E14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F13" i="38"/>
  <c r="G13" i="38" s="1"/>
  <c r="E13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F12" i="38"/>
  <c r="G12" i="38" s="1"/>
  <c r="E12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F11" i="38"/>
  <c r="G11" i="38" s="1"/>
  <c r="E11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F10" i="38"/>
  <c r="E10" i="38"/>
  <c r="G10" i="38" s="1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F9" i="38"/>
  <c r="E9" i="38"/>
  <c r="G9" i="38" s="1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F8" i="38"/>
  <c r="E8" i="38"/>
  <c r="G8" i="38" s="1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F7" i="38"/>
  <c r="E7" i="38"/>
  <c r="G7" i="38" s="1"/>
  <c r="T6" i="38"/>
  <c r="S6" i="38"/>
  <c r="S4" i="38" s="1"/>
  <c r="R6" i="38"/>
  <c r="R4" i="38" s="1"/>
  <c r="Q6" i="38"/>
  <c r="Q4" i="38" s="1"/>
  <c r="P6" i="38"/>
  <c r="O6" i="38"/>
  <c r="N6" i="38"/>
  <c r="N4" i="38" s="1"/>
  <c r="M6" i="38"/>
  <c r="L6" i="38"/>
  <c r="L4" i="38" s="1"/>
  <c r="K6" i="38"/>
  <c r="K4" i="38" s="1"/>
  <c r="J6" i="38"/>
  <c r="J4" i="38" s="1"/>
  <c r="I6" i="38"/>
  <c r="I4" i="38" s="1"/>
  <c r="H6" i="38"/>
  <c r="F6" i="38"/>
  <c r="E6" i="38"/>
  <c r="G6" i="38" s="1"/>
  <c r="T4" i="38"/>
  <c r="P4" i="38"/>
  <c r="O4" i="38"/>
  <c r="M4" i="38"/>
  <c r="H4" i="38"/>
  <c r="F4" i="38"/>
  <c r="E4" i="38"/>
  <c r="S4" i="31"/>
  <c r="G55" i="37"/>
  <c r="F55" i="37"/>
  <c r="E55" i="37"/>
  <c r="D55" i="37"/>
  <c r="G50" i="37"/>
  <c r="F50" i="37"/>
  <c r="E50" i="37"/>
  <c r="G49" i="37"/>
  <c r="F49" i="37"/>
  <c r="E49" i="37"/>
  <c r="D50" i="37"/>
  <c r="D49" i="37"/>
  <c r="BO9" i="36"/>
  <c r="BO10" i="36"/>
  <c r="BO11" i="36"/>
  <c r="BO12" i="36"/>
  <c r="BO13" i="36"/>
  <c r="BO14" i="36"/>
  <c r="BO15" i="36"/>
  <c r="BO16" i="36"/>
  <c r="BO17" i="36"/>
  <c r="BR7" i="36"/>
  <c r="BS7" i="36"/>
  <c r="AZ7" i="36"/>
  <c r="BA7" i="36"/>
  <c r="AH7" i="36"/>
  <c r="AI7" i="36"/>
  <c r="AJ7" i="36"/>
  <c r="AK7" i="36"/>
  <c r="H7" i="36"/>
  <c r="I7" i="36"/>
  <c r="F50" i="31"/>
  <c r="F51" i="31"/>
  <c r="F52" i="31"/>
  <c r="F53" i="31"/>
  <c r="F54" i="31"/>
  <c r="F55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OI7" i="31"/>
  <c r="OJ7" i="31"/>
  <c r="NI7" i="31"/>
  <c r="NJ7" i="31"/>
  <c r="MI7" i="31"/>
  <c r="MJ7" i="31"/>
  <c r="KI7" i="31"/>
  <c r="KJ7" i="31"/>
  <c r="PF91" i="31"/>
  <c r="PI7" i="31"/>
  <c r="PJ7" i="31"/>
  <c r="JI7" i="31"/>
  <c r="JJ7" i="31"/>
  <c r="II7" i="31"/>
  <c r="IJ7" i="31"/>
  <c r="HI7" i="31"/>
  <c r="HJ7" i="31"/>
  <c r="GI7" i="31"/>
  <c r="GJ7" i="31"/>
  <c r="FI7" i="31"/>
  <c r="FJ7" i="31"/>
  <c r="EI7" i="31"/>
  <c r="EJ7" i="31"/>
  <c r="DF97" i="31"/>
  <c r="DF98" i="31"/>
  <c r="DF99" i="31"/>
  <c r="DF100" i="31"/>
  <c r="DI7" i="31"/>
  <c r="DJ7" i="31"/>
  <c r="CI7" i="31"/>
  <c r="CJ7" i="31"/>
  <c r="BI7" i="31"/>
  <c r="BJ7" i="31"/>
  <c r="BF84" i="31"/>
  <c r="BF85" i="31"/>
  <c r="BF86" i="31"/>
  <c r="BF87" i="31"/>
  <c r="BF88" i="31"/>
  <c r="BF89" i="31"/>
  <c r="BF90" i="31"/>
  <c r="BF91" i="31"/>
  <c r="BF92" i="31"/>
  <c r="BF93" i="31"/>
  <c r="BF94" i="31"/>
  <c r="BF95" i="31"/>
  <c r="BF96" i="31"/>
  <c r="BF97" i="31"/>
  <c r="AI7" i="31"/>
  <c r="AJ7" i="31"/>
  <c r="I7" i="31"/>
  <c r="J7" i="31"/>
  <c r="G288" i="2"/>
  <c r="D232" i="7"/>
  <c r="L228" i="7"/>
  <c r="L185" i="7"/>
  <c r="H199" i="7"/>
  <c r="H198" i="7"/>
  <c r="D206" i="7"/>
  <c r="D208" i="7"/>
  <c r="D214" i="7"/>
  <c r="D193" i="7"/>
  <c r="L161" i="7"/>
  <c r="L151" i="7"/>
  <c r="L125" i="7"/>
  <c r="L121" i="7"/>
  <c r="H156" i="7"/>
  <c r="H130" i="7"/>
  <c r="D155" i="7"/>
  <c r="D123" i="7"/>
  <c r="L95" i="7"/>
  <c r="D102" i="7"/>
  <c r="H41" i="7"/>
  <c r="H40" i="7"/>
  <c r="L32" i="7"/>
  <c r="L23" i="7"/>
  <c r="L31" i="7"/>
  <c r="E565" i="4"/>
  <c r="I463" i="4"/>
  <c r="I441" i="4"/>
  <c r="I417" i="4"/>
  <c r="I390" i="4"/>
  <c r="I373" i="4"/>
  <c r="I354" i="4"/>
  <c r="I333" i="4"/>
  <c r="I180" i="4"/>
  <c r="I152" i="4"/>
  <c r="I133" i="4"/>
  <c r="I134" i="4"/>
  <c r="I86" i="4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D57" i="13"/>
  <c r="BJ104" i="37"/>
  <c r="BJ103" i="37"/>
  <c r="BJ102" i="37"/>
  <c r="AZ104" i="37"/>
  <c r="AZ103" i="37"/>
  <c r="AZ102" i="37"/>
  <c r="AP104" i="37"/>
  <c r="AP103" i="37"/>
  <c r="AP102" i="37"/>
  <c r="AF104" i="37"/>
  <c r="E72" i="37" s="1"/>
  <c r="AF103" i="37"/>
  <c r="AF102" i="37"/>
  <c r="JB77" i="37"/>
  <c r="JB76" i="37"/>
  <c r="JB75" i="37"/>
  <c r="IR77" i="37"/>
  <c r="IR76" i="37"/>
  <c r="IR75" i="37"/>
  <c r="IH77" i="37"/>
  <c r="IH76" i="37"/>
  <c r="IH75" i="37"/>
  <c r="HX77" i="37"/>
  <c r="HX76" i="37"/>
  <c r="HX75" i="37"/>
  <c r="HN77" i="37"/>
  <c r="HN76" i="37"/>
  <c r="HN75" i="37"/>
  <c r="HD77" i="37"/>
  <c r="HD76" i="37"/>
  <c r="HD75" i="37"/>
  <c r="GT77" i="37"/>
  <c r="GT76" i="37"/>
  <c r="GT75" i="37"/>
  <c r="GJ77" i="37"/>
  <c r="GJ76" i="37"/>
  <c r="GJ75" i="37"/>
  <c r="FZ77" i="37"/>
  <c r="FZ76" i="37"/>
  <c r="FZ75" i="37"/>
  <c r="FP77" i="37"/>
  <c r="FP76" i="37"/>
  <c r="FP75" i="37"/>
  <c r="FF77" i="37"/>
  <c r="FF76" i="37"/>
  <c r="FF75" i="37"/>
  <c r="EV77" i="37"/>
  <c r="EV76" i="37"/>
  <c r="EV75" i="37"/>
  <c r="EL77" i="37"/>
  <c r="EL76" i="37"/>
  <c r="EL75" i="37"/>
  <c r="EB77" i="37"/>
  <c r="EB76" i="37"/>
  <c r="EB75" i="37"/>
  <c r="DR77" i="37"/>
  <c r="DR76" i="37"/>
  <c r="DR75" i="37"/>
  <c r="DH77" i="37"/>
  <c r="DH76" i="37"/>
  <c r="DH75" i="37"/>
  <c r="CX77" i="37"/>
  <c r="CX76" i="37"/>
  <c r="CX75" i="37"/>
  <c r="CN77" i="37"/>
  <c r="CN76" i="37"/>
  <c r="CN75" i="37"/>
  <c r="CD77" i="37"/>
  <c r="CD76" i="37"/>
  <c r="CD75" i="37"/>
  <c r="BT77" i="37"/>
  <c r="BT76" i="37"/>
  <c r="BT75" i="37"/>
  <c r="BJ77" i="37"/>
  <c r="BJ76" i="37"/>
  <c r="BJ75" i="37"/>
  <c r="AZ77" i="37"/>
  <c r="AZ76" i="37"/>
  <c r="AZ75" i="37"/>
  <c r="AP77" i="37"/>
  <c r="AP76" i="37"/>
  <c r="AP75" i="37"/>
  <c r="AF77" i="37"/>
  <c r="AF76" i="37"/>
  <c r="D28" i="37"/>
  <c r="E28" i="37"/>
  <c r="F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D29" i="37"/>
  <c r="E29" i="37"/>
  <c r="F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D30" i="37"/>
  <c r="E30" i="37"/>
  <c r="F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D31" i="37"/>
  <c r="E31" i="37"/>
  <c r="F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D32" i="37"/>
  <c r="E32" i="37"/>
  <c r="F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D33" i="37"/>
  <c r="E33" i="37"/>
  <c r="F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D34" i="37"/>
  <c r="E34" i="37"/>
  <c r="F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D35" i="37"/>
  <c r="E35" i="37"/>
  <c r="F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D36" i="37"/>
  <c r="E36" i="37"/>
  <c r="F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D37" i="37"/>
  <c r="E37" i="37"/>
  <c r="F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D38" i="37"/>
  <c r="E38" i="37"/>
  <c r="F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D39" i="37"/>
  <c r="E39" i="37"/>
  <c r="F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D40" i="37"/>
  <c r="E40" i="37"/>
  <c r="F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D41" i="37"/>
  <c r="E41" i="37"/>
  <c r="F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D42" i="37"/>
  <c r="E42" i="37"/>
  <c r="F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D43" i="37"/>
  <c r="E43" i="37"/>
  <c r="F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D44" i="37"/>
  <c r="E44" i="37"/>
  <c r="F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F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D27" i="37"/>
  <c r="E27" i="37"/>
  <c r="F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F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F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F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F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F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F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F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F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F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F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F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F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F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F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F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F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F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E7" i="37"/>
  <c r="E8" i="37"/>
  <c r="E9" i="37"/>
  <c r="G9" i="37" s="1"/>
  <c r="E10" i="37"/>
  <c r="G10" i="37" s="1"/>
  <c r="E11" i="37"/>
  <c r="E12" i="37"/>
  <c r="E13" i="37"/>
  <c r="G13" i="37" s="1"/>
  <c r="E14" i="37"/>
  <c r="E15" i="37"/>
  <c r="E16" i="37"/>
  <c r="E17" i="37"/>
  <c r="E18" i="37"/>
  <c r="E19" i="37"/>
  <c r="E20" i="37"/>
  <c r="E21" i="37"/>
  <c r="E22" i="37"/>
  <c r="E23" i="37"/>
  <c r="E6" i="37"/>
  <c r="AF75" i="37"/>
  <c r="E169" i="5"/>
  <c r="C146" i="5"/>
  <c r="G517" i="2"/>
  <c r="G500" i="2"/>
  <c r="G476" i="2"/>
  <c r="G461" i="2"/>
  <c r="G435" i="2"/>
  <c r="G416" i="2"/>
  <c r="G394" i="2"/>
  <c r="G379" i="2"/>
  <c r="G356" i="2"/>
  <c r="G329" i="2"/>
  <c r="G309" i="2"/>
  <c r="G270" i="2"/>
  <c r="G243" i="2"/>
  <c r="G230" i="2"/>
  <c r="G207" i="2"/>
  <c r="G191" i="2"/>
  <c r="G169" i="2"/>
  <c r="G143" i="2"/>
  <c r="H143" i="2"/>
  <c r="H131" i="2"/>
  <c r="G131" i="2"/>
  <c r="G105" i="2"/>
  <c r="H79" i="2"/>
  <c r="G79" i="2"/>
  <c r="H52" i="2"/>
  <c r="H51" i="2" s="1"/>
  <c r="G53" i="2"/>
  <c r="G54" i="2"/>
  <c r="G55" i="2"/>
  <c r="H45" i="2"/>
  <c r="H11" i="2"/>
  <c r="C38" i="10"/>
  <c r="C33" i="10"/>
  <c r="C30" i="10"/>
  <c r="BF559" i="32"/>
  <c r="BE559" i="32"/>
  <c r="BF558" i="32"/>
  <c r="BE558" i="32"/>
  <c r="BD559" i="32"/>
  <c r="BC559" i="32"/>
  <c r="BB559" i="32"/>
  <c r="BA559" i="32"/>
  <c r="AZ559" i="32"/>
  <c r="AY559" i="32"/>
  <c r="AX559" i="32"/>
  <c r="AW559" i="32"/>
  <c r="AV559" i="32"/>
  <c r="AU559" i="32"/>
  <c r="AT559" i="32"/>
  <c r="AS559" i="32"/>
  <c r="AR559" i="32"/>
  <c r="AQ559" i="32"/>
  <c r="AP559" i="32"/>
  <c r="AO559" i="32"/>
  <c r="BD558" i="32"/>
  <c r="BC558" i="32"/>
  <c r="BB558" i="32"/>
  <c r="BA558" i="32"/>
  <c r="AZ558" i="32"/>
  <c r="AY558" i="32"/>
  <c r="AX558" i="32"/>
  <c r="AW558" i="32"/>
  <c r="AV558" i="32"/>
  <c r="AU558" i="32"/>
  <c r="AT558" i="32"/>
  <c r="AS558" i="32"/>
  <c r="AR558" i="32"/>
  <c r="AQ558" i="32"/>
  <c r="AP558" i="32"/>
  <c r="AO558" i="32"/>
  <c r="C23" i="10"/>
  <c r="C20" i="10"/>
  <c r="AM559" i="32"/>
  <c r="AL559" i="32"/>
  <c r="AM558" i="32"/>
  <c r="AL558" i="32"/>
  <c r="AJ558" i="32"/>
  <c r="AK558" i="32"/>
  <c r="W559" i="32"/>
  <c r="X559" i="32"/>
  <c r="Y559" i="32"/>
  <c r="Z559" i="32"/>
  <c r="AA559" i="32"/>
  <c r="AB559" i="32"/>
  <c r="AC559" i="32"/>
  <c r="AD559" i="32"/>
  <c r="AE559" i="32"/>
  <c r="AF559" i="32"/>
  <c r="AG559" i="32"/>
  <c r="AH559" i="32"/>
  <c r="AI559" i="32"/>
  <c r="AJ559" i="32"/>
  <c r="AK559" i="32"/>
  <c r="V559" i="32"/>
  <c r="W558" i="32"/>
  <c r="X558" i="32"/>
  <c r="Y558" i="32"/>
  <c r="Z558" i="32"/>
  <c r="AA558" i="32"/>
  <c r="AB558" i="32"/>
  <c r="AC558" i="32"/>
  <c r="AD558" i="32"/>
  <c r="AE558" i="32"/>
  <c r="AF558" i="32"/>
  <c r="AG558" i="32"/>
  <c r="AH558" i="32"/>
  <c r="AI558" i="32"/>
  <c r="V558" i="32"/>
  <c r="G15" i="10"/>
  <c r="G12" i="10"/>
  <c r="C7" i="10"/>
  <c r="I15" i="10"/>
  <c r="I12" i="10"/>
  <c r="M559" i="32"/>
  <c r="M560" i="32" s="1"/>
  <c r="M23" i="32" s="1"/>
  <c r="L559" i="32"/>
  <c r="L560" i="32" s="1"/>
  <c r="L23" i="32" s="1"/>
  <c r="BJ555" i="32"/>
  <c r="BI555" i="32"/>
  <c r="BH555" i="32"/>
  <c r="H555" i="32"/>
  <c r="BJ554" i="32"/>
  <c r="BI554" i="32"/>
  <c r="BH554" i="32"/>
  <c r="H554" i="32"/>
  <c r="BJ553" i="32"/>
  <c r="BI553" i="32"/>
  <c r="BH553" i="32"/>
  <c r="H553" i="32"/>
  <c r="BJ552" i="32"/>
  <c r="BI552" i="32"/>
  <c r="BH552" i="32"/>
  <c r="H552" i="32"/>
  <c r="BJ551" i="32"/>
  <c r="BI551" i="32"/>
  <c r="BH551" i="32"/>
  <c r="H551" i="32"/>
  <c r="BJ550" i="32"/>
  <c r="BI550" i="32"/>
  <c r="BH550" i="32"/>
  <c r="H550" i="32"/>
  <c r="BJ549" i="32"/>
  <c r="BI549" i="32"/>
  <c r="BH549" i="32"/>
  <c r="H549" i="32"/>
  <c r="BJ548" i="32"/>
  <c r="BI548" i="32"/>
  <c r="BH548" i="32"/>
  <c r="H548" i="32"/>
  <c r="BJ547" i="32"/>
  <c r="BI547" i="32"/>
  <c r="BH547" i="32"/>
  <c r="H547" i="32"/>
  <c r="BJ546" i="32"/>
  <c r="BI546" i="32"/>
  <c r="BH546" i="32"/>
  <c r="H546" i="32"/>
  <c r="BJ545" i="32"/>
  <c r="BI545" i="32"/>
  <c r="BH545" i="32"/>
  <c r="H545" i="32"/>
  <c r="BJ544" i="32"/>
  <c r="BI544" i="32"/>
  <c r="BH544" i="32"/>
  <c r="H544" i="32"/>
  <c r="BJ543" i="32"/>
  <c r="BI543" i="32"/>
  <c r="BH543" i="32"/>
  <c r="H543" i="32"/>
  <c r="BJ542" i="32"/>
  <c r="BI542" i="32"/>
  <c r="BH542" i="32"/>
  <c r="H542" i="32"/>
  <c r="BJ541" i="32"/>
  <c r="BI541" i="32"/>
  <c r="BH541" i="32"/>
  <c r="H541" i="32"/>
  <c r="BJ540" i="32"/>
  <c r="BI540" i="32"/>
  <c r="BH540" i="32"/>
  <c r="H540" i="32"/>
  <c r="BJ539" i="32"/>
  <c r="BI539" i="32"/>
  <c r="BH539" i="32"/>
  <c r="H539" i="32"/>
  <c r="BJ538" i="32"/>
  <c r="BI538" i="32"/>
  <c r="BH538" i="32"/>
  <c r="H538" i="32"/>
  <c r="BJ537" i="32"/>
  <c r="BI537" i="32"/>
  <c r="BH537" i="32"/>
  <c r="H537" i="32"/>
  <c r="BJ536" i="32"/>
  <c r="BI536" i="32"/>
  <c r="BH536" i="32"/>
  <c r="H536" i="32"/>
  <c r="BJ535" i="32"/>
  <c r="BI535" i="32"/>
  <c r="BH535" i="32"/>
  <c r="H535" i="32"/>
  <c r="BJ534" i="32"/>
  <c r="BI534" i="32"/>
  <c r="BH534" i="32"/>
  <c r="H534" i="32"/>
  <c r="BJ533" i="32"/>
  <c r="BI533" i="32"/>
  <c r="BH533" i="32"/>
  <c r="H533" i="32"/>
  <c r="BJ532" i="32"/>
  <c r="BI532" i="32"/>
  <c r="BH532" i="32"/>
  <c r="H532" i="32"/>
  <c r="AW11" i="36"/>
  <c r="AW12" i="36"/>
  <c r="AW13" i="36"/>
  <c r="AW14" i="36"/>
  <c r="AW15" i="36"/>
  <c r="AW16" i="36"/>
  <c r="AW9" i="36"/>
  <c r="BB7" i="36"/>
  <c r="BC7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9" i="36"/>
  <c r="NF10" i="31"/>
  <c r="NF11" i="31"/>
  <c r="NF12" i="31"/>
  <c r="NF99" i="31"/>
  <c r="NF100" i="31"/>
  <c r="NF101" i="31"/>
  <c r="NF102" i="31"/>
  <c r="NF103" i="31"/>
  <c r="NF104" i="31"/>
  <c r="NF105" i="31"/>
  <c r="OF10" i="31"/>
  <c r="OF11" i="31"/>
  <c r="OF12" i="31"/>
  <c r="OF101" i="31"/>
  <c r="OF102" i="31"/>
  <c r="OF103" i="31"/>
  <c r="OF104" i="31"/>
  <c r="OF105" i="31"/>
  <c r="PF10" i="31"/>
  <c r="PF11" i="31"/>
  <c r="PF12" i="31"/>
  <c r="PF92" i="31"/>
  <c r="PF93" i="31"/>
  <c r="PF94" i="31"/>
  <c r="PF95" i="31"/>
  <c r="PF96" i="31"/>
  <c r="PF97" i="31"/>
  <c r="PF98" i="31"/>
  <c r="PF99" i="31"/>
  <c r="PF100" i="31"/>
  <c r="PF101" i="31"/>
  <c r="PF102" i="31"/>
  <c r="PF103" i="31"/>
  <c r="PF104" i="31"/>
  <c r="PF105" i="31"/>
  <c r="NK7" i="31"/>
  <c r="PK7" i="31"/>
  <c r="MF10" i="31"/>
  <c r="MF11" i="31"/>
  <c r="MF12" i="31"/>
  <c r="MF99" i="31"/>
  <c r="MF100" i="31"/>
  <c r="MF101" i="31"/>
  <c r="MF102" i="31"/>
  <c r="MF103" i="31"/>
  <c r="MF104" i="31"/>
  <c r="MF105" i="31"/>
  <c r="MK7" i="31"/>
  <c r="LF10" i="31"/>
  <c r="LF11" i="31"/>
  <c r="LF12" i="31"/>
  <c r="LF96" i="31"/>
  <c r="LF97" i="31"/>
  <c r="LF98" i="31"/>
  <c r="LF99" i="31"/>
  <c r="LF100" i="31"/>
  <c r="LF101" i="31"/>
  <c r="LF102" i="31"/>
  <c r="LF103" i="31"/>
  <c r="LF104" i="31"/>
  <c r="LF105" i="31"/>
  <c r="KF10" i="31"/>
  <c r="KF100" i="31"/>
  <c r="KF101" i="31"/>
  <c r="KF102" i="31"/>
  <c r="KF103" i="31"/>
  <c r="KF104" i="31"/>
  <c r="KF105" i="31"/>
  <c r="KK7" i="31"/>
  <c r="JF10" i="31"/>
  <c r="JF101" i="31"/>
  <c r="JF102" i="31"/>
  <c r="JF103" i="31"/>
  <c r="JF104" i="31"/>
  <c r="JF105" i="31"/>
  <c r="JK7" i="31"/>
  <c r="IF10" i="31"/>
  <c r="IF97" i="31"/>
  <c r="IF98" i="31"/>
  <c r="IF99" i="31"/>
  <c r="IF100" i="31"/>
  <c r="IF101" i="31"/>
  <c r="IF102" i="31"/>
  <c r="IF103" i="31"/>
  <c r="IF104" i="31"/>
  <c r="IF105" i="31"/>
  <c r="IK7" i="31"/>
  <c r="HF10" i="31"/>
  <c r="HF11" i="31"/>
  <c r="HF12" i="31"/>
  <c r="HF99" i="31"/>
  <c r="HF100" i="31"/>
  <c r="HF101" i="31"/>
  <c r="HF102" i="31"/>
  <c r="HF103" i="31"/>
  <c r="HF104" i="31"/>
  <c r="HF105" i="31"/>
  <c r="HK7" i="31"/>
  <c r="GF10" i="31"/>
  <c r="GF11" i="31"/>
  <c r="GF92" i="31"/>
  <c r="GF93" i="31"/>
  <c r="GF94" i="31"/>
  <c r="GF95" i="31"/>
  <c r="GF96" i="31"/>
  <c r="GF97" i="31"/>
  <c r="GF98" i="31"/>
  <c r="GF99" i="31"/>
  <c r="GF100" i="31"/>
  <c r="GF101" i="31"/>
  <c r="GF102" i="31"/>
  <c r="GF103" i="31"/>
  <c r="GF104" i="31"/>
  <c r="GF105" i="31"/>
  <c r="FF94" i="31"/>
  <c r="FF95" i="31"/>
  <c r="FF96" i="31"/>
  <c r="FF97" i="31"/>
  <c r="FF98" i="31"/>
  <c r="FF99" i="31"/>
  <c r="FF100" i="31"/>
  <c r="FF101" i="31"/>
  <c r="FF102" i="31"/>
  <c r="FF103" i="31"/>
  <c r="FF104" i="31"/>
  <c r="FF105" i="31"/>
  <c r="GK7" i="31"/>
  <c r="FK7" i="31"/>
  <c r="EF10" i="31"/>
  <c r="EF11" i="31"/>
  <c r="EF92" i="31"/>
  <c r="EF93" i="31"/>
  <c r="EF94" i="31"/>
  <c r="EF95" i="31"/>
  <c r="EF96" i="31"/>
  <c r="EF97" i="31"/>
  <c r="EF98" i="31"/>
  <c r="EF99" i="31"/>
  <c r="EF100" i="31"/>
  <c r="EF101" i="31"/>
  <c r="EF102" i="31"/>
  <c r="EF103" i="31"/>
  <c r="EF104" i="31"/>
  <c r="EF105" i="31"/>
  <c r="DF10" i="31"/>
  <c r="DF101" i="31"/>
  <c r="DF102" i="31"/>
  <c r="DF103" i="31"/>
  <c r="DF104" i="31"/>
  <c r="DF105" i="31"/>
  <c r="EK7" i="31"/>
  <c r="DK7" i="31"/>
  <c r="DN7" i="31"/>
  <c r="CF10" i="31"/>
  <c r="CF11" i="31"/>
  <c r="CF105" i="31"/>
  <c r="CK7" i="31"/>
  <c r="BK7" i="31"/>
  <c r="BF10" i="31"/>
  <c r="BF11" i="31"/>
  <c r="BF12" i="31"/>
  <c r="AK7" i="31"/>
  <c r="AF10" i="31"/>
  <c r="AF11" i="31"/>
  <c r="AF12" i="31"/>
  <c r="AF13" i="31"/>
  <c r="AF81" i="31"/>
  <c r="AF82" i="31"/>
  <c r="AF83" i="31"/>
  <c r="AF84" i="31"/>
  <c r="AF85" i="31"/>
  <c r="AF86" i="31"/>
  <c r="AF87" i="31"/>
  <c r="AF88" i="31"/>
  <c r="AF89" i="31"/>
  <c r="AF90" i="31"/>
  <c r="AF91" i="31"/>
  <c r="AF92" i="31"/>
  <c r="AF93" i="31"/>
  <c r="AF94" i="31"/>
  <c r="AF95" i="31"/>
  <c r="AF96" i="31"/>
  <c r="AF97" i="31"/>
  <c r="AF98" i="31"/>
  <c r="AF99" i="31"/>
  <c r="AF100" i="31"/>
  <c r="AF101" i="31"/>
  <c r="AF102" i="31"/>
  <c r="AF103" i="31"/>
  <c r="AF104" i="31"/>
  <c r="AF105" i="31"/>
  <c r="E9" i="36"/>
  <c r="J7" i="36"/>
  <c r="F10" i="31"/>
  <c r="F41" i="31"/>
  <c r="F32" i="31"/>
  <c r="F24" i="31"/>
  <c r="K7" i="31"/>
  <c r="DJ504" i="32"/>
  <c r="DD504" i="32"/>
  <c r="DI511" i="32"/>
  <c r="DH511" i="32"/>
  <c r="DB511" i="32"/>
  <c r="DC511" i="32"/>
  <c r="D248" i="7"/>
  <c r="D247" i="7"/>
  <c r="D246" i="7"/>
  <c r="H202" i="7"/>
  <c r="H201" i="7"/>
  <c r="H189" i="7"/>
  <c r="H206" i="7"/>
  <c r="L186" i="7"/>
  <c r="D203" i="7"/>
  <c r="D202" i="7"/>
  <c r="D219" i="7"/>
  <c r="H170" i="7"/>
  <c r="H160" i="7"/>
  <c r="H113" i="7"/>
  <c r="H144" i="7"/>
  <c r="L153" i="7"/>
  <c r="L113" i="7"/>
  <c r="D149" i="7"/>
  <c r="D169" i="7"/>
  <c r="D173" i="7"/>
  <c r="D162" i="7"/>
  <c r="D113" i="7"/>
  <c r="D58" i="7"/>
  <c r="D65" i="7"/>
  <c r="D24" i="7"/>
  <c r="D13" i="7"/>
  <c r="I465" i="4"/>
  <c r="I440" i="4"/>
  <c r="I424" i="4"/>
  <c r="I401" i="4"/>
  <c r="I374" i="4"/>
  <c r="I356" i="4"/>
  <c r="I327" i="4"/>
  <c r="I184" i="4"/>
  <c r="I162" i="4"/>
  <c r="I138" i="4"/>
  <c r="I110" i="4"/>
  <c r="I89" i="4"/>
  <c r="E168" i="5"/>
  <c r="F168" i="5"/>
  <c r="G168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G176" i="5"/>
  <c r="F176" i="5"/>
  <c r="E176" i="5"/>
  <c r="E178" i="5"/>
  <c r="F178" i="5"/>
  <c r="G178" i="5"/>
  <c r="G177" i="5"/>
  <c r="F177" i="5"/>
  <c r="E177" i="5"/>
  <c r="E180" i="5"/>
  <c r="F180" i="5"/>
  <c r="G180" i="5"/>
  <c r="E181" i="5"/>
  <c r="F181" i="5"/>
  <c r="G181" i="5"/>
  <c r="E182" i="5"/>
  <c r="F182" i="5"/>
  <c r="G182" i="5"/>
  <c r="E183" i="5"/>
  <c r="F183" i="5"/>
  <c r="G183" i="5"/>
  <c r="E184" i="5"/>
  <c r="F184" i="5"/>
  <c r="G184" i="5"/>
  <c r="E185" i="5"/>
  <c r="F185" i="5"/>
  <c r="G185" i="5"/>
  <c r="E186" i="5"/>
  <c r="F186" i="5"/>
  <c r="G186" i="5"/>
  <c r="E187" i="5"/>
  <c r="F187" i="5"/>
  <c r="G187" i="5"/>
  <c r="E188" i="5"/>
  <c r="F188" i="5"/>
  <c r="G188" i="5"/>
  <c r="G189" i="5"/>
  <c r="F189" i="5"/>
  <c r="E189" i="5"/>
  <c r="C137" i="5"/>
  <c r="G292" i="2"/>
  <c r="O8" i="32" l="1"/>
  <c r="O7" i="32"/>
  <c r="O9" i="32"/>
  <c r="N23" i="32"/>
  <c r="O6" i="32"/>
  <c r="N16" i="32"/>
  <c r="M280" i="32"/>
  <c r="M311" i="32"/>
  <c r="M15" i="32" s="1"/>
  <c r="L280" i="32"/>
  <c r="L311" i="32"/>
  <c r="L15" i="32" s="1"/>
  <c r="Q336" i="32"/>
  <c r="R16" i="32" s="1"/>
  <c r="P336" i="32"/>
  <c r="Q16" i="32" s="1"/>
  <c r="O336" i="32"/>
  <c r="P16" i="32" s="1"/>
  <c r="Q591" i="32"/>
  <c r="R24" i="32" s="1"/>
  <c r="P591" i="32"/>
  <c r="Q24" i="32" s="1"/>
  <c r="O591" i="32"/>
  <c r="P24" i="32" s="1"/>
  <c r="L250" i="32"/>
  <c r="L13" i="32" s="1"/>
  <c r="M250" i="32"/>
  <c r="M13" i="32" s="1"/>
  <c r="Q193" i="32"/>
  <c r="R11" i="32" s="1"/>
  <c r="P193" i="32"/>
  <c r="Q11" i="32" s="1"/>
  <c r="O193" i="32"/>
  <c r="P11" i="32" s="1"/>
  <c r="M221" i="32"/>
  <c r="O166" i="32"/>
  <c r="P10" i="32" s="1"/>
  <c r="Q166" i="32"/>
  <c r="R10" i="32" s="1"/>
  <c r="P166" i="32"/>
  <c r="Q10" i="32" s="1"/>
  <c r="L221" i="32"/>
  <c r="H275" i="32"/>
  <c r="H200" i="32"/>
  <c r="H202" i="32"/>
  <c r="H201" i="32"/>
  <c r="H308" i="32"/>
  <c r="H307" i="32"/>
  <c r="H304" i="32"/>
  <c r="H301" i="32"/>
  <c r="H300" i="32"/>
  <c r="H297" i="32"/>
  <c r="H296" i="32"/>
  <c r="H294" i="32"/>
  <c r="H293" i="32"/>
  <c r="H292" i="32"/>
  <c r="H291" i="32"/>
  <c r="H290" i="32"/>
  <c r="H289" i="32"/>
  <c r="H295" i="32"/>
  <c r="H298" i="32"/>
  <c r="H305" i="32"/>
  <c r="H302" i="32"/>
  <c r="H299" i="32"/>
  <c r="H306" i="32"/>
  <c r="H303" i="32"/>
  <c r="H244" i="32"/>
  <c r="H245" i="32"/>
  <c r="H203" i="32"/>
  <c r="H276" i="32"/>
  <c r="H274" i="32"/>
  <c r="H270" i="32"/>
  <c r="H269" i="32"/>
  <c r="H268" i="32"/>
  <c r="H267" i="32"/>
  <c r="H263" i="32"/>
  <c r="H260" i="32"/>
  <c r="H259" i="32"/>
  <c r="H257" i="32"/>
  <c r="H264" i="32"/>
  <c r="H271" i="32"/>
  <c r="H272" i="32"/>
  <c r="H258" i="32"/>
  <c r="H261" i="32"/>
  <c r="H265" i="32"/>
  <c r="H262" i="32"/>
  <c r="H273" i="32"/>
  <c r="H266" i="32"/>
  <c r="H241" i="32"/>
  <c r="H240" i="32"/>
  <c r="H239" i="32"/>
  <c r="H235" i="32"/>
  <c r="H233" i="32"/>
  <c r="H232" i="32"/>
  <c r="H230" i="32"/>
  <c r="H237" i="32"/>
  <c r="H231" i="32"/>
  <c r="H234" i="32"/>
  <c r="H238" i="32"/>
  <c r="H242" i="32"/>
  <c r="H246" i="32"/>
  <c r="H243" i="32"/>
  <c r="H247" i="32"/>
  <c r="H236" i="32"/>
  <c r="BL586" i="32"/>
  <c r="BL588" i="32"/>
  <c r="P558" i="32"/>
  <c r="P560" i="32" s="1"/>
  <c r="Q23" i="32" s="1"/>
  <c r="Q559" i="32"/>
  <c r="H218" i="32"/>
  <c r="H204" i="32"/>
  <c r="BL567" i="32"/>
  <c r="BL571" i="32"/>
  <c r="BL573" i="32"/>
  <c r="BK578" i="32"/>
  <c r="BK582" i="32"/>
  <c r="BK577" i="32"/>
  <c r="BK587" i="32"/>
  <c r="Q558" i="32"/>
  <c r="BL537" i="32"/>
  <c r="O559" i="32"/>
  <c r="P559" i="32"/>
  <c r="BL575" i="32"/>
  <c r="BL583" i="32"/>
  <c r="O558" i="32"/>
  <c r="BL570" i="32"/>
  <c r="BL572" i="32"/>
  <c r="BL576" i="32"/>
  <c r="BL578" i="32"/>
  <c r="BL582" i="32"/>
  <c r="BK584" i="32"/>
  <c r="BK586" i="32"/>
  <c r="BK588" i="32"/>
  <c r="BK573" i="32"/>
  <c r="BK575" i="32"/>
  <c r="BK574" i="32"/>
  <c r="BK570" i="32"/>
  <c r="BK567" i="32"/>
  <c r="BK569" i="32"/>
  <c r="BK580" i="32"/>
  <c r="BK571" i="32"/>
  <c r="BL568" i="32"/>
  <c r="BL580" i="32"/>
  <c r="BL585" i="32"/>
  <c r="BL577" i="32"/>
  <c r="BL587" i="32"/>
  <c r="BL584" i="32"/>
  <c r="BJ591" i="32"/>
  <c r="BL569" i="32"/>
  <c r="BL574" i="32"/>
  <c r="BL579" i="32"/>
  <c r="BL581" i="32"/>
  <c r="BK579" i="32"/>
  <c r="BK583" i="32"/>
  <c r="BK581" i="32"/>
  <c r="BK585" i="32"/>
  <c r="BK568" i="32"/>
  <c r="BK576" i="32"/>
  <c r="BK572" i="32"/>
  <c r="G4" i="38"/>
  <c r="F25" i="38"/>
  <c r="G8" i="37"/>
  <c r="G16" i="37"/>
  <c r="G11" i="37"/>
  <c r="E71" i="37"/>
  <c r="G19" i="37"/>
  <c r="G18" i="37"/>
  <c r="G39" i="37"/>
  <c r="G27" i="37"/>
  <c r="G20" i="37"/>
  <c r="G41" i="37"/>
  <c r="G12" i="37"/>
  <c r="G6" i="37"/>
  <c r="G44" i="37"/>
  <c r="G42" i="37"/>
  <c r="G40" i="37"/>
  <c r="G38" i="37"/>
  <c r="G37" i="37"/>
  <c r="G36" i="37"/>
  <c r="G34" i="37"/>
  <c r="G33" i="37"/>
  <c r="G32" i="37"/>
  <c r="G31" i="37"/>
  <c r="G30" i="37"/>
  <c r="G29" i="37"/>
  <c r="G28" i="37"/>
  <c r="G43" i="37"/>
  <c r="G35" i="37"/>
  <c r="G23" i="37"/>
  <c r="G21" i="37"/>
  <c r="G22" i="37"/>
  <c r="E68" i="37"/>
  <c r="G15" i="37"/>
  <c r="G7" i="37"/>
  <c r="G17" i="37"/>
  <c r="G14" i="37"/>
  <c r="BL553" i="32"/>
  <c r="E70" i="37"/>
  <c r="T4" i="37"/>
  <c r="S4" i="37"/>
  <c r="R4" i="37"/>
  <c r="E66" i="37"/>
  <c r="E67" i="37"/>
  <c r="E4" i="37"/>
  <c r="L4" i="37"/>
  <c r="N4" i="37"/>
  <c r="O4" i="37"/>
  <c r="K4" i="37"/>
  <c r="Q4" i="37"/>
  <c r="M4" i="37"/>
  <c r="P4" i="37"/>
  <c r="F4" i="37"/>
  <c r="H4" i="37"/>
  <c r="I4" i="37"/>
  <c r="J4" i="37"/>
  <c r="BK553" i="32"/>
  <c r="BK551" i="32"/>
  <c r="BK549" i="32"/>
  <c r="BK547" i="32"/>
  <c r="BL545" i="32"/>
  <c r="BK543" i="32"/>
  <c r="BL541" i="32"/>
  <c r="BK541" i="32"/>
  <c r="BJ558" i="32"/>
  <c r="BK533" i="32"/>
  <c r="BK535" i="32"/>
  <c r="BK537" i="32"/>
  <c r="BK554" i="32"/>
  <c r="BK539" i="32"/>
  <c r="BK555" i="32"/>
  <c r="BL534" i="32"/>
  <c r="BK536" i="32"/>
  <c r="BL543" i="32"/>
  <c r="BK552" i="32"/>
  <c r="BL533" i="32"/>
  <c r="BL549" i="32"/>
  <c r="BL539" i="32"/>
  <c r="BL546" i="32"/>
  <c r="BK548" i="32"/>
  <c r="BL555" i="32"/>
  <c r="BL538" i="32"/>
  <c r="BK540" i="32"/>
  <c r="BK545" i="32"/>
  <c r="BL547" i="32"/>
  <c r="BL554" i="32"/>
  <c r="BL550" i="32"/>
  <c r="BL535" i="32"/>
  <c r="BL542" i="32"/>
  <c r="BK544" i="32"/>
  <c r="BL551" i="32"/>
  <c r="BK532" i="32"/>
  <c r="BL532" i="32"/>
  <c r="BL536" i="32"/>
  <c r="BL540" i="32"/>
  <c r="BL544" i="32"/>
  <c r="BL548" i="32"/>
  <c r="BL552" i="32"/>
  <c r="BK534" i="32"/>
  <c r="BK538" i="32"/>
  <c r="BK542" i="32"/>
  <c r="BK546" i="32"/>
  <c r="BK550" i="32"/>
  <c r="E179" i="5"/>
  <c r="G179" i="5"/>
  <c r="F179" i="5"/>
  <c r="H189" i="5"/>
  <c r="G516" i="2"/>
  <c r="G497" i="2"/>
  <c r="G475" i="2"/>
  <c r="G458" i="2"/>
  <c r="G437" i="2"/>
  <c r="G418" i="2"/>
  <c r="G395" i="2"/>
  <c r="G372" i="2"/>
  <c r="G330" i="2"/>
  <c r="G313" i="2"/>
  <c r="G271" i="2"/>
  <c r="G249" i="2"/>
  <c r="G222" i="2"/>
  <c r="G208" i="2"/>
  <c r="G204" i="2"/>
  <c r="G180" i="2"/>
  <c r="G159" i="2"/>
  <c r="G138" i="2"/>
  <c r="G119" i="2"/>
  <c r="G106" i="2"/>
  <c r="G85" i="2"/>
  <c r="G60" i="2"/>
  <c r="G15" i="2"/>
  <c r="C55" i="10"/>
  <c r="F15" i="10"/>
  <c r="F12" i="10"/>
  <c r="BI522" i="32"/>
  <c r="BJ522" i="32"/>
  <c r="BH522" i="32"/>
  <c r="BI521" i="32"/>
  <c r="BJ521" i="32"/>
  <c r="BH521" i="32"/>
  <c r="BI520" i="32"/>
  <c r="BJ520" i="32"/>
  <c r="BH520" i="32"/>
  <c r="BI519" i="32"/>
  <c r="BJ519" i="32"/>
  <c r="BH519" i="32"/>
  <c r="BI518" i="32"/>
  <c r="BJ518" i="32"/>
  <c r="BH518" i="32"/>
  <c r="H519" i="32"/>
  <c r="H520" i="32"/>
  <c r="H521" i="32"/>
  <c r="JA7" i="31"/>
  <c r="JB7" i="31"/>
  <c r="JC7" i="31"/>
  <c r="KA7" i="31"/>
  <c r="KB7" i="31"/>
  <c r="KC7" i="31"/>
  <c r="DC8" i="31"/>
  <c r="DD8" i="31"/>
  <c r="DB8" i="31"/>
  <c r="DD12" i="31"/>
  <c r="CF12" i="31" s="1"/>
  <c r="DB13" i="31"/>
  <c r="DC13" i="31"/>
  <c r="DD14" i="31"/>
  <c r="CF14" i="31" s="1"/>
  <c r="DC16" i="31"/>
  <c r="DD16" i="31"/>
  <c r="DC20" i="31"/>
  <c r="CF20" i="31" s="1"/>
  <c r="DB22" i="31"/>
  <c r="DC22" i="31"/>
  <c r="DD22" i="31"/>
  <c r="DD27" i="31"/>
  <c r="CF27" i="31" s="1"/>
  <c r="DB30" i="31"/>
  <c r="DC30" i="31"/>
  <c r="DD30" i="31"/>
  <c r="DC31" i="31"/>
  <c r="DD31" i="31"/>
  <c r="DB35" i="31"/>
  <c r="CF35" i="31" s="1"/>
  <c r="DB40" i="31"/>
  <c r="CF40" i="31" s="1"/>
  <c r="DB43" i="31"/>
  <c r="DC43" i="31"/>
  <c r="DD43" i="31"/>
  <c r="DB45" i="31"/>
  <c r="DC45" i="31"/>
  <c r="DD45" i="31"/>
  <c r="DC46" i="31"/>
  <c r="CF46" i="31" s="1"/>
  <c r="DB48" i="31"/>
  <c r="DC48" i="31"/>
  <c r="DB50" i="31"/>
  <c r="DC50" i="31"/>
  <c r="DD50" i="31"/>
  <c r="DB52" i="31"/>
  <c r="CF52" i="31" s="1"/>
  <c r="DB65" i="31"/>
  <c r="DC65" i="31"/>
  <c r="DD65" i="31"/>
  <c r="DB66" i="31"/>
  <c r="DD66" i="31"/>
  <c r="DD68" i="31"/>
  <c r="CF68" i="31" s="1"/>
  <c r="DB70" i="31"/>
  <c r="DC70" i="31"/>
  <c r="DC71" i="31"/>
  <c r="DD71" i="31"/>
  <c r="DC72" i="31"/>
  <c r="DD72" i="31"/>
  <c r="DB74" i="31"/>
  <c r="DD74" i="31"/>
  <c r="DC76" i="31"/>
  <c r="DD76" i="31"/>
  <c r="DB81" i="31"/>
  <c r="DC81" i="31"/>
  <c r="DD81" i="31"/>
  <c r="DC9" i="31"/>
  <c r="DD9" i="31"/>
  <c r="DB9" i="31"/>
  <c r="DD4" i="31"/>
  <c r="DC4" i="31"/>
  <c r="DB4" i="31"/>
  <c r="DA7" i="31"/>
  <c r="CA7" i="31"/>
  <c r="CB7" i="31"/>
  <c r="CC7" i="31"/>
  <c r="BA7" i="31"/>
  <c r="BB7" i="31"/>
  <c r="BC7" i="31"/>
  <c r="LA7" i="31"/>
  <c r="LB7" i="31"/>
  <c r="LC7" i="31"/>
  <c r="OA7" i="31"/>
  <c r="OB7" i="31"/>
  <c r="OC7" i="31"/>
  <c r="HA7" i="31"/>
  <c r="HB7" i="31"/>
  <c r="HC7" i="31"/>
  <c r="MA7" i="31"/>
  <c r="MB7" i="31"/>
  <c r="MC7" i="31"/>
  <c r="IF42" i="36"/>
  <c r="HS42" i="36"/>
  <c r="HF42" i="36"/>
  <c r="GS42" i="36"/>
  <c r="GF42" i="36"/>
  <c r="FS42" i="36"/>
  <c r="FF42" i="36"/>
  <c r="ES42" i="36"/>
  <c r="EF42" i="36"/>
  <c r="DS42" i="36"/>
  <c r="DE42" i="36"/>
  <c r="CR42" i="36"/>
  <c r="CE42" i="36"/>
  <c r="BO42" i="36"/>
  <c r="AW42" i="36"/>
  <c r="AE42" i="36"/>
  <c r="E42" i="36"/>
  <c r="IF41" i="36"/>
  <c r="HS41" i="36"/>
  <c r="HF41" i="36"/>
  <c r="GS41" i="36"/>
  <c r="GF41" i="36"/>
  <c r="FS41" i="36"/>
  <c r="FF41" i="36"/>
  <c r="ES41" i="36"/>
  <c r="EF41" i="36"/>
  <c r="DS41" i="36"/>
  <c r="DE41" i="36"/>
  <c r="CR41" i="36"/>
  <c r="CE41" i="36"/>
  <c r="BO41" i="36"/>
  <c r="AW41" i="36"/>
  <c r="AE41" i="36"/>
  <c r="E41" i="36"/>
  <c r="IF40" i="36"/>
  <c r="HS40" i="36"/>
  <c r="HF40" i="36"/>
  <c r="GS40" i="36"/>
  <c r="GF40" i="36"/>
  <c r="FS40" i="36"/>
  <c r="FF40" i="36"/>
  <c r="ES40" i="36"/>
  <c r="EF40" i="36"/>
  <c r="DS40" i="36"/>
  <c r="DE40" i="36"/>
  <c r="CR40" i="36"/>
  <c r="CE40" i="36"/>
  <c r="BO40" i="36"/>
  <c r="AW40" i="36"/>
  <c r="AE40" i="36"/>
  <c r="E40" i="36"/>
  <c r="IF39" i="36"/>
  <c r="HS39" i="36"/>
  <c r="HF39" i="36"/>
  <c r="GS39" i="36"/>
  <c r="GF39" i="36"/>
  <c r="FS39" i="36"/>
  <c r="FF39" i="36"/>
  <c r="ES39" i="36"/>
  <c r="EF39" i="36"/>
  <c r="DS39" i="36"/>
  <c r="DE39" i="36"/>
  <c r="CR39" i="36"/>
  <c r="CE39" i="36"/>
  <c r="BO39" i="36"/>
  <c r="AW39" i="36"/>
  <c r="AE39" i="36"/>
  <c r="E39" i="36"/>
  <c r="IF38" i="36"/>
  <c r="HS38" i="36"/>
  <c r="HF38" i="36"/>
  <c r="GS38" i="36"/>
  <c r="GF38" i="36"/>
  <c r="FS38" i="36"/>
  <c r="FF38" i="36"/>
  <c r="ES38" i="36"/>
  <c r="EF38" i="36"/>
  <c r="DS38" i="36"/>
  <c r="DE38" i="36"/>
  <c r="CR38" i="36"/>
  <c r="CE38" i="36"/>
  <c r="BO38" i="36"/>
  <c r="AW38" i="36"/>
  <c r="AE38" i="36"/>
  <c r="E38" i="36"/>
  <c r="IF37" i="36"/>
  <c r="HS37" i="36"/>
  <c r="HF37" i="36"/>
  <c r="GS37" i="36"/>
  <c r="GF37" i="36"/>
  <c r="FS37" i="36"/>
  <c r="FF37" i="36"/>
  <c r="ES37" i="36"/>
  <c r="EF37" i="36"/>
  <c r="DS37" i="36"/>
  <c r="DE37" i="36"/>
  <c r="CR37" i="36"/>
  <c r="CE37" i="36"/>
  <c r="BO37" i="36"/>
  <c r="AW37" i="36"/>
  <c r="AE37" i="36"/>
  <c r="E37" i="36"/>
  <c r="IF36" i="36"/>
  <c r="HS36" i="36"/>
  <c r="HF36" i="36"/>
  <c r="GS36" i="36"/>
  <c r="GF36" i="36"/>
  <c r="FS36" i="36"/>
  <c r="FF36" i="36"/>
  <c r="ES36" i="36"/>
  <c r="EF36" i="36"/>
  <c r="DS36" i="36"/>
  <c r="DE36" i="36"/>
  <c r="CR36" i="36"/>
  <c r="CE36" i="36"/>
  <c r="BO36" i="36"/>
  <c r="AW36" i="36"/>
  <c r="AE36" i="36"/>
  <c r="E36" i="36"/>
  <c r="IF35" i="36"/>
  <c r="HS35" i="36"/>
  <c r="HF35" i="36"/>
  <c r="GS35" i="36"/>
  <c r="GF35" i="36"/>
  <c r="FS35" i="36"/>
  <c r="FF35" i="36"/>
  <c r="ES35" i="36"/>
  <c r="EF35" i="36"/>
  <c r="DS35" i="36"/>
  <c r="DE35" i="36"/>
  <c r="CR35" i="36"/>
  <c r="CE35" i="36"/>
  <c r="BO35" i="36"/>
  <c r="AW35" i="36"/>
  <c r="AE35" i="36"/>
  <c r="E35" i="36"/>
  <c r="IF34" i="36"/>
  <c r="HS34" i="36"/>
  <c r="HF34" i="36"/>
  <c r="GS34" i="36"/>
  <c r="GF34" i="36"/>
  <c r="FS34" i="36"/>
  <c r="FF34" i="36"/>
  <c r="ES34" i="36"/>
  <c r="EF34" i="36"/>
  <c r="DS34" i="36"/>
  <c r="DE34" i="36"/>
  <c r="CR34" i="36"/>
  <c r="CE34" i="36"/>
  <c r="BO34" i="36"/>
  <c r="AW34" i="36"/>
  <c r="AE34" i="36"/>
  <c r="E34" i="36"/>
  <c r="IF33" i="36"/>
  <c r="HS33" i="36"/>
  <c r="HF33" i="36"/>
  <c r="GS33" i="36"/>
  <c r="GF33" i="36"/>
  <c r="FS33" i="36"/>
  <c r="FF33" i="36"/>
  <c r="ES33" i="36"/>
  <c r="EF33" i="36"/>
  <c r="DS33" i="36"/>
  <c r="DE33" i="36"/>
  <c r="CR33" i="36"/>
  <c r="CE33" i="36"/>
  <c r="BO33" i="36"/>
  <c r="AW33" i="36"/>
  <c r="AE33" i="36"/>
  <c r="E33" i="36"/>
  <c r="IF32" i="36"/>
  <c r="HS32" i="36"/>
  <c r="HF32" i="36"/>
  <c r="GS32" i="36"/>
  <c r="GF32" i="36"/>
  <c r="FS32" i="36"/>
  <c r="FF32" i="36"/>
  <c r="ES32" i="36"/>
  <c r="EF32" i="36"/>
  <c r="DS32" i="36"/>
  <c r="DE32" i="36"/>
  <c r="CR32" i="36"/>
  <c r="CE32" i="36"/>
  <c r="BO32" i="36"/>
  <c r="AW32" i="36"/>
  <c r="AE32" i="36"/>
  <c r="E32" i="36"/>
  <c r="IF31" i="36"/>
  <c r="HS31" i="36"/>
  <c r="HF31" i="36"/>
  <c r="GS31" i="36"/>
  <c r="GF31" i="36"/>
  <c r="FS31" i="36"/>
  <c r="FF31" i="36"/>
  <c r="ES31" i="36"/>
  <c r="EF31" i="36"/>
  <c r="DS31" i="36"/>
  <c r="DE31" i="36"/>
  <c r="CR31" i="36"/>
  <c r="CE31" i="36"/>
  <c r="BO31" i="36"/>
  <c r="AW31" i="36"/>
  <c r="AE31" i="36"/>
  <c r="E31" i="36"/>
  <c r="IF30" i="36"/>
  <c r="HS30" i="36"/>
  <c r="HF30" i="36"/>
  <c r="GS30" i="36"/>
  <c r="GF30" i="36"/>
  <c r="FS30" i="36"/>
  <c r="FF30" i="36"/>
  <c r="ES30" i="36"/>
  <c r="EF30" i="36"/>
  <c r="DS30" i="36"/>
  <c r="DE30" i="36"/>
  <c r="CR30" i="36"/>
  <c r="CE30" i="36"/>
  <c r="BO30" i="36"/>
  <c r="AW30" i="36"/>
  <c r="AE30" i="36"/>
  <c r="E30" i="36"/>
  <c r="IF29" i="36"/>
  <c r="HS29" i="36"/>
  <c r="HF29" i="36"/>
  <c r="GS29" i="36"/>
  <c r="GF29" i="36"/>
  <c r="FS29" i="36"/>
  <c r="FF29" i="36"/>
  <c r="ES29" i="36"/>
  <c r="EF29" i="36"/>
  <c r="DS29" i="36"/>
  <c r="DE29" i="36"/>
  <c r="CR29" i="36"/>
  <c r="CE29" i="36"/>
  <c r="BO29" i="36"/>
  <c r="AW29" i="36"/>
  <c r="AE29" i="36"/>
  <c r="E29" i="36"/>
  <c r="IF28" i="36"/>
  <c r="HS28" i="36"/>
  <c r="HF28" i="36"/>
  <c r="GS28" i="36"/>
  <c r="GF28" i="36"/>
  <c r="FS28" i="36"/>
  <c r="FF28" i="36"/>
  <c r="ES28" i="36"/>
  <c r="EF28" i="36"/>
  <c r="DS28" i="36"/>
  <c r="DE28" i="36"/>
  <c r="CR28" i="36"/>
  <c r="CE28" i="36"/>
  <c r="BO28" i="36"/>
  <c r="AW28" i="36"/>
  <c r="AE28" i="36"/>
  <c r="E28" i="36"/>
  <c r="IF27" i="36"/>
  <c r="HS27" i="36"/>
  <c r="HF27" i="36"/>
  <c r="GS27" i="36"/>
  <c r="GF27" i="36"/>
  <c r="FS27" i="36"/>
  <c r="FF27" i="36"/>
  <c r="ES27" i="36"/>
  <c r="EF27" i="36"/>
  <c r="DS27" i="36"/>
  <c r="DE27" i="36"/>
  <c r="CR27" i="36"/>
  <c r="CE27" i="36"/>
  <c r="BO27" i="36"/>
  <c r="AW27" i="36"/>
  <c r="AE27" i="36"/>
  <c r="E27" i="36"/>
  <c r="IF26" i="36"/>
  <c r="HS26" i="36"/>
  <c r="HF26" i="36"/>
  <c r="GS26" i="36"/>
  <c r="GF26" i="36"/>
  <c r="FS26" i="36"/>
  <c r="FF26" i="36"/>
  <c r="ES26" i="36"/>
  <c r="EF26" i="36"/>
  <c r="DS26" i="36"/>
  <c r="DE26" i="36"/>
  <c r="CR26" i="36"/>
  <c r="CE26" i="36"/>
  <c r="BO26" i="36"/>
  <c r="AW26" i="36"/>
  <c r="AE26" i="36"/>
  <c r="E26" i="36"/>
  <c r="IF25" i="36"/>
  <c r="HS25" i="36"/>
  <c r="HF25" i="36"/>
  <c r="GS25" i="36"/>
  <c r="GF25" i="36"/>
  <c r="FS25" i="36"/>
  <c r="FF25" i="36"/>
  <c r="ES25" i="36"/>
  <c r="EF25" i="36"/>
  <c r="DS25" i="36"/>
  <c r="DE25" i="36"/>
  <c r="CR25" i="36"/>
  <c r="CE25" i="36"/>
  <c r="BO25" i="36"/>
  <c r="AW25" i="36"/>
  <c r="AE25" i="36"/>
  <c r="E25" i="36"/>
  <c r="IF24" i="36"/>
  <c r="HS24" i="36"/>
  <c r="HF24" i="36"/>
  <c r="GS24" i="36"/>
  <c r="GF24" i="36"/>
  <c r="FS24" i="36"/>
  <c r="FF24" i="36"/>
  <c r="ES24" i="36"/>
  <c r="EF24" i="36"/>
  <c r="DS24" i="36"/>
  <c r="DE24" i="36"/>
  <c r="CR24" i="36"/>
  <c r="CE24" i="36"/>
  <c r="BO24" i="36"/>
  <c r="AW24" i="36"/>
  <c r="AE24" i="36"/>
  <c r="E24" i="36"/>
  <c r="IF23" i="36"/>
  <c r="HS23" i="36"/>
  <c r="HF23" i="36"/>
  <c r="GS23" i="36"/>
  <c r="GF23" i="36"/>
  <c r="FS23" i="36"/>
  <c r="FF23" i="36"/>
  <c r="ES23" i="36"/>
  <c r="EF23" i="36"/>
  <c r="DS23" i="36"/>
  <c r="DE23" i="36"/>
  <c r="CR23" i="36"/>
  <c r="CE23" i="36"/>
  <c r="BO23" i="36"/>
  <c r="AW23" i="36"/>
  <c r="AE23" i="36"/>
  <c r="E23" i="36"/>
  <c r="IF22" i="36"/>
  <c r="HS22" i="36"/>
  <c r="HF22" i="36"/>
  <c r="GS22" i="36"/>
  <c r="GF22" i="36"/>
  <c r="FS22" i="36"/>
  <c r="FF22" i="36"/>
  <c r="ES22" i="36"/>
  <c r="EF22" i="36"/>
  <c r="DS22" i="36"/>
  <c r="DE22" i="36"/>
  <c r="CR22" i="36"/>
  <c r="CE22" i="36"/>
  <c r="BO22" i="36"/>
  <c r="AW22" i="36"/>
  <c r="AE22" i="36"/>
  <c r="E22" i="36"/>
  <c r="IF21" i="36"/>
  <c r="HS21" i="36"/>
  <c r="HF21" i="36"/>
  <c r="GS21" i="36"/>
  <c r="GF21" i="36"/>
  <c r="FS21" i="36"/>
  <c r="FF21" i="36"/>
  <c r="ES21" i="36"/>
  <c r="EF21" i="36"/>
  <c r="DS21" i="36"/>
  <c r="DE21" i="36"/>
  <c r="CR21" i="36"/>
  <c r="CE21" i="36"/>
  <c r="BO21" i="36"/>
  <c r="AW21" i="36"/>
  <c r="E21" i="36"/>
  <c r="IF20" i="36"/>
  <c r="HS20" i="36"/>
  <c r="HF20" i="36"/>
  <c r="GS20" i="36"/>
  <c r="GF20" i="36"/>
  <c r="FS20" i="36"/>
  <c r="FF20" i="36"/>
  <c r="ES20" i="36"/>
  <c r="EF20" i="36"/>
  <c r="DS20" i="36"/>
  <c r="DE20" i="36"/>
  <c r="CR20" i="36"/>
  <c r="CE20" i="36"/>
  <c r="BO20" i="36"/>
  <c r="AW20" i="36"/>
  <c r="E20" i="36"/>
  <c r="IF19" i="36"/>
  <c r="HS19" i="36"/>
  <c r="HF19" i="36"/>
  <c r="GS19" i="36"/>
  <c r="GF19" i="36"/>
  <c r="FS19" i="36"/>
  <c r="FF19" i="36"/>
  <c r="ES19" i="36"/>
  <c r="EF19" i="36"/>
  <c r="DS19" i="36"/>
  <c r="DE19" i="36"/>
  <c r="CR19" i="36"/>
  <c r="CE19" i="36"/>
  <c r="BO19" i="36"/>
  <c r="AW19" i="36"/>
  <c r="E19" i="36"/>
  <c r="IF18" i="36"/>
  <c r="HS18" i="36"/>
  <c r="HF18" i="36"/>
  <c r="GS18" i="36"/>
  <c r="GF18" i="36"/>
  <c r="FS18" i="36"/>
  <c r="FF18" i="36"/>
  <c r="ES18" i="36"/>
  <c r="EF18" i="36"/>
  <c r="DS18" i="36"/>
  <c r="DE18" i="36"/>
  <c r="CR18" i="36"/>
  <c r="CE18" i="36"/>
  <c r="BO18" i="36"/>
  <c r="AW18" i="36"/>
  <c r="E18" i="36"/>
  <c r="IF17" i="36"/>
  <c r="HS17" i="36"/>
  <c r="HF17" i="36"/>
  <c r="GS17" i="36"/>
  <c r="GF17" i="36"/>
  <c r="FS17" i="36"/>
  <c r="FF17" i="36"/>
  <c r="ES17" i="36"/>
  <c r="EF17" i="36"/>
  <c r="DS17" i="36"/>
  <c r="DE17" i="36"/>
  <c r="CR17" i="36"/>
  <c r="CE17" i="36"/>
  <c r="AW17" i="36"/>
  <c r="E17" i="36"/>
  <c r="E16" i="36"/>
  <c r="E15" i="36"/>
  <c r="IF14" i="36"/>
  <c r="HS14" i="36"/>
  <c r="HF14" i="36"/>
  <c r="GS14" i="36"/>
  <c r="GF14" i="36"/>
  <c r="FS14" i="36"/>
  <c r="FF14" i="36"/>
  <c r="ES14" i="36"/>
  <c r="EF14" i="36"/>
  <c r="DS14" i="36"/>
  <c r="DE14" i="36"/>
  <c r="CR14" i="36"/>
  <c r="CE14" i="36"/>
  <c r="E14" i="36"/>
  <c r="IF13" i="36"/>
  <c r="HS13" i="36"/>
  <c r="HF13" i="36"/>
  <c r="GS13" i="36"/>
  <c r="GF13" i="36"/>
  <c r="FS13" i="36"/>
  <c r="FF13" i="36"/>
  <c r="ES13" i="36"/>
  <c r="EF13" i="36"/>
  <c r="DS13" i="36"/>
  <c r="DE13" i="36"/>
  <c r="CR13" i="36"/>
  <c r="CE13" i="36"/>
  <c r="E13" i="36"/>
  <c r="IF12" i="36"/>
  <c r="HS12" i="36"/>
  <c r="HF12" i="36"/>
  <c r="GS12" i="36"/>
  <c r="GF12" i="36"/>
  <c r="FS12" i="36"/>
  <c r="FF12" i="36"/>
  <c r="ES12" i="36"/>
  <c r="EF12" i="36"/>
  <c r="DS12" i="36"/>
  <c r="DE12" i="36"/>
  <c r="CR12" i="36"/>
  <c r="CE12" i="36"/>
  <c r="E12" i="36"/>
  <c r="IF11" i="36"/>
  <c r="HS11" i="36"/>
  <c r="HF11" i="36"/>
  <c r="GS11" i="36"/>
  <c r="GF11" i="36"/>
  <c r="FS11" i="36"/>
  <c r="FF11" i="36"/>
  <c r="ES11" i="36"/>
  <c r="EF11" i="36"/>
  <c r="DS11" i="36"/>
  <c r="DE11" i="36"/>
  <c r="CR11" i="36"/>
  <c r="CE11" i="36"/>
  <c r="E11" i="36"/>
  <c r="IF10" i="36"/>
  <c r="HS10" i="36"/>
  <c r="HF10" i="36"/>
  <c r="GS10" i="36"/>
  <c r="GF10" i="36"/>
  <c r="FS10" i="36"/>
  <c r="FF10" i="36"/>
  <c r="ES10" i="36"/>
  <c r="EF10" i="36"/>
  <c r="DS10" i="36"/>
  <c r="DE10" i="36"/>
  <c r="CR10" i="36"/>
  <c r="CE10" i="36"/>
  <c r="AW10" i="36"/>
  <c r="E10" i="36"/>
  <c r="IQ7" i="36"/>
  <c r="IP7" i="36"/>
  <c r="IO7" i="36"/>
  <c r="IN7" i="36"/>
  <c r="IM7" i="36"/>
  <c r="IL7" i="36"/>
  <c r="IK7" i="36"/>
  <c r="IJ7" i="36"/>
  <c r="II7" i="36"/>
  <c r="IH7" i="36"/>
  <c r="ID7" i="36"/>
  <c r="IC7" i="36"/>
  <c r="IB7" i="36"/>
  <c r="IA7" i="36"/>
  <c r="HZ7" i="36"/>
  <c r="HY7" i="36"/>
  <c r="HX7" i="36"/>
  <c r="HW7" i="36"/>
  <c r="HV7" i="36"/>
  <c r="HU7" i="36"/>
  <c r="HQ7" i="36"/>
  <c r="HL7" i="36"/>
  <c r="HK7" i="36"/>
  <c r="HJ7" i="36"/>
  <c r="HI7" i="36"/>
  <c r="HH7" i="36"/>
  <c r="HD7" i="36"/>
  <c r="GY7" i="36"/>
  <c r="GX7" i="36"/>
  <c r="GW7" i="36"/>
  <c r="GV7" i="36"/>
  <c r="GU7" i="36"/>
  <c r="GQ7" i="36"/>
  <c r="GL7" i="36"/>
  <c r="GK7" i="36"/>
  <c r="GJ7" i="36"/>
  <c r="GI7" i="36"/>
  <c r="GH7" i="36"/>
  <c r="GD7" i="36"/>
  <c r="FY7" i="36"/>
  <c r="FX7" i="36"/>
  <c r="FW7" i="36"/>
  <c r="FV7" i="36"/>
  <c r="FU7" i="36"/>
  <c r="FQ7" i="36"/>
  <c r="FL7" i="36"/>
  <c r="FK7" i="36"/>
  <c r="FJ7" i="36"/>
  <c r="FI7" i="36"/>
  <c r="FH7" i="36"/>
  <c r="FD7" i="36"/>
  <c r="EY7" i="36"/>
  <c r="EX7" i="36"/>
  <c r="EW7" i="36"/>
  <c r="EV7" i="36"/>
  <c r="EU7" i="36"/>
  <c r="EQ7" i="36"/>
  <c r="EP7" i="36"/>
  <c r="EO7" i="36"/>
  <c r="EN7" i="36"/>
  <c r="EM7" i="36"/>
  <c r="EL7" i="36"/>
  <c r="EK7" i="36"/>
  <c r="EJ7" i="36"/>
  <c r="EI7" i="36"/>
  <c r="EH7" i="36"/>
  <c r="ED7" i="36"/>
  <c r="DZ7" i="36"/>
  <c r="DY7" i="36"/>
  <c r="DX7" i="36"/>
  <c r="DW7" i="36"/>
  <c r="DV7" i="36"/>
  <c r="DU7" i="36"/>
  <c r="DQ7" i="36"/>
  <c r="DP7" i="36"/>
  <c r="DO7" i="36"/>
  <c r="DN7" i="36"/>
  <c r="DM7" i="36"/>
  <c r="DL7" i="36"/>
  <c r="DK7" i="36"/>
  <c r="DJ7" i="36"/>
  <c r="DI7" i="36"/>
  <c r="DH7" i="36"/>
  <c r="DG7" i="36"/>
  <c r="DC7" i="36"/>
  <c r="DB7" i="36"/>
  <c r="DA7" i="36"/>
  <c r="CZ7" i="36"/>
  <c r="CY7" i="36"/>
  <c r="CX7" i="36"/>
  <c r="CW7" i="36"/>
  <c r="CV7" i="36"/>
  <c r="CU7" i="36"/>
  <c r="CT7" i="36"/>
  <c r="CP7" i="36"/>
  <c r="CL7" i="36"/>
  <c r="CK7" i="36"/>
  <c r="CJ7" i="36"/>
  <c r="CI7" i="36"/>
  <c r="CH7" i="36"/>
  <c r="CG7" i="36"/>
  <c r="CC7" i="36"/>
  <c r="BY7" i="36"/>
  <c r="BX7" i="36"/>
  <c r="BW7" i="36"/>
  <c r="BV7" i="36"/>
  <c r="BU7" i="36"/>
  <c r="BT7" i="36"/>
  <c r="BM7" i="36"/>
  <c r="BI7" i="36"/>
  <c r="BH7" i="36"/>
  <c r="BG7" i="36"/>
  <c r="BF7" i="36"/>
  <c r="BE7" i="36"/>
  <c r="BD7" i="36"/>
  <c r="AU7" i="36"/>
  <c r="AQ7" i="36"/>
  <c r="AP7" i="36"/>
  <c r="AO7" i="36"/>
  <c r="AN7" i="36"/>
  <c r="AM7" i="36"/>
  <c r="AL7" i="36"/>
  <c r="AC7" i="36"/>
  <c r="AB7" i="36"/>
  <c r="AA7" i="36"/>
  <c r="Z7" i="36"/>
  <c r="Y7" i="36"/>
  <c r="X7" i="36"/>
  <c r="W7" i="36"/>
  <c r="V7" i="36"/>
  <c r="U7" i="36"/>
  <c r="T7" i="36"/>
  <c r="S7" i="36"/>
  <c r="R7" i="36"/>
  <c r="Q7" i="36"/>
  <c r="P7" i="36"/>
  <c r="O7" i="36"/>
  <c r="N7" i="36"/>
  <c r="M7" i="36"/>
  <c r="L7" i="36"/>
  <c r="K7" i="36"/>
  <c r="IQ4" i="36"/>
  <c r="IP4" i="36"/>
  <c r="IO4" i="36"/>
  <c r="IN4" i="36"/>
  <c r="IL4" i="36"/>
  <c r="IK4" i="36"/>
  <c r="ID4" i="36"/>
  <c r="IC4" i="36"/>
  <c r="IB4" i="36"/>
  <c r="IA4" i="36"/>
  <c r="HY4" i="36"/>
  <c r="HX4" i="36"/>
  <c r="HQ4" i="36"/>
  <c r="HP4" i="36"/>
  <c r="HO4" i="36"/>
  <c r="HN4" i="36"/>
  <c r="HL4" i="36"/>
  <c r="HK4" i="36"/>
  <c r="HD4" i="36"/>
  <c r="HC4" i="36"/>
  <c r="HB4" i="36"/>
  <c r="GY4" i="36"/>
  <c r="GX4" i="36"/>
  <c r="GQ4" i="36"/>
  <c r="GP4" i="36"/>
  <c r="GO4" i="36"/>
  <c r="GL4" i="36"/>
  <c r="GK4" i="36"/>
  <c r="GD4" i="36"/>
  <c r="GC4" i="36"/>
  <c r="GB4" i="36"/>
  <c r="FY4" i="36"/>
  <c r="FX4" i="36"/>
  <c r="FQ4" i="36"/>
  <c r="FP4" i="36"/>
  <c r="FO4" i="36"/>
  <c r="FL4" i="36"/>
  <c r="FK4" i="36"/>
  <c r="FD4" i="36"/>
  <c r="FC4" i="36"/>
  <c r="FB4" i="36"/>
  <c r="EY4" i="36"/>
  <c r="EX4" i="36"/>
  <c r="EQ4" i="36"/>
  <c r="EP4" i="36"/>
  <c r="EO4" i="36"/>
  <c r="EN4" i="36"/>
  <c r="EL4" i="36"/>
  <c r="EK4" i="36"/>
  <c r="ED4" i="36"/>
  <c r="EC4" i="36"/>
  <c r="EB4" i="36"/>
  <c r="DY4" i="36"/>
  <c r="DX4" i="36"/>
  <c r="DQ4" i="36"/>
  <c r="DP4" i="36"/>
  <c r="DO4" i="36"/>
  <c r="DN4" i="36"/>
  <c r="DM4" i="36"/>
  <c r="DL4" i="36"/>
  <c r="DK4" i="36"/>
  <c r="DJ4" i="36"/>
  <c r="DC4" i="36"/>
  <c r="DB4" i="36"/>
  <c r="DA4" i="36"/>
  <c r="CZ4" i="36"/>
  <c r="CY4" i="36"/>
  <c r="CX4" i="36"/>
  <c r="CW4" i="36"/>
  <c r="CP4" i="36"/>
  <c r="CO4" i="36"/>
  <c r="CN4" i="36"/>
  <c r="CL4" i="36"/>
  <c r="CK4" i="36"/>
  <c r="CJ4" i="36"/>
  <c r="CC4" i="36"/>
  <c r="BY4" i="36"/>
  <c r="BX4" i="36"/>
  <c r="BW4" i="36"/>
  <c r="BM4" i="36"/>
  <c r="BL4" i="36"/>
  <c r="BK4" i="36"/>
  <c r="BI4" i="36"/>
  <c r="BH4" i="36"/>
  <c r="BG4" i="36"/>
  <c r="AU4" i="36"/>
  <c r="AT4" i="36"/>
  <c r="AS4" i="36"/>
  <c r="AQ4" i="36"/>
  <c r="AP4" i="36"/>
  <c r="AO4" i="36"/>
  <c r="AC4" i="36"/>
  <c r="S4" i="36"/>
  <c r="R4" i="36"/>
  <c r="Q4" i="36"/>
  <c r="BD4" i="31"/>
  <c r="BC4" i="31"/>
  <c r="BB4" i="31"/>
  <c r="CD4" i="31"/>
  <c r="CC4" i="31"/>
  <c r="CB4" i="31"/>
  <c r="ED4" i="31"/>
  <c r="EC4" i="31"/>
  <c r="EB4" i="31"/>
  <c r="HD4" i="31"/>
  <c r="HC4" i="31"/>
  <c r="HB4" i="31"/>
  <c r="PA7" i="31"/>
  <c r="PB7" i="31"/>
  <c r="PC7" i="31"/>
  <c r="QA7" i="31"/>
  <c r="QB7" i="31"/>
  <c r="QC7" i="31"/>
  <c r="QD4" i="31"/>
  <c r="QC4" i="31"/>
  <c r="QB4" i="31"/>
  <c r="PD4" i="31"/>
  <c r="PC4" i="31"/>
  <c r="PB4" i="31"/>
  <c r="OD4" i="31"/>
  <c r="OC4" i="31"/>
  <c r="OB4" i="31"/>
  <c r="ND4" i="31"/>
  <c r="NC4" i="31"/>
  <c r="NB4" i="31"/>
  <c r="MD4" i="31"/>
  <c r="MC4" i="31"/>
  <c r="MB4" i="31"/>
  <c r="LD4" i="31"/>
  <c r="LC4" i="31"/>
  <c r="LB4" i="31"/>
  <c r="KD4" i="31"/>
  <c r="KC4" i="31"/>
  <c r="KB4" i="31"/>
  <c r="JD4" i="31"/>
  <c r="JC4" i="31"/>
  <c r="JB4" i="31"/>
  <c r="IA7" i="31"/>
  <c r="IB7" i="31"/>
  <c r="IC7" i="31"/>
  <c r="IB4" i="31"/>
  <c r="IC4" i="31"/>
  <c r="GB7" i="31"/>
  <c r="GC7" i="31"/>
  <c r="GB4" i="31"/>
  <c r="GC4" i="31"/>
  <c r="FA7" i="31"/>
  <c r="FB7" i="31"/>
  <c r="FC7" i="31"/>
  <c r="FC4" i="31"/>
  <c r="F12" i="31"/>
  <c r="F14" i="31"/>
  <c r="F27" i="31"/>
  <c r="F20" i="31"/>
  <c r="F46" i="31"/>
  <c r="F31" i="31"/>
  <c r="F16" i="31"/>
  <c r="F48" i="31"/>
  <c r="F45" i="31"/>
  <c r="F23" i="31"/>
  <c r="F19" i="31"/>
  <c r="F25" i="31"/>
  <c r="F49" i="31"/>
  <c r="L7" i="31"/>
  <c r="M7" i="31"/>
  <c r="N7" i="31"/>
  <c r="H126" i="7"/>
  <c r="H119" i="7"/>
  <c r="H112" i="7"/>
  <c r="L142" i="7"/>
  <c r="L164" i="7"/>
  <c r="L115" i="7"/>
  <c r="D115" i="7"/>
  <c r="D111" i="7"/>
  <c r="L111" i="7"/>
  <c r="H118" i="7"/>
  <c r="D132" i="7"/>
  <c r="D117" i="7"/>
  <c r="L13" i="7"/>
  <c r="L12" i="7"/>
  <c r="L8" i="7"/>
  <c r="D189" i="7"/>
  <c r="H45" i="7"/>
  <c r="H49" i="7"/>
  <c r="H38" i="7"/>
  <c r="H37" i="7"/>
  <c r="D45" i="7"/>
  <c r="D22" i="7"/>
  <c r="D15" i="7"/>
  <c r="D17" i="7"/>
  <c r="D9" i="7"/>
  <c r="D77" i="7"/>
  <c r="D73" i="7"/>
  <c r="D74" i="7"/>
  <c r="D71" i="7"/>
  <c r="D57" i="7"/>
  <c r="D10" i="7"/>
  <c r="I467" i="4"/>
  <c r="I444" i="4"/>
  <c r="I426" i="4"/>
  <c r="I400" i="4"/>
  <c r="I377" i="4"/>
  <c r="I347" i="4"/>
  <c r="I339" i="4"/>
  <c r="I177" i="4"/>
  <c r="I150" i="4"/>
  <c r="I128" i="4"/>
  <c r="I116" i="4"/>
  <c r="I85" i="4"/>
  <c r="G518" i="2"/>
  <c r="G507" i="2"/>
  <c r="G477" i="2"/>
  <c r="G466" i="2"/>
  <c r="G442" i="2"/>
  <c r="G419" i="2"/>
  <c r="G396" i="2"/>
  <c r="G371" i="2"/>
  <c r="G358" i="2"/>
  <c r="G331" i="2"/>
  <c r="G314" i="2"/>
  <c r="G298" i="2"/>
  <c r="G267" i="2"/>
  <c r="G248" i="2"/>
  <c r="G227" i="2"/>
  <c r="G210" i="2"/>
  <c r="G179" i="2"/>
  <c r="G171" i="2"/>
  <c r="G141" i="2"/>
  <c r="G127" i="2"/>
  <c r="G96" i="2"/>
  <c r="H72" i="2"/>
  <c r="G74" i="2"/>
  <c r="G75" i="2"/>
  <c r="G22" i="2"/>
  <c r="G68" i="2"/>
  <c r="CF76" i="31" l="1"/>
  <c r="CF70" i="31"/>
  <c r="CF45" i="31"/>
  <c r="CF22" i="31"/>
  <c r="CF66" i="31"/>
  <c r="CF48" i="31"/>
  <c r="CF81" i="31"/>
  <c r="CF43" i="31"/>
  <c r="CF16" i="31"/>
  <c r="CF74" i="31"/>
  <c r="CF30" i="31"/>
  <c r="CF31" i="31"/>
  <c r="CF71" i="31"/>
  <c r="CF65" i="31"/>
  <c r="CF72" i="31"/>
  <c r="CF50" i="31"/>
  <c r="I189" i="5"/>
  <c r="O24" i="32"/>
  <c r="O11" i="32"/>
  <c r="O16" i="32"/>
  <c r="O10" i="32"/>
  <c r="N13" i="32"/>
  <c r="N15" i="32"/>
  <c r="Q560" i="32"/>
  <c r="R23" i="32" s="1"/>
  <c r="O560" i="32"/>
  <c r="P23" i="32" s="1"/>
  <c r="L223" i="32"/>
  <c r="L12" i="32" s="1"/>
  <c r="M223" i="32"/>
  <c r="M12" i="32" s="1"/>
  <c r="L282" i="32"/>
  <c r="L14" i="32" s="1"/>
  <c r="M282" i="32"/>
  <c r="M14" i="32" s="1"/>
  <c r="O311" i="32"/>
  <c r="P15" i="32" s="1"/>
  <c r="Q311" i="32"/>
  <c r="R15" i="32" s="1"/>
  <c r="P311" i="32"/>
  <c r="Q15" i="32" s="1"/>
  <c r="P250" i="32"/>
  <c r="Q13" i="32" s="1"/>
  <c r="O250" i="32"/>
  <c r="P13" i="32" s="1"/>
  <c r="Q250" i="32"/>
  <c r="R13" i="32" s="1"/>
  <c r="Q280" i="32"/>
  <c r="Q282" i="32" s="1"/>
  <c r="R14" i="32" s="1"/>
  <c r="P280" i="32"/>
  <c r="P282" i="32" s="1"/>
  <c r="Q14" i="32" s="1"/>
  <c r="O280" i="32"/>
  <c r="O282" i="32" s="1"/>
  <c r="P14" i="32" s="1"/>
  <c r="Q221" i="32"/>
  <c r="Q223" i="32" s="1"/>
  <c r="R12" i="32" s="1"/>
  <c r="O221" i="32"/>
  <c r="O223" i="32" s="1"/>
  <c r="P12" i="32" s="1"/>
  <c r="P221" i="32"/>
  <c r="P223" i="32" s="1"/>
  <c r="Q12" i="32" s="1"/>
  <c r="BL518" i="32"/>
  <c r="BL520" i="32"/>
  <c r="BL522" i="32"/>
  <c r="BL519" i="32"/>
  <c r="BK518" i="32"/>
  <c r="BK519" i="32"/>
  <c r="BK521" i="32"/>
  <c r="BK520" i="32"/>
  <c r="BK522" i="32"/>
  <c r="BL591" i="32"/>
  <c r="BK591" i="32"/>
  <c r="T25" i="37"/>
  <c r="O25" i="37"/>
  <c r="F25" i="37"/>
  <c r="M25" i="37"/>
  <c r="N25" i="37"/>
  <c r="H25" i="37"/>
  <c r="E25" i="37"/>
  <c r="P25" i="37"/>
  <c r="S25" i="37"/>
  <c r="G25" i="37"/>
  <c r="J25" i="37"/>
  <c r="R25" i="37"/>
  <c r="K25" i="37"/>
  <c r="L25" i="37"/>
  <c r="I25" i="37"/>
  <c r="Q25" i="37"/>
  <c r="G4" i="37"/>
  <c r="BK558" i="32"/>
  <c r="BL558" i="32"/>
  <c r="CF13" i="31"/>
  <c r="H179" i="5"/>
  <c r="I179" i="5" s="1"/>
  <c r="DB7" i="31"/>
  <c r="DC7" i="31"/>
  <c r="BL521" i="32"/>
  <c r="GS7" i="36"/>
  <c r="GF7" i="36"/>
  <c r="AW7" i="36"/>
  <c r="AE7" i="36"/>
  <c r="FF7" i="36"/>
  <c r="IF7" i="36"/>
  <c r="EF7" i="36"/>
  <c r="FS7" i="36"/>
  <c r="HS7" i="36"/>
  <c r="DS7" i="36"/>
  <c r="ES7" i="36"/>
  <c r="HF7" i="36"/>
  <c r="CR7" i="36"/>
  <c r="CE7" i="36"/>
  <c r="E7" i="36"/>
  <c r="BO7" i="36"/>
  <c r="DE7" i="36"/>
  <c r="H187" i="5"/>
  <c r="H188" i="5"/>
  <c r="C128" i="5"/>
  <c r="C123" i="5"/>
  <c r="BF491" i="32"/>
  <c r="BE491" i="32"/>
  <c r="BF490" i="32"/>
  <c r="BE490" i="32"/>
  <c r="AP491" i="32"/>
  <c r="AQ491" i="32"/>
  <c r="AR491" i="32"/>
  <c r="AS491" i="32"/>
  <c r="AT491" i="32"/>
  <c r="AU491" i="32"/>
  <c r="AV491" i="32"/>
  <c r="AW491" i="32"/>
  <c r="AX491" i="32"/>
  <c r="AY491" i="32"/>
  <c r="AZ491" i="32"/>
  <c r="BA491" i="32"/>
  <c r="BB491" i="32"/>
  <c r="BC491" i="32"/>
  <c r="BD491" i="32"/>
  <c r="AO491" i="32"/>
  <c r="AP490" i="32"/>
  <c r="AQ490" i="32"/>
  <c r="AR490" i="32"/>
  <c r="AS490" i="32"/>
  <c r="AT490" i="32"/>
  <c r="AU490" i="32"/>
  <c r="AV490" i="32"/>
  <c r="AW490" i="32"/>
  <c r="AX490" i="32"/>
  <c r="AY490" i="32"/>
  <c r="AZ490" i="32"/>
  <c r="BA490" i="32"/>
  <c r="BB490" i="32"/>
  <c r="BC490" i="32"/>
  <c r="BD490" i="32"/>
  <c r="AO490" i="32"/>
  <c r="AM491" i="32"/>
  <c r="AL491" i="32"/>
  <c r="AM490" i="32"/>
  <c r="AL490" i="32"/>
  <c r="W490" i="32"/>
  <c r="X490" i="32"/>
  <c r="Y490" i="32"/>
  <c r="Z490" i="32"/>
  <c r="AA490" i="32"/>
  <c r="AB490" i="32"/>
  <c r="AC490" i="32"/>
  <c r="AD490" i="32"/>
  <c r="AE490" i="32"/>
  <c r="AF490" i="32"/>
  <c r="AG490" i="32"/>
  <c r="AH490" i="32"/>
  <c r="AI490" i="32"/>
  <c r="AJ490" i="32"/>
  <c r="AK490" i="32"/>
  <c r="W491" i="32"/>
  <c r="X491" i="32"/>
  <c r="Y491" i="32"/>
  <c r="Z491" i="32"/>
  <c r="AA491" i="32"/>
  <c r="AB491" i="32"/>
  <c r="AC491" i="32"/>
  <c r="AD491" i="32"/>
  <c r="AE491" i="32"/>
  <c r="AF491" i="32"/>
  <c r="AG491" i="32"/>
  <c r="AH491" i="32"/>
  <c r="AI491" i="32"/>
  <c r="AJ491" i="32"/>
  <c r="AK491" i="32"/>
  <c r="V491" i="32"/>
  <c r="V490" i="32"/>
  <c r="O13" i="32" l="1"/>
  <c r="O23" i="32"/>
  <c r="O12" i="32"/>
  <c r="O14" i="32"/>
  <c r="O15" i="32"/>
  <c r="N12" i="32"/>
  <c r="N14" i="32"/>
  <c r="M4" i="32"/>
  <c r="L4" i="32"/>
  <c r="I188" i="5"/>
  <c r="I187" i="5"/>
  <c r="J15" i="10"/>
  <c r="K15" i="10"/>
  <c r="J12" i="10"/>
  <c r="K12" i="10"/>
  <c r="AL462" i="32"/>
  <c r="AM462" i="32"/>
  <c r="BE462" i="32"/>
  <c r="BF462" i="32"/>
  <c r="BF430" i="32"/>
  <c r="BF525" i="32"/>
  <c r="BE525" i="32"/>
  <c r="BD525" i="32"/>
  <c r="BC525" i="32"/>
  <c r="BB525" i="32"/>
  <c r="BA525" i="32"/>
  <c r="AZ525" i="32"/>
  <c r="AY525" i="32"/>
  <c r="AX525" i="32"/>
  <c r="AW525" i="32"/>
  <c r="AV525" i="32"/>
  <c r="AU525" i="32"/>
  <c r="AT525" i="32"/>
  <c r="AS525" i="32"/>
  <c r="AR525" i="32"/>
  <c r="AQ525" i="32"/>
  <c r="AP525" i="32"/>
  <c r="AO525" i="32"/>
  <c r="AM525" i="32"/>
  <c r="AL525" i="32"/>
  <c r="AK525" i="32"/>
  <c r="AJ525" i="32"/>
  <c r="AI525" i="32"/>
  <c r="AH525" i="32"/>
  <c r="AG525" i="32"/>
  <c r="AF525" i="32"/>
  <c r="AE525" i="32"/>
  <c r="AD525" i="32"/>
  <c r="AC525" i="32"/>
  <c r="AB525" i="32"/>
  <c r="AA525" i="32"/>
  <c r="Z525" i="32"/>
  <c r="Y525" i="32"/>
  <c r="X525" i="32"/>
  <c r="W525" i="32"/>
  <c r="V525" i="32"/>
  <c r="H522" i="32"/>
  <c r="H518" i="32"/>
  <c r="BJ517" i="32"/>
  <c r="BI517" i="32"/>
  <c r="BH517" i="32"/>
  <c r="H517" i="32"/>
  <c r="BJ516" i="32"/>
  <c r="BI516" i="32"/>
  <c r="BH516" i="32"/>
  <c r="H516" i="32"/>
  <c r="BJ515" i="32"/>
  <c r="BI515" i="32"/>
  <c r="BH515" i="32"/>
  <c r="H515" i="32"/>
  <c r="BJ514" i="32"/>
  <c r="BI514" i="32"/>
  <c r="BH514" i="32"/>
  <c r="H514" i="32"/>
  <c r="BJ513" i="32"/>
  <c r="BI513" i="32"/>
  <c r="BH513" i="32"/>
  <c r="H513" i="32"/>
  <c r="BJ512" i="32"/>
  <c r="BI512" i="32"/>
  <c r="BH512" i="32"/>
  <c r="H512" i="32"/>
  <c r="BJ511" i="32"/>
  <c r="BI511" i="32"/>
  <c r="BH511" i="32"/>
  <c r="H511" i="32"/>
  <c r="BJ510" i="32"/>
  <c r="BI510" i="32"/>
  <c r="BH510" i="32"/>
  <c r="H510" i="32"/>
  <c r="BJ509" i="32"/>
  <c r="BI509" i="32"/>
  <c r="BH509" i="32"/>
  <c r="H509" i="32"/>
  <c r="BJ508" i="32"/>
  <c r="BI508" i="32"/>
  <c r="BH508" i="32"/>
  <c r="H508" i="32"/>
  <c r="BJ507" i="32"/>
  <c r="BI507" i="32"/>
  <c r="BH507" i="32"/>
  <c r="H507" i="32"/>
  <c r="BJ506" i="32"/>
  <c r="BI506" i="32"/>
  <c r="BH506" i="32"/>
  <c r="H506" i="32"/>
  <c r="BJ505" i="32"/>
  <c r="BI505" i="32"/>
  <c r="BH505" i="32"/>
  <c r="H505" i="32"/>
  <c r="BJ504" i="32"/>
  <c r="BI504" i="32"/>
  <c r="BH504" i="32"/>
  <c r="H504" i="32"/>
  <c r="BJ503" i="32"/>
  <c r="BI503" i="32"/>
  <c r="BH503" i="32"/>
  <c r="H503" i="32"/>
  <c r="BJ502" i="32"/>
  <c r="BI502" i="32"/>
  <c r="BH502" i="32"/>
  <c r="H502" i="32"/>
  <c r="BJ501" i="32"/>
  <c r="BI501" i="32"/>
  <c r="BH501" i="32"/>
  <c r="H501" i="32"/>
  <c r="BJ500" i="32"/>
  <c r="BI500" i="32"/>
  <c r="BH500" i="32"/>
  <c r="H500" i="32"/>
  <c r="BJ499" i="32"/>
  <c r="BI499" i="32"/>
  <c r="BH499" i="32"/>
  <c r="H499" i="32"/>
  <c r="BJ487" i="32"/>
  <c r="BJ491" i="32" s="1"/>
  <c r="BI487" i="32"/>
  <c r="BH487" i="32"/>
  <c r="H487" i="32"/>
  <c r="BJ486" i="32"/>
  <c r="BI486" i="32"/>
  <c r="BH486" i="32"/>
  <c r="H486" i="32"/>
  <c r="BJ485" i="32"/>
  <c r="BI485" i="32"/>
  <c r="BH485" i="32"/>
  <c r="H485" i="32"/>
  <c r="BJ484" i="32"/>
  <c r="BI484" i="32"/>
  <c r="BH484" i="32"/>
  <c r="H484" i="32"/>
  <c r="BJ483" i="32"/>
  <c r="BI483" i="32"/>
  <c r="BH483" i="32"/>
  <c r="H483" i="32"/>
  <c r="BJ482" i="32"/>
  <c r="BI482" i="32"/>
  <c r="BH482" i="32"/>
  <c r="H482" i="32"/>
  <c r="BJ481" i="32"/>
  <c r="BI481" i="32"/>
  <c r="BH481" i="32"/>
  <c r="H481" i="32"/>
  <c r="BJ480" i="32"/>
  <c r="BI480" i="32"/>
  <c r="BH480" i="32"/>
  <c r="H480" i="32"/>
  <c r="BJ479" i="32"/>
  <c r="BI479" i="32"/>
  <c r="BH479" i="32"/>
  <c r="H479" i="32"/>
  <c r="BJ478" i="32"/>
  <c r="BI478" i="32"/>
  <c r="BH478" i="32"/>
  <c r="H478" i="32"/>
  <c r="BJ477" i="32"/>
  <c r="BI477" i="32"/>
  <c r="BH477" i="32"/>
  <c r="H477" i="32"/>
  <c r="BJ476" i="32"/>
  <c r="BI476" i="32"/>
  <c r="BH476" i="32"/>
  <c r="H476" i="32"/>
  <c r="BJ475" i="32"/>
  <c r="BI475" i="32"/>
  <c r="BH475" i="32"/>
  <c r="H475" i="32"/>
  <c r="BJ474" i="32"/>
  <c r="BI474" i="32"/>
  <c r="BH474" i="32"/>
  <c r="H474" i="32"/>
  <c r="BJ473" i="32"/>
  <c r="BI473" i="32"/>
  <c r="BH473" i="32"/>
  <c r="H473" i="32"/>
  <c r="BJ472" i="32"/>
  <c r="BI472" i="32"/>
  <c r="BH472" i="32"/>
  <c r="H472" i="32"/>
  <c r="BJ471" i="32"/>
  <c r="BI471" i="32"/>
  <c r="BH471" i="32"/>
  <c r="H471" i="32"/>
  <c r="BJ470" i="32"/>
  <c r="BI470" i="32"/>
  <c r="BH470" i="32"/>
  <c r="H470" i="32"/>
  <c r="BJ469" i="32"/>
  <c r="BI469" i="32"/>
  <c r="BH469" i="32"/>
  <c r="H469" i="32"/>
  <c r="W462" i="32"/>
  <c r="X462" i="32"/>
  <c r="Y462" i="32"/>
  <c r="Z462" i="32"/>
  <c r="AA462" i="32"/>
  <c r="AB462" i="32"/>
  <c r="AC462" i="32"/>
  <c r="AD462" i="32"/>
  <c r="AE462" i="32"/>
  <c r="AF462" i="32"/>
  <c r="AG462" i="32"/>
  <c r="AH462" i="32"/>
  <c r="AI462" i="32"/>
  <c r="AJ462" i="32"/>
  <c r="AK462" i="32"/>
  <c r="V462" i="32"/>
  <c r="AO462" i="32"/>
  <c r="AP462" i="32"/>
  <c r="AQ462" i="32"/>
  <c r="AR462" i="32"/>
  <c r="AS462" i="32"/>
  <c r="AT462" i="32"/>
  <c r="AU462" i="32"/>
  <c r="AV462" i="32"/>
  <c r="AW462" i="32"/>
  <c r="AX462" i="32"/>
  <c r="AY462" i="32"/>
  <c r="AZ462" i="32"/>
  <c r="BA462" i="32"/>
  <c r="BB462" i="32"/>
  <c r="BC462" i="32"/>
  <c r="BD462" i="32"/>
  <c r="H440" i="32"/>
  <c r="H439" i="32"/>
  <c r="BJ457" i="32"/>
  <c r="BI457" i="32"/>
  <c r="BH457" i="32"/>
  <c r="BJ456" i="32"/>
  <c r="BI456" i="32"/>
  <c r="BH456" i="32"/>
  <c r="BJ455" i="32"/>
  <c r="BI455" i="32"/>
  <c r="BH455" i="32"/>
  <c r="BJ454" i="32"/>
  <c r="BI454" i="32"/>
  <c r="BH454" i="32"/>
  <c r="BJ453" i="32"/>
  <c r="BI453" i="32"/>
  <c r="BH453" i="32"/>
  <c r="BJ452" i="32"/>
  <c r="BI452" i="32"/>
  <c r="BH452" i="32"/>
  <c r="BJ451" i="32"/>
  <c r="BI451" i="32"/>
  <c r="BH451" i="32"/>
  <c r="BJ450" i="32"/>
  <c r="BI450" i="32"/>
  <c r="BH450" i="32"/>
  <c r="BJ449" i="32"/>
  <c r="BI449" i="32"/>
  <c r="BH449" i="32"/>
  <c r="BJ448" i="32"/>
  <c r="BI448" i="32"/>
  <c r="BH448" i="32"/>
  <c r="BJ447" i="32"/>
  <c r="BI447" i="32"/>
  <c r="BH447" i="32"/>
  <c r="BJ446" i="32"/>
  <c r="BI446" i="32"/>
  <c r="BH446" i="32"/>
  <c r="BJ445" i="32"/>
  <c r="BI445" i="32"/>
  <c r="BH445" i="32"/>
  <c r="BJ444" i="32"/>
  <c r="BI444" i="32"/>
  <c r="BH444" i="32"/>
  <c r="BJ443" i="32"/>
  <c r="BI443" i="32"/>
  <c r="BH443" i="32"/>
  <c r="BJ442" i="32"/>
  <c r="BI442" i="32"/>
  <c r="BH442" i="32"/>
  <c r="BJ441" i="32"/>
  <c r="BI441" i="32"/>
  <c r="BH441" i="32"/>
  <c r="BJ440" i="32"/>
  <c r="BI440" i="32"/>
  <c r="BH440" i="32"/>
  <c r="BJ439" i="32"/>
  <c r="BI439" i="32"/>
  <c r="BH439" i="32"/>
  <c r="N4" i="32" l="1"/>
  <c r="Q490" i="32"/>
  <c r="P490" i="32"/>
  <c r="O490" i="32"/>
  <c r="Q525" i="32"/>
  <c r="R22" i="32" s="1"/>
  <c r="P525" i="32"/>
  <c r="Q22" i="32" s="1"/>
  <c r="O525" i="32"/>
  <c r="P22" i="32" s="1"/>
  <c r="Q462" i="32"/>
  <c r="R20" i="32" s="1"/>
  <c r="P462" i="32"/>
  <c r="Q20" i="32" s="1"/>
  <c r="O462" i="32"/>
  <c r="P20" i="32" s="1"/>
  <c r="O491" i="32"/>
  <c r="Q491" i="32"/>
  <c r="P491" i="32"/>
  <c r="BK443" i="32"/>
  <c r="BK445" i="32"/>
  <c r="BK453" i="32"/>
  <c r="BK447" i="32"/>
  <c r="BJ490" i="32"/>
  <c r="BK441" i="32"/>
  <c r="BL475" i="32"/>
  <c r="BL480" i="32"/>
  <c r="BL484" i="32"/>
  <c r="BL499" i="32"/>
  <c r="BK501" i="32"/>
  <c r="BL503" i="32"/>
  <c r="BK505" i="32"/>
  <c r="BK510" i="32"/>
  <c r="BK516" i="32"/>
  <c r="BL476" i="32"/>
  <c r="BL473" i="32"/>
  <c r="BL502" i="32"/>
  <c r="BL508" i="32"/>
  <c r="BL512" i="32"/>
  <c r="BL506" i="32"/>
  <c r="BL515" i="32"/>
  <c r="BL504" i="32"/>
  <c r="BL510" i="32"/>
  <c r="BL514" i="32"/>
  <c r="BL470" i="32"/>
  <c r="BL472" i="32"/>
  <c r="BK474" i="32"/>
  <c r="BK476" i="32"/>
  <c r="BL478" i="32"/>
  <c r="BK448" i="32"/>
  <c r="BK484" i="32"/>
  <c r="BL486" i="32"/>
  <c r="BK480" i="32"/>
  <c r="BK514" i="32"/>
  <c r="BL511" i="32"/>
  <c r="BK513" i="32"/>
  <c r="BK444" i="32"/>
  <c r="BK485" i="32"/>
  <c r="BK500" i="32"/>
  <c r="BK502" i="32"/>
  <c r="BK517" i="32"/>
  <c r="BJ462" i="32"/>
  <c r="BL457" i="32"/>
  <c r="BL500" i="32"/>
  <c r="BL507" i="32"/>
  <c r="BK509" i="32"/>
  <c r="BL516" i="32"/>
  <c r="BK439" i="32"/>
  <c r="BK455" i="32"/>
  <c r="BL477" i="32"/>
  <c r="BL479" i="32"/>
  <c r="BK504" i="32"/>
  <c r="BK472" i="32"/>
  <c r="BL481" i="32"/>
  <c r="BL483" i="32"/>
  <c r="BK508" i="32"/>
  <c r="BL442" i="32"/>
  <c r="BL445" i="32"/>
  <c r="BL453" i="32"/>
  <c r="BK506" i="32"/>
  <c r="BL469" i="32"/>
  <c r="BL471" i="32"/>
  <c r="BL485" i="32"/>
  <c r="BL487" i="32"/>
  <c r="BL491" i="32" s="1"/>
  <c r="BJ525" i="32"/>
  <c r="BK512" i="32"/>
  <c r="BL482" i="32"/>
  <c r="BL501" i="32"/>
  <c r="BL505" i="32"/>
  <c r="BL509" i="32"/>
  <c r="BL513" i="32"/>
  <c r="BL517" i="32"/>
  <c r="BK499" i="32"/>
  <c r="BK503" i="32"/>
  <c r="BK507" i="32"/>
  <c r="BK511" i="32"/>
  <c r="BK515" i="32"/>
  <c r="BK471" i="32"/>
  <c r="BK475" i="32"/>
  <c r="BK479" i="32"/>
  <c r="BK483" i="32"/>
  <c r="BK487" i="32"/>
  <c r="BK491" i="32" s="1"/>
  <c r="BK478" i="32"/>
  <c r="BK482" i="32"/>
  <c r="BK486" i="32"/>
  <c r="BK470" i="32"/>
  <c r="BL474" i="32"/>
  <c r="BK481" i="32"/>
  <c r="BK469" i="32"/>
  <c r="BK473" i="32"/>
  <c r="BK477" i="32"/>
  <c r="BK440" i="32"/>
  <c r="BL443" i="32"/>
  <c r="BL441" i="32"/>
  <c r="BL456" i="32"/>
  <c r="BL448" i="32"/>
  <c r="BL451" i="32"/>
  <c r="BL444" i="32"/>
  <c r="BL449" i="32"/>
  <c r="BL452" i="32"/>
  <c r="BL450" i="32"/>
  <c r="BL455" i="32"/>
  <c r="BK442" i="32"/>
  <c r="BK454" i="32"/>
  <c r="BK456" i="32"/>
  <c r="BK446" i="32"/>
  <c r="BK450" i="32"/>
  <c r="BK452" i="32"/>
  <c r="BK449" i="32"/>
  <c r="BK451" i="32"/>
  <c r="BK457" i="32"/>
  <c r="BL446" i="32"/>
  <c r="BL454" i="32"/>
  <c r="BL440" i="32"/>
  <c r="BL439" i="32"/>
  <c r="BL447" i="32"/>
  <c r="PF9" i="31"/>
  <c r="QD7" i="31"/>
  <c r="PS4" i="31"/>
  <c r="PR4" i="31"/>
  <c r="DO7" i="31"/>
  <c r="DP7" i="31"/>
  <c r="O7" i="31"/>
  <c r="P7" i="31"/>
  <c r="Y7" i="31"/>
  <c r="O22" i="32" l="1"/>
  <c r="O20" i="32"/>
  <c r="O492" i="32"/>
  <c r="P21" i="32" s="1"/>
  <c r="P492" i="32"/>
  <c r="Q21" i="32" s="1"/>
  <c r="Q4" i="32" s="1"/>
  <c r="Q492" i="32"/>
  <c r="R21" i="32" s="1"/>
  <c r="BK490" i="32"/>
  <c r="BL490" i="32"/>
  <c r="BL525" i="32"/>
  <c r="BK462" i="32"/>
  <c r="BL462" i="32"/>
  <c r="BK525" i="32"/>
  <c r="PF7" i="31"/>
  <c r="F11" i="31"/>
  <c r="F29" i="31"/>
  <c r="E569" i="4"/>
  <c r="G530" i="4"/>
  <c r="I379" i="4"/>
  <c r="I353" i="4"/>
  <c r="I329" i="4"/>
  <c r="I185" i="4"/>
  <c r="I163" i="4"/>
  <c r="I125" i="4"/>
  <c r="I105" i="4"/>
  <c r="I82" i="4"/>
  <c r="I466" i="4"/>
  <c r="I434" i="4"/>
  <c r="I412" i="4"/>
  <c r="I398" i="4"/>
  <c r="D244" i="7"/>
  <c r="D236" i="7"/>
  <c r="D228" i="7"/>
  <c r="D229" i="7"/>
  <c r="H203" i="7"/>
  <c r="H191" i="7"/>
  <c r="H185" i="7"/>
  <c r="H184" i="7"/>
  <c r="D188" i="7"/>
  <c r="D190" i="7"/>
  <c r="L162" i="7"/>
  <c r="L119" i="7"/>
  <c r="L126" i="7"/>
  <c r="L118" i="7"/>
  <c r="L116" i="7"/>
  <c r="L146" i="7"/>
  <c r="L123" i="7"/>
  <c r="H114" i="7"/>
  <c r="H172" i="7"/>
  <c r="H163" i="7"/>
  <c r="H153" i="7"/>
  <c r="H121" i="7"/>
  <c r="D163" i="7"/>
  <c r="D129" i="7"/>
  <c r="D126" i="7"/>
  <c r="D152" i="7"/>
  <c r="D122" i="7"/>
  <c r="D116" i="7"/>
  <c r="D94" i="7"/>
  <c r="D68" i="7"/>
  <c r="D12" i="7"/>
  <c r="D18" i="7"/>
  <c r="D56" i="7"/>
  <c r="P4" i="32" l="1"/>
  <c r="O21" i="32"/>
  <c r="C113" i="5"/>
  <c r="G526" i="2"/>
  <c r="G495" i="2"/>
  <c r="G478" i="2"/>
  <c r="G465" i="2"/>
  <c r="G445" i="2"/>
  <c r="G410" i="2"/>
  <c r="G158" i="2"/>
  <c r="G160" i="2"/>
  <c r="G118" i="2"/>
  <c r="G41" i="2"/>
  <c r="G42" i="2"/>
  <c r="G13" i="2"/>
  <c r="G414" i="2"/>
  <c r="G397" i="2"/>
  <c r="G380" i="2"/>
  <c r="G354" i="2"/>
  <c r="G332" i="2"/>
  <c r="G315" i="2"/>
  <c r="G289" i="2"/>
  <c r="G272" i="2"/>
  <c r="G252" i="2"/>
  <c r="G231" i="2"/>
  <c r="G211" i="2"/>
  <c r="G193" i="2"/>
  <c r="G151" i="2"/>
  <c r="G152" i="2"/>
  <c r="G101" i="2"/>
  <c r="G84" i="2"/>
  <c r="G56" i="2"/>
  <c r="G57" i="2"/>
  <c r="G18" i="2"/>
  <c r="H9" i="2"/>
  <c r="G152" i="13" l="1"/>
  <c r="G153" i="13"/>
  <c r="G154" i="13"/>
  <c r="G155" i="13"/>
  <c r="G156" i="13"/>
  <c r="G157" i="13"/>
  <c r="G158" i="13"/>
  <c r="G159" i="13"/>
  <c r="G151" i="13"/>
  <c r="C60" i="10" l="1"/>
  <c r="C59" i="10"/>
  <c r="C47" i="10"/>
  <c r="C32" i="10"/>
  <c r="C31" i="10"/>
  <c r="C29" i="10"/>
  <c r="C22" i="10"/>
  <c r="C21" i="10"/>
  <c r="C19" i="10"/>
  <c r="L15" i="10"/>
  <c r="L12" i="10"/>
  <c r="M15" i="10"/>
  <c r="M12" i="10"/>
  <c r="Q431" i="32"/>
  <c r="Q432" i="32" s="1"/>
  <c r="R19" i="32" s="1"/>
  <c r="W430" i="32"/>
  <c r="X430" i="32"/>
  <c r="Y430" i="32"/>
  <c r="Z430" i="32"/>
  <c r="AA430" i="32"/>
  <c r="AB430" i="32"/>
  <c r="AC430" i="32"/>
  <c r="AD430" i="32"/>
  <c r="AE430" i="32"/>
  <c r="AF430" i="32"/>
  <c r="AG430" i="32"/>
  <c r="AH430" i="32"/>
  <c r="AI430" i="32"/>
  <c r="AJ430" i="32"/>
  <c r="AK430" i="32"/>
  <c r="W431" i="32"/>
  <c r="X431" i="32"/>
  <c r="Y431" i="32"/>
  <c r="Z431" i="32"/>
  <c r="AA431" i="32"/>
  <c r="AB431" i="32"/>
  <c r="AC431" i="32"/>
  <c r="AD431" i="32"/>
  <c r="AE431" i="32"/>
  <c r="AF431" i="32"/>
  <c r="AG431" i="32"/>
  <c r="AH431" i="32"/>
  <c r="AI431" i="32"/>
  <c r="AJ431" i="32"/>
  <c r="AK431" i="32"/>
  <c r="BE431" i="32"/>
  <c r="BF431" i="32"/>
  <c r="BE430" i="32"/>
  <c r="AP431" i="32"/>
  <c r="AP430" i="32"/>
  <c r="AQ430" i="32"/>
  <c r="AR430" i="32"/>
  <c r="AS430" i="32"/>
  <c r="AT430" i="32"/>
  <c r="AU430" i="32"/>
  <c r="AV430" i="32"/>
  <c r="AW430" i="32"/>
  <c r="AX430" i="32"/>
  <c r="AY430" i="32"/>
  <c r="AZ430" i="32"/>
  <c r="BA430" i="32"/>
  <c r="BB430" i="32"/>
  <c r="BC430" i="32"/>
  <c r="BD430" i="32"/>
  <c r="AQ431" i="32"/>
  <c r="AR431" i="32"/>
  <c r="AS431" i="32"/>
  <c r="AT431" i="32"/>
  <c r="AU431" i="32"/>
  <c r="AV431" i="32"/>
  <c r="AW431" i="32"/>
  <c r="AX431" i="32"/>
  <c r="AY431" i="32"/>
  <c r="AZ431" i="32"/>
  <c r="BA431" i="32"/>
  <c r="BB431" i="32"/>
  <c r="BC431" i="32"/>
  <c r="BD431" i="32"/>
  <c r="AO431" i="32"/>
  <c r="AO430" i="32"/>
  <c r="AM431" i="32"/>
  <c r="AM430" i="32"/>
  <c r="AL431" i="32"/>
  <c r="AL430" i="32"/>
  <c r="BH410" i="32"/>
  <c r="BI410" i="32"/>
  <c r="BJ410" i="32"/>
  <c r="BH411" i="32"/>
  <c r="BI411" i="32"/>
  <c r="BJ411" i="32"/>
  <c r="BH412" i="32"/>
  <c r="BI412" i="32"/>
  <c r="BJ412" i="32"/>
  <c r="BH413" i="32"/>
  <c r="BI413" i="32"/>
  <c r="BJ413" i="32"/>
  <c r="BH414" i="32"/>
  <c r="BI414" i="32"/>
  <c r="BJ414" i="32"/>
  <c r="BH415" i="32"/>
  <c r="BI415" i="32"/>
  <c r="BJ415" i="32"/>
  <c r="BH416" i="32"/>
  <c r="BI416" i="32"/>
  <c r="BJ416" i="32"/>
  <c r="BH417" i="32"/>
  <c r="BI417" i="32"/>
  <c r="BJ417" i="32"/>
  <c r="BH418" i="32"/>
  <c r="BI418" i="32"/>
  <c r="BJ418" i="32"/>
  <c r="BH419" i="32"/>
  <c r="BI419" i="32"/>
  <c r="BJ419" i="32"/>
  <c r="BH420" i="32"/>
  <c r="BI420" i="32"/>
  <c r="BJ420" i="32"/>
  <c r="BH421" i="32"/>
  <c r="BI421" i="32"/>
  <c r="BJ421" i="32"/>
  <c r="BH422" i="32"/>
  <c r="BI422" i="32"/>
  <c r="BJ422" i="32"/>
  <c r="BH423" i="32"/>
  <c r="BI423" i="32"/>
  <c r="BJ423" i="32"/>
  <c r="BH424" i="32"/>
  <c r="BI424" i="32"/>
  <c r="BJ424" i="32"/>
  <c r="BH425" i="32"/>
  <c r="BI425" i="32"/>
  <c r="BJ425" i="32"/>
  <c r="V431" i="32"/>
  <c r="V430" i="32"/>
  <c r="R4" i="32" l="1"/>
  <c r="O19" i="32"/>
  <c r="O4" i="32" s="1"/>
  <c r="BL420" i="32"/>
  <c r="BK425" i="32"/>
  <c r="BL422" i="32"/>
  <c r="BK424" i="32"/>
  <c r="BL415" i="32"/>
  <c r="BL418" i="32"/>
  <c r="BL410" i="32"/>
  <c r="BJ431" i="32"/>
  <c r="BL421" i="32"/>
  <c r="BL419" i="32"/>
  <c r="BL411" i="32"/>
  <c r="BK416" i="32"/>
  <c r="BL413" i="32"/>
  <c r="BK417" i="32"/>
  <c r="BK412" i="32"/>
  <c r="BK420" i="32"/>
  <c r="BK422" i="32"/>
  <c r="BL424" i="32"/>
  <c r="BL416" i="32"/>
  <c r="BL425" i="32"/>
  <c r="BK418" i="32"/>
  <c r="BK411" i="32"/>
  <c r="BK421" i="32"/>
  <c r="BK410" i="32"/>
  <c r="BL417" i="32"/>
  <c r="BK413" i="32"/>
  <c r="BK423" i="32"/>
  <c r="BK419" i="32"/>
  <c r="BL414" i="32"/>
  <c r="BL412" i="32"/>
  <c r="BK414" i="32"/>
  <c r="BL423" i="32"/>
  <c r="BK415" i="32"/>
  <c r="BJ409" i="32"/>
  <c r="BI409" i="32"/>
  <c r="BH409" i="32"/>
  <c r="BJ408" i="32"/>
  <c r="BI408" i="32"/>
  <c r="BH408" i="32"/>
  <c r="BJ407" i="32"/>
  <c r="BI407" i="32"/>
  <c r="BH407" i="32"/>
  <c r="BL431" i="32" l="1"/>
  <c r="BK431" i="32"/>
  <c r="BJ430" i="32"/>
  <c r="BL409" i="32"/>
  <c r="BK407" i="32"/>
  <c r="BL408" i="32"/>
  <c r="BK409" i="32"/>
  <c r="BL407" i="32"/>
  <c r="BK408" i="32"/>
  <c r="AA7" i="31"/>
  <c r="J107" i="34"/>
  <c r="K107" i="34"/>
  <c r="L107" i="34"/>
  <c r="M107" i="34"/>
  <c r="N107" i="34"/>
  <c r="O107" i="34"/>
  <c r="P107" i="34"/>
  <c r="O198" i="34"/>
  <c r="N198" i="34"/>
  <c r="M198" i="34"/>
  <c r="L198" i="34"/>
  <c r="K198" i="34"/>
  <c r="J198" i="34"/>
  <c r="I198" i="34"/>
  <c r="H198" i="34"/>
  <c r="G198" i="34"/>
  <c r="E198" i="34"/>
  <c r="D198" i="34"/>
  <c r="C198" i="34"/>
  <c r="F195" i="34"/>
  <c r="F194" i="34"/>
  <c r="F193" i="34"/>
  <c r="F192" i="34"/>
  <c r="F191" i="34"/>
  <c r="F190" i="34"/>
  <c r="F189" i="34"/>
  <c r="F188" i="34"/>
  <c r="F187" i="34"/>
  <c r="F186" i="34"/>
  <c r="F185" i="34"/>
  <c r="F184" i="34"/>
  <c r="F183" i="34"/>
  <c r="O177" i="34"/>
  <c r="N177" i="34"/>
  <c r="M177" i="34"/>
  <c r="L177" i="34"/>
  <c r="K177" i="34"/>
  <c r="J177" i="34"/>
  <c r="I177" i="34"/>
  <c r="H177" i="34"/>
  <c r="G177" i="34"/>
  <c r="E177" i="34"/>
  <c r="D177" i="34"/>
  <c r="C177" i="34"/>
  <c r="F176" i="34"/>
  <c r="F175" i="34"/>
  <c r="F174" i="34"/>
  <c r="F173" i="34"/>
  <c r="F172" i="34"/>
  <c r="F171" i="34"/>
  <c r="F170" i="34"/>
  <c r="F169" i="34"/>
  <c r="F168" i="34"/>
  <c r="F167" i="34"/>
  <c r="F166" i="34"/>
  <c r="F165" i="34"/>
  <c r="F164" i="34"/>
  <c r="F163" i="34"/>
  <c r="F162" i="34"/>
  <c r="F161" i="34"/>
  <c r="F160" i="34"/>
  <c r="F159" i="34"/>
  <c r="P153" i="34"/>
  <c r="O153" i="34"/>
  <c r="N153" i="34"/>
  <c r="M153" i="34"/>
  <c r="L153" i="34"/>
  <c r="K153" i="34"/>
  <c r="J153" i="34"/>
  <c r="I153" i="34"/>
  <c r="H153" i="34"/>
  <c r="G153" i="34"/>
  <c r="E153" i="34"/>
  <c r="D153" i="34"/>
  <c r="C153" i="34"/>
  <c r="F151" i="34"/>
  <c r="F150" i="34"/>
  <c r="F148" i="34"/>
  <c r="F147" i="34"/>
  <c r="F146" i="34"/>
  <c r="F145" i="34"/>
  <c r="F144" i="34"/>
  <c r="F143" i="34"/>
  <c r="F142" i="34"/>
  <c r="F141" i="34"/>
  <c r="F140" i="34"/>
  <c r="F139" i="34"/>
  <c r="F138" i="34"/>
  <c r="F137" i="34"/>
  <c r="P131" i="34"/>
  <c r="O131" i="34"/>
  <c r="N131" i="34"/>
  <c r="M131" i="34"/>
  <c r="L131" i="34"/>
  <c r="K131" i="34"/>
  <c r="J131" i="34"/>
  <c r="I131" i="34"/>
  <c r="H131" i="34"/>
  <c r="G131" i="34"/>
  <c r="E131" i="34"/>
  <c r="D131" i="34"/>
  <c r="C131" i="34"/>
  <c r="F129" i="34"/>
  <c r="F128" i="34"/>
  <c r="F127" i="34"/>
  <c r="F126" i="34"/>
  <c r="F125" i="34"/>
  <c r="F124" i="34"/>
  <c r="F123" i="34"/>
  <c r="F122" i="34"/>
  <c r="F121" i="34"/>
  <c r="F120" i="34"/>
  <c r="F119" i="34"/>
  <c r="F118" i="34"/>
  <c r="F117" i="34"/>
  <c r="F116" i="34"/>
  <c r="F115" i="34"/>
  <c r="F114" i="34"/>
  <c r="F113" i="34"/>
  <c r="P97" i="34"/>
  <c r="O97" i="34"/>
  <c r="N97" i="34"/>
  <c r="M97" i="34"/>
  <c r="L97" i="34"/>
  <c r="K97" i="34"/>
  <c r="J97" i="34"/>
  <c r="C97" i="34"/>
  <c r="P93" i="34"/>
  <c r="O93" i="34"/>
  <c r="N93" i="34"/>
  <c r="M93" i="34"/>
  <c r="L93" i="34"/>
  <c r="K93" i="34"/>
  <c r="J93" i="34"/>
  <c r="C93" i="34"/>
  <c r="P98" i="34"/>
  <c r="O98" i="34"/>
  <c r="N98" i="34"/>
  <c r="M98" i="34"/>
  <c r="L98" i="34"/>
  <c r="K98" i="34"/>
  <c r="J98" i="34"/>
  <c r="C98" i="34"/>
  <c r="P92" i="34"/>
  <c r="O92" i="34"/>
  <c r="N92" i="34"/>
  <c r="M92" i="34"/>
  <c r="L92" i="34"/>
  <c r="K92" i="34"/>
  <c r="J92" i="34"/>
  <c r="C92" i="34"/>
  <c r="P103" i="34"/>
  <c r="O103" i="34"/>
  <c r="N103" i="34"/>
  <c r="M103" i="34"/>
  <c r="L103" i="34"/>
  <c r="K103" i="34"/>
  <c r="J103" i="34"/>
  <c r="C103" i="34"/>
  <c r="P94" i="34"/>
  <c r="O94" i="34"/>
  <c r="N94" i="34"/>
  <c r="M94" i="34"/>
  <c r="L94" i="34"/>
  <c r="K94" i="34"/>
  <c r="J94" i="34"/>
  <c r="C94" i="34"/>
  <c r="P104" i="34"/>
  <c r="O104" i="34"/>
  <c r="N104" i="34"/>
  <c r="M104" i="34"/>
  <c r="L104" i="34"/>
  <c r="K104" i="34"/>
  <c r="J104" i="34"/>
  <c r="C104" i="34"/>
  <c r="P106" i="34"/>
  <c r="O106" i="34"/>
  <c r="N106" i="34"/>
  <c r="M106" i="34"/>
  <c r="L106" i="34"/>
  <c r="K106" i="34"/>
  <c r="J106" i="34"/>
  <c r="C106" i="34"/>
  <c r="P95" i="34"/>
  <c r="O95" i="34"/>
  <c r="N95" i="34"/>
  <c r="M95" i="34"/>
  <c r="L95" i="34"/>
  <c r="K95" i="34"/>
  <c r="J95" i="34"/>
  <c r="C95" i="34"/>
  <c r="P102" i="34"/>
  <c r="O102" i="34"/>
  <c r="N102" i="34"/>
  <c r="M102" i="34"/>
  <c r="L102" i="34"/>
  <c r="K102" i="34"/>
  <c r="J102" i="34"/>
  <c r="C102" i="34"/>
  <c r="P101" i="34"/>
  <c r="O101" i="34"/>
  <c r="N101" i="34"/>
  <c r="M101" i="34"/>
  <c r="L101" i="34"/>
  <c r="K101" i="34"/>
  <c r="J101" i="34"/>
  <c r="C101" i="34"/>
  <c r="P100" i="34"/>
  <c r="O100" i="34"/>
  <c r="N100" i="34"/>
  <c r="M100" i="34"/>
  <c r="L100" i="34"/>
  <c r="K100" i="34"/>
  <c r="J100" i="34"/>
  <c r="C100" i="34"/>
  <c r="P99" i="34"/>
  <c r="O99" i="34"/>
  <c r="N99" i="34"/>
  <c r="M99" i="34"/>
  <c r="L99" i="34"/>
  <c r="K99" i="34"/>
  <c r="J99" i="34"/>
  <c r="C99" i="34"/>
  <c r="P105" i="34"/>
  <c r="O105" i="34"/>
  <c r="N105" i="34"/>
  <c r="M105" i="34"/>
  <c r="L105" i="34"/>
  <c r="K105" i="34"/>
  <c r="J105" i="34"/>
  <c r="C105" i="34"/>
  <c r="P96" i="34"/>
  <c r="O96" i="34"/>
  <c r="N96" i="34"/>
  <c r="M96" i="34"/>
  <c r="L96" i="34"/>
  <c r="K96" i="34"/>
  <c r="J96" i="34"/>
  <c r="C96" i="34"/>
  <c r="P85" i="34"/>
  <c r="O85" i="34"/>
  <c r="N85" i="34"/>
  <c r="M85" i="34"/>
  <c r="L85" i="34"/>
  <c r="K85" i="34"/>
  <c r="J85" i="34"/>
  <c r="C85" i="34"/>
  <c r="P84" i="34"/>
  <c r="O84" i="34"/>
  <c r="N84" i="34"/>
  <c r="M84" i="34"/>
  <c r="L84" i="34"/>
  <c r="K84" i="34"/>
  <c r="J84" i="34"/>
  <c r="C84" i="34"/>
  <c r="P83" i="34"/>
  <c r="O83" i="34"/>
  <c r="N83" i="34"/>
  <c r="M83" i="34"/>
  <c r="L83" i="34"/>
  <c r="K83" i="34"/>
  <c r="J83" i="34"/>
  <c r="C83" i="34"/>
  <c r="P82" i="34"/>
  <c r="O82" i="34"/>
  <c r="N82" i="34"/>
  <c r="M82" i="34"/>
  <c r="L82" i="34"/>
  <c r="K82" i="34"/>
  <c r="J82" i="34"/>
  <c r="C82" i="34"/>
  <c r="P81" i="34"/>
  <c r="O81" i="34"/>
  <c r="N81" i="34"/>
  <c r="M81" i="34"/>
  <c r="L81" i="34"/>
  <c r="K81" i="34"/>
  <c r="J81" i="34"/>
  <c r="C81" i="34"/>
  <c r="P80" i="34"/>
  <c r="O80" i="34"/>
  <c r="N80" i="34"/>
  <c r="M80" i="34"/>
  <c r="L80" i="34"/>
  <c r="K80" i="34"/>
  <c r="J80" i="34"/>
  <c r="C80" i="34"/>
  <c r="P79" i="34"/>
  <c r="O79" i="34"/>
  <c r="N79" i="34"/>
  <c r="M79" i="34"/>
  <c r="L79" i="34"/>
  <c r="K79" i="34"/>
  <c r="J79" i="34"/>
  <c r="C79" i="34"/>
  <c r="P78" i="34"/>
  <c r="O78" i="34"/>
  <c r="N78" i="34"/>
  <c r="M78" i="34"/>
  <c r="L78" i="34"/>
  <c r="K78" i="34"/>
  <c r="J78" i="34"/>
  <c r="C78" i="34"/>
  <c r="P77" i="34"/>
  <c r="O77" i="34"/>
  <c r="N77" i="34"/>
  <c r="M77" i="34"/>
  <c r="L77" i="34"/>
  <c r="K77" i="34"/>
  <c r="J77" i="34"/>
  <c r="C77" i="34"/>
  <c r="P76" i="34"/>
  <c r="N76" i="34"/>
  <c r="M76" i="34"/>
  <c r="L76" i="34"/>
  <c r="K76" i="34"/>
  <c r="J76" i="34"/>
  <c r="C76" i="34"/>
  <c r="P75" i="34"/>
  <c r="O75" i="34"/>
  <c r="N75" i="34"/>
  <c r="M75" i="34"/>
  <c r="L75" i="34"/>
  <c r="K75" i="34"/>
  <c r="C75" i="34"/>
  <c r="P74" i="34"/>
  <c r="O74" i="34"/>
  <c r="N74" i="34"/>
  <c r="M74" i="34"/>
  <c r="L74" i="34"/>
  <c r="K74" i="34"/>
  <c r="J74" i="34"/>
  <c r="C74" i="34"/>
  <c r="N73" i="34"/>
  <c r="M73" i="34"/>
  <c r="L73" i="34"/>
  <c r="K73" i="34"/>
  <c r="J73" i="34"/>
  <c r="C73" i="34"/>
  <c r="P72" i="34"/>
  <c r="N72" i="34"/>
  <c r="M72" i="34"/>
  <c r="L72" i="34"/>
  <c r="K72" i="34"/>
  <c r="J72" i="34"/>
  <c r="C72" i="34"/>
  <c r="P71" i="34"/>
  <c r="O71" i="34"/>
  <c r="N71" i="34"/>
  <c r="M71" i="34"/>
  <c r="L71" i="34"/>
  <c r="K71" i="34"/>
  <c r="J71" i="34"/>
  <c r="C71" i="34"/>
  <c r="P64" i="34"/>
  <c r="O64" i="34"/>
  <c r="N64" i="34"/>
  <c r="M64" i="34"/>
  <c r="L64" i="34"/>
  <c r="K64" i="34"/>
  <c r="J64" i="34"/>
  <c r="I64" i="34"/>
  <c r="H64" i="34"/>
  <c r="C64" i="34"/>
  <c r="P63" i="34"/>
  <c r="O63" i="34"/>
  <c r="N63" i="34"/>
  <c r="M63" i="34"/>
  <c r="L63" i="34"/>
  <c r="K63" i="34"/>
  <c r="J63" i="34"/>
  <c r="I63" i="34"/>
  <c r="H63" i="34"/>
  <c r="C63" i="34"/>
  <c r="O62" i="34"/>
  <c r="N62" i="34"/>
  <c r="M62" i="34"/>
  <c r="L62" i="34"/>
  <c r="K62" i="34"/>
  <c r="J62" i="34"/>
  <c r="C62" i="34"/>
  <c r="P61" i="34"/>
  <c r="O61" i="34"/>
  <c r="N61" i="34"/>
  <c r="M61" i="34"/>
  <c r="L61" i="34"/>
  <c r="K61" i="34"/>
  <c r="J61" i="34"/>
  <c r="I61" i="34"/>
  <c r="H61" i="34"/>
  <c r="C61" i="34"/>
  <c r="P60" i="34"/>
  <c r="O60" i="34"/>
  <c r="N60" i="34"/>
  <c r="M60" i="34"/>
  <c r="L60" i="34"/>
  <c r="K60" i="34"/>
  <c r="J60" i="34"/>
  <c r="H60" i="34"/>
  <c r="C60" i="34"/>
  <c r="P59" i="34"/>
  <c r="O59" i="34"/>
  <c r="N59" i="34"/>
  <c r="M59" i="34"/>
  <c r="L59" i="34"/>
  <c r="K59" i="34"/>
  <c r="J59" i="34"/>
  <c r="I59" i="34"/>
  <c r="H59" i="34"/>
  <c r="C59" i="34"/>
  <c r="P58" i="34"/>
  <c r="O58" i="34"/>
  <c r="N58" i="34"/>
  <c r="M58" i="34"/>
  <c r="L58" i="34"/>
  <c r="K58" i="34"/>
  <c r="J58" i="34"/>
  <c r="C58" i="34"/>
  <c r="P57" i="34"/>
  <c r="O57" i="34"/>
  <c r="N57" i="34"/>
  <c r="M57" i="34"/>
  <c r="L57" i="34"/>
  <c r="K57" i="34"/>
  <c r="J57" i="34"/>
  <c r="I57" i="34"/>
  <c r="H57" i="34"/>
  <c r="C57" i="34"/>
  <c r="P56" i="34"/>
  <c r="O56" i="34"/>
  <c r="N56" i="34"/>
  <c r="M56" i="34"/>
  <c r="L56" i="34"/>
  <c r="K56" i="34"/>
  <c r="J56" i="34"/>
  <c r="I56" i="34"/>
  <c r="H56" i="34"/>
  <c r="C56" i="34"/>
  <c r="P55" i="34"/>
  <c r="O55" i="34"/>
  <c r="N55" i="34"/>
  <c r="M55" i="34"/>
  <c r="L55" i="34"/>
  <c r="K55" i="34"/>
  <c r="J55" i="34"/>
  <c r="I55" i="34"/>
  <c r="H55" i="34"/>
  <c r="C55" i="34"/>
  <c r="P54" i="34"/>
  <c r="O54" i="34"/>
  <c r="N54" i="34"/>
  <c r="M54" i="34"/>
  <c r="L54" i="34"/>
  <c r="K54" i="34"/>
  <c r="J54" i="34"/>
  <c r="I54" i="34"/>
  <c r="H54" i="34"/>
  <c r="C54" i="34"/>
  <c r="P53" i="34"/>
  <c r="N53" i="34"/>
  <c r="M53" i="34"/>
  <c r="L53" i="34"/>
  <c r="K53" i="34"/>
  <c r="J53" i="34"/>
  <c r="I53" i="34"/>
  <c r="C53" i="34"/>
  <c r="P52" i="34"/>
  <c r="O52" i="34"/>
  <c r="N52" i="34"/>
  <c r="M52" i="34"/>
  <c r="L52" i="34"/>
  <c r="K52" i="34"/>
  <c r="J52" i="34"/>
  <c r="I52" i="34"/>
  <c r="H52" i="34"/>
  <c r="C52" i="34"/>
  <c r="P51" i="34"/>
  <c r="O51" i="34"/>
  <c r="N51" i="34"/>
  <c r="M51" i="34"/>
  <c r="L51" i="34"/>
  <c r="K51" i="34"/>
  <c r="J51" i="34"/>
  <c r="H51" i="34"/>
  <c r="C51" i="34"/>
  <c r="P50" i="34"/>
  <c r="O50" i="34"/>
  <c r="N50" i="34"/>
  <c r="M50" i="34"/>
  <c r="L50" i="34"/>
  <c r="K50" i="34"/>
  <c r="J50" i="34"/>
  <c r="C50" i="34"/>
  <c r="N49" i="34"/>
  <c r="L49" i="34"/>
  <c r="K49" i="34"/>
  <c r="J49" i="34"/>
  <c r="I49" i="34"/>
  <c r="H49" i="34"/>
  <c r="C49" i="34"/>
  <c r="P48" i="34"/>
  <c r="O48" i="34"/>
  <c r="N48" i="34"/>
  <c r="M48" i="34"/>
  <c r="L48" i="34"/>
  <c r="K48" i="34"/>
  <c r="J48" i="34"/>
  <c r="H48" i="34"/>
  <c r="C48" i="34"/>
  <c r="P42" i="34"/>
  <c r="O42" i="34"/>
  <c r="N42" i="34"/>
  <c r="M42" i="34"/>
  <c r="L42" i="34"/>
  <c r="K42" i="34"/>
  <c r="J42" i="34"/>
  <c r="I42" i="34"/>
  <c r="H42" i="34"/>
  <c r="G42" i="34"/>
  <c r="E42" i="34"/>
  <c r="D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P23" i="34"/>
  <c r="O23" i="34"/>
  <c r="N23" i="34"/>
  <c r="M23" i="34"/>
  <c r="L23" i="34"/>
  <c r="K23" i="34"/>
  <c r="J23" i="34"/>
  <c r="I23" i="34"/>
  <c r="H23" i="34"/>
  <c r="G23" i="34"/>
  <c r="E23" i="34"/>
  <c r="D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23" i="34" s="1"/>
  <c r="F28" i="31"/>
  <c r="F30" i="31"/>
  <c r="F34" i="31"/>
  <c r="F35" i="31"/>
  <c r="F36" i="31"/>
  <c r="F37" i="31"/>
  <c r="F38" i="31"/>
  <c r="F39" i="31"/>
  <c r="F40" i="31"/>
  <c r="F42" i="31"/>
  <c r="F43" i="31"/>
  <c r="F44" i="31"/>
  <c r="F80" i="31"/>
  <c r="F81" i="31"/>
  <c r="F21" i="31"/>
  <c r="F22" i="31"/>
  <c r="F26" i="31"/>
  <c r="F17" i="31"/>
  <c r="F18" i="31"/>
  <c r="Z7" i="31"/>
  <c r="AB7" i="31"/>
  <c r="AC7" i="31"/>
  <c r="U7" i="31"/>
  <c r="V7" i="31"/>
  <c r="W7" i="31"/>
  <c r="X7" i="31"/>
  <c r="BL430" i="32" l="1"/>
  <c r="BK430" i="32"/>
  <c r="F153" i="34"/>
  <c r="F198" i="34"/>
  <c r="N65" i="34"/>
  <c r="J65" i="34"/>
  <c r="C107" i="34"/>
  <c r="F131" i="34"/>
  <c r="F42" i="34"/>
  <c r="L65" i="34"/>
  <c r="K65" i="34"/>
  <c r="F177" i="34"/>
  <c r="DQ7" i="31"/>
  <c r="Q7" i="31"/>
  <c r="H147" i="7" l="1"/>
  <c r="H132" i="7"/>
  <c r="D239" i="7"/>
  <c r="D243" i="7"/>
  <c r="D234" i="7"/>
  <c r="H197" i="7" l="1"/>
  <c r="L227" i="7"/>
  <c r="D186" i="7"/>
  <c r="D192" i="7"/>
  <c r="D185" i="7"/>
  <c r="L55" i="7"/>
  <c r="L43" i="7"/>
  <c r="L22" i="7"/>
  <c r="L27" i="7"/>
  <c r="L16" i="7"/>
  <c r="L11" i="7"/>
  <c r="L603" i="4"/>
  <c r="K603" i="4"/>
  <c r="J603" i="4"/>
  <c r="G535" i="4"/>
  <c r="I462" i="4"/>
  <c r="I438" i="4"/>
  <c r="I427" i="4"/>
  <c r="I395" i="4"/>
  <c r="I378" i="4"/>
  <c r="I357" i="4"/>
  <c r="I328" i="4"/>
  <c r="I181" i="4" l="1"/>
  <c r="I153" i="4"/>
  <c r="I126" i="4"/>
  <c r="I104" i="4"/>
  <c r="I81" i="4"/>
  <c r="H186" i="5"/>
  <c r="C103" i="5"/>
  <c r="I186" i="5" l="1"/>
  <c r="G284" i="2"/>
  <c r="O34" i="10"/>
  <c r="P34" i="10"/>
  <c r="R34" i="10"/>
  <c r="S34" i="10"/>
  <c r="T34" i="10"/>
  <c r="U34" i="10"/>
  <c r="V34" i="10"/>
  <c r="W34" i="10"/>
  <c r="N34" i="10"/>
  <c r="P24" i="10"/>
  <c r="R24" i="10"/>
  <c r="S24" i="10"/>
  <c r="T24" i="10"/>
  <c r="U24" i="10"/>
  <c r="V24" i="10"/>
  <c r="W24" i="10"/>
  <c r="O24" i="10"/>
  <c r="N24" i="10"/>
  <c r="O15" i="10"/>
  <c r="O12" i="10"/>
  <c r="G173" i="13" l="1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L198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60" i="13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5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6" i="28"/>
  <c r="F5" i="28"/>
  <c r="G530" i="2" l="1"/>
  <c r="G494" i="2"/>
  <c r="G473" i="2"/>
  <c r="G456" i="2"/>
  <c r="G434" i="2"/>
  <c r="G420" i="2"/>
  <c r="G390" i="2"/>
  <c r="G381" i="2"/>
  <c r="G353" i="2"/>
  <c r="G333" i="2"/>
  <c r="G311" i="2" l="1"/>
  <c r="G273" i="2"/>
  <c r="G253" i="2"/>
  <c r="G221" i="2"/>
  <c r="G212" i="2"/>
  <c r="G182" i="2"/>
  <c r="G172" i="2"/>
  <c r="G149" i="2"/>
  <c r="G116" i="2"/>
  <c r="G107" i="2"/>
  <c r="G86" i="2"/>
  <c r="G11" i="2"/>
  <c r="BH372" i="32" l="1"/>
  <c r="BI372" i="32"/>
  <c r="BH373" i="32"/>
  <c r="BI373" i="32"/>
  <c r="BH374" i="32"/>
  <c r="BI374" i="32"/>
  <c r="BH375" i="32"/>
  <c r="BI375" i="32"/>
  <c r="BH376" i="32"/>
  <c r="BI376" i="32"/>
  <c r="BH377" i="32"/>
  <c r="BI377" i="32"/>
  <c r="BH378" i="32"/>
  <c r="BI378" i="32"/>
  <c r="BH379" i="32"/>
  <c r="BI379" i="32"/>
  <c r="BH380" i="32"/>
  <c r="BI380" i="32"/>
  <c r="BH381" i="32"/>
  <c r="BI381" i="32"/>
  <c r="BH382" i="32"/>
  <c r="BI382" i="32"/>
  <c r="BH383" i="32"/>
  <c r="BI383" i="32"/>
  <c r="BH384" i="32"/>
  <c r="BI384" i="32"/>
  <c r="BH385" i="32"/>
  <c r="BI385" i="32"/>
  <c r="BH386" i="32"/>
  <c r="BI386" i="32"/>
  <c r="BH387" i="32"/>
  <c r="BI387" i="32"/>
  <c r="BH388" i="32"/>
  <c r="BI388" i="32"/>
  <c r="BH389" i="32"/>
  <c r="BI389" i="32"/>
  <c r="BH390" i="32"/>
  <c r="BI390" i="32"/>
  <c r="BH391" i="32"/>
  <c r="BI391" i="32"/>
  <c r="BH392" i="32"/>
  <c r="BI392" i="32"/>
  <c r="BH393" i="32"/>
  <c r="BI393" i="32"/>
  <c r="BH394" i="32"/>
  <c r="BI394" i="32"/>
  <c r="BI371" i="32"/>
  <c r="BH371" i="32"/>
  <c r="BJ372" i="32"/>
  <c r="BJ373" i="32"/>
  <c r="BJ374" i="32"/>
  <c r="BJ375" i="32"/>
  <c r="BJ376" i="32"/>
  <c r="BJ377" i="32"/>
  <c r="BJ378" i="32"/>
  <c r="BJ379" i="32"/>
  <c r="BJ380" i="32"/>
  <c r="BJ381" i="32"/>
  <c r="BJ382" i="32"/>
  <c r="BJ383" i="32"/>
  <c r="BJ384" i="32"/>
  <c r="BJ385" i="32"/>
  <c r="BJ386" i="32"/>
  <c r="BJ387" i="32"/>
  <c r="BJ388" i="32"/>
  <c r="BJ389" i="32"/>
  <c r="BJ390" i="32"/>
  <c r="BJ391" i="32"/>
  <c r="BJ392" i="32"/>
  <c r="BJ393" i="32"/>
  <c r="BJ394" i="32"/>
  <c r="BJ371" i="32"/>
  <c r="BK392" i="32" l="1"/>
  <c r="BK388" i="32"/>
  <c r="BK384" i="32"/>
  <c r="BK380" i="32"/>
  <c r="BK376" i="32"/>
  <c r="BK372" i="32"/>
  <c r="BK371" i="32"/>
  <c r="BL393" i="32"/>
  <c r="BL391" i="32"/>
  <c r="BL389" i="32"/>
  <c r="BL387" i="32"/>
  <c r="BL385" i="32"/>
  <c r="BL383" i="32"/>
  <c r="BL381" i="32"/>
  <c r="BL379" i="32"/>
  <c r="BL377" i="32"/>
  <c r="BL375" i="32"/>
  <c r="BL373" i="32"/>
  <c r="BL394" i="32"/>
  <c r="BL392" i="32"/>
  <c r="BL390" i="32"/>
  <c r="BL388" i="32"/>
  <c r="BL386" i="32"/>
  <c r="BL384" i="32"/>
  <c r="BL382" i="32"/>
  <c r="BL380" i="32"/>
  <c r="BL378" i="32"/>
  <c r="BL376" i="32"/>
  <c r="BL374" i="32"/>
  <c r="BL372" i="32"/>
  <c r="BK387" i="32"/>
  <c r="BK375" i="32"/>
  <c r="BK394" i="32"/>
  <c r="BK378" i="32"/>
  <c r="BK383" i="32"/>
  <c r="BK386" i="32"/>
  <c r="BK374" i="32"/>
  <c r="BK393" i="32"/>
  <c r="BK389" i="32"/>
  <c r="BK385" i="32"/>
  <c r="BK381" i="32"/>
  <c r="BK377" i="32"/>
  <c r="BK373" i="32"/>
  <c r="BL371" i="32"/>
  <c r="BK391" i="32"/>
  <c r="BK379" i="32"/>
  <c r="BK390" i="32"/>
  <c r="BK382" i="32"/>
  <c r="N15" i="10"/>
  <c r="N12" i="10"/>
  <c r="B112" i="33" l="1"/>
  <c r="B111" i="33"/>
  <c r="Z110" i="33"/>
  <c r="Y110" i="33"/>
  <c r="X110" i="33"/>
  <c r="W110" i="33"/>
  <c r="V110" i="33"/>
  <c r="T110" i="33"/>
  <c r="S110" i="33"/>
  <c r="R110" i="33"/>
  <c r="Q110" i="33"/>
  <c r="P110" i="33"/>
  <c r="O110" i="33"/>
  <c r="N110" i="33"/>
  <c r="M110" i="33"/>
  <c r="L110" i="33"/>
  <c r="K110" i="33"/>
  <c r="J110" i="33"/>
  <c r="G110" i="33"/>
  <c r="F110" i="33"/>
  <c r="D110" i="33"/>
  <c r="C110" i="33"/>
  <c r="B110" i="33"/>
  <c r="Z109" i="33"/>
  <c r="Y109" i="33"/>
  <c r="X109" i="33"/>
  <c r="W109" i="33"/>
  <c r="V109" i="33"/>
  <c r="T109" i="33"/>
  <c r="S109" i="33"/>
  <c r="R109" i="33"/>
  <c r="Q109" i="33"/>
  <c r="P109" i="33"/>
  <c r="O109" i="33"/>
  <c r="N109" i="33"/>
  <c r="M109" i="33"/>
  <c r="L109" i="33"/>
  <c r="K109" i="33"/>
  <c r="J109" i="33"/>
  <c r="G109" i="33"/>
  <c r="F109" i="33"/>
  <c r="D109" i="33"/>
  <c r="C109" i="33"/>
  <c r="B109" i="33"/>
  <c r="Z108" i="33"/>
  <c r="Y108" i="33"/>
  <c r="X108" i="33"/>
  <c r="W108" i="33"/>
  <c r="V108" i="33"/>
  <c r="T108" i="33"/>
  <c r="S108" i="33"/>
  <c r="R108" i="33"/>
  <c r="Q108" i="33"/>
  <c r="P108" i="33"/>
  <c r="O108" i="33"/>
  <c r="N108" i="33"/>
  <c r="M108" i="33"/>
  <c r="L108" i="33"/>
  <c r="K108" i="33"/>
  <c r="J108" i="33"/>
  <c r="G108" i="33"/>
  <c r="F108" i="33"/>
  <c r="D108" i="33"/>
  <c r="C108" i="33"/>
  <c r="B108" i="33"/>
  <c r="Z107" i="33"/>
  <c r="Y107" i="33"/>
  <c r="X107" i="33"/>
  <c r="W107" i="33"/>
  <c r="V107" i="33"/>
  <c r="T107" i="33"/>
  <c r="S107" i="33"/>
  <c r="R107" i="33"/>
  <c r="Q107" i="33"/>
  <c r="P107" i="33"/>
  <c r="O107" i="33"/>
  <c r="N107" i="33"/>
  <c r="M107" i="33"/>
  <c r="L107" i="33"/>
  <c r="K107" i="33"/>
  <c r="J107" i="33"/>
  <c r="G107" i="33"/>
  <c r="F107" i="33"/>
  <c r="D107" i="33"/>
  <c r="C107" i="33"/>
  <c r="B107" i="33"/>
  <c r="Z106" i="33"/>
  <c r="Y106" i="33"/>
  <c r="X106" i="33"/>
  <c r="W106" i="33"/>
  <c r="V106" i="33"/>
  <c r="T106" i="33"/>
  <c r="S106" i="33"/>
  <c r="R106" i="33"/>
  <c r="Q106" i="33"/>
  <c r="P106" i="33"/>
  <c r="O106" i="33"/>
  <c r="N106" i="33"/>
  <c r="M106" i="33"/>
  <c r="L106" i="33"/>
  <c r="K106" i="33"/>
  <c r="J106" i="33"/>
  <c r="G106" i="33"/>
  <c r="F106" i="33"/>
  <c r="D106" i="33"/>
  <c r="C106" i="33"/>
  <c r="B106" i="33"/>
  <c r="Z105" i="33"/>
  <c r="Y105" i="33"/>
  <c r="X105" i="33"/>
  <c r="W105" i="33"/>
  <c r="V105" i="33"/>
  <c r="T105" i="33"/>
  <c r="S105" i="33"/>
  <c r="R105" i="33"/>
  <c r="Q105" i="33"/>
  <c r="P105" i="33"/>
  <c r="O105" i="33"/>
  <c r="N105" i="33"/>
  <c r="M105" i="33"/>
  <c r="L105" i="33"/>
  <c r="K105" i="33"/>
  <c r="J105" i="33"/>
  <c r="G105" i="33"/>
  <c r="F105" i="33"/>
  <c r="D105" i="33"/>
  <c r="C105" i="33"/>
  <c r="B105" i="33"/>
  <c r="Z104" i="33"/>
  <c r="Y104" i="33"/>
  <c r="X104" i="33"/>
  <c r="W104" i="33"/>
  <c r="V104" i="33"/>
  <c r="T104" i="33"/>
  <c r="S104" i="33"/>
  <c r="R104" i="33"/>
  <c r="Q104" i="33"/>
  <c r="P104" i="33"/>
  <c r="O104" i="33"/>
  <c r="N104" i="33"/>
  <c r="M104" i="33"/>
  <c r="L104" i="33"/>
  <c r="K104" i="33"/>
  <c r="J104" i="33"/>
  <c r="G104" i="33"/>
  <c r="F104" i="33"/>
  <c r="D104" i="33"/>
  <c r="C104" i="33"/>
  <c r="B104" i="33"/>
  <c r="Z103" i="33"/>
  <c r="Y103" i="33"/>
  <c r="X103" i="33"/>
  <c r="W103" i="33"/>
  <c r="V103" i="33"/>
  <c r="T103" i="33"/>
  <c r="S103" i="33"/>
  <c r="R103" i="33"/>
  <c r="Q103" i="33"/>
  <c r="P103" i="33"/>
  <c r="O103" i="33"/>
  <c r="N103" i="33"/>
  <c r="M103" i="33"/>
  <c r="L103" i="33"/>
  <c r="K103" i="33"/>
  <c r="J103" i="33"/>
  <c r="G103" i="33"/>
  <c r="F103" i="33"/>
  <c r="D103" i="33"/>
  <c r="C103" i="33"/>
  <c r="B103" i="33"/>
  <c r="Z102" i="33"/>
  <c r="Y102" i="33"/>
  <c r="X102" i="33"/>
  <c r="W102" i="33"/>
  <c r="V102" i="33"/>
  <c r="T102" i="33"/>
  <c r="S102" i="33"/>
  <c r="R102" i="33"/>
  <c r="Q102" i="33"/>
  <c r="P102" i="33"/>
  <c r="O102" i="33"/>
  <c r="N102" i="33"/>
  <c r="M102" i="33"/>
  <c r="L102" i="33"/>
  <c r="K102" i="33"/>
  <c r="J102" i="33"/>
  <c r="G102" i="33"/>
  <c r="F102" i="33"/>
  <c r="D102" i="33"/>
  <c r="C102" i="33"/>
  <c r="B102" i="33"/>
  <c r="Z101" i="33"/>
  <c r="Y101" i="33"/>
  <c r="X101" i="33"/>
  <c r="W101" i="33"/>
  <c r="V101" i="33"/>
  <c r="T101" i="33"/>
  <c r="S101" i="33"/>
  <c r="R101" i="33"/>
  <c r="Q101" i="33"/>
  <c r="P101" i="33"/>
  <c r="O101" i="33"/>
  <c r="N101" i="33"/>
  <c r="M101" i="33"/>
  <c r="L101" i="33"/>
  <c r="K101" i="33"/>
  <c r="J101" i="33"/>
  <c r="G101" i="33"/>
  <c r="F101" i="33"/>
  <c r="D101" i="33"/>
  <c r="C101" i="33"/>
  <c r="B101" i="33"/>
  <c r="Z100" i="33"/>
  <c r="Y100" i="33"/>
  <c r="X100" i="33"/>
  <c r="W100" i="33"/>
  <c r="V100" i="33"/>
  <c r="T100" i="33"/>
  <c r="S100" i="33"/>
  <c r="R100" i="33"/>
  <c r="Q100" i="33"/>
  <c r="P100" i="33"/>
  <c r="O100" i="33"/>
  <c r="N100" i="33"/>
  <c r="M100" i="33"/>
  <c r="L100" i="33"/>
  <c r="K100" i="33"/>
  <c r="J100" i="33"/>
  <c r="G100" i="33"/>
  <c r="F100" i="33"/>
  <c r="D100" i="33"/>
  <c r="C100" i="33"/>
  <c r="B100" i="33"/>
  <c r="Z99" i="33"/>
  <c r="Y99" i="33"/>
  <c r="X99" i="33"/>
  <c r="W99" i="33"/>
  <c r="V99" i="33"/>
  <c r="T99" i="33"/>
  <c r="S99" i="33"/>
  <c r="R99" i="33"/>
  <c r="Q99" i="33"/>
  <c r="P99" i="33"/>
  <c r="O99" i="33"/>
  <c r="N99" i="33"/>
  <c r="M99" i="33"/>
  <c r="L99" i="33"/>
  <c r="K99" i="33"/>
  <c r="J99" i="33"/>
  <c r="G99" i="33"/>
  <c r="F99" i="33"/>
  <c r="D99" i="33"/>
  <c r="C99" i="33"/>
  <c r="B99" i="33"/>
  <c r="Z98" i="33"/>
  <c r="Y98" i="33"/>
  <c r="X98" i="33"/>
  <c r="W98" i="33"/>
  <c r="V98" i="33"/>
  <c r="T98" i="33"/>
  <c r="S98" i="33"/>
  <c r="R98" i="33"/>
  <c r="Q98" i="33"/>
  <c r="P98" i="33"/>
  <c r="O98" i="33"/>
  <c r="N98" i="33"/>
  <c r="M98" i="33"/>
  <c r="L98" i="33"/>
  <c r="K98" i="33"/>
  <c r="J98" i="33"/>
  <c r="G98" i="33"/>
  <c r="F98" i="33"/>
  <c r="D98" i="33"/>
  <c r="C98" i="33"/>
  <c r="B98" i="33"/>
  <c r="Z97" i="33"/>
  <c r="Y97" i="33"/>
  <c r="X97" i="33"/>
  <c r="W97" i="33"/>
  <c r="V97" i="33"/>
  <c r="T97" i="33"/>
  <c r="S97" i="33"/>
  <c r="R97" i="33"/>
  <c r="Q97" i="33"/>
  <c r="P97" i="33"/>
  <c r="O97" i="33"/>
  <c r="N97" i="33"/>
  <c r="M97" i="33"/>
  <c r="L97" i="33"/>
  <c r="K97" i="33"/>
  <c r="J97" i="33"/>
  <c r="G97" i="33"/>
  <c r="F97" i="33"/>
  <c r="D97" i="33"/>
  <c r="C97" i="33"/>
  <c r="B97" i="33"/>
  <c r="Z96" i="33"/>
  <c r="Y96" i="33"/>
  <c r="X96" i="33"/>
  <c r="W96" i="33"/>
  <c r="V96" i="33"/>
  <c r="T96" i="33"/>
  <c r="S96" i="33"/>
  <c r="R96" i="33"/>
  <c r="Q96" i="33"/>
  <c r="P96" i="33"/>
  <c r="O96" i="33"/>
  <c r="N96" i="33"/>
  <c r="M96" i="33"/>
  <c r="L96" i="33"/>
  <c r="K96" i="33"/>
  <c r="J96" i="33"/>
  <c r="G96" i="33"/>
  <c r="F96" i="33"/>
  <c r="D96" i="33"/>
  <c r="C96" i="33"/>
  <c r="B96" i="33"/>
  <c r="Z95" i="33"/>
  <c r="Y95" i="33"/>
  <c r="X95" i="33"/>
  <c r="W95" i="33"/>
  <c r="V95" i="33"/>
  <c r="T95" i="33"/>
  <c r="S95" i="33"/>
  <c r="R95" i="33"/>
  <c r="Q95" i="33"/>
  <c r="P95" i="33"/>
  <c r="O95" i="33"/>
  <c r="N95" i="33"/>
  <c r="M95" i="33"/>
  <c r="L95" i="33"/>
  <c r="K95" i="33"/>
  <c r="J95" i="33"/>
  <c r="G95" i="33"/>
  <c r="F95" i="33"/>
  <c r="D95" i="33"/>
  <c r="C95" i="33"/>
  <c r="B95" i="33"/>
  <c r="D93" i="33"/>
  <c r="C93" i="33"/>
  <c r="K85" i="33"/>
  <c r="K84" i="33"/>
  <c r="K83" i="33"/>
  <c r="K82" i="33"/>
  <c r="K81" i="33"/>
  <c r="K80" i="33"/>
  <c r="K79" i="33"/>
  <c r="K78" i="33"/>
  <c r="K77" i="33"/>
  <c r="K74" i="33"/>
  <c r="H74" i="33"/>
  <c r="G74" i="33"/>
  <c r="E74" i="33"/>
  <c r="J68" i="33"/>
  <c r="J67" i="33"/>
  <c r="J65" i="33"/>
  <c r="J64" i="33"/>
  <c r="R56" i="33"/>
  <c r="Q56" i="33"/>
  <c r="P56" i="33"/>
  <c r="O56" i="33"/>
  <c r="M56" i="33"/>
  <c r="L56" i="33"/>
  <c r="K56" i="33"/>
  <c r="J56" i="33"/>
  <c r="R55" i="33"/>
  <c r="Q55" i="33"/>
  <c r="P55" i="33"/>
  <c r="O55" i="33"/>
  <c r="M55" i="33"/>
  <c r="L55" i="33"/>
  <c r="K55" i="33"/>
  <c r="J55" i="33"/>
  <c r="D55" i="33"/>
  <c r="H52" i="33"/>
  <c r="V52" i="33" s="1"/>
  <c r="Y51" i="33"/>
  <c r="X51" i="33"/>
  <c r="W51" i="33"/>
  <c r="H51" i="33"/>
  <c r="I110" i="33" s="1"/>
  <c r="H49" i="33"/>
  <c r="V49" i="33" s="1"/>
  <c r="Y48" i="33"/>
  <c r="X48" i="33"/>
  <c r="W48" i="33"/>
  <c r="H48" i="33"/>
  <c r="H109" i="33" s="1"/>
  <c r="H46" i="33"/>
  <c r="V46" i="33" s="1"/>
  <c r="Y45" i="33"/>
  <c r="X45" i="33"/>
  <c r="W45" i="33"/>
  <c r="H45" i="33"/>
  <c r="I108" i="33" s="1"/>
  <c r="H43" i="33"/>
  <c r="V43" i="33" s="1"/>
  <c r="Y42" i="33"/>
  <c r="X42" i="33"/>
  <c r="W42" i="33"/>
  <c r="H42" i="33"/>
  <c r="H107" i="33" s="1"/>
  <c r="H40" i="33"/>
  <c r="V40" i="33" s="1"/>
  <c r="Y39" i="33"/>
  <c r="X39" i="33"/>
  <c r="W39" i="33"/>
  <c r="H39" i="33"/>
  <c r="H106" i="33" s="1"/>
  <c r="H37" i="33"/>
  <c r="V37" i="33" s="1"/>
  <c r="Y36" i="33"/>
  <c r="X36" i="33"/>
  <c r="W36" i="33"/>
  <c r="H36" i="33"/>
  <c r="I105" i="33" s="1"/>
  <c r="H34" i="33"/>
  <c r="V34" i="33" s="1"/>
  <c r="Y33" i="33"/>
  <c r="X33" i="33"/>
  <c r="W33" i="33"/>
  <c r="H33" i="33"/>
  <c r="I104" i="33" s="1"/>
  <c r="H31" i="33"/>
  <c r="V31" i="33" s="1"/>
  <c r="Y30" i="33"/>
  <c r="X30" i="33"/>
  <c r="W30" i="33"/>
  <c r="H30" i="33"/>
  <c r="H103" i="33" s="1"/>
  <c r="H28" i="33"/>
  <c r="V28" i="33" s="1"/>
  <c r="Y27" i="33"/>
  <c r="X27" i="33"/>
  <c r="W27" i="33"/>
  <c r="H27" i="33"/>
  <c r="H102" i="33" s="1"/>
  <c r="H25" i="33"/>
  <c r="V25" i="33" s="1"/>
  <c r="Y24" i="33"/>
  <c r="X24" i="33"/>
  <c r="W24" i="33"/>
  <c r="H24" i="33"/>
  <c r="I101" i="33" s="1"/>
  <c r="H22" i="33"/>
  <c r="V22" i="33" s="1"/>
  <c r="Y21" i="33"/>
  <c r="X21" i="33"/>
  <c r="W21" i="33"/>
  <c r="H21" i="33"/>
  <c r="I100" i="33" s="1"/>
  <c r="H19" i="33"/>
  <c r="V19" i="33" s="1"/>
  <c r="Y18" i="33"/>
  <c r="X18" i="33"/>
  <c r="W18" i="33"/>
  <c r="H18" i="33"/>
  <c r="H99" i="33" s="1"/>
  <c r="H16" i="33"/>
  <c r="V16" i="33" s="1"/>
  <c r="Y15" i="33"/>
  <c r="X15" i="33"/>
  <c r="W15" i="33"/>
  <c r="H15" i="33"/>
  <c r="H98" i="33" s="1"/>
  <c r="H13" i="33"/>
  <c r="V13" i="33" s="1"/>
  <c r="Y12" i="33"/>
  <c r="X12" i="33"/>
  <c r="W12" i="33"/>
  <c r="H12" i="33"/>
  <c r="I97" i="33" s="1"/>
  <c r="H10" i="33"/>
  <c r="V10" i="33" s="1"/>
  <c r="Y9" i="33"/>
  <c r="X9" i="33"/>
  <c r="W9" i="33"/>
  <c r="H9" i="33"/>
  <c r="H7" i="33"/>
  <c r="V7" i="33" s="1"/>
  <c r="Y6" i="33"/>
  <c r="X6" i="33"/>
  <c r="W6" i="33"/>
  <c r="H6" i="33"/>
  <c r="U6" i="33" s="1"/>
  <c r="U42" i="33" l="1"/>
  <c r="I96" i="33"/>
  <c r="I9" i="33"/>
  <c r="E96" i="33" s="1"/>
  <c r="U51" i="33"/>
  <c r="U48" i="33"/>
  <c r="U45" i="33"/>
  <c r="U39" i="33"/>
  <c r="U36" i="33"/>
  <c r="U33" i="33"/>
  <c r="U30" i="33"/>
  <c r="U27" i="33"/>
  <c r="U24" i="33"/>
  <c r="U21" i="33"/>
  <c r="U18" i="33"/>
  <c r="U15" i="33"/>
  <c r="H65" i="33"/>
  <c r="U12" i="33"/>
  <c r="J60" i="33"/>
  <c r="J61" i="33"/>
  <c r="J62" i="33"/>
  <c r="U9" i="33"/>
  <c r="H95" i="33"/>
  <c r="H56" i="33"/>
  <c r="I6" i="33"/>
  <c r="I12" i="33"/>
  <c r="E97" i="33" s="1"/>
  <c r="I15" i="33"/>
  <c r="E98" i="33" s="1"/>
  <c r="I18" i="33"/>
  <c r="E99" i="33" s="1"/>
  <c r="I21" i="33"/>
  <c r="E100" i="33" s="1"/>
  <c r="I24" i="33"/>
  <c r="E101" i="33" s="1"/>
  <c r="I27" i="33"/>
  <c r="E102" i="33" s="1"/>
  <c r="I30" i="33"/>
  <c r="E103" i="33" s="1"/>
  <c r="I33" i="33"/>
  <c r="E104" i="33" s="1"/>
  <c r="I36" i="33"/>
  <c r="E105" i="33" s="1"/>
  <c r="I39" i="33"/>
  <c r="E106" i="33" s="1"/>
  <c r="I42" i="33"/>
  <c r="E107" i="33" s="1"/>
  <c r="I45" i="33"/>
  <c r="E108" i="33" s="1"/>
  <c r="I48" i="33"/>
  <c r="E109" i="33" s="1"/>
  <c r="I51" i="33"/>
  <c r="E110" i="33" s="1"/>
  <c r="H55" i="33"/>
  <c r="H96" i="33"/>
  <c r="H97" i="33"/>
  <c r="H100" i="33"/>
  <c r="H101" i="33"/>
  <c r="H104" i="33"/>
  <c r="H105" i="33"/>
  <c r="H108" i="33"/>
  <c r="H110" i="33"/>
  <c r="I95" i="33"/>
  <c r="I98" i="33"/>
  <c r="I99" i="33"/>
  <c r="I102" i="33"/>
  <c r="I103" i="33"/>
  <c r="I106" i="33"/>
  <c r="I107" i="33"/>
  <c r="I109" i="33"/>
  <c r="FT4" i="31"/>
  <c r="ET4" i="31"/>
  <c r="DT7" i="31"/>
  <c r="DT4" i="31"/>
  <c r="CT4" i="31"/>
  <c r="BT4" i="31"/>
  <c r="PD7" i="31"/>
  <c r="OD7" i="31"/>
  <c r="ND7" i="31"/>
  <c r="MD7" i="31"/>
  <c r="LD7" i="31"/>
  <c r="KD7" i="31"/>
  <c r="JD7" i="31"/>
  <c r="ID7" i="31"/>
  <c r="HD7" i="31"/>
  <c r="GD7" i="31"/>
  <c r="FD7" i="31"/>
  <c r="DR7" i="31"/>
  <c r="ED7" i="31"/>
  <c r="DD7" i="31"/>
  <c r="CD7" i="31"/>
  <c r="R7" i="31"/>
  <c r="AD7" i="31"/>
  <c r="BD7" i="31"/>
  <c r="AT4" i="31"/>
  <c r="T7" i="31"/>
  <c r="T4" i="31"/>
  <c r="H64" i="33" l="1"/>
  <c r="H58" i="33"/>
  <c r="H62" i="33"/>
  <c r="H61" i="33"/>
  <c r="E95" i="33"/>
  <c r="H60" i="33"/>
  <c r="Z110" i="27"/>
  <c r="Y110" i="27"/>
  <c r="X110" i="27"/>
  <c r="W110" i="27"/>
  <c r="V110" i="27"/>
  <c r="T110" i="27"/>
  <c r="S110" i="27"/>
  <c r="R110" i="27"/>
  <c r="Q110" i="27"/>
  <c r="P110" i="27"/>
  <c r="O110" i="27"/>
  <c r="N110" i="27"/>
  <c r="M110" i="27"/>
  <c r="L110" i="27"/>
  <c r="K110" i="27"/>
  <c r="J110" i="27"/>
  <c r="G110" i="27"/>
  <c r="F110" i="27"/>
  <c r="D110" i="27"/>
  <c r="C110" i="27"/>
  <c r="Z109" i="27"/>
  <c r="Y109" i="27"/>
  <c r="X109" i="27"/>
  <c r="W109" i="27"/>
  <c r="V109" i="27"/>
  <c r="T109" i="27"/>
  <c r="S109" i="27"/>
  <c r="R109" i="27"/>
  <c r="Q109" i="27"/>
  <c r="P109" i="27"/>
  <c r="O109" i="27"/>
  <c r="N109" i="27"/>
  <c r="M109" i="27"/>
  <c r="L109" i="27"/>
  <c r="K109" i="27"/>
  <c r="J109" i="27"/>
  <c r="G109" i="27"/>
  <c r="F109" i="27"/>
  <c r="D109" i="27"/>
  <c r="C109" i="27"/>
  <c r="Z108" i="27"/>
  <c r="Y108" i="27"/>
  <c r="X108" i="27"/>
  <c r="W108" i="27"/>
  <c r="V108" i="27"/>
  <c r="T108" i="27"/>
  <c r="S108" i="27"/>
  <c r="R108" i="27"/>
  <c r="Q108" i="27"/>
  <c r="P108" i="27"/>
  <c r="O108" i="27"/>
  <c r="N108" i="27"/>
  <c r="M108" i="27"/>
  <c r="L108" i="27"/>
  <c r="K108" i="27"/>
  <c r="J108" i="27"/>
  <c r="G108" i="27"/>
  <c r="F108" i="27"/>
  <c r="D108" i="27"/>
  <c r="C108" i="27"/>
  <c r="Z107" i="27"/>
  <c r="Y107" i="27"/>
  <c r="X107" i="27"/>
  <c r="W107" i="27"/>
  <c r="V107" i="27"/>
  <c r="T107" i="27"/>
  <c r="S107" i="27"/>
  <c r="R107" i="27"/>
  <c r="Q107" i="27"/>
  <c r="P107" i="27"/>
  <c r="O107" i="27"/>
  <c r="N107" i="27"/>
  <c r="M107" i="27"/>
  <c r="L107" i="27"/>
  <c r="K107" i="27"/>
  <c r="J107" i="27"/>
  <c r="G107" i="27"/>
  <c r="F107" i="27"/>
  <c r="D107" i="27"/>
  <c r="C107" i="27"/>
  <c r="Z106" i="27"/>
  <c r="Y106" i="27"/>
  <c r="X106" i="27"/>
  <c r="W106" i="27"/>
  <c r="V106" i="27"/>
  <c r="T106" i="27"/>
  <c r="S106" i="27"/>
  <c r="R106" i="27"/>
  <c r="Q106" i="27"/>
  <c r="P106" i="27"/>
  <c r="O106" i="27"/>
  <c r="N106" i="27"/>
  <c r="M106" i="27"/>
  <c r="L106" i="27"/>
  <c r="K106" i="27"/>
  <c r="J106" i="27"/>
  <c r="G106" i="27"/>
  <c r="F106" i="27"/>
  <c r="D106" i="27"/>
  <c r="C106" i="27"/>
  <c r="Z105" i="27"/>
  <c r="Y105" i="27"/>
  <c r="X105" i="27"/>
  <c r="W105" i="27"/>
  <c r="V105" i="27"/>
  <c r="T105" i="27"/>
  <c r="S105" i="27"/>
  <c r="R105" i="27"/>
  <c r="Q105" i="27"/>
  <c r="P105" i="27"/>
  <c r="O105" i="27"/>
  <c r="N105" i="27"/>
  <c r="M105" i="27"/>
  <c r="L105" i="27"/>
  <c r="K105" i="27"/>
  <c r="J105" i="27"/>
  <c r="G105" i="27"/>
  <c r="F105" i="27"/>
  <c r="D105" i="27"/>
  <c r="C105" i="27"/>
  <c r="Z104" i="27"/>
  <c r="Y104" i="27"/>
  <c r="X104" i="27"/>
  <c r="W104" i="27"/>
  <c r="V104" i="27"/>
  <c r="T104" i="27"/>
  <c r="S104" i="27"/>
  <c r="R104" i="27"/>
  <c r="Q104" i="27"/>
  <c r="P104" i="27"/>
  <c r="O104" i="27"/>
  <c r="N104" i="27"/>
  <c r="M104" i="27"/>
  <c r="L104" i="27"/>
  <c r="K104" i="27"/>
  <c r="J104" i="27"/>
  <c r="G104" i="27"/>
  <c r="F104" i="27"/>
  <c r="D104" i="27"/>
  <c r="C104" i="27"/>
  <c r="Z103" i="27"/>
  <c r="Y103" i="27"/>
  <c r="X103" i="27"/>
  <c r="W103" i="27"/>
  <c r="V103" i="27"/>
  <c r="T103" i="27"/>
  <c r="S103" i="27"/>
  <c r="R103" i="27"/>
  <c r="Q103" i="27"/>
  <c r="P103" i="27"/>
  <c r="O103" i="27"/>
  <c r="N103" i="27"/>
  <c r="M103" i="27"/>
  <c r="L103" i="27"/>
  <c r="K103" i="27"/>
  <c r="J103" i="27"/>
  <c r="G103" i="27"/>
  <c r="F103" i="27"/>
  <c r="D103" i="27"/>
  <c r="C103" i="27"/>
  <c r="Z102" i="27"/>
  <c r="Y102" i="27"/>
  <c r="X102" i="27"/>
  <c r="W102" i="27"/>
  <c r="V102" i="27"/>
  <c r="T102" i="27"/>
  <c r="S102" i="27"/>
  <c r="R102" i="27"/>
  <c r="Q102" i="27"/>
  <c r="P102" i="27"/>
  <c r="O102" i="27"/>
  <c r="N102" i="27"/>
  <c r="M102" i="27"/>
  <c r="L102" i="27"/>
  <c r="K102" i="27"/>
  <c r="J102" i="27"/>
  <c r="G102" i="27"/>
  <c r="F102" i="27"/>
  <c r="D102" i="27"/>
  <c r="C102" i="27"/>
  <c r="Z101" i="27"/>
  <c r="Y101" i="27"/>
  <c r="X101" i="27"/>
  <c r="W101" i="27"/>
  <c r="V101" i="27"/>
  <c r="T101" i="27"/>
  <c r="S101" i="27"/>
  <c r="R101" i="27"/>
  <c r="Q101" i="27"/>
  <c r="P101" i="27"/>
  <c r="O101" i="27"/>
  <c r="N101" i="27"/>
  <c r="M101" i="27"/>
  <c r="L101" i="27"/>
  <c r="K101" i="27"/>
  <c r="J101" i="27"/>
  <c r="G101" i="27"/>
  <c r="F101" i="27"/>
  <c r="D101" i="27"/>
  <c r="C101" i="27"/>
  <c r="Z100" i="27"/>
  <c r="Y100" i="27"/>
  <c r="X100" i="27"/>
  <c r="W100" i="27"/>
  <c r="V100" i="27"/>
  <c r="T100" i="27"/>
  <c r="S100" i="27"/>
  <c r="R100" i="27"/>
  <c r="Q100" i="27"/>
  <c r="P100" i="27"/>
  <c r="O100" i="27"/>
  <c r="N100" i="27"/>
  <c r="M100" i="27"/>
  <c r="L100" i="27"/>
  <c r="K100" i="27"/>
  <c r="J100" i="27"/>
  <c r="G100" i="27"/>
  <c r="F100" i="27"/>
  <c r="D100" i="27"/>
  <c r="C100" i="27"/>
  <c r="Z99" i="27"/>
  <c r="Y99" i="27"/>
  <c r="X99" i="27"/>
  <c r="W99" i="27"/>
  <c r="V99" i="27"/>
  <c r="T99" i="27"/>
  <c r="S99" i="27"/>
  <c r="R99" i="27"/>
  <c r="Q99" i="27"/>
  <c r="P99" i="27"/>
  <c r="O99" i="27"/>
  <c r="N99" i="27"/>
  <c r="M99" i="27"/>
  <c r="L99" i="27"/>
  <c r="K99" i="27"/>
  <c r="J99" i="27"/>
  <c r="G99" i="27"/>
  <c r="F99" i="27"/>
  <c r="D99" i="27"/>
  <c r="C99" i="27"/>
  <c r="Z98" i="27"/>
  <c r="Y98" i="27"/>
  <c r="X98" i="27"/>
  <c r="W98" i="27"/>
  <c r="V98" i="27"/>
  <c r="T98" i="27"/>
  <c r="S98" i="27"/>
  <c r="R98" i="27"/>
  <c r="Q98" i="27"/>
  <c r="P98" i="27"/>
  <c r="O98" i="27"/>
  <c r="N98" i="27"/>
  <c r="M98" i="27"/>
  <c r="L98" i="27"/>
  <c r="K98" i="27"/>
  <c r="J98" i="27"/>
  <c r="G98" i="27"/>
  <c r="F98" i="27"/>
  <c r="D98" i="27"/>
  <c r="C98" i="27"/>
  <c r="Z97" i="27"/>
  <c r="Y97" i="27"/>
  <c r="X97" i="27"/>
  <c r="W97" i="27"/>
  <c r="V97" i="27"/>
  <c r="T97" i="27"/>
  <c r="S97" i="27"/>
  <c r="R97" i="27"/>
  <c r="Q97" i="27"/>
  <c r="P97" i="27"/>
  <c r="O97" i="27"/>
  <c r="N97" i="27"/>
  <c r="M97" i="27"/>
  <c r="L97" i="27"/>
  <c r="K97" i="27"/>
  <c r="J97" i="27"/>
  <c r="G97" i="27"/>
  <c r="F97" i="27"/>
  <c r="D97" i="27"/>
  <c r="C97" i="27"/>
  <c r="Z96" i="27"/>
  <c r="Y96" i="27"/>
  <c r="X96" i="27"/>
  <c r="W96" i="27"/>
  <c r="V96" i="27"/>
  <c r="T96" i="27"/>
  <c r="S96" i="27"/>
  <c r="R96" i="27"/>
  <c r="Q96" i="27"/>
  <c r="P96" i="27"/>
  <c r="O96" i="27"/>
  <c r="N96" i="27"/>
  <c r="M96" i="27"/>
  <c r="L96" i="27"/>
  <c r="K96" i="27"/>
  <c r="J96" i="27"/>
  <c r="G96" i="27"/>
  <c r="F96" i="27"/>
  <c r="D96" i="27"/>
  <c r="C96" i="27"/>
  <c r="P95" i="27"/>
  <c r="Q95" i="27"/>
  <c r="R95" i="27"/>
  <c r="S95" i="27"/>
  <c r="T95" i="27"/>
  <c r="V95" i="27"/>
  <c r="W95" i="27"/>
  <c r="X95" i="27"/>
  <c r="Y95" i="27"/>
  <c r="Z95" i="27"/>
  <c r="O95" i="27"/>
  <c r="N95" i="27"/>
  <c r="M95" i="27"/>
  <c r="L95" i="27"/>
  <c r="K95" i="27"/>
  <c r="J95" i="27"/>
  <c r="C93" i="27"/>
  <c r="D93" i="27"/>
  <c r="D95" i="27"/>
  <c r="C95" i="27"/>
  <c r="G95" i="27"/>
  <c r="F95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GR4" i="31"/>
  <c r="FR4" i="31"/>
  <c r="ER4" i="31"/>
  <c r="DR4" i="31"/>
  <c r="CR4" i="31"/>
  <c r="BR4" i="31"/>
  <c r="AR4" i="31"/>
  <c r="R4" i="31"/>
  <c r="HR4" i="31"/>
  <c r="IR4" i="31"/>
  <c r="JR4" i="31"/>
  <c r="KR4" i="31"/>
  <c r="LR4" i="31"/>
  <c r="MR4" i="31"/>
  <c r="NR4" i="31"/>
  <c r="OR4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13" i="31"/>
  <c r="F9" i="31"/>
  <c r="AF9" i="31"/>
  <c r="BF105" i="31"/>
  <c r="BF104" i="31"/>
  <c r="BF103" i="31"/>
  <c r="BF102" i="31"/>
  <c r="BF101" i="31"/>
  <c r="BF100" i="31"/>
  <c r="BF99" i="31"/>
  <c r="BF98" i="31"/>
  <c r="BF9" i="31"/>
  <c r="CF9" i="31"/>
  <c r="DF9" i="31"/>
  <c r="EF9" i="31"/>
  <c r="FF9" i="31"/>
  <c r="GF9" i="31"/>
  <c r="HF9" i="31"/>
  <c r="IF9" i="31"/>
  <c r="OF9" i="31"/>
  <c r="NF9" i="31"/>
  <c r="MF9" i="31"/>
  <c r="LF9" i="31"/>
  <c r="KF9" i="31"/>
  <c r="JF9" i="31"/>
  <c r="M3" i="30"/>
  <c r="K3" i="30"/>
  <c r="L3" i="30"/>
  <c r="N3" i="30"/>
  <c r="P3" i="30"/>
  <c r="ID4" i="31"/>
  <c r="GD4" i="31"/>
  <c r="FD4" i="31"/>
  <c r="AD4" i="31"/>
  <c r="J15" i="30"/>
  <c r="I58" i="34" s="1"/>
  <c r="J5" i="30"/>
  <c r="BF7" i="31"/>
  <c r="CF7" i="31"/>
  <c r="DS7" i="31"/>
  <c r="DF7" i="31" s="1"/>
  <c r="EF7" i="31"/>
  <c r="FF7" i="31"/>
  <c r="GF7" i="31"/>
  <c r="HF7" i="31"/>
  <c r="IF7" i="31"/>
  <c r="JF7" i="31"/>
  <c r="KF7" i="31"/>
  <c r="LF7" i="31"/>
  <c r="MF7" i="31"/>
  <c r="NF7" i="31"/>
  <c r="S7" i="31"/>
  <c r="F7" i="31" s="1"/>
  <c r="ES4" i="31"/>
  <c r="AS4" i="31"/>
  <c r="BS4" i="31"/>
  <c r="CS4" i="31"/>
  <c r="DS4" i="31"/>
  <c r="FS4" i="31"/>
  <c r="GS4" i="31"/>
  <c r="HS4" i="31"/>
  <c r="IS4" i="31"/>
  <c r="JS4" i="31"/>
  <c r="KS4" i="31"/>
  <c r="LS4" i="31"/>
  <c r="MS4" i="31"/>
  <c r="NS4" i="31"/>
  <c r="OS4" i="31"/>
  <c r="I472" i="4"/>
  <c r="I450" i="4"/>
  <c r="I471" i="4"/>
  <c r="I470" i="4"/>
  <c r="I469" i="4"/>
  <c r="I468" i="4"/>
  <c r="I461" i="4"/>
  <c r="I460" i="4"/>
  <c r="I459" i="4"/>
  <c r="I458" i="4"/>
  <c r="I457" i="4"/>
  <c r="I456" i="4"/>
  <c r="I455" i="4"/>
  <c r="I449" i="4"/>
  <c r="I448" i="4"/>
  <c r="I447" i="4"/>
  <c r="I446" i="4"/>
  <c r="I445" i="4"/>
  <c r="I442" i="4"/>
  <c r="I439" i="4"/>
  <c r="I437" i="4"/>
  <c r="I436" i="4"/>
  <c r="I435" i="4"/>
  <c r="I433" i="4"/>
  <c r="I428" i="4"/>
  <c r="I423" i="4"/>
  <c r="I422" i="4"/>
  <c r="I421" i="4"/>
  <c r="I420" i="4"/>
  <c r="I416" i="4"/>
  <c r="I415" i="4"/>
  <c r="I414" i="4"/>
  <c r="I419" i="4"/>
  <c r="I418" i="4"/>
  <c r="I413" i="4"/>
  <c r="I411" i="4"/>
  <c r="I406" i="4"/>
  <c r="I362" i="4"/>
  <c r="I361" i="4"/>
  <c r="I340" i="4"/>
  <c r="I405" i="4"/>
  <c r="I404" i="4"/>
  <c r="I403" i="4"/>
  <c r="I402" i="4"/>
  <c r="I397" i="4"/>
  <c r="I396" i="4"/>
  <c r="I394" i="4"/>
  <c r="I393" i="4"/>
  <c r="I392" i="4"/>
  <c r="I391" i="4"/>
  <c r="I389" i="4"/>
  <c r="I384" i="4"/>
  <c r="I383" i="4"/>
  <c r="I382" i="4"/>
  <c r="I381" i="4"/>
  <c r="I380" i="4"/>
  <c r="I375" i="4"/>
  <c r="I372" i="4"/>
  <c r="I371" i="4"/>
  <c r="I370" i="4"/>
  <c r="I369" i="4"/>
  <c r="I368" i="4"/>
  <c r="I367" i="4"/>
  <c r="I360" i="4"/>
  <c r="I359" i="4"/>
  <c r="I358" i="4"/>
  <c r="I352" i="4"/>
  <c r="I351" i="4"/>
  <c r="I350" i="4"/>
  <c r="I349" i="4"/>
  <c r="I348" i="4"/>
  <c r="I346" i="4"/>
  <c r="I345" i="4"/>
  <c r="I338" i="4"/>
  <c r="I337" i="4"/>
  <c r="I336" i="4"/>
  <c r="I335" i="4"/>
  <c r="I334" i="4"/>
  <c r="I331" i="4"/>
  <c r="I330" i="4"/>
  <c r="I326" i="4"/>
  <c r="I325" i="4"/>
  <c r="I324" i="4"/>
  <c r="I323" i="4"/>
  <c r="I186" i="4"/>
  <c r="I183" i="4"/>
  <c r="I182" i="4"/>
  <c r="I178" i="4"/>
  <c r="I176" i="4"/>
  <c r="I175" i="4"/>
  <c r="I174" i="4"/>
  <c r="I173" i="4"/>
  <c r="I172" i="4"/>
  <c r="I171" i="4"/>
  <c r="I170" i="4"/>
  <c r="I169" i="4"/>
  <c r="I164" i="4"/>
  <c r="I161" i="4"/>
  <c r="I160" i="4"/>
  <c r="I158" i="4"/>
  <c r="I157" i="4"/>
  <c r="I156" i="4"/>
  <c r="I155" i="4"/>
  <c r="I154" i="4"/>
  <c r="I151" i="4"/>
  <c r="I149" i="4"/>
  <c r="I148" i="4"/>
  <c r="I147" i="4"/>
  <c r="I142" i="4"/>
  <c r="I141" i="4"/>
  <c r="I139" i="4"/>
  <c r="I137" i="4"/>
  <c r="I136" i="4"/>
  <c r="I135" i="4"/>
  <c r="I132" i="4"/>
  <c r="I131" i="4"/>
  <c r="I130" i="4"/>
  <c r="I129" i="4"/>
  <c r="I127" i="4"/>
  <c r="I124" i="4"/>
  <c r="I119" i="4"/>
  <c r="I118" i="4"/>
  <c r="I117" i="4"/>
  <c r="I115" i="4"/>
  <c r="I113" i="4"/>
  <c r="I112" i="4"/>
  <c r="I111" i="4"/>
  <c r="I109" i="4"/>
  <c r="I108" i="4"/>
  <c r="I107" i="4"/>
  <c r="I106" i="4"/>
  <c r="I102" i="4"/>
  <c r="I83" i="4"/>
  <c r="I84" i="4"/>
  <c r="I87" i="4"/>
  <c r="I88" i="4"/>
  <c r="I90" i="4"/>
  <c r="I91" i="4"/>
  <c r="I92" i="4"/>
  <c r="I93" i="4"/>
  <c r="I94" i="4"/>
  <c r="I95" i="4"/>
  <c r="I97" i="4"/>
  <c r="I80" i="4"/>
  <c r="G27" i="2"/>
  <c r="G26" i="2"/>
  <c r="G25" i="2"/>
  <c r="G24" i="2"/>
  <c r="G23" i="2"/>
  <c r="G21" i="2"/>
  <c r="G20" i="2"/>
  <c r="G17" i="2"/>
  <c r="G16" i="2"/>
  <c r="G14" i="2"/>
  <c r="G10" i="2"/>
  <c r="G48" i="2"/>
  <c r="G47" i="2"/>
  <c r="G45" i="2"/>
  <c r="G44" i="2"/>
  <c r="G43" i="2"/>
  <c r="G40" i="2"/>
  <c r="G39" i="2"/>
  <c r="G38" i="2"/>
  <c r="G37" i="2"/>
  <c r="G36" i="2"/>
  <c r="G35" i="2"/>
  <c r="G31" i="2"/>
  <c r="G69" i="2"/>
  <c r="G67" i="2"/>
  <c r="G66" i="2"/>
  <c r="G65" i="2"/>
  <c r="G64" i="2"/>
  <c r="G63" i="2"/>
  <c r="G61" i="2"/>
  <c r="G59" i="2"/>
  <c r="G58" i="2"/>
  <c r="G52" i="2"/>
  <c r="G90" i="2"/>
  <c r="G89" i="2"/>
  <c r="G88" i="2"/>
  <c r="G87" i="2"/>
  <c r="G83" i="2"/>
  <c r="G81" i="2"/>
  <c r="G80" i="2"/>
  <c r="G78" i="2"/>
  <c r="G77" i="2"/>
  <c r="G76" i="2"/>
  <c r="G73" i="2"/>
  <c r="G111" i="2"/>
  <c r="G110" i="2"/>
  <c r="G109" i="2"/>
  <c r="G108" i="2"/>
  <c r="G103" i="2"/>
  <c r="G102" i="2"/>
  <c r="G100" i="2"/>
  <c r="G99" i="2"/>
  <c r="G98" i="2"/>
  <c r="G97" i="2"/>
  <c r="G95" i="2"/>
  <c r="G94" i="2"/>
  <c r="G132" i="2"/>
  <c r="G130" i="2"/>
  <c r="G129" i="2"/>
  <c r="G126" i="2"/>
  <c r="G125" i="2"/>
  <c r="G124" i="2"/>
  <c r="G123" i="2"/>
  <c r="G122" i="2"/>
  <c r="G121" i="2"/>
  <c r="G120" i="2"/>
  <c r="G117" i="2"/>
  <c r="G115" i="2"/>
  <c r="G153" i="2"/>
  <c r="G150" i="2"/>
  <c r="G148" i="2"/>
  <c r="G147" i="2"/>
  <c r="G146" i="2"/>
  <c r="G145" i="2"/>
  <c r="G142" i="2"/>
  <c r="G140" i="2"/>
  <c r="G139" i="2"/>
  <c r="G137" i="2"/>
  <c r="G136" i="2"/>
  <c r="G174" i="2"/>
  <c r="G173" i="2"/>
  <c r="G170" i="2"/>
  <c r="G167" i="2"/>
  <c r="G166" i="2"/>
  <c r="G165" i="2"/>
  <c r="G164" i="2"/>
  <c r="G163" i="2"/>
  <c r="G162" i="2"/>
  <c r="G161" i="2"/>
  <c r="G157" i="2"/>
  <c r="G195" i="2"/>
  <c r="G194" i="2"/>
  <c r="G190" i="2"/>
  <c r="G189" i="2"/>
  <c r="G188" i="2"/>
  <c r="G187" i="2"/>
  <c r="G186" i="2"/>
  <c r="G185" i="2"/>
  <c r="G184" i="2"/>
  <c r="G183" i="2"/>
  <c r="G181" i="2"/>
  <c r="G178" i="2"/>
  <c r="G216" i="2"/>
  <c r="G215" i="2"/>
  <c r="G214" i="2"/>
  <c r="G213" i="2"/>
  <c r="G209" i="2"/>
  <c r="G206" i="2"/>
  <c r="G205" i="2"/>
  <c r="G202" i="2"/>
  <c r="G201" i="2"/>
  <c r="G200" i="2"/>
  <c r="G199" i="2"/>
  <c r="G237" i="2"/>
  <c r="G236" i="2"/>
  <c r="G235" i="2"/>
  <c r="G234" i="2"/>
  <c r="G233" i="2"/>
  <c r="G232" i="2"/>
  <c r="G228" i="2"/>
  <c r="G226" i="2"/>
  <c r="G225" i="2"/>
  <c r="G224" i="2"/>
  <c r="G223" i="2"/>
  <c r="G220" i="2"/>
  <c r="G258" i="2"/>
  <c r="G257" i="2"/>
  <c r="G256" i="2"/>
  <c r="G255" i="2"/>
  <c r="G254" i="2"/>
  <c r="G250" i="2"/>
  <c r="G247" i="2"/>
  <c r="G246" i="2"/>
  <c r="G245" i="2"/>
  <c r="G244" i="2"/>
  <c r="G242" i="2"/>
  <c r="G241" i="2"/>
  <c r="G279" i="2"/>
  <c r="G278" i="2"/>
  <c r="G277" i="2"/>
  <c r="G276" i="2"/>
  <c r="G275" i="2"/>
  <c r="G274" i="2"/>
  <c r="G268" i="2"/>
  <c r="G266" i="2"/>
  <c r="G265" i="2"/>
  <c r="G264" i="2"/>
  <c r="G263" i="2"/>
  <c r="G262" i="2"/>
  <c r="G300" i="2"/>
  <c r="G299" i="2"/>
  <c r="G297" i="2"/>
  <c r="G296" i="2"/>
  <c r="G295" i="2"/>
  <c r="G294" i="2"/>
  <c r="G291" i="2"/>
  <c r="G290" i="2"/>
  <c r="G287" i="2"/>
  <c r="G286" i="2"/>
  <c r="G285" i="2"/>
  <c r="G283" i="2"/>
  <c r="G321" i="2"/>
  <c r="G320" i="2"/>
  <c r="G319" i="2"/>
  <c r="G318" i="2"/>
  <c r="G317" i="2"/>
  <c r="G316" i="2"/>
  <c r="G310" i="2"/>
  <c r="G308" i="2"/>
  <c r="G307" i="2"/>
  <c r="G306" i="2"/>
  <c r="G305" i="2"/>
  <c r="G304" i="2"/>
  <c r="G342" i="2"/>
  <c r="G341" i="2"/>
  <c r="G340" i="2"/>
  <c r="G339" i="2"/>
  <c r="G338" i="2"/>
  <c r="G337" i="2"/>
  <c r="G336" i="2"/>
  <c r="G335" i="2"/>
  <c r="G334" i="2"/>
  <c r="G327" i="2"/>
  <c r="G326" i="2"/>
  <c r="G325" i="2"/>
  <c r="G363" i="2"/>
  <c r="G362" i="2"/>
  <c r="G361" i="2"/>
  <c r="G360" i="2"/>
  <c r="G359" i="2"/>
  <c r="G357" i="2"/>
  <c r="G355" i="2"/>
  <c r="G352" i="2"/>
  <c r="G351" i="2"/>
  <c r="G348" i="2"/>
  <c r="G347" i="2"/>
  <c r="G346" i="2"/>
  <c r="G384" i="2"/>
  <c r="G383" i="2"/>
  <c r="G382" i="2"/>
  <c r="G378" i="2"/>
  <c r="G377" i="2"/>
  <c r="G376" i="2"/>
  <c r="G375" i="2"/>
  <c r="G374" i="2"/>
  <c r="G370" i="2"/>
  <c r="G369" i="2"/>
  <c r="G368" i="2"/>
  <c r="G367" i="2"/>
  <c r="G405" i="2"/>
  <c r="G404" i="2"/>
  <c r="G403" i="2"/>
  <c r="G402" i="2"/>
  <c r="G401" i="2"/>
  <c r="G400" i="2"/>
  <c r="G399" i="2"/>
  <c r="G398" i="2"/>
  <c r="G392" i="2"/>
  <c r="G391" i="2"/>
  <c r="G389" i="2"/>
  <c r="G388" i="2"/>
  <c r="G426" i="2"/>
  <c r="G425" i="2"/>
  <c r="G424" i="2"/>
  <c r="G423" i="2"/>
  <c r="G422" i="2"/>
  <c r="G421" i="2"/>
  <c r="G415" i="2"/>
  <c r="G413" i="2"/>
  <c r="G412" i="2"/>
  <c r="G411" i="2"/>
  <c r="G409" i="2"/>
  <c r="G447" i="2"/>
  <c r="G446" i="2"/>
  <c r="G444" i="2"/>
  <c r="G443" i="2"/>
  <c r="G441" i="2"/>
  <c r="G440" i="2"/>
  <c r="G438" i="2"/>
  <c r="G436" i="2"/>
  <c r="G433" i="2"/>
  <c r="G432" i="2"/>
  <c r="G431" i="2"/>
  <c r="G430" i="2"/>
  <c r="G468" i="2"/>
  <c r="G467" i="2"/>
  <c r="G464" i="2"/>
  <c r="G463" i="2"/>
  <c r="G462" i="2"/>
  <c r="G460" i="2"/>
  <c r="G459" i="2"/>
  <c r="G455" i="2"/>
  <c r="G454" i="2"/>
  <c r="G453" i="2"/>
  <c r="G452" i="2"/>
  <c r="G451" i="2"/>
  <c r="G489" i="2"/>
  <c r="G488" i="2"/>
  <c r="G487" i="2"/>
  <c r="G486" i="2"/>
  <c r="G485" i="2"/>
  <c r="G483" i="2"/>
  <c r="G482" i="2"/>
  <c r="G481" i="2"/>
  <c r="G480" i="2"/>
  <c r="G479" i="2"/>
  <c r="G474" i="2"/>
  <c r="G472" i="2"/>
  <c r="G531" i="2"/>
  <c r="G529" i="2"/>
  <c r="G528" i="2"/>
  <c r="G525" i="2"/>
  <c r="G524" i="2"/>
  <c r="G523" i="2"/>
  <c r="G522" i="2"/>
  <c r="G521" i="2"/>
  <c r="G520" i="2"/>
  <c r="G519" i="2"/>
  <c r="G515" i="2"/>
  <c r="G514" i="2"/>
  <c r="G496" i="2"/>
  <c r="G498" i="2"/>
  <c r="G499" i="2"/>
  <c r="G502" i="2"/>
  <c r="G503" i="2"/>
  <c r="G504" i="2"/>
  <c r="G505" i="2"/>
  <c r="G506" i="2"/>
  <c r="G508" i="2"/>
  <c r="G509" i="2"/>
  <c r="G510" i="2"/>
  <c r="G493" i="2"/>
  <c r="J186" i="13" l="1"/>
  <c r="I48" i="34"/>
  <c r="AF7" i="31"/>
  <c r="D230" i="7" l="1"/>
  <c r="D191" i="7"/>
  <c r="L158" i="7"/>
  <c r="L135" i="7"/>
  <c r="H155" i="7"/>
  <c r="H133" i="7"/>
  <c r="H129" i="7"/>
  <c r="D157" i="7"/>
  <c r="D141" i="7"/>
  <c r="D136" i="7"/>
  <c r="D135" i="7"/>
  <c r="D104" i="7"/>
  <c r="L42" i="7"/>
  <c r="D33" i="7"/>
  <c r="D20" i="7"/>
  <c r="H513" i="2"/>
  <c r="H408" i="2"/>
  <c r="H387" i="2"/>
  <c r="H366" i="2"/>
  <c r="H345" i="2"/>
  <c r="H492" i="2"/>
  <c r="H471" i="2"/>
  <c r="H324" i="2"/>
  <c r="H303" i="2"/>
  <c r="H282" i="2"/>
  <c r="H261" i="2"/>
  <c r="H240" i="2"/>
  <c r="H219" i="2"/>
  <c r="H198" i="2"/>
  <c r="H135" i="2" l="1"/>
  <c r="H114" i="2"/>
  <c r="H93" i="2"/>
  <c r="H30" i="2"/>
  <c r="C94" i="5"/>
  <c r="D201" i="13" l="1"/>
  <c r="I201" i="13"/>
  <c r="J201" i="13"/>
  <c r="K201" i="13"/>
  <c r="L201" i="13"/>
  <c r="M201" i="13"/>
  <c r="N201" i="13"/>
  <c r="O201" i="13"/>
  <c r="P201" i="13"/>
  <c r="Q201" i="13"/>
  <c r="E21" i="30"/>
  <c r="F21" i="30"/>
  <c r="H21" i="30"/>
  <c r="P186" i="13"/>
  <c r="F201" i="13" l="1"/>
  <c r="E64" i="34"/>
  <c r="G21" i="30"/>
  <c r="D64" i="34"/>
  <c r="H201" i="13"/>
  <c r="G64" i="34"/>
  <c r="E201" i="13"/>
  <c r="D187" i="13"/>
  <c r="I187" i="13"/>
  <c r="K187" i="13"/>
  <c r="L187" i="13"/>
  <c r="M187" i="13"/>
  <c r="O187" i="13"/>
  <c r="D188" i="13"/>
  <c r="K188" i="13"/>
  <c r="L188" i="13"/>
  <c r="M188" i="13"/>
  <c r="N188" i="13"/>
  <c r="O188" i="13"/>
  <c r="P188" i="13"/>
  <c r="Q188" i="13"/>
  <c r="D189" i="13"/>
  <c r="I189" i="13"/>
  <c r="K189" i="13"/>
  <c r="L189" i="13"/>
  <c r="M189" i="13"/>
  <c r="N189" i="13"/>
  <c r="O189" i="13"/>
  <c r="P189" i="13"/>
  <c r="Q189" i="13"/>
  <c r="D190" i="13"/>
  <c r="I190" i="13"/>
  <c r="J190" i="13"/>
  <c r="K190" i="13"/>
  <c r="L190" i="13"/>
  <c r="M190" i="13"/>
  <c r="N190" i="13"/>
  <c r="O190" i="13"/>
  <c r="P190" i="13"/>
  <c r="Q190" i="13"/>
  <c r="D191" i="13"/>
  <c r="K191" i="13"/>
  <c r="L191" i="13"/>
  <c r="M191" i="13"/>
  <c r="N191" i="13"/>
  <c r="O191" i="13"/>
  <c r="Q191" i="13"/>
  <c r="D192" i="13"/>
  <c r="I192" i="13"/>
  <c r="J192" i="13"/>
  <c r="K192" i="13"/>
  <c r="L192" i="13"/>
  <c r="M192" i="13"/>
  <c r="N192" i="13"/>
  <c r="O192" i="13"/>
  <c r="P192" i="13"/>
  <c r="Q192" i="13"/>
  <c r="D193" i="13"/>
  <c r="I193" i="13"/>
  <c r="J193" i="13"/>
  <c r="K193" i="13"/>
  <c r="L193" i="13"/>
  <c r="M193" i="13"/>
  <c r="N193" i="13"/>
  <c r="O193" i="13"/>
  <c r="P193" i="13"/>
  <c r="Q193" i="13"/>
  <c r="D194" i="13"/>
  <c r="I194" i="13"/>
  <c r="J194" i="13"/>
  <c r="K194" i="13"/>
  <c r="L194" i="13"/>
  <c r="M194" i="13"/>
  <c r="N194" i="13"/>
  <c r="O194" i="13"/>
  <c r="P194" i="13"/>
  <c r="Q194" i="13"/>
  <c r="D195" i="13"/>
  <c r="I195" i="13"/>
  <c r="J195" i="13"/>
  <c r="K195" i="13"/>
  <c r="L195" i="13"/>
  <c r="M195" i="13"/>
  <c r="N195" i="13"/>
  <c r="O195" i="13"/>
  <c r="P195" i="13"/>
  <c r="Q195" i="13"/>
  <c r="D196" i="13"/>
  <c r="J196" i="13"/>
  <c r="K196" i="13"/>
  <c r="L196" i="13"/>
  <c r="M196" i="13"/>
  <c r="N196" i="13"/>
  <c r="O196" i="13"/>
  <c r="P196" i="13"/>
  <c r="Q196" i="13"/>
  <c r="D197" i="13"/>
  <c r="I197" i="13"/>
  <c r="J197" i="13"/>
  <c r="K197" i="13"/>
  <c r="L197" i="13"/>
  <c r="M197" i="13"/>
  <c r="N197" i="13"/>
  <c r="O197" i="13"/>
  <c r="P197" i="13"/>
  <c r="Q197" i="13"/>
  <c r="D198" i="13"/>
  <c r="I198" i="13"/>
  <c r="K198" i="13"/>
  <c r="M198" i="13"/>
  <c r="N198" i="13"/>
  <c r="O198" i="13"/>
  <c r="P198" i="13"/>
  <c r="Q198" i="13"/>
  <c r="D199" i="13"/>
  <c r="K199" i="13"/>
  <c r="L199" i="13"/>
  <c r="M199" i="13"/>
  <c r="N199" i="13"/>
  <c r="O199" i="13"/>
  <c r="P199" i="13"/>
  <c r="D200" i="13"/>
  <c r="I200" i="13"/>
  <c r="J200" i="13"/>
  <c r="K200" i="13"/>
  <c r="L200" i="13"/>
  <c r="M200" i="13"/>
  <c r="N200" i="13"/>
  <c r="O200" i="13"/>
  <c r="P200" i="13"/>
  <c r="Q200" i="13"/>
  <c r="I186" i="13"/>
  <c r="K186" i="13"/>
  <c r="L186" i="13"/>
  <c r="M186" i="13"/>
  <c r="N186" i="13"/>
  <c r="O186" i="13"/>
  <c r="Q186" i="13"/>
  <c r="D186" i="13"/>
  <c r="O6" i="30"/>
  <c r="M49" i="34" s="1"/>
  <c r="M65" i="34" s="1"/>
  <c r="H20" i="30"/>
  <c r="F20" i="30"/>
  <c r="E20" i="30"/>
  <c r="R19" i="30"/>
  <c r="J19" i="30"/>
  <c r="I19" i="30"/>
  <c r="H19" i="30"/>
  <c r="F19" i="30"/>
  <c r="E19" i="30"/>
  <c r="H18" i="30"/>
  <c r="F18" i="30"/>
  <c r="E18" i="30"/>
  <c r="J17" i="30"/>
  <c r="H17" i="30"/>
  <c r="F17" i="30"/>
  <c r="E17" i="30"/>
  <c r="H16" i="30"/>
  <c r="F16" i="30"/>
  <c r="E16" i="30"/>
  <c r="I15" i="30"/>
  <c r="H15" i="30"/>
  <c r="F15" i="30"/>
  <c r="E15" i="30"/>
  <c r="H14" i="30"/>
  <c r="F14" i="30"/>
  <c r="E14" i="30"/>
  <c r="H13" i="30"/>
  <c r="F13" i="30"/>
  <c r="E13" i="30"/>
  <c r="H12" i="30"/>
  <c r="F12" i="30"/>
  <c r="E12" i="30"/>
  <c r="H11" i="30"/>
  <c r="F11" i="30"/>
  <c r="E11" i="30"/>
  <c r="Q10" i="30"/>
  <c r="J191" i="13"/>
  <c r="I10" i="30"/>
  <c r="H10" i="30"/>
  <c r="F10" i="30"/>
  <c r="E10" i="30"/>
  <c r="H9" i="30"/>
  <c r="F9" i="30"/>
  <c r="E9" i="30"/>
  <c r="J8" i="30"/>
  <c r="H8" i="30"/>
  <c r="F8" i="30"/>
  <c r="E8" i="30"/>
  <c r="J7" i="30"/>
  <c r="I50" i="34" s="1"/>
  <c r="I7" i="30"/>
  <c r="H50" i="34" s="1"/>
  <c r="H7" i="30"/>
  <c r="F7" i="30"/>
  <c r="E7" i="30"/>
  <c r="R6" i="30"/>
  <c r="P49" i="34" s="1"/>
  <c r="Q6" i="30"/>
  <c r="O49" i="34" s="1"/>
  <c r="J187" i="13"/>
  <c r="H6" i="30"/>
  <c r="F6" i="30"/>
  <c r="E6" i="30"/>
  <c r="H5" i="30"/>
  <c r="G48" i="34" s="1"/>
  <c r="F5" i="30"/>
  <c r="E48" i="34" s="1"/>
  <c r="E5" i="30"/>
  <c r="D48" i="34" s="1"/>
  <c r="J20" i="21"/>
  <c r="I20" i="21"/>
  <c r="H20" i="21"/>
  <c r="F20" i="21"/>
  <c r="E20" i="21"/>
  <c r="J19" i="21"/>
  <c r="I85" i="34" s="1"/>
  <c r="I19" i="21"/>
  <c r="H85" i="34" s="1"/>
  <c r="H19" i="21"/>
  <c r="G85" i="34" s="1"/>
  <c r="F19" i="21"/>
  <c r="E85" i="34" s="1"/>
  <c r="E19" i="21"/>
  <c r="D85" i="34" s="1"/>
  <c r="J18" i="21"/>
  <c r="I84" i="34" s="1"/>
  <c r="I18" i="21"/>
  <c r="H84" i="34" s="1"/>
  <c r="H18" i="21"/>
  <c r="G84" i="34" s="1"/>
  <c r="F18" i="21"/>
  <c r="E84" i="34" s="1"/>
  <c r="E18" i="21"/>
  <c r="D84" i="34" s="1"/>
  <c r="J17" i="21"/>
  <c r="I83" i="34" s="1"/>
  <c r="I17" i="21"/>
  <c r="H83" i="34" s="1"/>
  <c r="H17" i="21"/>
  <c r="G83" i="34" s="1"/>
  <c r="F17" i="21"/>
  <c r="E83" i="34" s="1"/>
  <c r="E17" i="21"/>
  <c r="D83" i="34" s="1"/>
  <c r="J16" i="21"/>
  <c r="I82" i="34" s="1"/>
  <c r="I16" i="21"/>
  <c r="H82" i="34" s="1"/>
  <c r="H16" i="21"/>
  <c r="G82" i="34" s="1"/>
  <c r="F16" i="21"/>
  <c r="E82" i="34" s="1"/>
  <c r="E16" i="21"/>
  <c r="D82" i="34" s="1"/>
  <c r="J15" i="21"/>
  <c r="I81" i="34" s="1"/>
  <c r="I15" i="21"/>
  <c r="H81" i="34" s="1"/>
  <c r="H15" i="21"/>
  <c r="G81" i="34" s="1"/>
  <c r="F15" i="21"/>
  <c r="E81" i="34" s="1"/>
  <c r="E15" i="21"/>
  <c r="D81" i="34" s="1"/>
  <c r="J14" i="21"/>
  <c r="I80" i="34" s="1"/>
  <c r="I14" i="21"/>
  <c r="H80" i="34" s="1"/>
  <c r="H14" i="21"/>
  <c r="G80" i="34" s="1"/>
  <c r="F14" i="21"/>
  <c r="E80" i="34" s="1"/>
  <c r="E14" i="21"/>
  <c r="D80" i="34" s="1"/>
  <c r="J13" i="21"/>
  <c r="I79" i="34" s="1"/>
  <c r="I13" i="21"/>
  <c r="H79" i="34" s="1"/>
  <c r="H13" i="21"/>
  <c r="G79" i="34" s="1"/>
  <c r="F13" i="21"/>
  <c r="E79" i="34" s="1"/>
  <c r="E13" i="21"/>
  <c r="D79" i="34" s="1"/>
  <c r="J12" i="21"/>
  <c r="I78" i="34" s="1"/>
  <c r="I12" i="21"/>
  <c r="H78" i="34" s="1"/>
  <c r="H12" i="21"/>
  <c r="G78" i="34" s="1"/>
  <c r="F12" i="21"/>
  <c r="E78" i="34" s="1"/>
  <c r="E12" i="21"/>
  <c r="D78" i="34" s="1"/>
  <c r="J11" i="21"/>
  <c r="I77" i="34" s="1"/>
  <c r="I11" i="21"/>
  <c r="H77" i="34" s="1"/>
  <c r="H11" i="21"/>
  <c r="G77" i="34" s="1"/>
  <c r="F11" i="21"/>
  <c r="E77" i="34" s="1"/>
  <c r="E11" i="21"/>
  <c r="D77" i="34" s="1"/>
  <c r="P10" i="21"/>
  <c r="O76" i="34" s="1"/>
  <c r="J10" i="21"/>
  <c r="I76" i="34" s="1"/>
  <c r="I10" i="21"/>
  <c r="H76" i="34" s="1"/>
  <c r="H10" i="21"/>
  <c r="G76" i="34" s="1"/>
  <c r="F10" i="21"/>
  <c r="E76" i="34" s="1"/>
  <c r="E10" i="21"/>
  <c r="D76" i="34" s="1"/>
  <c r="I9" i="21"/>
  <c r="H75" i="34" s="1"/>
  <c r="H9" i="21"/>
  <c r="G75" i="34" s="1"/>
  <c r="F9" i="21"/>
  <c r="E75" i="34" s="1"/>
  <c r="E9" i="21"/>
  <c r="D75" i="34" s="1"/>
  <c r="J8" i="21"/>
  <c r="I74" i="34" s="1"/>
  <c r="I8" i="21"/>
  <c r="H74" i="34" s="1"/>
  <c r="H8" i="21"/>
  <c r="G74" i="34" s="1"/>
  <c r="F8" i="21"/>
  <c r="E74" i="34" s="1"/>
  <c r="E8" i="21"/>
  <c r="D74" i="34" s="1"/>
  <c r="Q7" i="21"/>
  <c r="P73" i="34" s="1"/>
  <c r="I7" i="21"/>
  <c r="H73" i="34" s="1"/>
  <c r="H7" i="21"/>
  <c r="G73" i="34" s="1"/>
  <c r="F7" i="21"/>
  <c r="E73" i="34" s="1"/>
  <c r="E7" i="21"/>
  <c r="D73" i="34" s="1"/>
  <c r="I6" i="21"/>
  <c r="H72" i="34" s="1"/>
  <c r="H6" i="21"/>
  <c r="G72" i="34" s="1"/>
  <c r="F6" i="21"/>
  <c r="E72" i="34" s="1"/>
  <c r="E6" i="21"/>
  <c r="D72" i="34" s="1"/>
  <c r="J5" i="21"/>
  <c r="I71" i="34" s="1"/>
  <c r="I5" i="21"/>
  <c r="H71" i="34" s="1"/>
  <c r="H5" i="21"/>
  <c r="G71" i="34" s="1"/>
  <c r="F5" i="21"/>
  <c r="E71" i="34" s="1"/>
  <c r="E5" i="21"/>
  <c r="D71" i="34" s="1"/>
  <c r="J9" i="21"/>
  <c r="I75" i="34" s="1"/>
  <c r="K9" i="21"/>
  <c r="J75" i="34" s="1"/>
  <c r="J7" i="21"/>
  <c r="I73" i="34" s="1"/>
  <c r="J6" i="21"/>
  <c r="I72" i="34" s="1"/>
  <c r="P6" i="21"/>
  <c r="O72" i="34" s="1"/>
  <c r="P7" i="21"/>
  <c r="O73" i="34" s="1"/>
  <c r="H187" i="13" l="1"/>
  <c r="G49" i="34"/>
  <c r="E188" i="13"/>
  <c r="D50" i="34"/>
  <c r="J189" i="13"/>
  <c r="I51" i="34"/>
  <c r="E191" i="13"/>
  <c r="D53" i="34"/>
  <c r="H192" i="13"/>
  <c r="G54" i="34"/>
  <c r="E194" i="13"/>
  <c r="D56" i="34"/>
  <c r="F195" i="13"/>
  <c r="E57" i="34"/>
  <c r="H196" i="13"/>
  <c r="G58" i="34"/>
  <c r="H197" i="13"/>
  <c r="G59" i="34"/>
  <c r="J198" i="13"/>
  <c r="I60" i="34"/>
  <c r="E199" i="13"/>
  <c r="D62" i="34"/>
  <c r="J199" i="13"/>
  <c r="I62" i="34"/>
  <c r="H200" i="13"/>
  <c r="G63" i="34"/>
  <c r="F188" i="13"/>
  <c r="E50" i="34"/>
  <c r="E189" i="13"/>
  <c r="D51" i="34"/>
  <c r="E190" i="13"/>
  <c r="D52" i="34"/>
  <c r="F191" i="13"/>
  <c r="E53" i="34"/>
  <c r="P191" i="13"/>
  <c r="O53" i="34"/>
  <c r="E193" i="13"/>
  <c r="D55" i="34"/>
  <c r="F194" i="13"/>
  <c r="E56" i="34"/>
  <c r="H195" i="13"/>
  <c r="G57" i="34"/>
  <c r="I196" i="13"/>
  <c r="H58" i="34"/>
  <c r="E198" i="13"/>
  <c r="D60" i="34"/>
  <c r="D61" i="34"/>
  <c r="F199" i="13"/>
  <c r="E62" i="34"/>
  <c r="Q199" i="13"/>
  <c r="P62" i="34"/>
  <c r="G201" i="13"/>
  <c r="F64" i="34"/>
  <c r="E187" i="13"/>
  <c r="D49" i="34"/>
  <c r="O65" i="34"/>
  <c r="H188" i="13"/>
  <c r="G50" i="34"/>
  <c r="F189" i="13"/>
  <c r="E51" i="34"/>
  <c r="F190" i="13"/>
  <c r="E52" i="34"/>
  <c r="H191" i="13"/>
  <c r="G53" i="34"/>
  <c r="E192" i="13"/>
  <c r="D54" i="34"/>
  <c r="F193" i="13"/>
  <c r="E55" i="34"/>
  <c r="H194" i="13"/>
  <c r="G56" i="34"/>
  <c r="E196" i="13"/>
  <c r="D58" i="34"/>
  <c r="E197" i="13"/>
  <c r="D59" i="34"/>
  <c r="F198" i="13"/>
  <c r="E60" i="34"/>
  <c r="E61" i="34"/>
  <c r="H199" i="13"/>
  <c r="G62" i="34"/>
  <c r="E200" i="13"/>
  <c r="D63" i="34"/>
  <c r="F187" i="13"/>
  <c r="E49" i="34"/>
  <c r="P65" i="34"/>
  <c r="H189" i="13"/>
  <c r="G51" i="34"/>
  <c r="H190" i="13"/>
  <c r="G52" i="34"/>
  <c r="I191" i="13"/>
  <c r="H53" i="34"/>
  <c r="F192" i="13"/>
  <c r="E54" i="34"/>
  <c r="H193" i="13"/>
  <c r="G55" i="34"/>
  <c r="E195" i="13"/>
  <c r="D57" i="34"/>
  <c r="F196" i="13"/>
  <c r="E58" i="34"/>
  <c r="F197" i="13"/>
  <c r="E59" i="34"/>
  <c r="H198" i="13"/>
  <c r="G60" i="34"/>
  <c r="G61" i="34"/>
  <c r="I199" i="13"/>
  <c r="H62" i="34"/>
  <c r="F200" i="13"/>
  <c r="E63" i="34"/>
  <c r="I188" i="13"/>
  <c r="I3" i="30"/>
  <c r="J188" i="13"/>
  <c r="J3" i="30"/>
  <c r="N187" i="13"/>
  <c r="O3" i="30"/>
  <c r="P187" i="13"/>
  <c r="Q3" i="30"/>
  <c r="E186" i="13"/>
  <c r="E3" i="30"/>
  <c r="Q187" i="13"/>
  <c r="R3" i="30"/>
  <c r="F186" i="13"/>
  <c r="F3" i="30"/>
  <c r="H186" i="13"/>
  <c r="H3" i="30"/>
  <c r="I52" i="30"/>
  <c r="C22" i="30"/>
  <c r="B22" i="30"/>
  <c r="C21" i="30"/>
  <c r="B21" i="30"/>
  <c r="C20" i="30"/>
  <c r="B20" i="30"/>
  <c r="C19" i="30"/>
  <c r="B19" i="30"/>
  <c r="G18" i="30"/>
  <c r="C18" i="30"/>
  <c r="B18" i="30"/>
  <c r="G17" i="30"/>
  <c r="C17" i="30"/>
  <c r="B17" i="30"/>
  <c r="G16" i="30"/>
  <c r="C16" i="30"/>
  <c r="B16" i="30"/>
  <c r="C15" i="30"/>
  <c r="B15" i="30"/>
  <c r="C14" i="30"/>
  <c r="B14" i="30"/>
  <c r="G13" i="30"/>
  <c r="C13" i="30"/>
  <c r="B13" i="30"/>
  <c r="G12" i="30"/>
  <c r="C12" i="30"/>
  <c r="B12" i="30"/>
  <c r="C11" i="30"/>
  <c r="B11" i="30"/>
  <c r="C10" i="30"/>
  <c r="B10" i="30"/>
  <c r="G9" i="30"/>
  <c r="C9" i="30"/>
  <c r="B9" i="30"/>
  <c r="G8" i="30"/>
  <c r="C8" i="30"/>
  <c r="B8" i="30"/>
  <c r="C7" i="30"/>
  <c r="B7" i="30"/>
  <c r="C6" i="30"/>
  <c r="B6" i="30"/>
  <c r="G5" i="30"/>
  <c r="F48" i="34" s="1"/>
  <c r="C5" i="30"/>
  <c r="B5" i="30"/>
  <c r="G20" i="21"/>
  <c r="I65" i="34" l="1"/>
  <c r="E65" i="34"/>
  <c r="H65" i="34"/>
  <c r="D65" i="34"/>
  <c r="C187" i="13"/>
  <c r="B49" i="34"/>
  <c r="C192" i="13"/>
  <c r="B54" i="34"/>
  <c r="C190" i="13"/>
  <c r="B52" i="34"/>
  <c r="G193" i="13"/>
  <c r="F55" i="34"/>
  <c r="C198" i="13"/>
  <c r="B60" i="34"/>
  <c r="F61" i="34"/>
  <c r="C200" i="13"/>
  <c r="B63" i="34"/>
  <c r="G65" i="34"/>
  <c r="C189" i="13"/>
  <c r="B51" i="34"/>
  <c r="C197" i="13"/>
  <c r="B59" i="34"/>
  <c r="G198" i="13"/>
  <c r="F60" i="34"/>
  <c r="C186" i="13"/>
  <c r="B48" i="34"/>
  <c r="G189" i="13"/>
  <c r="F51" i="34"/>
  <c r="C194" i="13"/>
  <c r="B56" i="34"/>
  <c r="G197" i="13"/>
  <c r="F59" i="34"/>
  <c r="C199" i="13"/>
  <c r="B62" i="34"/>
  <c r="C201" i="13"/>
  <c r="B64" i="34"/>
  <c r="G190" i="13"/>
  <c r="F52" i="34"/>
  <c r="C195" i="13"/>
  <c r="B57" i="34"/>
  <c r="C188" i="13"/>
  <c r="B50" i="34"/>
  <c r="C191" i="13"/>
  <c r="B53" i="34"/>
  <c r="C193" i="13"/>
  <c r="B55" i="34"/>
  <c r="G194" i="13"/>
  <c r="F56" i="34"/>
  <c r="C196" i="13"/>
  <c r="B58" i="34"/>
  <c r="B61" i="34"/>
  <c r="G186" i="13"/>
  <c r="G10" i="30"/>
  <c r="G14" i="30"/>
  <c r="G6" i="30"/>
  <c r="G20" i="30"/>
  <c r="G7" i="30"/>
  <c r="G15" i="30"/>
  <c r="G19" i="30"/>
  <c r="G11" i="30"/>
  <c r="D24" i="28"/>
  <c r="C23" i="28"/>
  <c r="D23" i="28"/>
  <c r="C24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5" i="28"/>
  <c r="J68" i="27"/>
  <c r="J67" i="27"/>
  <c r="J65" i="27"/>
  <c r="J64" i="27"/>
  <c r="R56" i="27"/>
  <c r="P56" i="10" s="1"/>
  <c r="R55" i="27"/>
  <c r="P48" i="10" s="1"/>
  <c r="Q56" i="27"/>
  <c r="P53" i="10" s="1"/>
  <c r="Q55" i="27"/>
  <c r="P45" i="10" s="1"/>
  <c r="P56" i="27"/>
  <c r="P54" i="10" s="1"/>
  <c r="P55" i="27"/>
  <c r="P46" i="10" s="1"/>
  <c r="O56" i="27"/>
  <c r="P52" i="10" s="1"/>
  <c r="O55" i="27"/>
  <c r="P44" i="10" s="1"/>
  <c r="M56" i="27"/>
  <c r="P64" i="10" s="1"/>
  <c r="M55" i="27"/>
  <c r="P63" i="10" s="1"/>
  <c r="L56" i="27"/>
  <c r="P51" i="10" s="1"/>
  <c r="L55" i="27"/>
  <c r="P43" i="10" s="1"/>
  <c r="K56" i="27"/>
  <c r="K55" i="27"/>
  <c r="J56" i="27"/>
  <c r="J55" i="27"/>
  <c r="K97" i="29"/>
  <c r="K96" i="29"/>
  <c r="K95" i="29"/>
  <c r="K94" i="29"/>
  <c r="K93" i="29"/>
  <c r="K92" i="29"/>
  <c r="K91" i="29"/>
  <c r="K90" i="29"/>
  <c r="K89" i="29"/>
  <c r="K86" i="29"/>
  <c r="H86" i="29"/>
  <c r="G86" i="29"/>
  <c r="E86" i="29"/>
  <c r="J80" i="29"/>
  <c r="J79" i="29"/>
  <c r="J77" i="29"/>
  <c r="J76" i="29"/>
  <c r="R68" i="29"/>
  <c r="Q68" i="29"/>
  <c r="P68" i="29"/>
  <c r="O68" i="29"/>
  <c r="M68" i="29"/>
  <c r="L68" i="29"/>
  <c r="K68" i="29"/>
  <c r="J68" i="29"/>
  <c r="R67" i="29"/>
  <c r="Q67" i="29"/>
  <c r="P67" i="29"/>
  <c r="O67" i="29"/>
  <c r="M67" i="29"/>
  <c r="L67" i="29"/>
  <c r="K67" i="29"/>
  <c r="J67" i="29"/>
  <c r="D67" i="29"/>
  <c r="H64" i="29"/>
  <c r="V64" i="29" s="1"/>
  <c r="Y63" i="29"/>
  <c r="X63" i="29"/>
  <c r="W63" i="29"/>
  <c r="H63" i="29"/>
  <c r="U63" i="29" s="1"/>
  <c r="H61" i="29"/>
  <c r="V61" i="29" s="1"/>
  <c r="Y60" i="29"/>
  <c r="X60" i="29"/>
  <c r="W60" i="29"/>
  <c r="H60" i="29"/>
  <c r="U60" i="29" s="1"/>
  <c r="H58" i="29"/>
  <c r="V58" i="29" s="1"/>
  <c r="Y57" i="29"/>
  <c r="X57" i="29"/>
  <c r="W57" i="29"/>
  <c r="H57" i="29"/>
  <c r="U57" i="29" s="1"/>
  <c r="H55" i="29"/>
  <c r="V55" i="29" s="1"/>
  <c r="Y54" i="29"/>
  <c r="X54" i="29"/>
  <c r="W54" i="29"/>
  <c r="H54" i="29"/>
  <c r="U54" i="29" s="1"/>
  <c r="H52" i="29"/>
  <c r="V52" i="29" s="1"/>
  <c r="Y51" i="29"/>
  <c r="X51" i="29"/>
  <c r="W51" i="29"/>
  <c r="H51" i="29"/>
  <c r="U51" i="29" s="1"/>
  <c r="H49" i="29"/>
  <c r="V49" i="29" s="1"/>
  <c r="Y48" i="29"/>
  <c r="X48" i="29"/>
  <c r="W48" i="29"/>
  <c r="H48" i="29"/>
  <c r="U48" i="29" s="1"/>
  <c r="H46" i="29"/>
  <c r="V46" i="29" s="1"/>
  <c r="Y45" i="29"/>
  <c r="X45" i="29"/>
  <c r="W45" i="29"/>
  <c r="H45" i="29"/>
  <c r="U45" i="29" s="1"/>
  <c r="H43" i="29"/>
  <c r="V43" i="29" s="1"/>
  <c r="Y42" i="29"/>
  <c r="X42" i="29"/>
  <c r="W42" i="29"/>
  <c r="H42" i="29"/>
  <c r="U42" i="29" s="1"/>
  <c r="H40" i="29"/>
  <c r="V40" i="29" s="1"/>
  <c r="Y39" i="29"/>
  <c r="X39" i="29"/>
  <c r="W39" i="29"/>
  <c r="H39" i="29"/>
  <c r="U39" i="29" s="1"/>
  <c r="H37" i="29"/>
  <c r="V37" i="29" s="1"/>
  <c r="Y36" i="29"/>
  <c r="X36" i="29"/>
  <c r="W36" i="29"/>
  <c r="H36" i="29"/>
  <c r="U36" i="29" s="1"/>
  <c r="H34" i="29"/>
  <c r="V34" i="29" s="1"/>
  <c r="Y33" i="29"/>
  <c r="X33" i="29"/>
  <c r="W33" i="29"/>
  <c r="H33" i="29"/>
  <c r="U33" i="29" s="1"/>
  <c r="H31" i="29"/>
  <c r="V31" i="29" s="1"/>
  <c r="Y30" i="29"/>
  <c r="X30" i="29"/>
  <c r="W30" i="29"/>
  <c r="H30" i="29"/>
  <c r="U30" i="29" s="1"/>
  <c r="H28" i="29"/>
  <c r="V28" i="29" s="1"/>
  <c r="Y27" i="29"/>
  <c r="X27" i="29"/>
  <c r="W27" i="29"/>
  <c r="H27" i="29"/>
  <c r="U27" i="29" s="1"/>
  <c r="H25" i="29"/>
  <c r="V25" i="29" s="1"/>
  <c r="Y24" i="29"/>
  <c r="X24" i="29"/>
  <c r="W24" i="29"/>
  <c r="H24" i="29"/>
  <c r="U24" i="29" s="1"/>
  <c r="H22" i="29"/>
  <c r="V22" i="29" s="1"/>
  <c r="Y21" i="29"/>
  <c r="X21" i="29"/>
  <c r="W21" i="29"/>
  <c r="H21" i="29"/>
  <c r="U21" i="29" s="1"/>
  <c r="H19" i="29"/>
  <c r="V19" i="29" s="1"/>
  <c r="Y18" i="29"/>
  <c r="X18" i="29"/>
  <c r="W18" i="29"/>
  <c r="H18" i="29"/>
  <c r="U18" i="29" s="1"/>
  <c r="H16" i="29"/>
  <c r="V16" i="29" s="1"/>
  <c r="Y15" i="29"/>
  <c r="X15" i="29"/>
  <c r="W15" i="29"/>
  <c r="H15" i="29"/>
  <c r="U15" i="29" s="1"/>
  <c r="H13" i="29"/>
  <c r="V13" i="29" s="1"/>
  <c r="Y12" i="29"/>
  <c r="X12" i="29"/>
  <c r="W12" i="29"/>
  <c r="H12" i="29"/>
  <c r="U12" i="29" s="1"/>
  <c r="H10" i="29"/>
  <c r="V10" i="29" s="1"/>
  <c r="Y9" i="29"/>
  <c r="X9" i="29"/>
  <c r="W9" i="29"/>
  <c r="H9" i="29"/>
  <c r="U9" i="29" s="1"/>
  <c r="H7" i="29"/>
  <c r="V7" i="29" s="1"/>
  <c r="Y6" i="29"/>
  <c r="X6" i="29"/>
  <c r="W6" i="29"/>
  <c r="H6" i="29"/>
  <c r="U6" i="29" s="1"/>
  <c r="K74" i="27"/>
  <c r="H74" i="27"/>
  <c r="G74" i="27"/>
  <c r="E74" i="27"/>
  <c r="K78" i="27"/>
  <c r="K79" i="27"/>
  <c r="K80" i="27"/>
  <c r="K81" i="27"/>
  <c r="K82" i="27"/>
  <c r="K83" i="27"/>
  <c r="K84" i="27"/>
  <c r="K85" i="27"/>
  <c r="K77" i="27"/>
  <c r="G188" i="13" l="1"/>
  <c r="F50" i="34"/>
  <c r="G191" i="13"/>
  <c r="F53" i="34"/>
  <c r="G192" i="13"/>
  <c r="F54" i="34"/>
  <c r="G200" i="13"/>
  <c r="F63" i="34"/>
  <c r="I21" i="29"/>
  <c r="G199" i="13"/>
  <c r="F62" i="34"/>
  <c r="G187" i="13"/>
  <c r="F49" i="34"/>
  <c r="G196" i="13"/>
  <c r="F58" i="34"/>
  <c r="G195" i="13"/>
  <c r="F57" i="34"/>
  <c r="J72" i="29"/>
  <c r="I15" i="29"/>
  <c r="I12" i="29"/>
  <c r="I30" i="29"/>
  <c r="I42" i="29"/>
  <c r="I54" i="29"/>
  <c r="H67" i="29"/>
  <c r="H77" i="29"/>
  <c r="I9" i="29"/>
  <c r="I6" i="29"/>
  <c r="I27" i="29"/>
  <c r="I39" i="29"/>
  <c r="I51" i="29"/>
  <c r="I63" i="29"/>
  <c r="J73" i="29"/>
  <c r="I24" i="29"/>
  <c r="I36" i="29"/>
  <c r="I48" i="29"/>
  <c r="I60" i="29"/>
  <c r="G3" i="30"/>
  <c r="J74" i="29"/>
  <c r="H68" i="29"/>
  <c r="I18" i="29"/>
  <c r="I33" i="29"/>
  <c r="I45" i="29"/>
  <c r="I57" i="29"/>
  <c r="H76" i="29"/>
  <c r="J54" i="28"/>
  <c r="G54" i="28"/>
  <c r="C22" i="28"/>
  <c r="C21" i="28"/>
  <c r="C20" i="28"/>
  <c r="K19" i="28"/>
  <c r="J19" i="28"/>
  <c r="I19" i="28"/>
  <c r="C19" i="28"/>
  <c r="K18" i="28"/>
  <c r="J18" i="28"/>
  <c r="I18" i="28"/>
  <c r="H18" i="28"/>
  <c r="C18" i="28"/>
  <c r="K17" i="28"/>
  <c r="J17" i="28"/>
  <c r="I17" i="28"/>
  <c r="C17" i="28"/>
  <c r="K16" i="28"/>
  <c r="J16" i="28"/>
  <c r="I16" i="28"/>
  <c r="C16" i="28"/>
  <c r="K15" i="28"/>
  <c r="J15" i="28"/>
  <c r="I15" i="28"/>
  <c r="C15" i="28"/>
  <c r="K14" i="28"/>
  <c r="J14" i="28"/>
  <c r="I14" i="28"/>
  <c r="H14" i="28"/>
  <c r="C14" i="28"/>
  <c r="K13" i="28"/>
  <c r="J13" i="28"/>
  <c r="I13" i="28"/>
  <c r="C13" i="28"/>
  <c r="K12" i="28"/>
  <c r="J12" i="28"/>
  <c r="I12" i="28"/>
  <c r="C12" i="28"/>
  <c r="K11" i="28"/>
  <c r="J11" i="28"/>
  <c r="I11" i="28"/>
  <c r="C11" i="28"/>
  <c r="K10" i="28"/>
  <c r="J10" i="28"/>
  <c r="I10" i="28"/>
  <c r="C10" i="28"/>
  <c r="K9" i="28"/>
  <c r="J9" i="28"/>
  <c r="I9" i="28"/>
  <c r="C9" i="28"/>
  <c r="K8" i="28"/>
  <c r="J8" i="28"/>
  <c r="I8" i="28"/>
  <c r="C8" i="28"/>
  <c r="K7" i="28"/>
  <c r="J7" i="28"/>
  <c r="I7" i="28"/>
  <c r="C7" i="28"/>
  <c r="K6" i="28"/>
  <c r="J6" i="28"/>
  <c r="I6" i="28"/>
  <c r="C6" i="28"/>
  <c r="K5" i="28"/>
  <c r="J5" i="28"/>
  <c r="I5" i="28"/>
  <c r="C5" i="28"/>
  <c r="D55" i="27"/>
  <c r="H52" i="27"/>
  <c r="Y51" i="27"/>
  <c r="X51" i="27"/>
  <c r="W51" i="27"/>
  <c r="H51" i="27"/>
  <c r="H49" i="27"/>
  <c r="Y48" i="27"/>
  <c r="X48" i="27"/>
  <c r="W48" i="27"/>
  <c r="H48" i="27"/>
  <c r="H46" i="27"/>
  <c r="Y45" i="27"/>
  <c r="X45" i="27"/>
  <c r="W45" i="27"/>
  <c r="H45" i="27"/>
  <c r="H43" i="27"/>
  <c r="Y42" i="27"/>
  <c r="X42" i="27"/>
  <c r="W42" i="27"/>
  <c r="H42" i="27"/>
  <c r="H40" i="27"/>
  <c r="Y39" i="27"/>
  <c r="X39" i="27"/>
  <c r="W39" i="27"/>
  <c r="H39" i="27"/>
  <c r="H37" i="27"/>
  <c r="Y36" i="27"/>
  <c r="X36" i="27"/>
  <c r="W36" i="27"/>
  <c r="H36" i="27"/>
  <c r="H34" i="27"/>
  <c r="Y33" i="27"/>
  <c r="X33" i="27"/>
  <c r="W33" i="27"/>
  <c r="H33" i="27"/>
  <c r="I104" i="27" s="1"/>
  <c r="H31" i="27"/>
  <c r="Y30" i="27"/>
  <c r="X30" i="27"/>
  <c r="W30" i="27"/>
  <c r="H30" i="27"/>
  <c r="H103" i="27" s="1"/>
  <c r="H28" i="27"/>
  <c r="Y27" i="27"/>
  <c r="X27" i="27"/>
  <c r="W27" i="27"/>
  <c r="H27" i="27"/>
  <c r="H25" i="27"/>
  <c r="Y24" i="27"/>
  <c r="X24" i="27"/>
  <c r="W24" i="27"/>
  <c r="H24" i="27"/>
  <c r="I101" i="27" s="1"/>
  <c r="H22" i="27"/>
  <c r="Y21" i="27"/>
  <c r="X21" i="27"/>
  <c r="W21" i="27"/>
  <c r="H21" i="27"/>
  <c r="H19" i="27"/>
  <c r="Y18" i="27"/>
  <c r="X18" i="27"/>
  <c r="W18" i="27"/>
  <c r="H18" i="27"/>
  <c r="H16" i="27"/>
  <c r="Y15" i="27"/>
  <c r="X15" i="27"/>
  <c r="W15" i="27"/>
  <c r="H15" i="27"/>
  <c r="H13" i="27"/>
  <c r="Y12" i="27"/>
  <c r="X12" i="27"/>
  <c r="W12" i="27"/>
  <c r="H12" i="27"/>
  <c r="I97" i="27" s="1"/>
  <c r="H10" i="27"/>
  <c r="Y9" i="27"/>
  <c r="X9" i="27"/>
  <c r="W9" i="27"/>
  <c r="H9" i="27"/>
  <c r="H7" i="27"/>
  <c r="I95" i="27" s="1"/>
  <c r="Y6" i="27"/>
  <c r="X6" i="27"/>
  <c r="W6" i="27"/>
  <c r="H6" i="27"/>
  <c r="H95" i="27" s="1"/>
  <c r="F65" i="34" l="1"/>
  <c r="H70" i="29"/>
  <c r="H73" i="29"/>
  <c r="H19" i="28"/>
  <c r="H17" i="28"/>
  <c r="V19" i="27"/>
  <c r="I99" i="27"/>
  <c r="V43" i="27"/>
  <c r="I107" i="27"/>
  <c r="H15" i="28"/>
  <c r="U15" i="27"/>
  <c r="H98" i="27"/>
  <c r="V28" i="27"/>
  <c r="I102" i="27"/>
  <c r="V10" i="27"/>
  <c r="H96" i="27"/>
  <c r="V34" i="27"/>
  <c r="H104" i="27"/>
  <c r="U45" i="27"/>
  <c r="I108" i="27"/>
  <c r="U21" i="27"/>
  <c r="I100" i="27"/>
  <c r="V25" i="27"/>
  <c r="H101" i="27"/>
  <c r="U36" i="27"/>
  <c r="I105" i="27"/>
  <c r="V49" i="27"/>
  <c r="I109" i="27"/>
  <c r="H13" i="28"/>
  <c r="H72" i="29"/>
  <c r="V40" i="27"/>
  <c r="I106" i="27"/>
  <c r="U51" i="27"/>
  <c r="I110" i="27"/>
  <c r="V31" i="27"/>
  <c r="I103" i="27"/>
  <c r="V52" i="27"/>
  <c r="H110" i="27"/>
  <c r="V16" i="27"/>
  <c r="I98" i="27"/>
  <c r="U27" i="27"/>
  <c r="H102" i="27"/>
  <c r="I18" i="27"/>
  <c r="E99" i="27" s="1"/>
  <c r="H99" i="27"/>
  <c r="U42" i="27"/>
  <c r="H107" i="27"/>
  <c r="U9" i="27"/>
  <c r="I96" i="27"/>
  <c r="V22" i="27"/>
  <c r="H100" i="27"/>
  <c r="V46" i="27"/>
  <c r="H108" i="27"/>
  <c r="H16" i="28"/>
  <c r="U39" i="27"/>
  <c r="H106" i="27"/>
  <c r="V13" i="27"/>
  <c r="H97" i="27"/>
  <c r="V37" i="27"/>
  <c r="H105" i="27"/>
  <c r="U48" i="27"/>
  <c r="H109" i="27"/>
  <c r="H74" i="29"/>
  <c r="I30" i="27"/>
  <c r="E103" i="27" s="1"/>
  <c r="H6" i="28"/>
  <c r="H8" i="28"/>
  <c r="H10" i="28"/>
  <c r="H12" i="28"/>
  <c r="H5" i="28"/>
  <c r="H7" i="28"/>
  <c r="H9" i="28"/>
  <c r="H11" i="28"/>
  <c r="I24" i="27"/>
  <c r="E101" i="27" s="1"/>
  <c r="I33" i="27"/>
  <c r="E104" i="27" s="1"/>
  <c r="I6" i="27"/>
  <c r="E95" i="27" s="1"/>
  <c r="H55" i="27"/>
  <c r="P13" i="10" s="1"/>
  <c r="H56" i="27"/>
  <c r="P14" i="10" s="1"/>
  <c r="I12" i="27"/>
  <c r="E97" i="27" s="1"/>
  <c r="J60" i="27"/>
  <c r="P66" i="10" s="1"/>
  <c r="J62" i="27"/>
  <c r="P68" i="10" s="1"/>
  <c r="J61" i="27"/>
  <c r="P67" i="10" s="1"/>
  <c r="V7" i="27"/>
  <c r="I9" i="27"/>
  <c r="I15" i="27"/>
  <c r="E98" i="27" s="1"/>
  <c r="I21" i="27"/>
  <c r="E100" i="27" s="1"/>
  <c r="I27" i="27"/>
  <c r="E102" i="27" s="1"/>
  <c r="I36" i="27"/>
  <c r="E105" i="27" s="1"/>
  <c r="I39" i="27"/>
  <c r="E106" i="27" s="1"/>
  <c r="I42" i="27"/>
  <c r="E107" i="27" s="1"/>
  <c r="I45" i="27"/>
  <c r="E108" i="27" s="1"/>
  <c r="I48" i="27"/>
  <c r="E109" i="27" s="1"/>
  <c r="I51" i="27"/>
  <c r="E110" i="27" s="1"/>
  <c r="U6" i="27"/>
  <c r="U12" i="27"/>
  <c r="U18" i="27"/>
  <c r="U24" i="27"/>
  <c r="U30" i="27"/>
  <c r="U33" i="27"/>
  <c r="S8" i="10"/>
  <c r="C71" i="5"/>
  <c r="P15" i="10" l="1"/>
  <c r="H61" i="27"/>
  <c r="P10" i="10" s="1"/>
  <c r="E96" i="27"/>
  <c r="H65" i="27"/>
  <c r="H58" i="27"/>
  <c r="H60" i="27"/>
  <c r="P9" i="10" s="1"/>
  <c r="H62" i="27"/>
  <c r="P11" i="10" s="1"/>
  <c r="H64" i="27"/>
  <c r="D201" i="7"/>
  <c r="L148" i="7"/>
  <c r="L144" i="7"/>
  <c r="H151" i="7"/>
  <c r="D151" i="7"/>
  <c r="D120" i="7"/>
  <c r="L33" i="7"/>
  <c r="D40" i="7"/>
  <c r="P207" i="13"/>
  <c r="P203" i="13"/>
  <c r="P204" i="13"/>
  <c r="D202" i="13"/>
  <c r="K202" i="13"/>
  <c r="L202" i="13"/>
  <c r="M202" i="13"/>
  <c r="N202" i="13"/>
  <c r="O202" i="13"/>
  <c r="P202" i="13"/>
  <c r="Q202" i="13"/>
  <c r="D203" i="13"/>
  <c r="K203" i="13"/>
  <c r="L203" i="13"/>
  <c r="M203" i="13"/>
  <c r="N203" i="13"/>
  <c r="O203" i="13"/>
  <c r="Q203" i="13"/>
  <c r="D204" i="13"/>
  <c r="K204" i="13"/>
  <c r="L204" i="13"/>
  <c r="M204" i="13"/>
  <c r="N204" i="13"/>
  <c r="O204" i="13"/>
  <c r="D205" i="13"/>
  <c r="K205" i="13"/>
  <c r="L205" i="13"/>
  <c r="M205" i="13"/>
  <c r="N205" i="13"/>
  <c r="O205" i="13"/>
  <c r="P205" i="13"/>
  <c r="Q205" i="13"/>
  <c r="D206" i="13"/>
  <c r="L206" i="13"/>
  <c r="M206" i="13"/>
  <c r="N206" i="13"/>
  <c r="O206" i="13"/>
  <c r="P206" i="13"/>
  <c r="Q206" i="13"/>
  <c r="D207" i="13"/>
  <c r="K207" i="13"/>
  <c r="L207" i="13"/>
  <c r="M207" i="13"/>
  <c r="N207" i="13"/>
  <c r="O207" i="13"/>
  <c r="Q207" i="13"/>
  <c r="D208" i="13"/>
  <c r="K208" i="13"/>
  <c r="L208" i="13"/>
  <c r="M208" i="13"/>
  <c r="N208" i="13"/>
  <c r="O208" i="13"/>
  <c r="P208" i="13"/>
  <c r="Q208" i="13"/>
  <c r="D209" i="13"/>
  <c r="K209" i="13"/>
  <c r="L209" i="13"/>
  <c r="M209" i="13"/>
  <c r="N209" i="13"/>
  <c r="O209" i="13"/>
  <c r="P209" i="13"/>
  <c r="Q209" i="13"/>
  <c r="D210" i="13"/>
  <c r="K210" i="13"/>
  <c r="L210" i="13"/>
  <c r="M210" i="13"/>
  <c r="N210" i="13"/>
  <c r="O210" i="13"/>
  <c r="P210" i="13"/>
  <c r="Q210" i="13"/>
  <c r="D211" i="13"/>
  <c r="K211" i="13"/>
  <c r="L211" i="13"/>
  <c r="M211" i="13"/>
  <c r="N211" i="13"/>
  <c r="O211" i="13"/>
  <c r="P211" i="13"/>
  <c r="Q211" i="13"/>
  <c r="D212" i="13"/>
  <c r="K212" i="13"/>
  <c r="L212" i="13"/>
  <c r="M212" i="13"/>
  <c r="N212" i="13"/>
  <c r="O212" i="13"/>
  <c r="P212" i="13"/>
  <c r="Q212" i="13"/>
  <c r="D213" i="13"/>
  <c r="K213" i="13"/>
  <c r="L213" i="13"/>
  <c r="M213" i="13"/>
  <c r="N213" i="13"/>
  <c r="O213" i="13"/>
  <c r="P213" i="13"/>
  <c r="Q213" i="13"/>
  <c r="D214" i="13"/>
  <c r="L214" i="13"/>
  <c r="M214" i="13"/>
  <c r="N214" i="13"/>
  <c r="O214" i="13"/>
  <c r="P214" i="13"/>
  <c r="Q214" i="13"/>
  <c r="D215" i="13"/>
  <c r="K215" i="13"/>
  <c r="L215" i="13"/>
  <c r="M215" i="13"/>
  <c r="N215" i="13"/>
  <c r="O215" i="13"/>
  <c r="P215" i="13"/>
  <c r="Q215" i="13"/>
  <c r="K214" i="13"/>
  <c r="J214" i="13"/>
  <c r="K206" i="13"/>
  <c r="J206" i="13"/>
  <c r="Q204" i="13"/>
  <c r="H185" i="5"/>
  <c r="I185" i="5" l="1"/>
  <c r="P8" i="10"/>
  <c r="Q28" i="10"/>
  <c r="C28" i="10" s="1"/>
  <c r="Q18" i="10"/>
  <c r="C18" i="10" s="1"/>
  <c r="Q24" i="10" l="1"/>
  <c r="C24" i="10" s="1"/>
  <c r="Q34" i="10"/>
  <c r="C34" i="10" s="1"/>
  <c r="P12" i="10"/>
  <c r="J68" i="22"/>
  <c r="J67" i="22"/>
  <c r="J65" i="22"/>
  <c r="J64" i="22"/>
  <c r="R56" i="22"/>
  <c r="Q56" i="10" s="1"/>
  <c r="C56" i="10" s="1"/>
  <c r="R55" i="22"/>
  <c r="Q48" i="10" s="1"/>
  <c r="C48" i="10" s="1"/>
  <c r="Q56" i="22"/>
  <c r="Q53" i="10" s="1"/>
  <c r="C53" i="10" s="1"/>
  <c r="Q55" i="22"/>
  <c r="Q45" i="10" s="1"/>
  <c r="C45" i="10" s="1"/>
  <c r="P56" i="22"/>
  <c r="Q54" i="10" s="1"/>
  <c r="C54" i="10" s="1"/>
  <c r="P55" i="22"/>
  <c r="Q46" i="10" s="1"/>
  <c r="C46" i="10" s="1"/>
  <c r="O56" i="22"/>
  <c r="Q52" i="10" s="1"/>
  <c r="C52" i="10" s="1"/>
  <c r="O55" i="22"/>
  <c r="Q44" i="10" s="1"/>
  <c r="C44" i="10" s="1"/>
  <c r="M56" i="22"/>
  <c r="Q64" i="10" s="1"/>
  <c r="C64" i="10" s="1"/>
  <c r="M55" i="22"/>
  <c r="Q63" i="10" s="1"/>
  <c r="C63" i="10" s="1"/>
  <c r="L56" i="22"/>
  <c r="Q51" i="10" s="1"/>
  <c r="C51" i="10" s="1"/>
  <c r="L55" i="22"/>
  <c r="Q43" i="10" s="1"/>
  <c r="C43" i="10" s="1"/>
  <c r="K56" i="22"/>
  <c r="K55" i="22"/>
  <c r="J56" i="22"/>
  <c r="J55" i="22"/>
  <c r="J80" i="26" l="1"/>
  <c r="J79" i="26"/>
  <c r="J77" i="26"/>
  <c r="J76" i="26"/>
  <c r="R68" i="26"/>
  <c r="Q68" i="26"/>
  <c r="P68" i="26"/>
  <c r="O68" i="26"/>
  <c r="M68" i="26"/>
  <c r="L68" i="26"/>
  <c r="K68" i="26"/>
  <c r="J68" i="26"/>
  <c r="R67" i="26"/>
  <c r="Q67" i="26"/>
  <c r="P67" i="26"/>
  <c r="O67" i="26"/>
  <c r="M67" i="26"/>
  <c r="L67" i="26"/>
  <c r="K67" i="26"/>
  <c r="J67" i="26"/>
  <c r="D67" i="26"/>
  <c r="H64" i="26"/>
  <c r="V64" i="26" s="1"/>
  <c r="Y63" i="26"/>
  <c r="X63" i="26"/>
  <c r="W63" i="26"/>
  <c r="H63" i="26"/>
  <c r="H61" i="26"/>
  <c r="V61" i="26" s="1"/>
  <c r="Y60" i="26"/>
  <c r="X60" i="26"/>
  <c r="W60" i="26"/>
  <c r="H60" i="26"/>
  <c r="U60" i="26" s="1"/>
  <c r="H58" i="26"/>
  <c r="V58" i="26" s="1"/>
  <c r="Y57" i="26"/>
  <c r="X57" i="26"/>
  <c r="W57" i="26"/>
  <c r="H57" i="26"/>
  <c r="U57" i="26" s="1"/>
  <c r="H55" i="26"/>
  <c r="V55" i="26" s="1"/>
  <c r="Y54" i="26"/>
  <c r="X54" i="26"/>
  <c r="W54" i="26"/>
  <c r="H54" i="26"/>
  <c r="U54" i="26" s="1"/>
  <c r="H52" i="26"/>
  <c r="V52" i="26" s="1"/>
  <c r="Y51" i="26"/>
  <c r="X51" i="26"/>
  <c r="W51" i="26"/>
  <c r="H51" i="26"/>
  <c r="U51" i="26" s="1"/>
  <c r="H49" i="26"/>
  <c r="V49" i="26" s="1"/>
  <c r="Y48" i="26"/>
  <c r="X48" i="26"/>
  <c r="W48" i="26"/>
  <c r="H48" i="26"/>
  <c r="U48" i="26" s="1"/>
  <c r="H46" i="26"/>
  <c r="V46" i="26" s="1"/>
  <c r="Y45" i="26"/>
  <c r="X45" i="26"/>
  <c r="W45" i="26"/>
  <c r="H45" i="26"/>
  <c r="U45" i="26" s="1"/>
  <c r="H43" i="26"/>
  <c r="V43" i="26" s="1"/>
  <c r="Y42" i="26"/>
  <c r="X42" i="26"/>
  <c r="W42" i="26"/>
  <c r="H42" i="26"/>
  <c r="U42" i="26" s="1"/>
  <c r="H40" i="26"/>
  <c r="V40" i="26" s="1"/>
  <c r="Y39" i="26"/>
  <c r="X39" i="26"/>
  <c r="W39" i="26"/>
  <c r="H39" i="26"/>
  <c r="U39" i="26" s="1"/>
  <c r="H37" i="26"/>
  <c r="V37" i="26" s="1"/>
  <c r="Y36" i="26"/>
  <c r="X36" i="26"/>
  <c r="W36" i="26"/>
  <c r="H36" i="26"/>
  <c r="U36" i="26" s="1"/>
  <c r="H34" i="26"/>
  <c r="V34" i="26" s="1"/>
  <c r="Y33" i="26"/>
  <c r="X33" i="26"/>
  <c r="W33" i="26"/>
  <c r="H33" i="26"/>
  <c r="U33" i="26" s="1"/>
  <c r="H31" i="26"/>
  <c r="V31" i="26" s="1"/>
  <c r="Y30" i="26"/>
  <c r="X30" i="26"/>
  <c r="W30" i="26"/>
  <c r="H30" i="26"/>
  <c r="U30" i="26" s="1"/>
  <c r="H28" i="26"/>
  <c r="V28" i="26" s="1"/>
  <c r="Y27" i="26"/>
  <c r="X27" i="26"/>
  <c r="W27" i="26"/>
  <c r="H27" i="26"/>
  <c r="U27" i="26" s="1"/>
  <c r="H25" i="26"/>
  <c r="V25" i="26" s="1"/>
  <c r="Y24" i="26"/>
  <c r="X24" i="26"/>
  <c r="W24" i="26"/>
  <c r="H24" i="26"/>
  <c r="U24" i="26" s="1"/>
  <c r="H22" i="26"/>
  <c r="V22" i="26" s="1"/>
  <c r="Y21" i="26"/>
  <c r="X21" i="26"/>
  <c r="W21" i="26"/>
  <c r="H21" i="26"/>
  <c r="U21" i="26" s="1"/>
  <c r="H19" i="26"/>
  <c r="V19" i="26" s="1"/>
  <c r="Y18" i="26"/>
  <c r="X18" i="26"/>
  <c r="W18" i="26"/>
  <c r="H18" i="26"/>
  <c r="U18" i="26" s="1"/>
  <c r="H16" i="26"/>
  <c r="V16" i="26" s="1"/>
  <c r="Y15" i="26"/>
  <c r="X15" i="26"/>
  <c r="W15" i="26"/>
  <c r="H15" i="26"/>
  <c r="U15" i="26" s="1"/>
  <c r="H13" i="26"/>
  <c r="V13" i="26" s="1"/>
  <c r="Y12" i="26"/>
  <c r="X12" i="26"/>
  <c r="W12" i="26"/>
  <c r="H12" i="26"/>
  <c r="I12" i="26" s="1"/>
  <c r="H10" i="26"/>
  <c r="V10" i="26" s="1"/>
  <c r="Y9" i="26"/>
  <c r="X9" i="26"/>
  <c r="W9" i="26"/>
  <c r="H9" i="26"/>
  <c r="U9" i="26" s="1"/>
  <c r="H7" i="26"/>
  <c r="V7" i="26" s="1"/>
  <c r="Y6" i="26"/>
  <c r="X6" i="26"/>
  <c r="W6" i="26"/>
  <c r="H6" i="26"/>
  <c r="J74" i="26" l="1"/>
  <c r="J73" i="26"/>
  <c r="H67" i="26"/>
  <c r="I63" i="26"/>
  <c r="J72" i="26"/>
  <c r="U12" i="26"/>
  <c r="I9" i="26"/>
  <c r="I15" i="26"/>
  <c r="I21" i="26"/>
  <c r="I27" i="26"/>
  <c r="I33" i="26"/>
  <c r="I39" i="26"/>
  <c r="I45" i="26"/>
  <c r="I51" i="26"/>
  <c r="I57" i="26"/>
  <c r="U63" i="26"/>
  <c r="I18" i="26"/>
  <c r="I24" i="26"/>
  <c r="I30" i="26"/>
  <c r="I36" i="26"/>
  <c r="I42" i="26"/>
  <c r="I48" i="26"/>
  <c r="I54" i="26"/>
  <c r="I60" i="26"/>
  <c r="U6" i="26"/>
  <c r="H77" i="26"/>
  <c r="H68" i="26"/>
  <c r="H70" i="26" s="1"/>
  <c r="I6" i="26"/>
  <c r="I52" i="25"/>
  <c r="F52" i="25"/>
  <c r="C22" i="25"/>
  <c r="B22" i="25"/>
  <c r="C21" i="25"/>
  <c r="B21" i="25"/>
  <c r="C20" i="25"/>
  <c r="B20" i="25"/>
  <c r="J19" i="25"/>
  <c r="I19" i="25"/>
  <c r="H19" i="25"/>
  <c r="F19" i="25"/>
  <c r="E19" i="25"/>
  <c r="C19" i="25"/>
  <c r="B19" i="25"/>
  <c r="J18" i="25"/>
  <c r="I18" i="25"/>
  <c r="H18" i="25"/>
  <c r="F18" i="25"/>
  <c r="E18" i="25"/>
  <c r="G18" i="25" s="1"/>
  <c r="C18" i="25"/>
  <c r="B18" i="25"/>
  <c r="J17" i="25"/>
  <c r="I17" i="25"/>
  <c r="H17" i="25"/>
  <c r="F17" i="25"/>
  <c r="E17" i="25"/>
  <c r="C17" i="25"/>
  <c r="B17" i="25"/>
  <c r="J16" i="25"/>
  <c r="I16" i="25"/>
  <c r="H16" i="25"/>
  <c r="F16" i="25"/>
  <c r="E16" i="25"/>
  <c r="C16" i="25"/>
  <c r="B16" i="25"/>
  <c r="J15" i="25"/>
  <c r="I15" i="25"/>
  <c r="H15" i="25"/>
  <c r="F15" i="25"/>
  <c r="E15" i="25"/>
  <c r="G15" i="25" s="1"/>
  <c r="C15" i="25"/>
  <c r="B15" i="25"/>
  <c r="J14" i="25"/>
  <c r="I14" i="25"/>
  <c r="H14" i="25"/>
  <c r="F14" i="25"/>
  <c r="E14" i="25"/>
  <c r="G14" i="25" s="1"/>
  <c r="C14" i="25"/>
  <c r="B14" i="25"/>
  <c r="J13" i="25"/>
  <c r="I13" i="25"/>
  <c r="H13" i="25"/>
  <c r="F13" i="25"/>
  <c r="E13" i="25"/>
  <c r="C13" i="25"/>
  <c r="B13" i="25"/>
  <c r="J12" i="25"/>
  <c r="I12" i="25"/>
  <c r="H12" i="25"/>
  <c r="F12" i="25"/>
  <c r="E12" i="25"/>
  <c r="C12" i="25"/>
  <c r="B12" i="25"/>
  <c r="J11" i="25"/>
  <c r="I11" i="25"/>
  <c r="H11" i="25"/>
  <c r="F11" i="25"/>
  <c r="E11" i="25"/>
  <c r="C11" i="25"/>
  <c r="B11" i="25"/>
  <c r="J10" i="25"/>
  <c r="I10" i="25"/>
  <c r="H10" i="25"/>
  <c r="F10" i="25"/>
  <c r="E10" i="25"/>
  <c r="G10" i="25" s="1"/>
  <c r="C10" i="25"/>
  <c r="B10" i="25"/>
  <c r="J9" i="25"/>
  <c r="I9" i="25"/>
  <c r="H9" i="25"/>
  <c r="F9" i="25"/>
  <c r="E9" i="25"/>
  <c r="C9" i="25"/>
  <c r="B9" i="25"/>
  <c r="J8" i="25"/>
  <c r="I8" i="25"/>
  <c r="H8" i="25"/>
  <c r="F8" i="25"/>
  <c r="E8" i="25"/>
  <c r="C8" i="25"/>
  <c r="B8" i="25"/>
  <c r="J7" i="25"/>
  <c r="I7" i="25"/>
  <c r="H7" i="25"/>
  <c r="F7" i="25"/>
  <c r="E7" i="25"/>
  <c r="G7" i="25" s="1"/>
  <c r="C7" i="25"/>
  <c r="B7" i="25"/>
  <c r="J6" i="25"/>
  <c r="I6" i="25"/>
  <c r="H6" i="25"/>
  <c r="F6" i="25"/>
  <c r="E6" i="25"/>
  <c r="C6" i="25"/>
  <c r="B6" i="25"/>
  <c r="J5" i="25"/>
  <c r="I5" i="25"/>
  <c r="H5" i="25"/>
  <c r="F5" i="25"/>
  <c r="E5" i="25"/>
  <c r="C5" i="25"/>
  <c r="B5" i="25"/>
  <c r="G11" i="25" l="1"/>
  <c r="G19" i="25"/>
  <c r="H76" i="26"/>
  <c r="G6" i="25"/>
  <c r="G8" i="25"/>
  <c r="G12" i="25"/>
  <c r="G16" i="25"/>
  <c r="G5" i="25"/>
  <c r="G9" i="25"/>
  <c r="G13" i="25"/>
  <c r="G17" i="25"/>
  <c r="H73" i="26"/>
  <c r="H74" i="26"/>
  <c r="H72" i="26"/>
  <c r="H10" i="22"/>
  <c r="H10" i="24"/>
  <c r="V10" i="24" s="1"/>
  <c r="J74" i="24"/>
  <c r="J73" i="24"/>
  <c r="J71" i="24"/>
  <c r="J70" i="24"/>
  <c r="R62" i="24"/>
  <c r="R61" i="24"/>
  <c r="Q62" i="24"/>
  <c r="Q61" i="24"/>
  <c r="P62" i="24"/>
  <c r="P61" i="24"/>
  <c r="O62" i="24"/>
  <c r="O61" i="24"/>
  <c r="M62" i="24"/>
  <c r="M61" i="24"/>
  <c r="L62" i="24"/>
  <c r="L61" i="24"/>
  <c r="K62" i="24"/>
  <c r="K61" i="24"/>
  <c r="J62" i="24"/>
  <c r="J61" i="24"/>
  <c r="D61" i="24"/>
  <c r="H58" i="24"/>
  <c r="V58" i="24" s="1"/>
  <c r="Y57" i="24"/>
  <c r="X57" i="24"/>
  <c r="W57" i="24"/>
  <c r="H57" i="24"/>
  <c r="H55" i="24"/>
  <c r="V55" i="24" s="1"/>
  <c r="Y54" i="24"/>
  <c r="X54" i="24"/>
  <c r="W54" i="24"/>
  <c r="H54" i="24"/>
  <c r="I54" i="24" s="1"/>
  <c r="H52" i="24"/>
  <c r="V52" i="24" s="1"/>
  <c r="Y51" i="24"/>
  <c r="X51" i="24"/>
  <c r="W51" i="24"/>
  <c r="H51" i="24"/>
  <c r="H49" i="24"/>
  <c r="V49" i="24" s="1"/>
  <c r="Y48" i="24"/>
  <c r="X48" i="24"/>
  <c r="W48" i="24"/>
  <c r="H48" i="24"/>
  <c r="H46" i="24"/>
  <c r="V46" i="24" s="1"/>
  <c r="Y45" i="24"/>
  <c r="X45" i="24"/>
  <c r="W45" i="24"/>
  <c r="H45" i="24"/>
  <c r="I45" i="24" s="1"/>
  <c r="H43" i="24"/>
  <c r="V43" i="24" s="1"/>
  <c r="Y42" i="24"/>
  <c r="X42" i="24"/>
  <c r="W42" i="24"/>
  <c r="H42" i="24"/>
  <c r="H40" i="24"/>
  <c r="V40" i="24" s="1"/>
  <c r="Y39" i="24"/>
  <c r="X39" i="24"/>
  <c r="W39" i="24"/>
  <c r="H39" i="24"/>
  <c r="H37" i="24"/>
  <c r="V37" i="24" s="1"/>
  <c r="Y36" i="24"/>
  <c r="X36" i="24"/>
  <c r="W36" i="24"/>
  <c r="H36" i="24"/>
  <c r="H34" i="24"/>
  <c r="V34" i="24" s="1"/>
  <c r="Y33" i="24"/>
  <c r="X33" i="24"/>
  <c r="W33" i="24"/>
  <c r="H33" i="24"/>
  <c r="H31" i="24"/>
  <c r="V31" i="24" s="1"/>
  <c r="Y30" i="24"/>
  <c r="X30" i="24"/>
  <c r="W30" i="24"/>
  <c r="H30" i="24"/>
  <c r="H28" i="24"/>
  <c r="V28" i="24" s="1"/>
  <c r="Y27" i="24"/>
  <c r="X27" i="24"/>
  <c r="W27" i="24"/>
  <c r="H27" i="24"/>
  <c r="H25" i="24"/>
  <c r="V25" i="24" s="1"/>
  <c r="Y24" i="24"/>
  <c r="X24" i="24"/>
  <c r="W24" i="24"/>
  <c r="H24" i="24"/>
  <c r="H22" i="24"/>
  <c r="V22" i="24" s="1"/>
  <c r="Y21" i="24"/>
  <c r="X21" i="24"/>
  <c r="W21" i="24"/>
  <c r="H21" i="24"/>
  <c r="I21" i="24" s="1"/>
  <c r="H19" i="24"/>
  <c r="V19" i="24" s="1"/>
  <c r="Y18" i="24"/>
  <c r="X18" i="24"/>
  <c r="W18" i="24"/>
  <c r="H18" i="24"/>
  <c r="H16" i="24"/>
  <c r="V16" i="24" s="1"/>
  <c r="Y15" i="24"/>
  <c r="X15" i="24"/>
  <c r="W15" i="24"/>
  <c r="H15" i="24"/>
  <c r="I15" i="24" s="1"/>
  <c r="H13" i="24"/>
  <c r="V13" i="24" s="1"/>
  <c r="Y12" i="24"/>
  <c r="X12" i="24"/>
  <c r="W12" i="24"/>
  <c r="H12" i="24"/>
  <c r="I12" i="24" s="1"/>
  <c r="Y9" i="24"/>
  <c r="X9" i="24"/>
  <c r="W9" i="24"/>
  <c r="H9" i="24"/>
  <c r="U9" i="24" s="1"/>
  <c r="H7" i="24"/>
  <c r="V7" i="24" s="1"/>
  <c r="Y6" i="24"/>
  <c r="X6" i="24"/>
  <c r="W6" i="24"/>
  <c r="H6" i="24"/>
  <c r="I18" i="24" l="1"/>
  <c r="I42" i="24"/>
  <c r="I33" i="24"/>
  <c r="I57" i="24"/>
  <c r="I27" i="24"/>
  <c r="I24" i="24"/>
  <c r="I48" i="24"/>
  <c r="J67" i="24"/>
  <c r="I51" i="24"/>
  <c r="I39" i="24"/>
  <c r="I36" i="24"/>
  <c r="I30" i="24"/>
  <c r="H61" i="24"/>
  <c r="H62" i="24"/>
  <c r="I9" i="24"/>
  <c r="U6" i="24"/>
  <c r="I6" i="24"/>
  <c r="J68" i="24"/>
  <c r="U15" i="24"/>
  <c r="U21" i="24"/>
  <c r="U27" i="24"/>
  <c r="U33" i="24"/>
  <c r="U39" i="24"/>
  <c r="U45" i="24"/>
  <c r="U51" i="24"/>
  <c r="U57" i="24"/>
  <c r="J66" i="24"/>
  <c r="U12" i="24"/>
  <c r="U18" i="24"/>
  <c r="U24" i="24"/>
  <c r="U30" i="24"/>
  <c r="U36" i="24"/>
  <c r="U42" i="24"/>
  <c r="U48" i="24"/>
  <c r="U54" i="24"/>
  <c r="H71" i="24"/>
  <c r="Y51" i="22"/>
  <c r="Y48" i="22"/>
  <c r="Y45" i="22"/>
  <c r="Y42" i="22"/>
  <c r="Y39" i="22"/>
  <c r="Y36" i="22"/>
  <c r="Y33" i="22"/>
  <c r="Y30" i="22"/>
  <c r="Y27" i="22"/>
  <c r="Y24" i="22"/>
  <c r="Y21" i="22"/>
  <c r="Y18" i="22"/>
  <c r="Y15" i="22"/>
  <c r="Y12" i="22"/>
  <c r="Y9" i="22"/>
  <c r="X51" i="22"/>
  <c r="X48" i="22"/>
  <c r="X45" i="22"/>
  <c r="X42" i="22"/>
  <c r="X39" i="22"/>
  <c r="X36" i="22"/>
  <c r="X33" i="22"/>
  <c r="X30" i="22"/>
  <c r="X27" i="22"/>
  <c r="X24" i="22"/>
  <c r="X21" i="22"/>
  <c r="X18" i="22"/>
  <c r="X15" i="22"/>
  <c r="X12" i="22"/>
  <c r="X9" i="22"/>
  <c r="Y6" i="22"/>
  <c r="X6" i="22"/>
  <c r="W51" i="22"/>
  <c r="W48" i="22"/>
  <c r="W45" i="22"/>
  <c r="W42" i="22"/>
  <c r="W39" i="22"/>
  <c r="W36" i="22"/>
  <c r="W33" i="22"/>
  <c r="W30" i="22"/>
  <c r="W27" i="22"/>
  <c r="W24" i="22"/>
  <c r="W21" i="22"/>
  <c r="W18" i="22"/>
  <c r="W15" i="22"/>
  <c r="W12" i="22"/>
  <c r="W9" i="22"/>
  <c r="W6" i="22"/>
  <c r="V10" i="22"/>
  <c r="D55" i="22"/>
  <c r="H66" i="24" l="1"/>
  <c r="H64" i="24"/>
  <c r="H67" i="24"/>
  <c r="H68" i="24"/>
  <c r="H70" i="24"/>
  <c r="J61" i="22"/>
  <c r="Q67" i="10" s="1"/>
  <c r="C67" i="10" s="1"/>
  <c r="J60" i="22"/>
  <c r="Q66" i="10" s="1"/>
  <c r="C66" i="10" s="1"/>
  <c r="J62" i="22"/>
  <c r="Q68" i="10" s="1"/>
  <c r="C68" i="10" s="1"/>
  <c r="H6" i="22"/>
  <c r="H7" i="22"/>
  <c r="U6" i="22" l="1"/>
  <c r="V7" i="22"/>
  <c r="I6" i="22"/>
  <c r="H52" i="22"/>
  <c r="V52" i="22" s="1"/>
  <c r="H51" i="22"/>
  <c r="U51" i="22" s="1"/>
  <c r="H49" i="22"/>
  <c r="V49" i="22" s="1"/>
  <c r="H48" i="22"/>
  <c r="U48" i="22" s="1"/>
  <c r="H46" i="22"/>
  <c r="V46" i="22" s="1"/>
  <c r="H45" i="22"/>
  <c r="U45" i="22" s="1"/>
  <c r="H43" i="22"/>
  <c r="V43" i="22" s="1"/>
  <c r="H42" i="22"/>
  <c r="U42" i="22" s="1"/>
  <c r="H40" i="22"/>
  <c r="V40" i="22" s="1"/>
  <c r="H39" i="22"/>
  <c r="U39" i="22" s="1"/>
  <c r="H37" i="22"/>
  <c r="V37" i="22" s="1"/>
  <c r="H36" i="22"/>
  <c r="U36" i="22" s="1"/>
  <c r="H34" i="22"/>
  <c r="V34" i="22" s="1"/>
  <c r="H33" i="22"/>
  <c r="U33" i="22" s="1"/>
  <c r="H31" i="22"/>
  <c r="V31" i="22" s="1"/>
  <c r="H30" i="22"/>
  <c r="U30" i="22" s="1"/>
  <c r="H28" i="22"/>
  <c r="V28" i="22" s="1"/>
  <c r="H27" i="22"/>
  <c r="U27" i="22" s="1"/>
  <c r="H25" i="22"/>
  <c r="V25" i="22" s="1"/>
  <c r="H24" i="22"/>
  <c r="U24" i="22" s="1"/>
  <c r="H22" i="22"/>
  <c r="V22" i="22" s="1"/>
  <c r="H21" i="22"/>
  <c r="U21" i="22" s="1"/>
  <c r="H19" i="22"/>
  <c r="V19" i="22" s="1"/>
  <c r="H18" i="22"/>
  <c r="U18" i="22" s="1"/>
  <c r="H16" i="22"/>
  <c r="V16" i="22" s="1"/>
  <c r="H15" i="22"/>
  <c r="U15" i="22" s="1"/>
  <c r="H13" i="22"/>
  <c r="V13" i="22" s="1"/>
  <c r="H12" i="22"/>
  <c r="U12" i="22" s="1"/>
  <c r="H9" i="22"/>
  <c r="U9" i="22" s="1"/>
  <c r="I9" i="22" l="1"/>
  <c r="H56" i="22"/>
  <c r="Q14" i="10" s="1"/>
  <c r="C14" i="10" s="1"/>
  <c r="I21" i="22"/>
  <c r="I33" i="22"/>
  <c r="H55" i="22"/>
  <c r="Q13" i="10" s="1"/>
  <c r="C13" i="10" s="1"/>
  <c r="I45" i="22"/>
  <c r="I12" i="22"/>
  <c r="I24" i="22"/>
  <c r="I36" i="22"/>
  <c r="I15" i="22"/>
  <c r="I27" i="22"/>
  <c r="I39" i="22"/>
  <c r="I18" i="22"/>
  <c r="I30" i="22"/>
  <c r="I42" i="22"/>
  <c r="I48" i="22"/>
  <c r="H64" i="22"/>
  <c r="I51" i="22"/>
  <c r="H65" i="22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5" i="20"/>
  <c r="C6" i="20"/>
  <c r="B105" i="34" s="1"/>
  <c r="C7" i="20"/>
  <c r="B99" i="34" s="1"/>
  <c r="C8" i="20"/>
  <c r="B100" i="34" s="1"/>
  <c r="C9" i="20"/>
  <c r="B101" i="34" s="1"/>
  <c r="C10" i="20"/>
  <c r="B102" i="34" s="1"/>
  <c r="C11" i="20"/>
  <c r="B95" i="34" s="1"/>
  <c r="C12" i="20"/>
  <c r="B106" i="34" s="1"/>
  <c r="C13" i="20"/>
  <c r="B104" i="34" s="1"/>
  <c r="C14" i="20"/>
  <c r="B94" i="34" s="1"/>
  <c r="C15" i="20"/>
  <c r="B103" i="34" s="1"/>
  <c r="C16" i="20"/>
  <c r="B92" i="34" s="1"/>
  <c r="C17" i="20"/>
  <c r="B98" i="34" s="1"/>
  <c r="C18" i="20"/>
  <c r="B93" i="34" s="1"/>
  <c r="C19" i="20"/>
  <c r="B97" i="34" s="1"/>
  <c r="C20" i="20"/>
  <c r="B107" i="34" s="1"/>
  <c r="C21" i="20"/>
  <c r="C22" i="20"/>
  <c r="C5" i="20"/>
  <c r="B96" i="34" s="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5" i="21"/>
  <c r="I52" i="21"/>
  <c r="J215" i="13"/>
  <c r="I215" i="13"/>
  <c r="H215" i="13"/>
  <c r="F215" i="13"/>
  <c r="E215" i="13"/>
  <c r="I214" i="13"/>
  <c r="H214" i="13"/>
  <c r="F214" i="13"/>
  <c r="E214" i="13"/>
  <c r="J213" i="13"/>
  <c r="I213" i="13"/>
  <c r="H213" i="13"/>
  <c r="F213" i="13"/>
  <c r="E213" i="13"/>
  <c r="J212" i="13"/>
  <c r="I212" i="13"/>
  <c r="H212" i="13"/>
  <c r="F212" i="13"/>
  <c r="E212" i="13"/>
  <c r="J211" i="13"/>
  <c r="I211" i="13"/>
  <c r="H211" i="13"/>
  <c r="F211" i="13"/>
  <c r="E211" i="13"/>
  <c r="J210" i="13"/>
  <c r="I210" i="13"/>
  <c r="H210" i="13"/>
  <c r="F210" i="13"/>
  <c r="E210" i="13"/>
  <c r="J209" i="13"/>
  <c r="I209" i="13"/>
  <c r="H209" i="13"/>
  <c r="F209" i="13"/>
  <c r="E209" i="13"/>
  <c r="J208" i="13"/>
  <c r="I208" i="13"/>
  <c r="H208" i="13"/>
  <c r="F208" i="13"/>
  <c r="E208" i="13"/>
  <c r="J207" i="13"/>
  <c r="I207" i="13"/>
  <c r="H207" i="13"/>
  <c r="F207" i="13"/>
  <c r="E207" i="13"/>
  <c r="I206" i="13"/>
  <c r="H206" i="13"/>
  <c r="F206" i="13"/>
  <c r="E206" i="13"/>
  <c r="J205" i="13"/>
  <c r="I205" i="13"/>
  <c r="H205" i="13"/>
  <c r="F205" i="13"/>
  <c r="E205" i="13"/>
  <c r="J204" i="13"/>
  <c r="I204" i="13"/>
  <c r="H204" i="13"/>
  <c r="F204" i="13"/>
  <c r="E204" i="13"/>
  <c r="J203" i="13"/>
  <c r="I203" i="13"/>
  <c r="H203" i="13"/>
  <c r="F203" i="13"/>
  <c r="E203" i="13"/>
  <c r="J202" i="13"/>
  <c r="I202" i="13"/>
  <c r="H202" i="13"/>
  <c r="F202" i="13"/>
  <c r="E202" i="13"/>
  <c r="C15" i="10" l="1"/>
  <c r="C213" i="13"/>
  <c r="B82" i="34"/>
  <c r="C209" i="13"/>
  <c r="B78" i="34"/>
  <c r="C205" i="13"/>
  <c r="B74" i="34"/>
  <c r="C202" i="13"/>
  <c r="B71" i="34"/>
  <c r="C215" i="13"/>
  <c r="B85" i="34"/>
  <c r="C212" i="13"/>
  <c r="B81" i="34"/>
  <c r="C208" i="13"/>
  <c r="B77" i="34"/>
  <c r="C204" i="13"/>
  <c r="B73" i="34"/>
  <c r="B84" i="34"/>
  <c r="C207" i="13"/>
  <c r="B76" i="34"/>
  <c r="C203" i="13"/>
  <c r="B72" i="34"/>
  <c r="C211" i="13"/>
  <c r="B80" i="34"/>
  <c r="C214" i="13"/>
  <c r="B83" i="34"/>
  <c r="C210" i="13"/>
  <c r="B79" i="34"/>
  <c r="C206" i="13"/>
  <c r="B75" i="34"/>
  <c r="H60" i="22"/>
  <c r="Q9" i="10" s="1"/>
  <c r="C9" i="10" s="1"/>
  <c r="H61" i="22"/>
  <c r="Q10" i="10" s="1"/>
  <c r="C10" i="10" s="1"/>
  <c r="H62" i="22"/>
  <c r="Q11" i="10" s="1"/>
  <c r="C11" i="10" s="1"/>
  <c r="G6" i="21"/>
  <c r="G7" i="21"/>
  <c r="G10" i="21"/>
  <c r="G11" i="21"/>
  <c r="G14" i="21"/>
  <c r="G15" i="21"/>
  <c r="G18" i="21"/>
  <c r="G19" i="21"/>
  <c r="G5" i="21"/>
  <c r="G8" i="21"/>
  <c r="G9" i="21"/>
  <c r="G12" i="21"/>
  <c r="G13" i="21"/>
  <c r="G16" i="21"/>
  <c r="G17" i="21"/>
  <c r="C80" i="5"/>
  <c r="C62" i="5"/>
  <c r="C55" i="5"/>
  <c r="C47" i="5"/>
  <c r="C38" i="5"/>
  <c r="C29" i="5"/>
  <c r="C20" i="5"/>
  <c r="C12" i="5"/>
  <c r="H193" i="5" l="1"/>
  <c r="G209" i="13"/>
  <c r="F78" i="34"/>
  <c r="G215" i="13"/>
  <c r="F85" i="34"/>
  <c r="G208" i="13"/>
  <c r="F77" i="34"/>
  <c r="G214" i="13"/>
  <c r="F83" i="34"/>
  <c r="G206" i="13"/>
  <c r="F75" i="34"/>
  <c r="F84" i="34"/>
  <c r="G207" i="13"/>
  <c r="F76" i="34"/>
  <c r="G213" i="13"/>
  <c r="F82" i="34"/>
  <c r="G205" i="13"/>
  <c r="F74" i="34"/>
  <c r="G212" i="13"/>
  <c r="F81" i="34"/>
  <c r="G204" i="13"/>
  <c r="F73" i="34"/>
  <c r="G210" i="13"/>
  <c r="F79" i="34"/>
  <c r="G202" i="13"/>
  <c r="F71" i="34"/>
  <c r="G211" i="13"/>
  <c r="F80" i="34"/>
  <c r="G203" i="13"/>
  <c r="F72" i="34"/>
  <c r="H58" i="22"/>
  <c r="D38" i="7"/>
  <c r="H196" i="7"/>
  <c r="D217" i="13" l="1"/>
  <c r="K217" i="13"/>
  <c r="L217" i="13"/>
  <c r="M217" i="13"/>
  <c r="N217" i="13"/>
  <c r="O217" i="13"/>
  <c r="P217" i="13"/>
  <c r="Q217" i="13"/>
  <c r="D218" i="13"/>
  <c r="K218" i="13"/>
  <c r="M218" i="13"/>
  <c r="N218" i="13"/>
  <c r="O218" i="13"/>
  <c r="P218" i="13"/>
  <c r="Q218" i="13"/>
  <c r="D219" i="13"/>
  <c r="K219" i="13"/>
  <c r="L219" i="13"/>
  <c r="M219" i="13"/>
  <c r="N219" i="13"/>
  <c r="O219" i="13"/>
  <c r="P219" i="13"/>
  <c r="Q219" i="13"/>
  <c r="D220" i="13"/>
  <c r="K220" i="13"/>
  <c r="L220" i="13"/>
  <c r="M220" i="13"/>
  <c r="N220" i="13"/>
  <c r="O220" i="13"/>
  <c r="P220" i="13"/>
  <c r="Q220" i="13"/>
  <c r="D221" i="13"/>
  <c r="K221" i="13"/>
  <c r="L221" i="13"/>
  <c r="M221" i="13"/>
  <c r="N221" i="13"/>
  <c r="O221" i="13"/>
  <c r="P221" i="13"/>
  <c r="Q221" i="13"/>
  <c r="D222" i="13"/>
  <c r="K222" i="13"/>
  <c r="L222" i="13"/>
  <c r="M222" i="13"/>
  <c r="N222" i="13"/>
  <c r="O222" i="13"/>
  <c r="P222" i="13"/>
  <c r="Q222" i="13"/>
  <c r="D223" i="13"/>
  <c r="K223" i="13"/>
  <c r="L223" i="13"/>
  <c r="M223" i="13"/>
  <c r="N223" i="13"/>
  <c r="O223" i="13"/>
  <c r="P223" i="13"/>
  <c r="Q223" i="13"/>
  <c r="D224" i="13"/>
  <c r="K224" i="13"/>
  <c r="L224" i="13"/>
  <c r="M224" i="13"/>
  <c r="N224" i="13"/>
  <c r="O224" i="13"/>
  <c r="P224" i="13"/>
  <c r="Q224" i="13"/>
  <c r="D225" i="13"/>
  <c r="K225" i="13"/>
  <c r="L225" i="13"/>
  <c r="M225" i="13"/>
  <c r="N225" i="13"/>
  <c r="O225" i="13"/>
  <c r="P225" i="13"/>
  <c r="Q225" i="13"/>
  <c r="D226" i="13"/>
  <c r="K226" i="13"/>
  <c r="L226" i="13"/>
  <c r="M226" i="13"/>
  <c r="N226" i="13"/>
  <c r="O226" i="13"/>
  <c r="P226" i="13"/>
  <c r="Q226" i="13"/>
  <c r="D227" i="13"/>
  <c r="K227" i="13"/>
  <c r="L227" i="13"/>
  <c r="M227" i="13"/>
  <c r="N227" i="13"/>
  <c r="O227" i="13"/>
  <c r="P227" i="13"/>
  <c r="Q227" i="13"/>
  <c r="D228" i="13"/>
  <c r="K228" i="13"/>
  <c r="M228" i="13"/>
  <c r="N228" i="13"/>
  <c r="O228" i="13"/>
  <c r="P228" i="13"/>
  <c r="Q228" i="13"/>
  <c r="K216" i="13"/>
  <c r="N216" i="13"/>
  <c r="O216" i="13"/>
  <c r="P216" i="13"/>
  <c r="Q216" i="13"/>
  <c r="D216" i="13"/>
  <c r="C218" i="13"/>
  <c r="C219" i="13"/>
  <c r="C220" i="13"/>
  <c r="C221" i="13"/>
  <c r="C222" i="13"/>
  <c r="C223" i="13"/>
  <c r="C224" i="13"/>
  <c r="C225" i="13"/>
  <c r="C226" i="13"/>
  <c r="C227" i="13"/>
  <c r="C228" i="13"/>
  <c r="C217" i="13"/>
  <c r="C216" i="13"/>
  <c r="H19" i="20"/>
  <c r="I19" i="20"/>
  <c r="J19" i="20"/>
  <c r="F19" i="20"/>
  <c r="E19" i="20"/>
  <c r="I97" i="34" l="1"/>
  <c r="H97" i="34"/>
  <c r="D97" i="34"/>
  <c r="G97" i="34"/>
  <c r="E97" i="34"/>
  <c r="G19" i="20"/>
  <c r="H184" i="5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5" i="20"/>
  <c r="I52" i="20"/>
  <c r="F52" i="20"/>
  <c r="I184" i="5" l="1"/>
  <c r="E228" i="13"/>
  <c r="D98" i="34"/>
  <c r="E224" i="13"/>
  <c r="D104" i="34"/>
  <c r="E220" i="13"/>
  <c r="D101" i="34"/>
  <c r="F216" i="13"/>
  <c r="E96" i="34"/>
  <c r="F226" i="13"/>
  <c r="E103" i="34"/>
  <c r="F222" i="13"/>
  <c r="E95" i="34"/>
  <c r="F218" i="13"/>
  <c r="E99" i="34"/>
  <c r="H228" i="13"/>
  <c r="G98" i="34"/>
  <c r="H224" i="13"/>
  <c r="G104" i="34"/>
  <c r="H220" i="13"/>
  <c r="G101" i="34"/>
  <c r="I216" i="13"/>
  <c r="H96" i="34"/>
  <c r="I226" i="13"/>
  <c r="H103" i="34"/>
  <c r="I222" i="13"/>
  <c r="H95" i="34"/>
  <c r="I218" i="13"/>
  <c r="H99" i="34"/>
  <c r="J228" i="13"/>
  <c r="I98" i="34"/>
  <c r="J224" i="13"/>
  <c r="I104" i="34"/>
  <c r="J220" i="13"/>
  <c r="I101" i="34"/>
  <c r="E227" i="13"/>
  <c r="D92" i="34"/>
  <c r="E223" i="13"/>
  <c r="D106" i="34"/>
  <c r="E219" i="13"/>
  <c r="D100" i="34"/>
  <c r="E93" i="34"/>
  <c r="F225" i="13"/>
  <c r="E94" i="34"/>
  <c r="F221" i="13"/>
  <c r="E102" i="34"/>
  <c r="F217" i="13"/>
  <c r="E105" i="34"/>
  <c r="H227" i="13"/>
  <c r="G92" i="34"/>
  <c r="H223" i="13"/>
  <c r="G106" i="34"/>
  <c r="H219" i="13"/>
  <c r="G100" i="34"/>
  <c r="H93" i="34"/>
  <c r="I225" i="13"/>
  <c r="H94" i="34"/>
  <c r="I221" i="13"/>
  <c r="H102" i="34"/>
  <c r="I217" i="13"/>
  <c r="H105" i="34"/>
  <c r="J227" i="13"/>
  <c r="I92" i="34"/>
  <c r="J223" i="13"/>
  <c r="I106" i="34"/>
  <c r="J219" i="13"/>
  <c r="I100" i="34"/>
  <c r="F97" i="34"/>
  <c r="D93" i="34"/>
  <c r="E216" i="13"/>
  <c r="D96" i="34"/>
  <c r="E226" i="13"/>
  <c r="D103" i="34"/>
  <c r="E222" i="13"/>
  <c r="D95" i="34"/>
  <c r="E218" i="13"/>
  <c r="D99" i="34"/>
  <c r="F228" i="13"/>
  <c r="E98" i="34"/>
  <c r="F224" i="13"/>
  <c r="E104" i="34"/>
  <c r="F220" i="13"/>
  <c r="E101" i="34"/>
  <c r="H216" i="13"/>
  <c r="G96" i="34"/>
  <c r="H226" i="13"/>
  <c r="G103" i="34"/>
  <c r="H222" i="13"/>
  <c r="G95" i="34"/>
  <c r="H218" i="13"/>
  <c r="G99" i="34"/>
  <c r="I228" i="13"/>
  <c r="H98" i="34"/>
  <c r="I224" i="13"/>
  <c r="H104" i="34"/>
  <c r="I220" i="13"/>
  <c r="H101" i="34"/>
  <c r="J216" i="13"/>
  <c r="I96" i="34"/>
  <c r="J226" i="13"/>
  <c r="I103" i="34"/>
  <c r="J222" i="13"/>
  <c r="I95" i="34"/>
  <c r="J218" i="13"/>
  <c r="I99" i="34"/>
  <c r="E225" i="13"/>
  <c r="D94" i="34"/>
  <c r="E221" i="13"/>
  <c r="D102" i="34"/>
  <c r="E217" i="13"/>
  <c r="D105" i="34"/>
  <c r="F227" i="13"/>
  <c r="E92" i="34"/>
  <c r="F223" i="13"/>
  <c r="E106" i="34"/>
  <c r="F219" i="13"/>
  <c r="E100" i="34"/>
  <c r="G93" i="34"/>
  <c r="H225" i="13"/>
  <c r="G94" i="34"/>
  <c r="H221" i="13"/>
  <c r="G102" i="34"/>
  <c r="H217" i="13"/>
  <c r="G105" i="34"/>
  <c r="I227" i="13"/>
  <c r="H92" i="34"/>
  <c r="I223" i="13"/>
  <c r="H106" i="34"/>
  <c r="I219" i="13"/>
  <c r="H100" i="34"/>
  <c r="I93" i="34"/>
  <c r="J225" i="13"/>
  <c r="I94" i="34"/>
  <c r="J221" i="13"/>
  <c r="I102" i="34"/>
  <c r="J217" i="13"/>
  <c r="I105" i="34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E107" i="34" l="1"/>
  <c r="I107" i="34"/>
  <c r="D107" i="34"/>
  <c r="G220" i="13"/>
  <c r="F101" i="34"/>
  <c r="F93" i="34"/>
  <c r="G216" i="13"/>
  <c r="F96" i="34"/>
  <c r="G224" i="13"/>
  <c r="F104" i="34"/>
  <c r="G217" i="13"/>
  <c r="F105" i="34"/>
  <c r="G221" i="13"/>
  <c r="F102" i="34"/>
  <c r="G218" i="13"/>
  <c r="F99" i="34"/>
  <c r="H107" i="34"/>
  <c r="G107" i="34"/>
  <c r="G228" i="13"/>
  <c r="F98" i="34"/>
  <c r="G225" i="13"/>
  <c r="F94" i="34"/>
  <c r="G222" i="13"/>
  <c r="F95" i="34"/>
  <c r="G226" i="13"/>
  <c r="F103" i="34"/>
  <c r="G219" i="13"/>
  <c r="F100" i="34"/>
  <c r="G223" i="13"/>
  <c r="F106" i="34"/>
  <c r="G227" i="13"/>
  <c r="F92" i="34"/>
  <c r="L66" i="19"/>
  <c r="N66" i="19"/>
  <c r="K66" i="19"/>
  <c r="J66" i="19"/>
  <c r="Q35" i="10" s="1"/>
  <c r="C35" i="10" s="1"/>
  <c r="K65" i="19"/>
  <c r="L65" i="19"/>
  <c r="N65" i="19"/>
  <c r="J65" i="19"/>
  <c r="Q25" i="10" s="1"/>
  <c r="C25" i="10" s="1"/>
  <c r="G9" i="19"/>
  <c r="G8" i="19"/>
  <c r="G6" i="19"/>
  <c r="G5" i="19"/>
  <c r="G63" i="19"/>
  <c r="G62" i="19"/>
  <c r="G60" i="19"/>
  <c r="G59" i="19"/>
  <c r="G57" i="19"/>
  <c r="G56" i="19"/>
  <c r="G54" i="19"/>
  <c r="G53" i="19"/>
  <c r="G51" i="19"/>
  <c r="G50" i="19"/>
  <c r="G48" i="19"/>
  <c r="G47" i="19"/>
  <c r="G45" i="19"/>
  <c r="G44" i="19"/>
  <c r="G42" i="19"/>
  <c r="G41" i="19"/>
  <c r="G39" i="19"/>
  <c r="G38" i="19"/>
  <c r="G36" i="19"/>
  <c r="G35" i="19"/>
  <c r="G33" i="19"/>
  <c r="G32" i="19"/>
  <c r="G30" i="19"/>
  <c r="G29" i="19"/>
  <c r="G27" i="19"/>
  <c r="G26" i="19"/>
  <c r="G24" i="19"/>
  <c r="G23" i="19"/>
  <c r="G21" i="19"/>
  <c r="G20" i="19"/>
  <c r="G18" i="19"/>
  <c r="G17" i="19"/>
  <c r="G15" i="19"/>
  <c r="G14" i="19"/>
  <c r="F107" i="34" l="1"/>
  <c r="Q8" i="10"/>
  <c r="G12" i="19"/>
  <c r="G66" i="19" s="1"/>
  <c r="G11" i="19"/>
  <c r="G65" i="19" s="1"/>
  <c r="C8" i="10" l="1"/>
  <c r="C12" i="10" s="1"/>
  <c r="Q12" i="10"/>
  <c r="S15" i="10"/>
  <c r="S12" i="10"/>
  <c r="AL200" i="17" l="1"/>
  <c r="AK200" i="17"/>
  <c r="AA200" i="17"/>
  <c r="Z200" i="17"/>
  <c r="P200" i="17"/>
  <c r="O200" i="17"/>
  <c r="E200" i="17"/>
  <c r="D200" i="17"/>
  <c r="AL153" i="17"/>
  <c r="AK153" i="17"/>
  <c r="AA153" i="17"/>
  <c r="Z153" i="17"/>
  <c r="P153" i="17"/>
  <c r="O153" i="17"/>
  <c r="E153" i="17"/>
  <c r="D153" i="17"/>
  <c r="AL106" i="17"/>
  <c r="AK106" i="17"/>
  <c r="AA106" i="17"/>
  <c r="Z106" i="17"/>
  <c r="P106" i="17"/>
  <c r="O106" i="17"/>
  <c r="E106" i="17"/>
  <c r="D106" i="17"/>
  <c r="AL59" i="17"/>
  <c r="AK59" i="17"/>
  <c r="AA59" i="17"/>
  <c r="Z59" i="17"/>
  <c r="P59" i="17"/>
  <c r="O59" i="17"/>
  <c r="E59" i="17"/>
  <c r="D59" i="17"/>
  <c r="AL12" i="17"/>
  <c r="AK12" i="17"/>
  <c r="AA12" i="17"/>
  <c r="Z12" i="17"/>
  <c r="P12" i="17"/>
  <c r="O12" i="17"/>
  <c r="E12" i="17"/>
  <c r="D12" i="17"/>
  <c r="L94" i="7" l="1"/>
  <c r="L28" i="7"/>
  <c r="D211" i="7"/>
  <c r="L139" i="7"/>
  <c r="D150" i="7"/>
  <c r="D41" i="7"/>
  <c r="D99" i="7"/>
  <c r="D257" i="7"/>
  <c r="D138" i="7"/>
  <c r="L127" i="7"/>
  <c r="H146" i="7"/>
  <c r="D29" i="7"/>
  <c r="L136" i="7"/>
  <c r="D21" i="7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29" i="13"/>
  <c r="Q15" i="10"/>
  <c r="H183" i="5" l="1"/>
  <c r="T15" i="10"/>
  <c r="T12" i="10"/>
  <c r="L130" i="7"/>
  <c r="H125" i="7"/>
  <c r="D125" i="7"/>
  <c r="D28" i="7"/>
  <c r="L168" i="7"/>
  <c r="H157" i="7"/>
  <c r="H138" i="7"/>
  <c r="D69" i="7"/>
  <c r="H165" i="7"/>
  <c r="L26" i="7"/>
  <c r="L183" i="7"/>
  <c r="L184" i="7"/>
  <c r="D237" i="7"/>
  <c r="G260" i="13"/>
  <c r="G255" i="13"/>
  <c r="I183" i="5" l="1"/>
  <c r="E160" i="15"/>
  <c r="D160" i="15"/>
  <c r="G160" i="15" s="1"/>
  <c r="E159" i="15"/>
  <c r="D159" i="15"/>
  <c r="G159" i="15" s="1"/>
  <c r="E158" i="15"/>
  <c r="D158" i="15"/>
  <c r="G158" i="15" s="1"/>
  <c r="E157" i="15"/>
  <c r="D157" i="15"/>
  <c r="C157" i="15"/>
  <c r="E156" i="15"/>
  <c r="D156" i="15"/>
  <c r="C156" i="15"/>
  <c r="E155" i="15"/>
  <c r="D155" i="15"/>
  <c r="C155" i="15"/>
  <c r="E154" i="15"/>
  <c r="D154" i="15"/>
  <c r="C154" i="15"/>
  <c r="E153" i="15"/>
  <c r="D153" i="15"/>
  <c r="C153" i="15"/>
  <c r="E152" i="15"/>
  <c r="D152" i="15"/>
  <c r="C152" i="15"/>
  <c r="E151" i="15"/>
  <c r="D151" i="15"/>
  <c r="C151" i="15"/>
  <c r="E150" i="15"/>
  <c r="D150" i="15"/>
  <c r="C150" i="15"/>
  <c r="E149" i="15"/>
  <c r="D149" i="15"/>
  <c r="C149" i="15"/>
  <c r="E148" i="15"/>
  <c r="D148" i="15"/>
  <c r="C148" i="15"/>
  <c r="E147" i="15"/>
  <c r="D147" i="15"/>
  <c r="C147" i="15"/>
  <c r="E146" i="15"/>
  <c r="D146" i="15"/>
  <c r="C146" i="15"/>
  <c r="E145" i="15"/>
  <c r="D145" i="15"/>
  <c r="C145" i="15"/>
  <c r="E144" i="15"/>
  <c r="D144" i="15"/>
  <c r="C144" i="15"/>
  <c r="E143" i="15"/>
  <c r="D143" i="15"/>
  <c r="C143" i="15"/>
  <c r="E142" i="15"/>
  <c r="D142" i="15"/>
  <c r="C142" i="15"/>
  <c r="E141" i="15"/>
  <c r="D141" i="15"/>
  <c r="C141" i="15"/>
  <c r="E140" i="15"/>
  <c r="D140" i="15"/>
  <c r="C140" i="15"/>
  <c r="E139" i="15"/>
  <c r="D139" i="15"/>
  <c r="C139" i="15"/>
  <c r="E138" i="15"/>
  <c r="D138" i="15"/>
  <c r="C138" i="15"/>
  <c r="E137" i="15"/>
  <c r="D137" i="15"/>
  <c r="C137" i="15"/>
  <c r="Y132" i="15"/>
  <c r="X132" i="15"/>
  <c r="W132" i="15"/>
  <c r="U132" i="15"/>
  <c r="T132" i="15"/>
  <c r="S132" i="15"/>
  <c r="Q132" i="15"/>
  <c r="P132" i="15"/>
  <c r="O132" i="15"/>
  <c r="M132" i="15"/>
  <c r="L132" i="15"/>
  <c r="K132" i="15"/>
  <c r="I132" i="15"/>
  <c r="H132" i="15"/>
  <c r="G132" i="15"/>
  <c r="E132" i="15"/>
  <c r="D132" i="15"/>
  <c r="C132" i="15"/>
  <c r="Y90" i="15"/>
  <c r="X90" i="15"/>
  <c r="W90" i="15"/>
  <c r="U90" i="15"/>
  <c r="T90" i="15"/>
  <c r="S90" i="15"/>
  <c r="Q90" i="15"/>
  <c r="P90" i="15"/>
  <c r="O90" i="15"/>
  <c r="M90" i="15"/>
  <c r="L90" i="15"/>
  <c r="K90" i="15"/>
  <c r="I90" i="15"/>
  <c r="H90" i="15"/>
  <c r="G90" i="15"/>
  <c r="E90" i="15"/>
  <c r="D90" i="15"/>
  <c r="C90" i="15"/>
  <c r="Y48" i="15"/>
  <c r="X48" i="15"/>
  <c r="W48" i="15"/>
  <c r="U48" i="15"/>
  <c r="T48" i="15"/>
  <c r="S48" i="15"/>
  <c r="Q48" i="15"/>
  <c r="P48" i="15"/>
  <c r="O48" i="15"/>
  <c r="M48" i="15"/>
  <c r="L48" i="15"/>
  <c r="K48" i="15"/>
  <c r="I48" i="15"/>
  <c r="H48" i="15"/>
  <c r="G48" i="15"/>
  <c r="E48" i="15"/>
  <c r="D48" i="15"/>
  <c r="C48" i="15"/>
  <c r="G140" i="15" l="1"/>
  <c r="G148" i="15"/>
  <c r="G141" i="15"/>
  <c r="G150" i="15"/>
  <c r="G151" i="15"/>
  <c r="G146" i="15"/>
  <c r="G138" i="15"/>
  <c r="G157" i="15"/>
  <c r="G152" i="15"/>
  <c r="G156" i="15"/>
  <c r="G139" i="15"/>
  <c r="G143" i="15"/>
  <c r="G147" i="15"/>
  <c r="G149" i="15"/>
  <c r="G154" i="15"/>
  <c r="G155" i="15"/>
  <c r="G153" i="15"/>
  <c r="G142" i="15"/>
  <c r="G145" i="15"/>
  <c r="G144" i="15"/>
  <c r="D161" i="15"/>
  <c r="E161" i="15"/>
  <c r="G137" i="15"/>
  <c r="C161" i="15"/>
  <c r="G161" i="15" l="1"/>
  <c r="H182" i="5" l="1"/>
  <c r="U12" i="10"/>
  <c r="V12" i="10"/>
  <c r="U15" i="10"/>
  <c r="V15" i="10"/>
  <c r="G259" i="13"/>
  <c r="G257" i="13"/>
  <c r="G256" i="13"/>
  <c r="G254" i="13"/>
  <c r="G253" i="13"/>
  <c r="G252" i="13"/>
  <c r="G251" i="13"/>
  <c r="G250" i="13"/>
  <c r="G249" i="13"/>
  <c r="G248" i="13"/>
  <c r="G247" i="13"/>
  <c r="G246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E161" i="14"/>
  <c r="D161" i="14"/>
  <c r="C161" i="14"/>
  <c r="E152" i="14"/>
  <c r="D152" i="14"/>
  <c r="C152" i="14"/>
  <c r="E156" i="14"/>
  <c r="D156" i="14"/>
  <c r="C156" i="14"/>
  <c r="H4" i="14"/>
  <c r="I182" i="5" l="1"/>
  <c r="G161" i="14"/>
  <c r="G152" i="14"/>
  <c r="G156" i="14"/>
  <c r="C164" i="14"/>
  <c r="C147" i="14"/>
  <c r="D147" i="14"/>
  <c r="E147" i="14"/>
  <c r="C148" i="14"/>
  <c r="D148" i="14"/>
  <c r="E148" i="14"/>
  <c r="C149" i="14"/>
  <c r="D149" i="14"/>
  <c r="E149" i="14"/>
  <c r="C150" i="14"/>
  <c r="D150" i="14"/>
  <c r="E150" i="14"/>
  <c r="C151" i="14"/>
  <c r="D151" i="14"/>
  <c r="E151" i="14"/>
  <c r="C153" i="14"/>
  <c r="D153" i="14"/>
  <c r="E153" i="14"/>
  <c r="C154" i="14"/>
  <c r="D154" i="14"/>
  <c r="E154" i="14"/>
  <c r="C155" i="14"/>
  <c r="D155" i="14"/>
  <c r="E155" i="14"/>
  <c r="C157" i="14"/>
  <c r="D157" i="14"/>
  <c r="E157" i="14"/>
  <c r="C158" i="14"/>
  <c r="D158" i="14"/>
  <c r="E158" i="14"/>
  <c r="C159" i="14"/>
  <c r="D159" i="14"/>
  <c r="E159" i="14"/>
  <c r="C160" i="14"/>
  <c r="D160" i="14"/>
  <c r="E160" i="14"/>
  <c r="C162" i="14"/>
  <c r="D162" i="14"/>
  <c r="E162" i="14"/>
  <c r="C163" i="14"/>
  <c r="D163" i="14"/>
  <c r="E163" i="14"/>
  <c r="D164" i="14"/>
  <c r="E164" i="14"/>
  <c r="C165" i="14"/>
  <c r="D165" i="14"/>
  <c r="E165" i="14"/>
  <c r="C166" i="14"/>
  <c r="D166" i="14"/>
  <c r="E166" i="14"/>
  <c r="C167" i="14"/>
  <c r="D167" i="14"/>
  <c r="E167" i="14"/>
  <c r="C168" i="14"/>
  <c r="D168" i="14"/>
  <c r="E168" i="14"/>
  <c r="C169" i="14"/>
  <c r="D169" i="14"/>
  <c r="E169" i="14"/>
  <c r="C146" i="14"/>
  <c r="Y141" i="14"/>
  <c r="X141" i="14"/>
  <c r="W141" i="14"/>
  <c r="U141" i="14"/>
  <c r="T141" i="14"/>
  <c r="S141" i="14"/>
  <c r="Q141" i="14"/>
  <c r="P141" i="14"/>
  <c r="O141" i="14"/>
  <c r="M141" i="14"/>
  <c r="L141" i="14"/>
  <c r="K141" i="14"/>
  <c r="I141" i="14"/>
  <c r="H141" i="14"/>
  <c r="G141" i="14"/>
  <c r="E141" i="14"/>
  <c r="D141" i="14"/>
  <c r="C141" i="14"/>
  <c r="D171" i="14"/>
  <c r="G171" i="14" s="1"/>
  <c r="E171" i="14"/>
  <c r="Y96" i="14"/>
  <c r="X96" i="14"/>
  <c r="W96" i="14"/>
  <c r="U96" i="14"/>
  <c r="T96" i="14"/>
  <c r="S96" i="14"/>
  <c r="Q96" i="14"/>
  <c r="P96" i="14"/>
  <c r="O96" i="14"/>
  <c r="M96" i="14"/>
  <c r="L96" i="14"/>
  <c r="K96" i="14"/>
  <c r="I96" i="14"/>
  <c r="H96" i="14"/>
  <c r="G96" i="14"/>
  <c r="E96" i="14"/>
  <c r="D96" i="14"/>
  <c r="C96" i="14"/>
  <c r="Y51" i="14"/>
  <c r="X51" i="14"/>
  <c r="W51" i="14"/>
  <c r="U51" i="14"/>
  <c r="T51" i="14"/>
  <c r="S51" i="14"/>
  <c r="Q51" i="14"/>
  <c r="P51" i="14"/>
  <c r="O51" i="14"/>
  <c r="M51" i="14"/>
  <c r="L51" i="14"/>
  <c r="K51" i="14"/>
  <c r="I51" i="14"/>
  <c r="H51" i="14"/>
  <c r="G51" i="14"/>
  <c r="E51" i="14"/>
  <c r="D51" i="14"/>
  <c r="C51" i="14"/>
  <c r="E172" i="14"/>
  <c r="D172" i="14"/>
  <c r="G172" i="14" s="1"/>
  <c r="E170" i="14"/>
  <c r="D170" i="14"/>
  <c r="G170" i="14" s="1"/>
  <c r="E146" i="14"/>
  <c r="D146" i="14"/>
  <c r="H169" i="5"/>
  <c r="H172" i="5"/>
  <c r="H173" i="5"/>
  <c r="H174" i="5"/>
  <c r="H180" i="5"/>
  <c r="H181" i="5"/>
  <c r="I181" i="5" l="1"/>
  <c r="I169" i="5"/>
  <c r="I180" i="5"/>
  <c r="H175" i="5"/>
  <c r="I175" i="5" s="1"/>
  <c r="I173" i="5"/>
  <c r="I174" i="5"/>
  <c r="I172" i="5"/>
  <c r="G166" i="14"/>
  <c r="G163" i="14"/>
  <c r="G153" i="14"/>
  <c r="G158" i="14"/>
  <c r="G169" i="14"/>
  <c r="G157" i="14"/>
  <c r="G151" i="14"/>
  <c r="G147" i="14"/>
  <c r="G149" i="14"/>
  <c r="G168" i="14"/>
  <c r="G150" i="14"/>
  <c r="H176" i="5"/>
  <c r="I176" i="5" s="1"/>
  <c r="H171" i="5"/>
  <c r="H170" i="5"/>
  <c r="H168" i="5"/>
  <c r="G167" i="14"/>
  <c r="G159" i="14"/>
  <c r="G165" i="14"/>
  <c r="G164" i="14"/>
  <c r="G162" i="14"/>
  <c r="G160" i="14"/>
  <c r="G155" i="14"/>
  <c r="G154" i="14"/>
  <c r="G148" i="14"/>
  <c r="G146" i="14"/>
  <c r="E173" i="14"/>
  <c r="C173" i="14"/>
  <c r="D173" i="14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46" i="12"/>
  <c r="W12" i="10"/>
  <c r="X12" i="10"/>
  <c r="W15" i="10"/>
  <c r="C132" i="12"/>
  <c r="D132" i="12"/>
  <c r="E132" i="12"/>
  <c r="D141" i="12"/>
  <c r="M141" i="12" s="1"/>
  <c r="E141" i="12"/>
  <c r="E140" i="12"/>
  <c r="D140" i="12"/>
  <c r="M140" i="12" s="1"/>
  <c r="E139" i="12"/>
  <c r="D139" i="12"/>
  <c r="C139" i="12"/>
  <c r="E138" i="12"/>
  <c r="D138" i="12"/>
  <c r="C138" i="12"/>
  <c r="M138" i="12" s="1"/>
  <c r="E137" i="12"/>
  <c r="D137" i="12"/>
  <c r="C137" i="12"/>
  <c r="E136" i="12"/>
  <c r="D136" i="12"/>
  <c r="C136" i="12"/>
  <c r="E135" i="12"/>
  <c r="D135" i="12"/>
  <c r="C135" i="12"/>
  <c r="E134" i="12"/>
  <c r="D134" i="12"/>
  <c r="C134" i="12"/>
  <c r="E133" i="12"/>
  <c r="D133" i="12"/>
  <c r="C133" i="12"/>
  <c r="E131" i="12"/>
  <c r="D131" i="12"/>
  <c r="C131" i="12"/>
  <c r="E130" i="12"/>
  <c r="D130" i="12"/>
  <c r="C130" i="12"/>
  <c r="E129" i="12"/>
  <c r="D129" i="12"/>
  <c r="C129" i="12"/>
  <c r="M129" i="12" s="1"/>
  <c r="E128" i="12"/>
  <c r="D128" i="12"/>
  <c r="C128" i="12"/>
  <c r="E127" i="12"/>
  <c r="D127" i="12"/>
  <c r="C127" i="12"/>
  <c r="E126" i="12"/>
  <c r="D126" i="12"/>
  <c r="C126" i="12"/>
  <c r="E125" i="12"/>
  <c r="D125" i="12"/>
  <c r="C125" i="12"/>
  <c r="E124" i="12"/>
  <c r="D124" i="12"/>
  <c r="C124" i="12"/>
  <c r="E123" i="12"/>
  <c r="D123" i="12"/>
  <c r="C123" i="12"/>
  <c r="E122" i="12"/>
  <c r="D122" i="12"/>
  <c r="C122" i="12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2" i="9"/>
  <c r="D42" i="7"/>
  <c r="F23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7" i="11"/>
  <c r="Y12" i="10"/>
  <c r="Z12" i="10"/>
  <c r="AA12" i="10"/>
  <c r="C135" i="8"/>
  <c r="D135" i="8"/>
  <c r="E135" i="8"/>
  <c r="C136" i="8"/>
  <c r="D136" i="8"/>
  <c r="E136" i="8"/>
  <c r="C137" i="8"/>
  <c r="D137" i="8"/>
  <c r="E137" i="8"/>
  <c r="C138" i="8"/>
  <c r="D138" i="8"/>
  <c r="E138" i="8"/>
  <c r="C139" i="8"/>
  <c r="D139" i="8"/>
  <c r="E139" i="8"/>
  <c r="C140" i="8"/>
  <c r="D140" i="8"/>
  <c r="E140" i="8"/>
  <c r="C141" i="8"/>
  <c r="D141" i="8"/>
  <c r="E141" i="8"/>
  <c r="C142" i="8"/>
  <c r="D142" i="8"/>
  <c r="E142" i="8"/>
  <c r="C143" i="8"/>
  <c r="D143" i="8"/>
  <c r="E143" i="8"/>
  <c r="C144" i="8"/>
  <c r="D144" i="8"/>
  <c r="E144" i="8"/>
  <c r="C145" i="8"/>
  <c r="D145" i="8"/>
  <c r="E145" i="8"/>
  <c r="C146" i="8"/>
  <c r="D146" i="8"/>
  <c r="E146" i="8"/>
  <c r="C147" i="8"/>
  <c r="D147" i="8"/>
  <c r="E147" i="8"/>
  <c r="C148" i="8"/>
  <c r="D148" i="8"/>
  <c r="E148" i="8"/>
  <c r="C149" i="8"/>
  <c r="D149" i="8"/>
  <c r="E149" i="8"/>
  <c r="D150" i="8"/>
  <c r="E150" i="8"/>
  <c r="D51" i="7"/>
  <c r="C134" i="8"/>
  <c r="D134" i="8"/>
  <c r="E134" i="8"/>
  <c r="E133" i="8"/>
  <c r="D133" i="8"/>
  <c r="C133" i="8"/>
  <c r="H191" i="5" l="1"/>
  <c r="J190" i="5"/>
  <c r="J189" i="5"/>
  <c r="I168" i="5"/>
  <c r="I170" i="5"/>
  <c r="I171" i="5"/>
  <c r="M122" i="12"/>
  <c r="M126" i="12"/>
  <c r="M130" i="12"/>
  <c r="M135" i="12"/>
  <c r="M139" i="12"/>
  <c r="M133" i="12"/>
  <c r="M125" i="12"/>
  <c r="M134" i="12"/>
  <c r="M124" i="12"/>
  <c r="M128" i="12"/>
  <c r="M137" i="12"/>
  <c r="D142" i="12"/>
  <c r="M123" i="12"/>
  <c r="M127" i="12"/>
  <c r="M131" i="12"/>
  <c r="M136" i="12"/>
  <c r="G173" i="14"/>
  <c r="M132" i="12"/>
  <c r="E142" i="12"/>
  <c r="C142" i="12"/>
  <c r="J175" i="5" l="1"/>
  <c r="J179" i="5"/>
  <c r="J168" i="5"/>
  <c r="J176" i="5"/>
  <c r="J171" i="5"/>
  <c r="J188" i="5"/>
  <c r="J187" i="5"/>
  <c r="J186" i="5"/>
  <c r="J185" i="5"/>
  <c r="J184" i="5"/>
  <c r="J183" i="5"/>
  <c r="J182" i="5"/>
  <c r="J181" i="5"/>
  <c r="J172" i="5"/>
  <c r="J169" i="5"/>
  <c r="J173" i="5"/>
  <c r="J180" i="5"/>
  <c r="J174" i="5"/>
  <c r="J170" i="5"/>
  <c r="OK7" i="31"/>
  <c r="OF7" i="3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Suominen Timo</author>
  </authors>
  <commentList>
    <comment ref="U4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0-pelit, SekTa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0-pelit, Vastustaja</t>
        </r>
      </text>
    </comment>
    <comment ref="W4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Rangaistukset:
Ei rangaistuksia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4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 xml:space="preserve">Rangaistukset:
Pelkästään me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4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 xml:space="preserve">Rangaistukset:
Pelkästään vastustaja ilman rangaistuksia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<sst xmlns="http://schemas.openxmlformats.org/spreadsheetml/2006/main" count="38023" uniqueCount="2825">
  <si>
    <t>SekTa</t>
  </si>
  <si>
    <t>JOUKKUE:</t>
  </si>
  <si>
    <t>TILASTOT</t>
  </si>
  <si>
    <t>OTTELUT</t>
  </si>
  <si>
    <t>+/-</t>
  </si>
  <si>
    <t>3</t>
  </si>
  <si>
    <t>4</t>
  </si>
  <si>
    <t>kpl</t>
  </si>
  <si>
    <t>RANGAISTUSLAUKAUKSET</t>
  </si>
  <si>
    <t>11</t>
  </si>
  <si>
    <t>2</t>
  </si>
  <si>
    <t>0</t>
  </si>
  <si>
    <t>1</t>
  </si>
  <si>
    <t>7</t>
  </si>
  <si>
    <t>NOLLAPELIT</t>
  </si>
  <si>
    <t>ENNÄTYKSET</t>
  </si>
  <si>
    <t>Eniten päästettyjä maaleja erässä</t>
  </si>
  <si>
    <t>50. Maali</t>
  </si>
  <si>
    <t>100. Maali</t>
  </si>
  <si>
    <t>1. Maali</t>
  </si>
  <si>
    <t>1.25</t>
  </si>
  <si>
    <t>12.16</t>
  </si>
  <si>
    <t>38.42</t>
  </si>
  <si>
    <t>12</t>
  </si>
  <si>
    <t>0.51</t>
  </si>
  <si>
    <t>SekTa - SBT Aakkerit</t>
  </si>
  <si>
    <t>SekTa - Penalty Boys II</t>
  </si>
  <si>
    <t>TuWe III - SekTa</t>
  </si>
  <si>
    <t>SekTa - PaPeNu</t>
  </si>
  <si>
    <t>SBB - SekTa</t>
  </si>
  <si>
    <t>Bulls - SekTa</t>
  </si>
  <si>
    <t>SekTa - FBC BlueRiver</t>
  </si>
  <si>
    <t>Tuwe III - SekTa</t>
  </si>
  <si>
    <t>1 - 5</t>
  </si>
  <si>
    <t>5 - 3</t>
  </si>
  <si>
    <t>2 - 12</t>
  </si>
  <si>
    <t>1 - 7</t>
  </si>
  <si>
    <t>0 - 6</t>
  </si>
  <si>
    <t>9 - 1</t>
  </si>
  <si>
    <t>3 - 6</t>
  </si>
  <si>
    <t>1 - 6</t>
  </si>
  <si>
    <t>Räntämäen Liikuntakeskus</t>
  </si>
  <si>
    <t>(Mauri Kurri, Jarkko Nieminen)</t>
  </si>
  <si>
    <t>(Sampo Suvitie, Antti Heinonen)</t>
  </si>
  <si>
    <t>SB-Areena</t>
  </si>
  <si>
    <t>(3x 2min)</t>
  </si>
  <si>
    <t>PELAAJAT:</t>
  </si>
  <si>
    <t>Matias Mäkilä</t>
  </si>
  <si>
    <t>Niko Nynäs</t>
  </si>
  <si>
    <t>Juha Laakso</t>
  </si>
  <si>
    <t>Mika Aaltonen</t>
  </si>
  <si>
    <t>Antti Heinonen</t>
  </si>
  <si>
    <t>Mika Javanainen</t>
  </si>
  <si>
    <t>Mauri Kurri</t>
  </si>
  <si>
    <t>Timo Suominen</t>
  </si>
  <si>
    <t>Jussi Uusi-Mikkola</t>
  </si>
  <si>
    <t>Ville Suominen</t>
  </si>
  <si>
    <t>Vesa Toivola</t>
  </si>
  <si>
    <t>Antti Toukola</t>
  </si>
  <si>
    <t>Sampo Suvitie</t>
  </si>
  <si>
    <t>Jarkko Nieminen</t>
  </si>
  <si>
    <t>Jere Kostiainen</t>
  </si>
  <si>
    <t>Erkka Varila</t>
  </si>
  <si>
    <t>Tuomas Finnholm</t>
  </si>
  <si>
    <t>Ville Eemilä</t>
  </si>
  <si>
    <t>LAUKAUKSET</t>
  </si>
  <si>
    <t>Eniten syöttöjä kaudessa</t>
  </si>
  <si>
    <t>Eniten otteluita</t>
  </si>
  <si>
    <t>Nuorin pelaaja</t>
  </si>
  <si>
    <t>Vanhin pelaaja</t>
  </si>
  <si>
    <t>MAALIVAHDIT:</t>
  </si>
  <si>
    <t>Eniten nollapelejä kaudessa</t>
  </si>
  <si>
    <t>Vähiten päästettyjä maaleja kaudessa</t>
  </si>
  <si>
    <t>Eniten YV-maaleja kaudessa</t>
  </si>
  <si>
    <t>Eniten SR-maaleja kaudessa</t>
  </si>
  <si>
    <t>Eniten hattutemppuja kaudessa</t>
  </si>
  <si>
    <t>Suurin tappio (+/-)</t>
  </si>
  <si>
    <t>Suurin voitto (+/-)</t>
  </si>
  <si>
    <t>Eniten tehtyjä maaleja kaudessa</t>
  </si>
  <si>
    <t>Eniten päästettyjä maaleja kaudessa</t>
  </si>
  <si>
    <t>Vähiten tehtyjä maaleja kaudessa</t>
  </si>
  <si>
    <t>Eniten RL kaudessa</t>
  </si>
  <si>
    <t>10min</t>
  </si>
  <si>
    <t>2006-2007</t>
  </si>
  <si>
    <t>5+1</t>
  </si>
  <si>
    <t>2x2min</t>
  </si>
  <si>
    <t>SekTa - SBB</t>
  </si>
  <si>
    <t>1 - 9</t>
  </si>
  <si>
    <t xml:space="preserve">1 -9 </t>
  </si>
  <si>
    <t>5 - 5</t>
  </si>
  <si>
    <t>Erkka Varila (241187)</t>
  </si>
  <si>
    <t>Ville Eemilä (220875)</t>
  </si>
  <si>
    <t>19v</t>
  </si>
  <si>
    <t>31v</t>
  </si>
  <si>
    <t>PISTEET</t>
  </si>
  <si>
    <t>MAALIT</t>
  </si>
  <si>
    <t>SYÖTÖT</t>
  </si>
  <si>
    <t>RANGAISTUKSET (min)</t>
  </si>
  <si>
    <t>RATKAISUMAALIT</t>
  </si>
  <si>
    <t>HATTUTEMPUT</t>
  </si>
  <si>
    <t>Jussi Vuoria</t>
  </si>
  <si>
    <t>AV-MAALIT</t>
  </si>
  <si>
    <t>YV-MAALIT</t>
  </si>
  <si>
    <t>SR AIKANA TEHDYT MAALIT</t>
  </si>
  <si>
    <t>1  / 1</t>
  </si>
  <si>
    <t>0 / 1</t>
  </si>
  <si>
    <t>+</t>
  </si>
  <si>
    <t>-</t>
  </si>
  <si>
    <t>+ / -</t>
  </si>
  <si>
    <t>Eniten + kaudessa</t>
  </si>
  <si>
    <t>Eniten - kaudessa</t>
  </si>
  <si>
    <t>Paras +/- saldo kaudessa</t>
  </si>
  <si>
    <t>Eniten torjuttuja RL kaudessa</t>
  </si>
  <si>
    <t>1 / 3</t>
  </si>
  <si>
    <t>8</t>
  </si>
  <si>
    <t>Eniten vastustajan nollapelejä kaudessa</t>
  </si>
  <si>
    <t>Eniten jäähyjä kaudessa meille</t>
  </si>
  <si>
    <t>Eniten jäähyjä kaudessa vastustajille</t>
  </si>
  <si>
    <t>Eniten päästettyjä AV maaleja kaudessa</t>
  </si>
  <si>
    <t>Vähiten päästettyjä AV maaleja kaudessa</t>
  </si>
  <si>
    <t>Eniten päästetyjä YV maaleja kaudessa</t>
  </si>
  <si>
    <t>Vähiten päästettyjä YV maaleja kaudessa</t>
  </si>
  <si>
    <t>Vähiten tehtyjä AV maaleja kaudessa</t>
  </si>
  <si>
    <t>Vähiten tehtyjä YV maaleja kaudessa</t>
  </si>
  <si>
    <t>Vähiten tehtyjä SR maaleja kaudessa</t>
  </si>
  <si>
    <t>Eniten tehtyjä maaleja erässä</t>
  </si>
  <si>
    <t>Paras +/- kaudessa</t>
  </si>
  <si>
    <t>Huonoin +/- kaudessa</t>
  </si>
  <si>
    <t>1 / 1</t>
  </si>
  <si>
    <t>5 (3.erä)</t>
  </si>
  <si>
    <t>PaPeNu - SekTa</t>
  </si>
  <si>
    <t>3 - 9</t>
  </si>
  <si>
    <t>5 (1.erä)</t>
  </si>
  <si>
    <t>10</t>
  </si>
  <si>
    <t>-6</t>
  </si>
  <si>
    <t>Voitot</t>
  </si>
  <si>
    <t>Häviöt</t>
  </si>
  <si>
    <t>Tasapelit</t>
  </si>
  <si>
    <t>13</t>
  </si>
  <si>
    <t>TM</t>
  </si>
  <si>
    <t>150. Maali</t>
  </si>
  <si>
    <t>Kausi 2006-2007 (V-div)</t>
  </si>
  <si>
    <t>Kausi 2007-2008 (IV-div)</t>
  </si>
  <si>
    <t>10.02</t>
  </si>
  <si>
    <t>(Mauri Kurri, Matias Mäkilä)</t>
  </si>
  <si>
    <t>(Kaj Engblom, Juha Laakso)</t>
  </si>
  <si>
    <r>
      <rPr>
        <b/>
        <sz val="11"/>
        <color indexed="8"/>
        <rFont val="Calibri"/>
        <family val="2"/>
      </rPr>
      <t>4  - 7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(1-2)</t>
    </r>
  </si>
  <si>
    <r>
      <rPr>
        <b/>
        <sz val="11"/>
        <color indexed="8"/>
        <rFont val="Calibri"/>
        <family val="2"/>
      </rPr>
      <t>7 - 4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(1-0)</t>
    </r>
  </si>
  <si>
    <t>2.82</t>
  </si>
  <si>
    <t>Räntämäen Liikuntakeskus, Turku</t>
  </si>
  <si>
    <t>SB-Areena, Turku</t>
  </si>
  <si>
    <t>Maijamäen Liikuntahalli, Naantali</t>
  </si>
  <si>
    <t>HALLITILASTOT</t>
  </si>
  <si>
    <t>KAUSI 2006-2007 V-Div</t>
  </si>
  <si>
    <t>KAUSI 2007-2008 IV-Div</t>
  </si>
  <si>
    <t>Wankers - SekTa</t>
  </si>
  <si>
    <t>3 - 2</t>
  </si>
  <si>
    <t>SekTa - SB Naantali</t>
  </si>
  <si>
    <t>4 - 9</t>
  </si>
  <si>
    <t>0.09</t>
  </si>
  <si>
    <t>TuWe - SekTa</t>
  </si>
  <si>
    <t>4 - 3</t>
  </si>
  <si>
    <t>42.50</t>
  </si>
  <si>
    <t>Phantoms - SekTa</t>
  </si>
  <si>
    <t>4 - 1</t>
  </si>
  <si>
    <t>35.50</t>
  </si>
  <si>
    <t>AFC 6 - SekTa</t>
  </si>
  <si>
    <t>2 - 4</t>
  </si>
  <si>
    <t>SekTa - Wankers</t>
  </si>
  <si>
    <t>10 - 3</t>
  </si>
  <si>
    <t>9</t>
  </si>
  <si>
    <t>6 (3.erä)</t>
  </si>
  <si>
    <t>5 (2.erä)</t>
  </si>
  <si>
    <t>TBM - SekTa</t>
  </si>
  <si>
    <t>8 - 5</t>
  </si>
  <si>
    <t>Maijamäen palloiluhalli</t>
  </si>
  <si>
    <t>-5</t>
  </si>
  <si>
    <t>07-08</t>
  </si>
  <si>
    <t>06-07</t>
  </si>
  <si>
    <t>10.2.2008</t>
  </si>
  <si>
    <t>MARATON TAULUKKO</t>
  </si>
  <si>
    <t>Jaakko Toivola</t>
  </si>
  <si>
    <t>Oskari Nurmisto</t>
  </si>
  <si>
    <t>RL TORJUNNAT</t>
  </si>
  <si>
    <t>TYHJÄ MAALI</t>
  </si>
  <si>
    <t>Kaj Engblom</t>
  </si>
  <si>
    <t>Juho Niiles</t>
  </si>
  <si>
    <t>Tero Hällfors</t>
  </si>
  <si>
    <t>27</t>
  </si>
  <si>
    <t>6</t>
  </si>
  <si>
    <t>5</t>
  </si>
  <si>
    <t>-2</t>
  </si>
  <si>
    <t>17</t>
  </si>
  <si>
    <t>Vastustajan hitain 1. maali</t>
  </si>
  <si>
    <t>Eniten päästettyjä maaleja / o</t>
  </si>
  <si>
    <t>Eniten jäähyjä meille / o</t>
  </si>
  <si>
    <t>Eniten päästettyjä maaleja / e</t>
  </si>
  <si>
    <t>Eniten tehtyjä maaleja / e</t>
  </si>
  <si>
    <t>Eniten jäähyjä vst:lle / o</t>
  </si>
  <si>
    <t>"Hitain" 1. maali</t>
  </si>
  <si>
    <t>Eniten tasavajaalla päästettyjä maaleja / k</t>
  </si>
  <si>
    <t>Eniten maaleja / o</t>
  </si>
  <si>
    <t>Vastustajan "hitain" 1. maali</t>
  </si>
  <si>
    <t>Vst:n "nopein" maali (alussa)</t>
  </si>
  <si>
    <t>"Nopein" maali (alussa)</t>
  </si>
  <si>
    <t>ENNÄTYKSET KAUDESSA:</t>
  </si>
  <si>
    <t>ENNÄTYKSET OTTELUSSA:</t>
  </si>
  <si>
    <t>2007-2008</t>
  </si>
  <si>
    <t>SekTa - TBM</t>
  </si>
  <si>
    <t>6 - 6</t>
  </si>
  <si>
    <t>GAA</t>
  </si>
  <si>
    <t>Ville Mertamo</t>
  </si>
  <si>
    <t>Pienin GAA kaudessa</t>
  </si>
  <si>
    <t>ENNÄTYKSET ERÄSSÄ:</t>
  </si>
  <si>
    <t>Vähiten RL kaudessa</t>
  </si>
  <si>
    <t>Eniten vastustajan RL kaudessa</t>
  </si>
  <si>
    <t>Vähiten vastustajan RL kaudessa</t>
  </si>
  <si>
    <t>Eniten päästettyjä SR maaleja kaudessa</t>
  </si>
  <si>
    <t>Vähiten päästettyjä SR maaleja kaudessa</t>
  </si>
  <si>
    <t>Vähiten hattutemppuja kaudessa</t>
  </si>
  <si>
    <t>Vähiten tasavaajalla päästettyjä maaleja / k</t>
  </si>
  <si>
    <t>Eniten o missä vain me ilman rng / k</t>
  </si>
  <si>
    <t>Vähiten o missä vain me ilman rng / k</t>
  </si>
  <si>
    <t>(Toukola, Aaltonen)</t>
  </si>
  <si>
    <t>(Engblom, Nurmisto)</t>
  </si>
  <si>
    <t>Eniten o missä vst ilman rng / k</t>
  </si>
  <si>
    <t>Vähiten o missä vst ilman rng / k</t>
  </si>
  <si>
    <t>Vähiten otteluita ilman rng / k</t>
  </si>
  <si>
    <t>Eniten otteluita ilman rng / k</t>
  </si>
  <si>
    <t>Vähiten TV tehtyjä maaleja / k</t>
  </si>
  <si>
    <t>Eniten TV tehtyjä maaleja / k</t>
  </si>
  <si>
    <t>SekTa - AFC 6</t>
  </si>
  <si>
    <t>V-Divisioona</t>
  </si>
  <si>
    <t>KAUSI 2008-2009</t>
  </si>
  <si>
    <t>0.10</t>
  </si>
  <si>
    <t>SekTa - Eligere</t>
  </si>
  <si>
    <t>8 - 4</t>
  </si>
  <si>
    <t>(Jaakko Toivola, Matias Mäkilä)</t>
  </si>
  <si>
    <t>FBC Turku 3 - SekTa</t>
  </si>
  <si>
    <t>3 - 11</t>
  </si>
  <si>
    <t>SekTa - Salamanders 2</t>
  </si>
  <si>
    <t>11 - 4</t>
  </si>
  <si>
    <t>Sport Garden, Turku</t>
  </si>
  <si>
    <t>(Ville Suominen)</t>
  </si>
  <si>
    <t>SekTa - FBC Parainen</t>
  </si>
  <si>
    <t>4 - 5</t>
  </si>
  <si>
    <t>Kilosport, Paimio</t>
  </si>
  <si>
    <t>41.53</t>
  </si>
  <si>
    <t>SBS Wirmo 2 - SekTa</t>
  </si>
  <si>
    <t>Laurin Koulu, Mynämäki</t>
  </si>
  <si>
    <t>SekTa - Yrmyt</t>
  </si>
  <si>
    <t>8 - 1</t>
  </si>
  <si>
    <t>Salamanders 2 - SekTa</t>
  </si>
  <si>
    <t>1 - 13</t>
  </si>
  <si>
    <t>3 - 5</t>
  </si>
  <si>
    <t>Sport Garden</t>
  </si>
  <si>
    <t>7 (3.erä)</t>
  </si>
  <si>
    <t>SekTa - Pyövelit</t>
  </si>
  <si>
    <t>1 - 3</t>
  </si>
  <si>
    <t>Pyövelit - SekTa</t>
  </si>
  <si>
    <t>4 - 2</t>
  </si>
  <si>
    <t>08-09</t>
  </si>
  <si>
    <t>Vähiten nollapelejä kaudessa</t>
  </si>
  <si>
    <t>Vähiten vastustajan nollapelejä kaudessa</t>
  </si>
  <si>
    <t>8min</t>
  </si>
  <si>
    <t>(4x 2min)</t>
  </si>
  <si>
    <t>35min/7kpl</t>
  </si>
  <si>
    <t>39min/5kpl</t>
  </si>
  <si>
    <t>(5x 2min, 1x 5min 1x 20min)</t>
  </si>
  <si>
    <t>(2x 2min, 1x 10min 1x 5min 1x 20min)</t>
  </si>
  <si>
    <t>37min/8kpl</t>
  </si>
  <si>
    <t>KAUSI 2008-2009 V-Div</t>
  </si>
  <si>
    <t>[KAUSI 2007-2008 IV-Divisioona] (KAUSI 2006-2007 V-Divisioona)</t>
  </si>
  <si>
    <r>
      <t>1</t>
    </r>
    <r>
      <rPr>
        <i/>
        <sz val="11"/>
        <color indexed="8"/>
        <rFont val="Calibri"/>
        <family val="2"/>
      </rPr>
      <t xml:space="preserve"> [1] (0)</t>
    </r>
  </si>
  <si>
    <r>
      <t>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</si>
  <si>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t>Mikko Paasikivi</t>
  </si>
  <si>
    <r>
      <t>1/1</t>
    </r>
    <r>
      <rPr>
        <i/>
        <sz val="11"/>
        <color indexed="8"/>
        <rFont val="Calibri"/>
        <family val="2"/>
      </rPr>
      <t xml:space="preserve"> [0] (0)</t>
    </r>
  </si>
  <si>
    <r>
      <t>0</t>
    </r>
    <r>
      <rPr>
        <i/>
        <sz val="11"/>
        <color indexed="8"/>
        <rFont val="Calibri"/>
        <family val="2"/>
      </rPr>
      <t xml:space="preserve"> [1/1] (0)</t>
    </r>
  </si>
  <si>
    <t>Sampsa Leinonen</t>
  </si>
  <si>
    <t>Jori Murto</t>
  </si>
  <si>
    <t>62</t>
  </si>
  <si>
    <t>40</t>
  </si>
  <si>
    <t>47</t>
  </si>
  <si>
    <t>34</t>
  </si>
  <si>
    <t>24</t>
  </si>
  <si>
    <t>38</t>
  </si>
  <si>
    <t>32</t>
  </si>
  <si>
    <t>28</t>
  </si>
  <si>
    <t>45</t>
  </si>
  <si>
    <t>15</t>
  </si>
  <si>
    <t>200. Maali</t>
  </si>
  <si>
    <t>Kausi 2008-2009 (V-div)</t>
  </si>
  <si>
    <t>37.50</t>
  </si>
  <si>
    <t>(Ville Suominen, Matias Mäkilä)</t>
  </si>
  <si>
    <t>250. Maali</t>
  </si>
  <si>
    <t>5.49</t>
  </si>
  <si>
    <t>(Mika Aaltonen, Kaj Engblom)</t>
  </si>
  <si>
    <t>2008-2009</t>
  </si>
  <si>
    <t>18min</t>
  </si>
  <si>
    <t>3+4</t>
  </si>
  <si>
    <t>Eligere - SekTa</t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</si>
  <si>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(1)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</si>
  <si>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 (6)</t>
    </r>
  </si>
  <si>
    <r>
      <rPr>
        <b/>
        <i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</si>
  <si>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40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</si>
  <si>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 (35)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</si>
  <si>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</si>
  <si>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16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</si>
  <si>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</si>
  <si>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(11)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</si>
  <si>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</si>
  <si>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8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</si>
  <si>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(7)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</si>
  <si>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(12)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</si>
  <si>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</si>
  <si>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</si>
  <si>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</si>
  <si>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(1)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</si>
  <si>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(7)</t>
    </r>
  </si>
  <si>
    <r>
      <rPr>
        <b/>
        <sz val="11"/>
        <color indexed="8"/>
        <rFont val="Calibri"/>
        <family val="2"/>
      </rPr>
      <t>30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(25)</t>
    </r>
  </si>
  <si>
    <r>
      <rPr>
        <b/>
        <sz val="11"/>
        <color indexed="8"/>
        <rFont val="Calibri"/>
        <family val="2"/>
      </rPr>
      <t>14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</si>
  <si>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</si>
  <si>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</si>
  <si>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(3)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</si>
  <si>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[8] (0)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</si>
  <si>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[12] (10)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</si>
  <si>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[7] 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</si>
  <si>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7] (5)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</si>
  <si>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 (14)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</si>
  <si>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 (0)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</si>
  <si>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5] (17)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</si>
  <si>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5] (6)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</si>
  <si>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(2)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</si>
  <si>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</si>
  <si>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</si>
  <si>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</si>
  <si>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(2)</t>
    </r>
  </si>
  <si>
    <r>
      <rPr>
        <b/>
        <sz val="11"/>
        <color indexed="8"/>
        <rFont val="Calibri"/>
        <family val="2"/>
      </rPr>
      <t>24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(21)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</si>
  <si>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(13)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</si>
  <si>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</si>
  <si>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</si>
  <si>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(2)</t>
    </r>
  </si>
  <si>
    <r>
      <rPr>
        <b/>
        <sz val="11"/>
        <color indexed="8"/>
        <rFont val="Calibri"/>
        <family val="2"/>
      </rPr>
      <t>30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[12] (0)</t>
    </r>
  </si>
  <si>
    <r>
      <rPr>
        <b/>
        <sz val="11"/>
        <color indexed="8"/>
        <rFont val="Calibri"/>
        <family val="2"/>
      </rPr>
      <t>8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[9]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</si>
  <si>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[7] (21)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</si>
  <si>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(0)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</si>
  <si>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</si>
  <si>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[4] (0)</t>
    </r>
  </si>
  <si>
    <r>
      <rPr>
        <b/>
        <sz val="11"/>
        <color indexed="8"/>
        <rFont val="Calibri"/>
        <family val="2"/>
      </rPr>
      <t>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(5)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</si>
  <si>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3] (4)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</si>
  <si>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</si>
  <si>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2] 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</si>
  <si>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2] (0)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</si>
  <si>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</si>
  <si>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(5)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</si>
  <si>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</si>
  <si>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 (6)</t>
    </r>
  </si>
  <si>
    <r>
      <rPr>
        <b/>
        <sz val="11"/>
        <color indexed="8"/>
        <rFont val="Calibri"/>
        <family val="2"/>
      </rPr>
      <t>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</si>
  <si>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</si>
  <si>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(5)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</si>
  <si>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(4)</t>
    </r>
  </si>
  <si>
    <r>
      <rPr>
        <b/>
        <sz val="11"/>
        <color indexed="8"/>
        <rFont val="Calibri"/>
        <family val="2"/>
      </rPr>
      <t>11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</si>
  <si>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10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</si>
  <si>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6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</si>
  <si>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</si>
  <si>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[18]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</si>
  <si>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(18)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</si>
  <si>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</si>
  <si>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</si>
  <si>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</si>
  <si>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(19)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</si>
  <si>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(21)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</si>
  <si>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</si>
  <si>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(14)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</si>
  <si>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</si>
  <si>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 (0)</t>
    </r>
  </si>
  <si>
    <r>
      <rPr>
        <b/>
        <sz val="11"/>
        <color indexed="8"/>
        <rFont val="Calibri"/>
        <family val="2"/>
      </rPr>
      <t>16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</si>
  <si>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</si>
  <si>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</si>
  <si>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</si>
  <si>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</si>
  <si>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 (0)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</si>
  <si>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(16)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</si>
  <si>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(15)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</si>
  <si>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</si>
  <si>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</si>
  <si>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 (5)</t>
    </r>
  </si>
  <si>
    <r>
      <rPr>
        <b/>
        <sz val="11"/>
        <color indexed="8"/>
        <rFont val="Calibri"/>
        <family val="2"/>
      </rPr>
      <t>16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</si>
  <si>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</si>
  <si>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18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</si>
  <si>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</si>
  <si>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</si>
  <si>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</si>
  <si>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</si>
  <si>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[2] (4)</t>
    </r>
  </si>
  <si>
    <r>
      <rPr>
        <b/>
        <sz val="11"/>
        <color indexed="8"/>
        <rFont val="Calibri"/>
        <family val="2"/>
      </rPr>
      <t>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</si>
  <si>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 (0)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</si>
  <si>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</si>
  <si>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</si>
  <si>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</si>
  <si>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</si>
  <si>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</si>
  <si>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</si>
  <si>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</si>
  <si>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</si>
  <si>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(1 /1)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</si>
  <si>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(0/1)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</si>
  <si>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</si>
  <si>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 (2)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</si>
  <si>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</si>
  <si>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</si>
  <si>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2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</si>
  <si>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</si>
  <si>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</si>
  <si>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</si>
  <si>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</si>
  <si>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1] (1)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</si>
  <si>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(5)</t>
    </r>
  </si>
  <si>
    <r>
      <rPr>
        <b/>
        <sz val="11"/>
        <color indexed="8"/>
        <rFont val="Calibri"/>
        <family val="2"/>
      </rPr>
      <t xml:space="preserve">0 </t>
    </r>
    <r>
      <rPr>
        <i/>
        <sz val="11"/>
        <color indexed="8"/>
        <rFont val="Calibri"/>
        <family val="2"/>
      </rPr>
      <t>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</si>
  <si>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</si>
  <si>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83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</si>
  <si>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[34]</t>
    </r>
    <r>
      <rPr>
        <i/>
        <sz val="11"/>
        <color indexed="8"/>
        <rFont val="Calibri"/>
        <family val="2"/>
      </rPr>
      <t xml:space="preserve"> (56)</t>
    </r>
  </si>
  <si>
    <r>
      <rPr>
        <b/>
        <sz val="11"/>
        <color indexed="8"/>
        <rFont val="Calibri"/>
        <family val="2"/>
      </rPr>
      <t>43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(38)</t>
    </r>
  </si>
  <si>
    <r>
      <rPr>
        <b/>
        <sz val="11"/>
        <color indexed="8"/>
        <rFont val="Calibri"/>
        <family val="2"/>
      </rPr>
      <t>23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</si>
  <si>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55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</si>
  <si>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32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</si>
  <si>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(49)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</si>
  <si>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</si>
  <si>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</si>
  <si>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</si>
  <si>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41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(39)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</si>
  <si>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(18)</t>
    </r>
  </si>
  <si>
    <r>
      <rPr>
        <b/>
        <sz val="11"/>
        <color indexed="8"/>
        <rFont val="Calibri"/>
        <family val="2"/>
      </rPr>
      <t>42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</si>
  <si>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(35)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</si>
  <si>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</si>
  <si>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</si>
  <si>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</si>
  <si>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43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(33)</t>
    </r>
  </si>
  <si>
    <r>
      <rPr>
        <b/>
        <sz val="11"/>
        <color indexed="8"/>
        <rFont val="Calibri"/>
        <family val="2"/>
      </rPr>
      <t>24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</si>
  <si>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</si>
  <si>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</si>
  <si>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</si>
  <si>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38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</si>
  <si>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</si>
  <si>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35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34]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</si>
  <si>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</si>
  <si>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</si>
  <si>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(8)</t>
    </r>
  </si>
  <si>
    <r>
      <rPr>
        <b/>
        <sz val="11"/>
        <color indexed="8"/>
        <rFont val="Calibri"/>
        <family val="2"/>
      </rPr>
      <t>17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</si>
  <si>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</si>
  <si>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</si>
  <si>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[20]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</si>
  <si>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13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[19]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(12)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</si>
  <si>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</si>
  <si>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16]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</si>
  <si>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</si>
  <si>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</si>
  <si>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</si>
  <si>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(19)</t>
    </r>
  </si>
  <si>
    <r>
      <rPr>
        <b/>
        <sz val="11"/>
        <color indexed="8"/>
        <rFont val="Calibri"/>
        <family val="2"/>
      </rPr>
      <t>21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(17)</t>
    </r>
  </si>
  <si>
    <r>
      <rPr>
        <b/>
        <sz val="11"/>
        <color indexed="8"/>
        <rFont val="Calibri"/>
        <family val="2"/>
      </rPr>
      <t xml:space="preserve">0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</si>
  <si>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</si>
  <si>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(3)</t>
    </r>
  </si>
  <si>
    <r>
      <rPr>
        <b/>
        <sz val="11"/>
        <color indexed="8"/>
        <rFont val="Calibri"/>
        <family val="2"/>
      </rPr>
      <t>14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</si>
  <si>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12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(15)</t>
    </r>
  </si>
  <si>
    <r>
      <rPr>
        <b/>
        <sz val="11"/>
        <color indexed="8"/>
        <rFont val="Calibri"/>
        <family val="2"/>
      </rPr>
      <t>48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</si>
  <si>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26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(23)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</si>
  <si>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(22)</t>
    </r>
  </si>
  <si>
    <r>
      <rPr>
        <b/>
        <sz val="11"/>
        <color indexed="8"/>
        <rFont val="Calibri"/>
        <family val="2"/>
      </rPr>
      <t>20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</si>
  <si>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4]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</si>
  <si>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19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[3]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</si>
  <si>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(6)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</si>
  <si>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(-1)</t>
    </r>
  </si>
  <si>
    <r>
      <rPr>
        <b/>
        <sz val="11"/>
        <color indexed="8"/>
        <rFont val="Calibri"/>
        <family val="2"/>
      </rPr>
      <t>15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(13)</t>
    </r>
  </si>
  <si>
    <r>
      <rPr>
        <b/>
        <sz val="11"/>
        <color indexed="8"/>
        <rFont val="Calibri"/>
        <family val="2"/>
      </rPr>
      <t>22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(16)</t>
    </r>
  </si>
  <si>
    <r>
      <rPr>
        <b/>
        <sz val="11"/>
        <color indexed="8"/>
        <rFont val="Calibri"/>
        <family val="2"/>
      </rPr>
      <t>24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</si>
  <si>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35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</si>
  <si>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</t>
    </r>
    <r>
      <rPr>
        <i/>
        <sz val="11"/>
        <color indexed="8"/>
        <rFont val="Calibri"/>
        <family val="2"/>
      </rPr>
      <t>-2]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(13)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</si>
  <si>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[-3] (1)</t>
    </r>
  </si>
  <si>
    <r>
      <rPr>
        <b/>
        <sz val="11"/>
        <color indexed="8"/>
        <rFont val="Calibri"/>
        <family val="2"/>
      </rPr>
      <t>9</t>
    </r>
    <r>
      <rPr>
        <i/>
        <sz val="11"/>
        <color indexed="8"/>
        <rFont val="Calibri"/>
        <family val="2"/>
      </rPr>
      <t xml:space="preserve"> [-4] (5)</t>
    </r>
  </si>
  <si>
    <r>
      <rPr>
        <b/>
        <sz val="11"/>
        <color indexed="8"/>
        <rFont val="Calibri"/>
        <family val="2"/>
      </rPr>
      <t>32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</si>
  <si>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[-5]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</si>
  <si>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11</t>
    </r>
    <r>
      <rPr>
        <i/>
        <sz val="11"/>
        <color indexed="8"/>
        <rFont val="Calibri"/>
        <family val="2"/>
      </rPr>
      <t xml:space="preserve"> [-6] (7)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</si>
  <si>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[-8]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</si>
  <si>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[-</t>
    </r>
    <r>
      <rPr>
        <i/>
        <sz val="11"/>
        <color indexed="8"/>
        <rFont val="Calibri"/>
        <family val="2"/>
      </rPr>
      <t>10]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(27)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</si>
  <si>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[-11]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(20)</t>
    </r>
  </si>
  <si>
    <r>
      <rPr>
        <b/>
        <sz val="11"/>
        <color indexed="8"/>
        <rFont val="Calibri"/>
        <family val="2"/>
      </rPr>
      <t>4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[-7]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</si>
  <si>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</si>
  <si>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[2]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(0)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</si>
  <si>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(4)</t>
    </r>
  </si>
  <si>
    <r>
      <rPr>
        <b/>
        <sz val="11"/>
        <color indexed="8"/>
        <rFont val="Calibri"/>
        <family val="2"/>
      </rPr>
      <t>1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[0]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</si>
  <si>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4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</si>
  <si>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3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[1]</t>
    </r>
    <r>
      <rPr>
        <i/>
        <sz val="11"/>
        <color indexed="8"/>
        <rFont val="Calibri"/>
        <family val="2"/>
      </rPr>
      <t xml:space="preserve"> </t>
    </r>
    <r>
      <rPr>
        <i/>
        <sz val="11"/>
        <color indexed="8"/>
        <rFont val="Calibri"/>
        <family val="2"/>
      </rPr>
      <t>(1)</t>
    </r>
  </si>
  <si>
    <r>
      <rPr>
        <b/>
        <sz val="11"/>
        <color indexed="8"/>
        <rFont val="Calibri"/>
        <family val="2"/>
      </rPr>
      <t>2.31</t>
    </r>
    <r>
      <rPr>
        <i/>
        <sz val="11"/>
        <color indexed="8"/>
        <rFont val="Calibri"/>
        <family val="2"/>
      </rPr>
      <t xml:space="preserve"> [4.3] (2.82)</t>
    </r>
  </si>
  <si>
    <r>
      <rPr>
        <b/>
        <sz val="11"/>
        <color indexed="8"/>
        <rFont val="Calibri"/>
        <family val="2"/>
      </rPr>
      <t xml:space="preserve">4.0 </t>
    </r>
    <r>
      <rPr>
        <i/>
        <sz val="11"/>
        <color indexed="8"/>
        <rFont val="Calibri"/>
        <family val="2"/>
      </rPr>
      <t>[0]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</si>
  <si>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[4.13] (0)</t>
    </r>
  </si>
  <si>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 xml:space="preserve"> [0] (0)</t>
    </r>
  </si>
  <si>
    <t>( 30m/13o )</t>
  </si>
  <si>
    <t>2.31</t>
  </si>
  <si>
    <t>( 24m/8,5o)</t>
  </si>
  <si>
    <t>1+4</t>
  </si>
  <si>
    <t>2min</t>
  </si>
  <si>
    <t>Kaikki, joilla jäähyjä</t>
  </si>
  <si>
    <t>1x5min</t>
  </si>
  <si>
    <t>SekTa - Ponteva</t>
  </si>
  <si>
    <t>Ponteva - SekTa</t>
  </si>
  <si>
    <t>2 - 5</t>
  </si>
  <si>
    <t>Sheriffs 3 - SekTa</t>
  </si>
  <si>
    <t>2 - 6</t>
  </si>
  <si>
    <t>Ei SR-Maaleja</t>
  </si>
  <si>
    <t>Ei AV-Maaleja</t>
  </si>
  <si>
    <t>1 / 2</t>
  </si>
  <si>
    <t>EI TM-Maaleja</t>
  </si>
  <si>
    <t>3.14</t>
  </si>
  <si>
    <t>4.0</t>
  </si>
  <si>
    <t>4.13</t>
  </si>
  <si>
    <t>Ottelut</t>
  </si>
  <si>
    <t>Pelaajat</t>
  </si>
  <si>
    <t>#2</t>
  </si>
  <si>
    <t>#3</t>
  </si>
  <si>
    <t>#4</t>
  </si>
  <si>
    <t>#5</t>
  </si>
  <si>
    <t>#9</t>
  </si>
  <si>
    <t>#10</t>
  </si>
  <si>
    <t>#17</t>
  </si>
  <si>
    <t>#19</t>
  </si>
  <si>
    <t>#44</t>
  </si>
  <si>
    <t>#69</t>
  </si>
  <si>
    <t>#81</t>
  </si>
  <si>
    <t>#82</t>
  </si>
  <si>
    <t>Samuli Sutinen</t>
  </si>
  <si>
    <t>Jussi Vuoria (MV)</t>
  </si>
  <si>
    <t>Matias Mäkilä (C)</t>
  </si>
  <si>
    <t>M</t>
  </si>
  <si>
    <t>S</t>
  </si>
  <si>
    <t>J</t>
  </si>
  <si>
    <t>OM</t>
  </si>
  <si>
    <t>Me</t>
  </si>
  <si>
    <t>2 + 2 + 2</t>
  </si>
  <si>
    <t>2 + 2</t>
  </si>
  <si>
    <t>YV</t>
  </si>
  <si>
    <t>ÅIK - SekTa</t>
  </si>
  <si>
    <t>SekTa - AFC Campus 6</t>
  </si>
  <si>
    <t>Vst</t>
  </si>
  <si>
    <t>SekTa - LeVi</t>
  </si>
  <si>
    <t>AV</t>
  </si>
  <si>
    <t>#45</t>
  </si>
  <si>
    <t>Ottelunumero:</t>
  </si>
  <si>
    <t>SekTa - UHW Bulls</t>
  </si>
  <si>
    <t>Team 17 - SekTa</t>
  </si>
  <si>
    <t>AFC Campus 6 - SekTa</t>
  </si>
  <si>
    <t>SekTa - ÅIK</t>
  </si>
  <si>
    <t>UHW Bulls - SekTa</t>
  </si>
  <si>
    <t>Voitetut erät</t>
  </si>
  <si>
    <t>Erät Tasan</t>
  </si>
  <si>
    <t>Hävityt erät</t>
  </si>
  <si>
    <t>RL+</t>
  </si>
  <si>
    <t>RL-</t>
  </si>
  <si>
    <t>Leaf Areena</t>
  </si>
  <si>
    <t>(Mika Aaltonen, Niko Nynäs)</t>
  </si>
  <si>
    <t>10 - 2</t>
  </si>
  <si>
    <t>1.00</t>
  </si>
  <si>
    <t>31.02</t>
  </si>
  <si>
    <t>(Sampsa Leinonen, Kaj Engblom)</t>
  </si>
  <si>
    <t>40.59</t>
  </si>
  <si>
    <t>3 - 1</t>
  </si>
  <si>
    <t>9 - 7</t>
  </si>
  <si>
    <t>0 - 11</t>
  </si>
  <si>
    <t>Hemmingin Koulu, Masku</t>
  </si>
  <si>
    <t>7 - 9</t>
  </si>
  <si>
    <t>13min/5kpl</t>
  </si>
  <si>
    <t>(4x 2min, 1x 5min)</t>
  </si>
  <si>
    <t>4 (1.erä)</t>
  </si>
  <si>
    <t>4 (3.erä)</t>
  </si>
  <si>
    <t>7 - 5</t>
  </si>
  <si>
    <t>8 (3.erä)</t>
  </si>
  <si>
    <t>-11</t>
  </si>
  <si>
    <t>6 - 2</t>
  </si>
  <si>
    <t>KAUSI 2009-2010 IV-Div</t>
  </si>
  <si>
    <t>Leaf Areena, Turku</t>
  </si>
  <si>
    <t>09-10</t>
  </si>
  <si>
    <t>55</t>
  </si>
  <si>
    <t>2 / 3</t>
  </si>
  <si>
    <t>YHTEENSÄ:</t>
  </si>
  <si>
    <t>2009-2010</t>
  </si>
  <si>
    <t>15min</t>
  </si>
  <si>
    <t>3+1</t>
  </si>
  <si>
    <t>1+3</t>
  </si>
  <si>
    <t>300. Maali</t>
  </si>
  <si>
    <t>350. Maali</t>
  </si>
  <si>
    <t>Kausi 2009-2010 (IV-div)</t>
  </si>
  <si>
    <t>4.30</t>
  </si>
  <si>
    <r>
      <t>4 - 3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(3-3)</t>
    </r>
  </si>
  <si>
    <r>
      <t>3 - 11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indexed="8"/>
        <rFont val="Calibri"/>
        <family val="2"/>
      </rPr>
      <t>(1-2)</t>
    </r>
  </si>
  <si>
    <r>
      <t xml:space="preserve">7 - 9  </t>
    </r>
    <r>
      <rPr>
        <i/>
        <sz val="11"/>
        <color indexed="8"/>
        <rFont val="Calibri"/>
        <family val="2"/>
      </rPr>
      <t>(0-2)</t>
    </r>
  </si>
  <si>
    <t>8.20</t>
  </si>
  <si>
    <t>SekTa - Team17</t>
  </si>
  <si>
    <r>
      <t xml:space="preserve">4 - 3  </t>
    </r>
    <r>
      <rPr>
        <i/>
        <sz val="11"/>
        <color indexed="8"/>
        <rFont val="Calibri"/>
        <family val="2"/>
      </rPr>
      <t>(1-0)</t>
    </r>
  </si>
  <si>
    <t>(Ville Suominen, Jori Murto)</t>
  </si>
  <si>
    <t>puuttuu :(</t>
  </si>
  <si>
    <t>Mikko Paajanen</t>
  </si>
  <si>
    <t>2.00</t>
  </si>
  <si>
    <t>Mikko Loikkanen</t>
  </si>
  <si>
    <t>(32m/8o)</t>
  </si>
  <si>
    <t>(51m/9o)</t>
  </si>
  <si>
    <t>4.00</t>
  </si>
  <si>
    <t>5.67</t>
  </si>
  <si>
    <t>( 2m/1o )</t>
  </si>
  <si>
    <r>
      <t>{</t>
    </r>
    <r>
      <rPr>
        <b/>
        <sz val="11"/>
        <color indexed="8"/>
        <rFont val="Calibri"/>
        <family val="2"/>
      </rPr>
      <t xml:space="preserve">1/2} </t>
    </r>
    <r>
      <rPr>
        <i/>
        <sz val="11"/>
        <color indexed="8"/>
        <rFont val="Calibri"/>
        <family val="2"/>
      </rPr>
      <t>[0] (0)</t>
    </r>
  </si>
  <si>
    <r>
      <t>{</t>
    </r>
    <r>
      <rPr>
        <b/>
        <sz val="11"/>
        <color indexed="8"/>
        <rFont val="Calibri"/>
        <family val="2"/>
      </rPr>
      <t>0</t>
    </r>
    <r>
      <rPr>
        <i/>
        <sz val="11"/>
        <color indexed="8"/>
        <rFont val="Calibri"/>
        <family val="2"/>
      </rPr>
      <t>} [0/1] (0)</t>
    </r>
  </si>
  <si>
    <t>P</t>
  </si>
  <si>
    <t>RL</t>
  </si>
  <si>
    <t>Ratkaisu</t>
  </si>
  <si>
    <t>Hattu</t>
  </si>
  <si>
    <t>Kausi 10-11</t>
  </si>
  <si>
    <t>SU - SekTa</t>
  </si>
  <si>
    <r>
      <t xml:space="preserve">0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6</t>
    </r>
  </si>
  <si>
    <r>
      <t>(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)</t>
    </r>
  </si>
  <si>
    <t>El Pantera - SekTa</t>
  </si>
  <si>
    <r>
      <t xml:space="preserve">3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4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</si>
  <si>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)</t>
    </r>
  </si>
  <si>
    <t>SekTa - SU</t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</si>
  <si>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</si>
  <si>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r>
      <t>4</t>
    </r>
    <r>
      <rPr>
        <b/>
        <sz val="11"/>
        <rFont val="Calibri"/>
        <family val="2"/>
      </rPr>
      <t xml:space="preserve"> 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</t>
    </r>
  </si>
  <si>
    <t>2 + 2 + 2 + 2</t>
  </si>
  <si>
    <t>SekTa - Ruoska 3</t>
  </si>
  <si>
    <r>
      <t>6</t>
    </r>
    <r>
      <rPr>
        <b/>
        <sz val="11"/>
        <rFont val="Calibri"/>
        <family val="2"/>
      </rPr>
      <t xml:space="preserve"> 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</t>
    </r>
  </si>
  <si>
    <r>
      <t>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5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</t>
    </r>
  </si>
  <si>
    <t>SBS Lieto 3 - SekTa</t>
  </si>
  <si>
    <r>
      <t>3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 xml:space="preserve"> </t>
    </r>
    <r>
      <rPr>
        <sz val="11"/>
        <color indexed="12"/>
        <rFont val="Calibri"/>
        <family val="2"/>
      </rPr>
      <t>3</t>
    </r>
  </si>
  <si>
    <r>
      <t>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</si>
  <si>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t>SekTa - KiU</t>
  </si>
  <si>
    <r>
      <t xml:space="preserve">13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4</t>
    </r>
  </si>
  <si>
    <r>
      <t>(</t>
    </r>
    <r>
      <rPr>
        <sz val="11"/>
        <color indexed="17"/>
        <rFont val="Calibri"/>
        <family val="2"/>
      </rPr>
      <t>6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</t>
    </r>
  </si>
  <si>
    <t>SekTa - KemKi</t>
  </si>
  <si>
    <r>
      <t xml:space="preserve">1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6</t>
    </r>
  </si>
  <si>
    <r>
      <t>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)</t>
    </r>
  </si>
  <si>
    <t>SR</t>
  </si>
  <si>
    <t>Ruoska 2 - SekTa</t>
  </si>
  <si>
    <r>
      <t xml:space="preserve">4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3</t>
    </r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</si>
  <si>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)</t>
    </r>
  </si>
  <si>
    <t>SekTa - KoKa</t>
  </si>
  <si>
    <r>
      <t>8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3</t>
    </r>
  </si>
  <si>
    <r>
      <t>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)</t>
    </r>
  </si>
  <si>
    <t>Ruoska 3 - SekTa</t>
  </si>
  <si>
    <r>
      <t xml:space="preserve">5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6</t>
    </r>
  </si>
  <si>
    <r>
      <t>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</si>
  <si>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2x YV</t>
  </si>
  <si>
    <t>SekTa - SBS Lieto 3</t>
  </si>
  <si>
    <r>
      <t xml:space="preserve">4 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 xml:space="preserve"> 6</t>
    </r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</si>
  <si>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)</t>
    </r>
  </si>
  <si>
    <t>2xRL-</t>
  </si>
  <si>
    <t>2xYV</t>
  </si>
  <si>
    <t>SoVo - SekTa</t>
  </si>
  <si>
    <r>
      <t>2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6</t>
    </r>
  </si>
  <si>
    <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</t>
    </r>
  </si>
  <si>
    <t>KoKa - SekTa</t>
  </si>
  <si>
    <r>
      <t>3</t>
    </r>
    <r>
      <rPr>
        <b/>
        <sz val="11"/>
        <color indexed="17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</t>
    </r>
    <r>
      <rPr>
        <b/>
        <sz val="11"/>
        <color indexed="12"/>
        <rFont val="Calibri"/>
        <family val="2"/>
      </rPr>
      <t>3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</si>
  <si>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</t>
    </r>
  </si>
  <si>
    <t>SekTa - Ruoska 2</t>
  </si>
  <si>
    <r>
      <t>5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17"/>
        <rFont val="Calibri"/>
        <family val="2"/>
      </rPr>
      <t>4</t>
    </r>
  </si>
  <si>
    <r>
      <t>(</t>
    </r>
    <r>
      <rPr>
        <sz val="11"/>
        <color indexed="17"/>
        <rFont val="Calibri"/>
        <family val="2"/>
      </rPr>
      <t>4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0</t>
    </r>
    <r>
      <rPr>
        <sz val="11"/>
        <rFont val="Calibri"/>
        <family val="2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rFont val="Calibri"/>
        <family val="2"/>
      </rPr>
      <t>)</t>
    </r>
  </si>
  <si>
    <t>2 + 2 + 5 + 20</t>
  </si>
  <si>
    <t>2 + 5</t>
  </si>
  <si>
    <t>SekTa - El Pantera</t>
  </si>
  <si>
    <r>
      <t>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) (</t>
    </r>
    <r>
      <rPr>
        <sz val="11"/>
        <color indexed="17"/>
        <rFont val="Calibri"/>
        <family val="2"/>
      </rPr>
      <t>3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</t>
    </r>
  </si>
  <si>
    <t>KemKi - SekTa</t>
  </si>
  <si>
    <r>
      <t>3</t>
    </r>
    <r>
      <rPr>
        <sz val="11"/>
        <rFont val="Calibri"/>
        <family val="2"/>
      </rPr>
      <t xml:space="preserve"> -</t>
    </r>
    <r>
      <rPr>
        <sz val="11"/>
        <color indexed="17"/>
        <rFont val="Calibri"/>
        <family val="2"/>
      </rPr>
      <t xml:space="preserve"> </t>
    </r>
    <r>
      <rPr>
        <sz val="11"/>
        <color indexed="12"/>
        <rFont val="Calibri"/>
        <family val="2"/>
      </rPr>
      <t>3</t>
    </r>
  </si>
  <si>
    <r>
      <t>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0</t>
    </r>
    <r>
      <rPr>
        <sz val="11"/>
        <color theme="1"/>
        <rFont val="Calibri"/>
        <family val="2"/>
        <scheme val="minor"/>
      </rPr>
      <t>) (</t>
    </r>
    <r>
      <rPr>
        <sz val="11"/>
        <color indexed="12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2"/>
        <rFont val="Calibri"/>
        <family val="2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rFont val="Calibri"/>
        <family val="2"/>
      </rPr>
      <t>)</t>
    </r>
  </si>
  <si>
    <t>IM</t>
  </si>
  <si>
    <t>KiU - SekTa</t>
  </si>
  <si>
    <t>SekTa - SoVo</t>
  </si>
  <si>
    <t>#14</t>
  </si>
  <si>
    <t>Matti Salonen</t>
  </si>
  <si>
    <t>#23</t>
  </si>
  <si>
    <t>Lasse Saarnio</t>
  </si>
  <si>
    <t>#11</t>
  </si>
  <si>
    <t>Juuso Helander</t>
  </si>
  <si>
    <t>#75</t>
  </si>
  <si>
    <t>#50</t>
  </si>
  <si>
    <t>Tuukka Mettälä</t>
  </si>
  <si>
    <t>MV</t>
  </si>
  <si>
    <t>Kausi</t>
  </si>
  <si>
    <t>Voitto%</t>
  </si>
  <si>
    <t>Maalit+</t>
  </si>
  <si>
    <t>Maalit-</t>
  </si>
  <si>
    <t>Rangaistukset</t>
  </si>
  <si>
    <t>Vastustajan Rangaistukset</t>
  </si>
  <si>
    <t>Rangaistuslaukaukset</t>
  </si>
  <si>
    <t>yht</t>
  </si>
  <si>
    <t xml:space="preserve">me </t>
  </si>
  <si>
    <t>vst</t>
  </si>
  <si>
    <t>Tehdyt erikoistilannemaalit</t>
  </si>
  <si>
    <t>TV</t>
  </si>
  <si>
    <t>Päästetyt erikoistilannemaalit</t>
  </si>
  <si>
    <t>Nollapelit</t>
  </si>
  <si>
    <t>Ottelut ilman rangaistuksia</t>
  </si>
  <si>
    <t>Oma maali</t>
  </si>
  <si>
    <t>me</t>
  </si>
  <si>
    <t>Pelkästään ME ilman rangaistuksia</t>
  </si>
  <si>
    <t>Pelkästään VST ilman rangaistuksia</t>
  </si>
  <si>
    <t>10-11</t>
  </si>
  <si>
    <t>IV-Div</t>
  </si>
  <si>
    <t>V-Div</t>
  </si>
  <si>
    <t>2/3</t>
  </si>
  <si>
    <t>1/2</t>
  </si>
  <si>
    <t>0/1</t>
  </si>
  <si>
    <t>1/3</t>
  </si>
  <si>
    <t>5min</t>
  </si>
  <si>
    <t>20min</t>
  </si>
  <si>
    <t>1/4</t>
  </si>
  <si>
    <t>KAUSI 2010-2011</t>
  </si>
  <si>
    <t>13 - 4</t>
  </si>
  <si>
    <t>4 - 6</t>
  </si>
  <si>
    <t>29min/4kpl</t>
  </si>
  <si>
    <t>5 - 4</t>
  </si>
  <si>
    <t>(2x 2min, 1x 5min, 1x 20min)</t>
  </si>
  <si>
    <t>8min/4kpl</t>
  </si>
  <si>
    <t>(4x 2min) (vst:lle 2x RL- ja 2xYV-maali)</t>
  </si>
  <si>
    <t>Halikon Liikuntahalli</t>
  </si>
  <si>
    <t>(4x 2min) (vst:lle RL+)</t>
  </si>
  <si>
    <t>6 (1.erä)</t>
  </si>
  <si>
    <t>3 (2.erä)</t>
  </si>
  <si>
    <t>3 (3.erä)</t>
  </si>
  <si>
    <t>5 -  6</t>
  </si>
  <si>
    <t>0:25</t>
  </si>
  <si>
    <t>(Lasse Saarnio, Mika Aaltonen)</t>
  </si>
  <si>
    <t>1:36</t>
  </si>
  <si>
    <t>Taalintehtaan Liikuntahalli</t>
  </si>
  <si>
    <t>18.12</t>
  </si>
  <si>
    <t>5 - 6</t>
  </si>
  <si>
    <t>Lietohalli, Lieto</t>
  </si>
  <si>
    <t>24.21</t>
  </si>
  <si>
    <t>(Kaj Engblom)</t>
  </si>
  <si>
    <t>1 / 4</t>
  </si>
  <si>
    <t>Hattutemppuja</t>
  </si>
  <si>
    <t>Halikon Liikuntahalli, Salo</t>
  </si>
  <si>
    <t>Taalintehtaan Liikuntahalli, Kemiö</t>
  </si>
  <si>
    <t>KAUSI 2010-2011 IV-Div</t>
  </si>
  <si>
    <t>3/4 torj</t>
  </si>
  <si>
    <t>PELAAJAT</t>
  </si>
  <si>
    <t>Maalit</t>
  </si>
  <si>
    <t>Syötöt</t>
  </si>
  <si>
    <t>Pisteet</t>
  </si>
  <si>
    <t>RL Torjunnat</t>
  </si>
  <si>
    <t>Ratkaisumaalit</t>
  </si>
  <si>
    <t>Hattutemput</t>
  </si>
  <si>
    <t>YV-Maalit</t>
  </si>
  <si>
    <t>3/4</t>
  </si>
  <si>
    <t>400. Maali</t>
  </si>
  <si>
    <t>Kausi 2010-2011 (IV-div)</t>
  </si>
  <si>
    <t>15.22</t>
  </si>
  <si>
    <t>Ruoska 3 -  SekTa</t>
  </si>
  <si>
    <r>
      <t xml:space="preserve">5 - 6  </t>
    </r>
    <r>
      <rPr>
        <i/>
        <sz val="11"/>
        <color indexed="8"/>
        <rFont val="Calibri"/>
        <family val="2"/>
      </rPr>
      <t>(3-0) yv.</t>
    </r>
  </si>
  <si>
    <t>2010-2011</t>
  </si>
  <si>
    <t>3+2</t>
  </si>
  <si>
    <t xml:space="preserve">13 - 4 </t>
  </si>
  <si>
    <t>8 - 3</t>
  </si>
  <si>
    <t>3 / 4</t>
  </si>
  <si>
    <t>( 7m/2o)</t>
  </si>
  <si>
    <t>( 47m/14o)</t>
  </si>
  <si>
    <t>3,36</t>
  </si>
  <si>
    <t>3,5</t>
  </si>
  <si>
    <r>
      <t xml:space="preserve">5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10</t>
    </r>
  </si>
  <si>
    <r>
      <t>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4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 (</t>
    </r>
    <r>
      <rPr>
        <sz val="11"/>
        <color indexed="10"/>
        <rFont val="Calibri"/>
        <family val="2"/>
      </rPr>
      <t>2</t>
    </r>
    <r>
      <rPr>
        <sz val="11"/>
        <rFont val="Calibri"/>
        <family val="2"/>
      </rPr>
      <t>-</t>
    </r>
    <r>
      <rPr>
        <sz val="11"/>
        <color indexed="10"/>
        <rFont val="Calibri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</si>
  <si>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 xml:space="preserve">10 </t>
    </r>
    <r>
      <rPr>
        <b/>
        <sz val="11"/>
        <rFont val="Calibri"/>
        <family val="2"/>
      </rPr>
      <t>-</t>
    </r>
    <r>
      <rPr>
        <b/>
        <sz val="11"/>
        <color indexed="17"/>
        <rFont val="Calibri"/>
        <family val="2"/>
      </rPr>
      <t xml:space="preserve"> 2</t>
    </r>
  </si>
  <si>
    <r>
      <t>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7"/>
        <rFont val="Calibri"/>
        <family val="2"/>
      </rPr>
      <t>0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2</t>
    </r>
    <r>
      <rPr>
        <sz val="11"/>
        <color theme="1"/>
        <rFont val="Calibri"/>
        <family val="2"/>
        <scheme val="minor"/>
      </rPr>
      <t>) (</t>
    </r>
    <r>
      <rPr>
        <sz val="11"/>
        <color indexed="17"/>
        <rFont val="Calibri"/>
        <family val="2"/>
      </rPr>
      <t>1</t>
    </r>
    <r>
      <rPr>
        <sz val="11"/>
        <rFont val="Calibri"/>
        <family val="2"/>
      </rPr>
      <t>-</t>
    </r>
    <r>
      <rPr>
        <sz val="11"/>
        <color indexed="17"/>
        <rFont val="Calibri"/>
        <family val="2"/>
      </rPr>
      <t>6</t>
    </r>
    <r>
      <rPr>
        <sz val="11"/>
        <color theme="1"/>
        <rFont val="Calibri"/>
        <family val="2"/>
        <scheme val="minor"/>
      </rPr>
      <t>)</t>
    </r>
  </si>
  <si>
    <t>5 - 10</t>
  </si>
  <si>
    <t>2 - 10</t>
  </si>
  <si>
    <t>KiU -  SekTa</t>
  </si>
  <si>
    <t>2 / 2</t>
  </si>
  <si>
    <t>14min</t>
  </si>
  <si>
    <t>4+2</t>
  </si>
  <si>
    <t>2/2</t>
  </si>
  <si>
    <t>( 59m/16o)</t>
  </si>
  <si>
    <t>3,69</t>
  </si>
  <si>
    <t>Kausi 11-12</t>
  </si>
  <si>
    <t>SekTa - Ryhti</t>
  </si>
  <si>
    <t>#1</t>
  </si>
  <si>
    <t>Hilden Hans (MV)</t>
  </si>
  <si>
    <t>TA-631 - SekTa</t>
  </si>
  <si>
    <t>9 - 3</t>
  </si>
  <si>
    <t>2x AV</t>
  </si>
  <si>
    <t>4x YV</t>
  </si>
  <si>
    <t>SBS Masku 2 - SekTa</t>
  </si>
  <si>
    <t>3 - 0</t>
  </si>
  <si>
    <t>#22</t>
  </si>
  <si>
    <t>SekTa - AFC Campus 4</t>
  </si>
  <si>
    <t>FBC TSP - SekTa</t>
  </si>
  <si>
    <t>Grim Reapers - SekTa</t>
  </si>
  <si>
    <t>Musketeers - SekTa</t>
  </si>
  <si>
    <t>6x 2min + 5min + 20min</t>
  </si>
  <si>
    <t>7x 2min + 5min + 20min</t>
  </si>
  <si>
    <t>2x YV + 2x TV</t>
  </si>
  <si>
    <t>Kilosport, Turku</t>
  </si>
  <si>
    <r>
      <rPr>
        <b/>
        <sz val="11"/>
        <color indexed="10"/>
        <rFont val="Calibri"/>
        <family val="2"/>
      </rPr>
      <t xml:space="preserve">3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8</t>
    </r>
  </si>
  <si>
    <t>Leaf-Areena, Turku</t>
  </si>
  <si>
    <t>SekTa - Bulls</t>
  </si>
  <si>
    <t>26.11.2011</t>
  </si>
  <si>
    <t>11.12.2011</t>
  </si>
  <si>
    <t>3x 2min + 5min + 20min</t>
  </si>
  <si>
    <t>2 + 2x 5min + 2x 20min</t>
  </si>
  <si>
    <t>21.1.2012</t>
  </si>
  <si>
    <t>Ryhti - SekTa</t>
  </si>
  <si>
    <t>3x 2min</t>
  </si>
  <si>
    <t>2x 2min</t>
  </si>
  <si>
    <t>SekTa - TA-631</t>
  </si>
  <si>
    <t>SekTa - SBS Masku 2</t>
  </si>
  <si>
    <r>
      <rPr>
        <b/>
        <sz val="11"/>
        <color indexed="10"/>
        <rFont val="Calibri"/>
        <family val="2"/>
      </rPr>
      <t xml:space="preserve">4 </t>
    </r>
    <r>
      <rPr>
        <b/>
        <sz val="11"/>
        <rFont val="Calibri"/>
        <family val="2"/>
      </rPr>
      <t>-</t>
    </r>
    <r>
      <rPr>
        <b/>
        <sz val="11"/>
        <color indexed="10"/>
        <rFont val="Calibri"/>
        <family val="2"/>
      </rPr>
      <t xml:space="preserve"> 5</t>
    </r>
  </si>
  <si>
    <t>SekTa - FBC TSP</t>
  </si>
  <si>
    <t>4 - 4</t>
  </si>
  <si>
    <t>AFC Campus 4 - SekTa</t>
  </si>
  <si>
    <t>18.2.2012</t>
  </si>
  <si>
    <t>Hemmingin Halli, Masku</t>
  </si>
  <si>
    <t>SekTa - Grim Reapers</t>
  </si>
  <si>
    <t>Team17 - SekTa</t>
  </si>
  <si>
    <t>SekTa - Musketeers</t>
  </si>
  <si>
    <t>17.3.2012</t>
  </si>
  <si>
    <t>Hans Hilden</t>
  </si>
  <si>
    <t>25.9.2011</t>
  </si>
  <si>
    <t>5x 2min + 5min + 20min</t>
  </si>
  <si>
    <t>8.10.2011</t>
  </si>
  <si>
    <t>22.10.2011</t>
  </si>
  <si>
    <t>12.11.2011</t>
  </si>
  <si>
    <t>3 - 3</t>
  </si>
  <si>
    <t>0 - 1</t>
  </si>
  <si>
    <r>
      <t>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</si>
  <si>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  <scheme val="minor"/>
      </rPr>
      <t>0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</si>
  <si>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r>
      <t>(</t>
    </r>
    <r>
      <rPr>
        <sz val="11"/>
        <color rgb="FF0070C0"/>
        <rFont val="Calibri"/>
        <family val="2"/>
        <scheme val="minor"/>
      </rPr>
      <t>1</t>
    </r>
    <r>
      <rPr>
        <sz val="11"/>
        <color rgb="FF0070C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4-4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</si>
  <si>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1-2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</si>
  <si>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3-1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4-1</t>
    </r>
    <r>
      <rPr>
        <sz val="11"/>
        <rFont val="Calibri"/>
        <family val="2"/>
      </rPr>
      <t>)</t>
    </r>
  </si>
  <si>
    <r>
      <t>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3-0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</si>
  <si>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1-1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</si>
  <si>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2-3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</si>
  <si>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1-5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</si>
  <si>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</rPr>
      <t>2-3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</si>
  <si>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</si>
  <si>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</si>
  <si>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</si>
  <si>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5-1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</t>
    </r>
  </si>
  <si>
    <r>
      <t>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</si>
  <si>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1-1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4-3</t>
    </r>
    <r>
      <rPr>
        <sz val="11"/>
        <rFont val="Calibri"/>
        <family val="2"/>
      </rPr>
      <t>)</t>
    </r>
  </si>
  <si>
    <r>
      <t>(</t>
    </r>
    <r>
      <rPr>
        <sz val="11"/>
        <color rgb="FFFF0000"/>
        <rFont val="Calibri"/>
        <family val="2"/>
        <scheme val="minor"/>
      </rPr>
      <t>0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</si>
  <si>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</si>
  <si>
    <t>11-12</t>
  </si>
  <si>
    <t>0/2</t>
  </si>
  <si>
    <t>KAUSI 2011-2012</t>
  </si>
  <si>
    <t>(Kaj Engblom, Mauri Kurri)</t>
  </si>
  <si>
    <t>2.58</t>
  </si>
  <si>
    <t>0.33</t>
  </si>
  <si>
    <t>43.16</t>
  </si>
  <si>
    <t>43.12</t>
  </si>
  <si>
    <t>39min/9kpl</t>
  </si>
  <si>
    <t>(7x 2min, 1x 5min, 1x 20min)</t>
  </si>
  <si>
    <t>52min/5kpl</t>
  </si>
  <si>
    <t>(1x 2min, 2x 5min, 2x 20min)</t>
  </si>
  <si>
    <t>(6x 2min, 1x 5min, 1x 20min) (vst 1xSR)</t>
  </si>
  <si>
    <t>3 - 8</t>
  </si>
  <si>
    <t>+4</t>
  </si>
  <si>
    <t>KAUSI 2011-2012 IV-Div</t>
  </si>
  <si>
    <t>Yhteensä</t>
  </si>
  <si>
    <t>Otteluita</t>
  </si>
  <si>
    <t>(6x 2min, 1x 5min, 1x 20min)</t>
  </si>
  <si>
    <t>(Kaj Enblom, Mauri Kurri)</t>
  </si>
  <si>
    <t>TA-931 - SekTa</t>
  </si>
  <si>
    <t>450. Maali</t>
  </si>
  <si>
    <t>Kausi 2011-2012 (IV-div)</t>
  </si>
  <si>
    <t>27.35</t>
  </si>
  <si>
    <t>(Kaj Engblom, Jori Murto)</t>
  </si>
  <si>
    <r>
      <t xml:space="preserve">4 - 1 </t>
    </r>
    <r>
      <rPr>
        <i/>
        <sz val="11"/>
        <color indexed="8"/>
        <rFont val="Calibri"/>
        <family val="2"/>
      </rPr>
      <t>(2-0)</t>
    </r>
  </si>
  <si>
    <t>500. Maali</t>
  </si>
  <si>
    <t>25.48</t>
  </si>
  <si>
    <r>
      <t>7 - 5</t>
    </r>
    <r>
      <rPr>
        <i/>
        <sz val="11"/>
        <color indexed="8"/>
        <rFont val="Calibri"/>
        <family val="2"/>
      </rPr>
      <t xml:space="preserve"> (6-4)</t>
    </r>
  </si>
  <si>
    <t>(Matti Salonen, Kaj Engblom)</t>
  </si>
  <si>
    <t>2011-2012</t>
  </si>
  <si>
    <t>56min</t>
  </si>
  <si>
    <t>2x2min,5+20min</t>
  </si>
  <si>
    <t>O</t>
  </si>
  <si>
    <t>Ratk</t>
  </si>
  <si>
    <t>0-peli</t>
  </si>
  <si>
    <t>Hans Hilden (MV)</t>
  </si>
  <si>
    <t>2 / 2 t</t>
  </si>
  <si>
    <t>TV-MAALIT</t>
  </si>
  <si>
    <t>KAUSI 2012-2013 V-Div</t>
  </si>
  <si>
    <t>12-13</t>
  </si>
  <si>
    <t>Puuttuvat ottelupöytäkirjat:</t>
  </si>
  <si>
    <t>30.9.2012</t>
  </si>
  <si>
    <t>SekTa - Musketeers 2</t>
  </si>
  <si>
    <t>6 - 3</t>
  </si>
  <si>
    <r>
      <t>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</si>
  <si>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FBT Marlins - SekTa</t>
  </si>
  <si>
    <t>11 - 0</t>
  </si>
  <si>
    <r>
      <t>(</t>
    </r>
    <r>
      <rPr>
        <sz val="11"/>
        <color rgb="FF00B050"/>
        <rFont val="Calibri"/>
        <family val="2"/>
      </rPr>
      <t>0-3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B050"/>
        <rFont val="Calibri"/>
        <family val="2"/>
      </rPr>
      <t>0-6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</t>
    </r>
  </si>
  <si>
    <t>SekTa - SBS Kesäterä</t>
  </si>
  <si>
    <t>20.10.2012</t>
  </si>
  <si>
    <r>
      <t>(</t>
    </r>
    <r>
      <rPr>
        <sz val="11"/>
        <color rgb="FF0070C0"/>
        <rFont val="Calibri"/>
        <family val="2"/>
      </rPr>
      <t>0-0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</t>
    </r>
  </si>
  <si>
    <t>HTV - SekTa</t>
  </si>
  <si>
    <t>2 - 3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</si>
  <si>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</si>
  <si>
    <t>5min + 20min</t>
  </si>
  <si>
    <t>5min + 20min (TOR)</t>
  </si>
  <si>
    <t>SekTa - River Rats</t>
  </si>
  <si>
    <t>3.11.2012</t>
  </si>
  <si>
    <t>6 - 1</t>
  </si>
  <si>
    <r>
      <t>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5-1</t>
    </r>
    <r>
      <rPr>
        <sz val="11"/>
        <rFont val="Calibri"/>
        <family val="2"/>
      </rPr>
      <t>)</t>
    </r>
  </si>
  <si>
    <t>25.11.2012</t>
  </si>
  <si>
    <t>7 - 4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</si>
  <si>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B050"/>
        <rFont val="Calibri"/>
        <family val="2"/>
      </rPr>
      <t>4-2</t>
    </r>
    <r>
      <rPr>
        <sz val="11"/>
        <rFont val="Calibri"/>
        <family val="2"/>
      </rPr>
      <t>)</t>
    </r>
  </si>
  <si>
    <t>HIF - SekTa</t>
  </si>
  <si>
    <t>2 - 1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</si>
  <si>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</si>
  <si>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t>5x 2min</t>
  </si>
  <si>
    <t>8.12.2012</t>
  </si>
  <si>
    <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1-4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</si>
  <si>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10 - 5</t>
  </si>
  <si>
    <r>
      <t>(</t>
    </r>
    <r>
      <rPr>
        <sz val="11"/>
        <color rgb="FF00B050"/>
        <rFont val="Calibri"/>
        <family val="2"/>
        <scheme val="minor"/>
      </rPr>
      <t>5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3</t>
    </r>
    <r>
      <rPr>
        <sz val="11"/>
        <color rgb="FFFF0000"/>
        <rFont val="Calibri"/>
        <family val="2"/>
      </rPr>
      <t>-4</t>
    </r>
    <r>
      <rPr>
        <sz val="11"/>
        <color theme="1"/>
        <rFont val="Calibri"/>
        <family val="2"/>
        <scheme val="minor"/>
      </rPr>
      <t>)</t>
    </r>
  </si>
  <si>
    <t>SekTa - HIF</t>
  </si>
  <si>
    <t>5.1.2013</t>
  </si>
  <si>
    <r>
      <t>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1-4</t>
    </r>
    <r>
      <rPr>
        <sz val="11"/>
        <rFont val="Calibri"/>
        <family val="2"/>
      </rPr>
      <t>)</t>
    </r>
  </si>
  <si>
    <t>19.1.2013</t>
  </si>
  <si>
    <r>
      <t>(</t>
    </r>
    <r>
      <rPr>
        <sz val="11"/>
        <color rgb="FF00B050"/>
        <rFont val="Calibri"/>
        <family val="2"/>
      </rPr>
      <t>1-2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</t>
    </r>
  </si>
  <si>
    <t>3x 2min + 10min</t>
  </si>
  <si>
    <t>6 - 4</t>
  </si>
  <si>
    <r>
      <t>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</t>
    </r>
  </si>
  <si>
    <t>2.2.2013</t>
  </si>
  <si>
    <r>
      <t>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3-2</t>
    </r>
    <r>
      <rPr>
        <sz val="11"/>
        <rFont val="Calibri"/>
        <family val="2"/>
      </rPr>
      <t>)</t>
    </r>
  </si>
  <si>
    <t>6x 2min</t>
  </si>
  <si>
    <t>5min + 10min</t>
  </si>
  <si>
    <t>River Rats - SekTa</t>
  </si>
  <si>
    <t>7 - 3</t>
  </si>
  <si>
    <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5-0</t>
    </r>
    <r>
      <rPr>
        <sz val="11"/>
        <rFont val="Calibri"/>
        <family val="2"/>
      </rPr>
      <t>)</t>
    </r>
  </si>
  <si>
    <t>Musketeers 2 - SekTa</t>
  </si>
  <si>
    <t>17.2.2013</t>
  </si>
  <si>
    <t>2 - 14</t>
  </si>
  <si>
    <r>
      <t>(</t>
    </r>
    <r>
      <rPr>
        <sz val="11"/>
        <color rgb="FF00B050"/>
        <rFont val="Calibri"/>
        <family val="2"/>
      </rPr>
      <t>1-7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1-4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0-4</t>
    </r>
    <r>
      <rPr>
        <sz val="11"/>
        <rFont val="Calibri"/>
        <family val="2"/>
      </rPr>
      <t>)</t>
    </r>
  </si>
  <si>
    <t>SekTa - HTV</t>
  </si>
  <si>
    <t>SekTa - FBT Marlins</t>
  </si>
  <si>
    <t>23.3.2013</t>
  </si>
  <si>
    <t>SBS Kesäterä - SekTa</t>
  </si>
  <si>
    <t>2 - 2</t>
  </si>
  <si>
    <r>
      <t>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</rPr>
      <t>0-2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</si>
  <si>
    <t>Esa Mäki (MV)</t>
  </si>
  <si>
    <t>Henrik Lehtonen</t>
  </si>
  <si>
    <t>#55</t>
  </si>
  <si>
    <t>#8</t>
  </si>
  <si>
    <t>Esa Saarnio</t>
  </si>
  <si>
    <t>Esa Mäki</t>
  </si>
  <si>
    <t>Mika Aaltonen (C)</t>
  </si>
  <si>
    <t>#52</t>
  </si>
  <si>
    <t>Aki Kuntonen</t>
  </si>
  <si>
    <t>IV-DIV</t>
  </si>
  <si>
    <t>KAUSI 2012-2013</t>
  </si>
  <si>
    <t>V-DIV</t>
  </si>
  <si>
    <t>0.26</t>
  </si>
  <si>
    <t>(Lasse Saarnio, -)</t>
  </si>
  <si>
    <t>2.41</t>
  </si>
  <si>
    <t>24.35</t>
  </si>
  <si>
    <t>(Aki Kuntonen, Kaj Engblom)</t>
  </si>
  <si>
    <t>39.36</t>
  </si>
  <si>
    <t>14</t>
  </si>
  <si>
    <t>27min/8kpl</t>
  </si>
  <si>
    <t>(6x 2min, 1x 5min, 1x 10min)</t>
  </si>
  <si>
    <t>10min/5kpl</t>
  </si>
  <si>
    <t>(5x 2min)</t>
  </si>
  <si>
    <t>25min/2kpl</t>
  </si>
  <si>
    <t>(5min + 20min)</t>
  </si>
  <si>
    <t>7 (1.erä)</t>
  </si>
  <si>
    <t>+12</t>
  </si>
  <si>
    <t>-4</t>
  </si>
  <si>
    <t>550. Maali</t>
  </si>
  <si>
    <t>Kausi 2012-2013 (V-div)</t>
  </si>
  <si>
    <t>600. Maali</t>
  </si>
  <si>
    <t>27.34</t>
  </si>
  <si>
    <r>
      <t xml:space="preserve">7 - 4 </t>
    </r>
    <r>
      <rPr>
        <i/>
        <sz val="11"/>
        <color indexed="8"/>
        <rFont val="Calibri"/>
        <family val="2"/>
      </rPr>
      <t>(3-2)</t>
    </r>
  </si>
  <si>
    <t>(Matti Salonen, Lasse Saarnio)</t>
  </si>
  <si>
    <t>5.23</t>
  </si>
  <si>
    <r>
      <t>2 - 14</t>
    </r>
    <r>
      <rPr>
        <i/>
        <sz val="11"/>
        <color indexed="8"/>
        <rFont val="Calibri"/>
        <family val="2"/>
      </rPr>
      <t xml:space="preserve"> (3-0)</t>
    </r>
  </si>
  <si>
    <t>2012-2013</t>
  </si>
  <si>
    <t>1+5</t>
  </si>
  <si>
    <t>( 7 kautta )</t>
  </si>
  <si>
    <t>Esa Mäki/Jussi Vuoria</t>
  </si>
  <si>
    <t>Ei RL:a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</si>
  <si>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0</t>
    </r>
    <r>
      <rPr>
        <sz val="11"/>
        <color rgb="FFFF0000"/>
        <rFont val="Calibri"/>
        <family val="2"/>
      </rPr>
      <t>-3</t>
    </r>
    <r>
      <rPr>
        <sz val="11"/>
        <rFont val="Calibri"/>
        <family val="2"/>
        <scheme val="minor"/>
      </rPr>
      <t>)</t>
    </r>
  </si>
  <si>
    <t>2X 2min + 10min</t>
  </si>
  <si>
    <t>1/1</t>
  </si>
  <si>
    <t>63min</t>
  </si>
  <si>
    <t>7 / 10</t>
  </si>
  <si>
    <t>Kausi 12-13</t>
  </si>
  <si>
    <t>Kausi 13-14</t>
  </si>
  <si>
    <t>Joukkue</t>
  </si>
  <si>
    <t>V</t>
  </si>
  <si>
    <t>T</t>
  </si>
  <si>
    <t>H</t>
  </si>
  <si>
    <t>PM</t>
  </si>
  <si>
    <t>ME</t>
  </si>
  <si>
    <t>1.</t>
  </si>
  <si>
    <t>TVA</t>
  </si>
  <si>
    <t>2.</t>
  </si>
  <si>
    <t>TVV</t>
  </si>
  <si>
    <t>3.</t>
  </si>
  <si>
    <t>FBC Turku 2</t>
  </si>
  <si>
    <t>4.</t>
  </si>
  <si>
    <t>KIK</t>
  </si>
  <si>
    <t>5.</t>
  </si>
  <si>
    <t>6.</t>
  </si>
  <si>
    <t>SC WOLVES</t>
  </si>
  <si>
    <t>7.</t>
  </si>
  <si>
    <t>Gremlins</t>
  </si>
  <si>
    <t>8.</t>
  </si>
  <si>
    <t>SB Naantali 2</t>
  </si>
  <si>
    <t>9.</t>
  </si>
  <si>
    <t>PIF</t>
  </si>
  <si>
    <t>10.</t>
  </si>
  <si>
    <t>TPS 2</t>
  </si>
  <si>
    <t>SekTa - FBC Turku 2</t>
  </si>
  <si>
    <t>29.9.2013</t>
  </si>
  <si>
    <t>0 - 7</t>
  </si>
  <si>
    <t>TVA - SekTa</t>
  </si>
  <si>
    <t>19.10.2013</t>
  </si>
  <si>
    <t>x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</si>
  <si>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3-1</t>
    </r>
    <r>
      <rPr>
        <sz val="11"/>
        <rFont val="Calibri"/>
        <family val="2"/>
      </rPr>
      <t>)</t>
    </r>
  </si>
  <si>
    <t>SekTa - TVV</t>
  </si>
  <si>
    <t>19.10.2013 SekTa - TVV</t>
  </si>
  <si>
    <t>2.11.2013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</si>
  <si>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2-1</t>
    </r>
    <r>
      <rPr>
        <sz val="11"/>
        <rFont val="Calibri"/>
        <family val="2"/>
      </rPr>
      <t>)</t>
    </r>
  </si>
  <si>
    <t>SekTa - Gremlins</t>
  </si>
  <si>
    <t>23.11.2013</t>
  </si>
  <si>
    <t>Punt, Parainen</t>
  </si>
  <si>
    <r>
      <t>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2-2</t>
    </r>
    <r>
      <rPr>
        <sz val="11"/>
        <rFont val="Calibri"/>
        <family val="2"/>
      </rPr>
      <t>)</t>
    </r>
  </si>
  <si>
    <t>KIK - SekTa</t>
  </si>
  <si>
    <r>
      <t>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-0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-1</t>
    </r>
    <r>
      <rPr>
        <sz val="11"/>
        <color theme="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</si>
  <si>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PIF - SekTa</t>
  </si>
  <si>
    <t>1.12.2013</t>
  </si>
  <si>
    <r>
      <t>(</t>
    </r>
    <r>
      <rPr>
        <sz val="11"/>
        <color rgb="FF00B05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0-3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</si>
  <si>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15.12.2013</t>
  </si>
  <si>
    <r>
      <t>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4-3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3-1</t>
    </r>
    <r>
      <rPr>
        <sz val="11"/>
        <rFont val="Calibri"/>
        <family val="2"/>
      </rPr>
      <t>)</t>
    </r>
  </si>
  <si>
    <t>SekTa - TVA</t>
  </si>
  <si>
    <t>7 - 11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</si>
  <si>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-3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  <scheme val="minor"/>
      </rPr>
      <t>2</t>
    </r>
    <r>
      <rPr>
        <sz val="11"/>
        <color rgb="FFFF0000"/>
        <rFont val="Calibri"/>
        <family val="2"/>
      </rPr>
      <t>-6</t>
    </r>
    <r>
      <rPr>
        <sz val="11"/>
        <color theme="1"/>
        <rFont val="Calibri"/>
        <family val="2"/>
        <scheme val="minor"/>
      </rPr>
      <t>)</t>
    </r>
  </si>
  <si>
    <t>TVV - SekTa</t>
  </si>
  <si>
    <t>11.1.2014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</si>
  <si>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</t>
    </r>
  </si>
  <si>
    <t>TPS2 - SekTa</t>
  </si>
  <si>
    <t>25.1.2014</t>
  </si>
  <si>
    <r>
      <t>(</t>
    </r>
    <r>
      <rPr>
        <sz val="11"/>
        <color rgb="FF00B050"/>
        <rFont val="Calibri"/>
        <family val="2"/>
      </rPr>
      <t>1-4</t>
    </r>
    <r>
      <rPr>
        <sz val="11"/>
        <color theme="1"/>
        <rFont val="Calibri"/>
        <family val="2"/>
        <scheme val="minor"/>
      </rPr>
      <t>)</t>
    </r>
    <r>
      <rPr>
        <sz val="11"/>
        <color indexed="17"/>
        <rFont val="Calibri"/>
        <family val="2"/>
      </rPr>
      <t xml:space="preserve"> </t>
    </r>
    <r>
      <rPr>
        <sz val="11"/>
        <rFont val="Calibri"/>
        <family val="2"/>
      </rPr>
      <t>(</t>
    </r>
    <r>
      <rPr>
        <sz val="11"/>
        <color rgb="FF0070C0"/>
        <rFont val="Calibri"/>
        <family val="2"/>
      </rPr>
      <t>1-1</t>
    </r>
    <r>
      <rPr>
        <sz val="11"/>
        <rFont val="Calibri"/>
        <family val="2"/>
      </rPr>
      <t>) (</t>
    </r>
    <r>
      <rPr>
        <sz val="11"/>
        <color rgb="FF0070C0"/>
        <rFont val="Calibri"/>
        <family val="2"/>
      </rPr>
      <t>0-0</t>
    </r>
    <r>
      <rPr>
        <sz val="11"/>
        <rFont val="Calibri"/>
        <family val="2"/>
      </rPr>
      <t>)</t>
    </r>
  </si>
  <si>
    <t>FBC Turku 2 - SekTa</t>
  </si>
  <si>
    <r>
      <t>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</t>
    </r>
  </si>
  <si>
    <t>Gremlins - SekTa</t>
  </si>
  <si>
    <t>9.2.2014</t>
  </si>
  <si>
    <t>Maijamäen LH, Naantali</t>
  </si>
  <si>
    <r>
      <t>(</t>
    </r>
    <r>
      <rPr>
        <sz val="11"/>
        <color rgb="FF00B05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2-1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1-3</t>
    </r>
    <r>
      <rPr>
        <sz val="11"/>
        <rFont val="Calibri"/>
        <family val="2"/>
      </rPr>
      <t>)</t>
    </r>
  </si>
  <si>
    <t>4x 2min</t>
  </si>
  <si>
    <t>YV, TM</t>
  </si>
  <si>
    <t>SekTa - PIF</t>
  </si>
  <si>
    <t>22.2.2014</t>
  </si>
  <si>
    <r>
      <t>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7-0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2-0</t>
    </r>
    <r>
      <rPr>
        <sz val="11"/>
        <rFont val="Calibri"/>
        <family val="2"/>
      </rPr>
      <t>)</t>
    </r>
  </si>
  <si>
    <t>2x SR</t>
  </si>
  <si>
    <t>FBC Parainen - SekTa</t>
  </si>
  <si>
    <t>3 - 4</t>
  </si>
  <si>
    <r>
      <t>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1-0</t>
    </r>
    <r>
      <rPr>
        <sz val="11"/>
        <rFont val="Calibri"/>
        <family val="2"/>
      </rPr>
      <t>) (</t>
    </r>
    <r>
      <rPr>
        <sz val="11"/>
        <color rgb="FF00B050"/>
        <rFont val="Calibri"/>
        <family val="2"/>
      </rPr>
      <t>1-2</t>
    </r>
    <r>
      <rPr>
        <sz val="11"/>
        <rFont val="Calibri"/>
        <family val="2"/>
      </rPr>
      <t>)</t>
    </r>
  </si>
  <si>
    <t>SekTa - KIK</t>
  </si>
  <si>
    <t>2.3.2014</t>
  </si>
  <si>
    <t>Maijamäaen LH, Naantali</t>
  </si>
  <si>
    <r>
      <t>(</t>
    </r>
    <r>
      <rPr>
        <sz val="11"/>
        <color rgb="FFFF0000"/>
        <rFont val="Calibri"/>
        <family val="2"/>
        <scheme val="minor"/>
      </rPr>
      <t>1</t>
    </r>
    <r>
      <rPr>
        <sz val="11"/>
        <color rgb="FFFF0000"/>
        <rFont val="Calibri"/>
        <family val="2"/>
      </rPr>
      <t>-3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0</t>
    </r>
    <r>
      <rPr>
        <sz val="11"/>
        <color rgb="FF0070C0"/>
        <rFont val="Calibri"/>
        <family val="2"/>
      </rPr>
      <t>-0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FF0000"/>
        <rFont val="Calibri"/>
        <family val="2"/>
      </rPr>
      <t>1-3</t>
    </r>
    <r>
      <rPr>
        <sz val="11"/>
        <rFont val="Calibri"/>
        <family val="2"/>
      </rPr>
      <t>)</t>
    </r>
  </si>
  <si>
    <t>SB Naantali 2 - SekTa</t>
  </si>
  <si>
    <t>15.3.2014</t>
  </si>
  <si>
    <t>8 - 8</t>
  </si>
  <si>
    <r>
      <t>(</t>
    </r>
    <r>
      <rPr>
        <sz val="11"/>
        <color rgb="FFFF0000"/>
        <rFont val="Calibri"/>
        <family val="2"/>
        <scheme val="minor"/>
      </rPr>
      <t>5</t>
    </r>
    <r>
      <rPr>
        <sz val="11"/>
        <color rgb="FFFF0000"/>
        <rFont val="Calibri"/>
        <family val="2"/>
      </rPr>
      <t>-1</t>
    </r>
    <r>
      <rPr>
        <sz val="11"/>
        <rFont val="Calibri"/>
        <family val="2"/>
        <scheme val="minor"/>
      </rPr>
      <t>) (</t>
    </r>
    <r>
      <rPr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</rPr>
      <t>-2</t>
    </r>
    <r>
      <rPr>
        <sz val="1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1</t>
    </r>
    <r>
      <rPr>
        <sz val="11"/>
        <color rgb="FF00B050"/>
        <rFont val="Calibri"/>
        <family val="2"/>
      </rPr>
      <t>-5</t>
    </r>
    <r>
      <rPr>
        <sz val="11"/>
        <rFont val="Calibri"/>
        <family val="2"/>
        <scheme val="minor"/>
      </rPr>
      <t>)</t>
    </r>
  </si>
  <si>
    <t>SekTa - TPS 2</t>
  </si>
  <si>
    <t>8 - 7</t>
  </si>
  <si>
    <r>
      <t>(</t>
    </r>
    <r>
      <rPr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 (</t>
    </r>
    <r>
      <rPr>
        <sz val="11"/>
        <color rgb="FFFF0000"/>
        <rFont val="Calibri"/>
        <family val="2"/>
      </rPr>
      <t>2-3</t>
    </r>
    <r>
      <rPr>
        <sz val="11"/>
        <color theme="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4</t>
    </r>
    <r>
      <rPr>
        <sz val="11"/>
        <color rgb="FF00B050"/>
        <rFont val="Calibri"/>
        <family val="2"/>
      </rPr>
      <t>-2</t>
    </r>
    <r>
      <rPr>
        <sz val="11"/>
        <color theme="1"/>
        <rFont val="Calibri"/>
        <family val="2"/>
        <scheme val="minor"/>
      </rPr>
      <t>)</t>
    </r>
  </si>
  <si>
    <r>
      <t>(</t>
    </r>
    <r>
      <rPr>
        <sz val="11"/>
        <color rgb="FFFF0000"/>
        <rFont val="Calibri"/>
        <family val="2"/>
      </rPr>
      <t>0-2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0-1</t>
    </r>
    <r>
      <rPr>
        <sz val="11"/>
        <rFont val="Calibri"/>
        <family val="2"/>
      </rPr>
      <t>) (</t>
    </r>
    <r>
      <rPr>
        <sz val="11"/>
        <color rgb="FFFF0000"/>
        <rFont val="Calibri"/>
        <family val="2"/>
      </rPr>
      <t>0-4</t>
    </r>
    <r>
      <rPr>
        <sz val="11"/>
        <rFont val="Calibri"/>
        <family val="2"/>
      </rPr>
      <t>)</t>
    </r>
  </si>
  <si>
    <r>
      <rPr>
        <sz val="11"/>
        <rFont val="Calibri"/>
        <family val="2"/>
        <scheme val="minor"/>
      </rPr>
      <t>(</t>
    </r>
    <r>
      <rPr>
        <sz val="11"/>
        <rFont val="Calibri"/>
        <family val="2"/>
      </rPr>
      <t>x-x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(x-x) (x-x)</t>
    </r>
  </si>
  <si>
    <t>Eriä Yhteensä</t>
  </si>
  <si>
    <t>(3 puuttuu)</t>
  </si>
  <si>
    <t>Ville Koivisto</t>
  </si>
  <si>
    <t>Sami Pöllänen</t>
  </si>
  <si>
    <t>Atte Nieminen</t>
  </si>
  <si>
    <t>KAUSI 2013-2014</t>
  </si>
  <si>
    <t>13-14</t>
  </si>
  <si>
    <t>0.43</t>
  </si>
  <si>
    <t>TPS 2 - SekTa</t>
  </si>
  <si>
    <t>(Mika Aaltonen, - [AV])</t>
  </si>
  <si>
    <t>2min jäähy pelin alussa pelin viivyttäminen</t>
  </si>
  <si>
    <t>0.16</t>
  </si>
  <si>
    <t>42.01</t>
  </si>
  <si>
    <t>(Samuli Sutinen, Mika Aaltonen)</t>
  </si>
  <si>
    <t>36.01</t>
  </si>
  <si>
    <t>7 (2.erä)</t>
  </si>
  <si>
    <t>+11</t>
  </si>
  <si>
    <t>-7</t>
  </si>
  <si>
    <t>KAUSI 2013-2014 IV-Div</t>
  </si>
  <si>
    <t>(1 Luovutusvoitto AFC Campus 5 Kilosportilla)</t>
  </si>
  <si>
    <r>
      <t>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-1</t>
    </r>
    <r>
      <rPr>
        <sz val="11"/>
        <rFont val="Calibri"/>
        <family val="2"/>
        <scheme val="minor"/>
      </rPr>
      <t>) (</t>
    </r>
    <r>
      <rPr>
        <sz val="11"/>
        <color rgb="FF00B050"/>
        <rFont val="Calibri"/>
        <family val="2"/>
        <scheme val="minor"/>
      </rPr>
      <t>2</t>
    </r>
    <r>
      <rPr>
        <sz val="11"/>
        <color rgb="FF00B050"/>
        <rFont val="Calibri"/>
        <family val="2"/>
      </rPr>
      <t>-0</t>
    </r>
    <r>
      <rPr>
        <sz val="11"/>
        <rFont val="Calibri"/>
        <family val="2"/>
        <scheme val="minor"/>
      </rPr>
      <t>)</t>
    </r>
    <r>
      <rPr>
        <sz val="11"/>
        <rFont val="Calibri"/>
        <family val="2"/>
      </rPr>
      <t xml:space="preserve"> (</t>
    </r>
    <r>
      <rPr>
        <sz val="11"/>
        <color rgb="FF0070C0"/>
        <rFont val="Calibri"/>
        <family val="2"/>
      </rPr>
      <t>3-3</t>
    </r>
    <r>
      <rPr>
        <sz val="11"/>
        <rFont val="Calibri"/>
        <family val="2"/>
      </rPr>
      <t>)</t>
    </r>
  </si>
  <si>
    <t>650. Maali</t>
  </si>
  <si>
    <t>700. Maali</t>
  </si>
  <si>
    <t>Kausi 2013-2014 (IV-div)</t>
  </si>
  <si>
    <t>34.02</t>
  </si>
  <si>
    <r>
      <t xml:space="preserve">7 -5 </t>
    </r>
    <r>
      <rPr>
        <i/>
        <sz val="11"/>
        <color indexed="8"/>
        <rFont val="Calibri"/>
        <family val="2"/>
      </rPr>
      <t>(6 -4)</t>
    </r>
  </si>
  <si>
    <t>(Kaj Engblom, Ville Koivisto)</t>
  </si>
  <si>
    <t>43.22</t>
  </si>
  <si>
    <r>
      <t xml:space="preserve">8 - 8 </t>
    </r>
    <r>
      <rPr>
        <i/>
        <sz val="11"/>
        <color indexed="8"/>
        <rFont val="Calibri"/>
        <family val="2"/>
      </rPr>
      <t>(7-8)</t>
    </r>
  </si>
  <si>
    <t>2013-2014</t>
  </si>
  <si>
    <t>12min</t>
  </si>
  <si>
    <t xml:space="preserve">Esa Mäki </t>
  </si>
  <si>
    <t>-Uusi päivityssysteemi 13-14 alk.</t>
  </si>
  <si>
    <t>KAUDEN ENNÄTYKSET</t>
  </si>
  <si>
    <t>Kausi 14-15</t>
  </si>
  <si>
    <t xml:space="preserve">IV-Div </t>
  </si>
  <si>
    <t>Lohko 12</t>
  </si>
  <si>
    <t>SC Wolves</t>
  </si>
  <si>
    <t>1. Erä</t>
  </si>
  <si>
    <t>2. Erä</t>
  </si>
  <si>
    <t>3. Erä</t>
  </si>
  <si>
    <t>Ott. Nro.</t>
  </si>
  <si>
    <t>16.51</t>
  </si>
  <si>
    <t>1 - 0</t>
  </si>
  <si>
    <t>34.32</t>
  </si>
  <si>
    <t>2 - 0</t>
  </si>
  <si>
    <t>43.19</t>
  </si>
  <si>
    <t>10.59</t>
  </si>
  <si>
    <t>36.17</t>
  </si>
  <si>
    <t>44.44</t>
  </si>
  <si>
    <t>3 - 1 TM</t>
  </si>
  <si>
    <t>Jarno Peltola</t>
  </si>
  <si>
    <t>Mika Aaltonen (C )</t>
  </si>
  <si>
    <t>IKA</t>
  </si>
  <si>
    <t>7.57</t>
  </si>
  <si>
    <t>VST</t>
  </si>
  <si>
    <t>16.07</t>
  </si>
  <si>
    <t>13.37</t>
  </si>
  <si>
    <t>10.29</t>
  </si>
  <si>
    <t>1 - 1</t>
  </si>
  <si>
    <t>16.52</t>
  </si>
  <si>
    <t>1 - 2 AV</t>
  </si>
  <si>
    <t>19.52</t>
  </si>
  <si>
    <t>26.35</t>
  </si>
  <si>
    <t>30.29</t>
  </si>
  <si>
    <t>31.15</t>
  </si>
  <si>
    <t>37.20</t>
  </si>
  <si>
    <t>41.47</t>
  </si>
  <si>
    <t>42.42</t>
  </si>
  <si>
    <t>44.48</t>
  </si>
  <si>
    <t>5 - 2</t>
  </si>
  <si>
    <t>6 - 2 AV</t>
  </si>
  <si>
    <t>19</t>
  </si>
  <si>
    <t>14-15</t>
  </si>
  <si>
    <t>PUNT Parainen</t>
  </si>
  <si>
    <t>7.37</t>
  </si>
  <si>
    <t>1 - 0 RL</t>
  </si>
  <si>
    <t>16.09</t>
  </si>
  <si>
    <t>96</t>
  </si>
  <si>
    <t>26.43</t>
  </si>
  <si>
    <t>26.56</t>
  </si>
  <si>
    <t>28.06</t>
  </si>
  <si>
    <t>28.33</t>
  </si>
  <si>
    <t>2 - 2 YV</t>
  </si>
  <si>
    <t>31.33</t>
  </si>
  <si>
    <t>36.15</t>
  </si>
  <si>
    <t>50</t>
  </si>
  <si>
    <t>37.57</t>
  </si>
  <si>
    <t>38.56</t>
  </si>
  <si>
    <t>66</t>
  </si>
  <si>
    <t>42.48</t>
  </si>
  <si>
    <t>Ville Mettälä</t>
  </si>
  <si>
    <t>Oja-Nisula Miika</t>
  </si>
  <si>
    <t>AFC Campus IV</t>
  </si>
  <si>
    <t>19.07</t>
  </si>
  <si>
    <t>26.15</t>
  </si>
  <si>
    <t>25</t>
  </si>
  <si>
    <t>26.42</t>
  </si>
  <si>
    <t>1 - 2</t>
  </si>
  <si>
    <t>Ville Rinnola</t>
  </si>
  <si>
    <t>SBS Wirmo 3</t>
  </si>
  <si>
    <t>1.43</t>
  </si>
  <si>
    <t>1.52</t>
  </si>
  <si>
    <t>0 - 2</t>
  </si>
  <si>
    <t>12.32</t>
  </si>
  <si>
    <t>0 - 3</t>
  </si>
  <si>
    <t>14.32</t>
  </si>
  <si>
    <t>0 - 4</t>
  </si>
  <si>
    <t>23.02</t>
  </si>
  <si>
    <t>0 - 5</t>
  </si>
  <si>
    <t>23.11</t>
  </si>
  <si>
    <t>26.14</t>
  </si>
  <si>
    <t>28.03</t>
  </si>
  <si>
    <t>35.55</t>
  </si>
  <si>
    <t>36.44</t>
  </si>
  <si>
    <t>0 - 8</t>
  </si>
  <si>
    <t>37.38</t>
  </si>
  <si>
    <t>0 - 9</t>
  </si>
  <si>
    <t>41.32</t>
  </si>
  <si>
    <t>42.51</t>
  </si>
  <si>
    <t>0 - 10</t>
  </si>
  <si>
    <t>43.31</t>
  </si>
  <si>
    <t>PaPeNu</t>
  </si>
  <si>
    <t>0.32</t>
  </si>
  <si>
    <t>3.15</t>
  </si>
  <si>
    <t>1.50</t>
  </si>
  <si>
    <t>1 - 1 AV</t>
  </si>
  <si>
    <t>5.30</t>
  </si>
  <si>
    <t>7.47</t>
  </si>
  <si>
    <t>8.03</t>
  </si>
  <si>
    <t>23</t>
  </si>
  <si>
    <t>11.06</t>
  </si>
  <si>
    <t>14.25</t>
  </si>
  <si>
    <t>16.49</t>
  </si>
  <si>
    <t>21.42</t>
  </si>
  <si>
    <t>27.32</t>
  </si>
  <si>
    <t>27.38</t>
  </si>
  <si>
    <t>82</t>
  </si>
  <si>
    <t>35.02</t>
  </si>
  <si>
    <t>6.26</t>
  </si>
  <si>
    <t>7.45</t>
  </si>
  <si>
    <t>20</t>
  </si>
  <si>
    <t>16.45</t>
  </si>
  <si>
    <t>42.14</t>
  </si>
  <si>
    <t>44.53</t>
  </si>
  <si>
    <t>1 - 4 TM</t>
  </si>
  <si>
    <t>76</t>
  </si>
  <si>
    <t>TBS</t>
  </si>
  <si>
    <t>8.40</t>
  </si>
  <si>
    <t>12.08</t>
  </si>
  <si>
    <t>12.48</t>
  </si>
  <si>
    <t>18.33</t>
  </si>
  <si>
    <t>28.25</t>
  </si>
  <si>
    <t>31.45</t>
  </si>
  <si>
    <t>34.44</t>
  </si>
  <si>
    <t>35.58</t>
  </si>
  <si>
    <t>36.58</t>
  </si>
  <si>
    <t>2 - 7</t>
  </si>
  <si>
    <t>40.05</t>
  </si>
  <si>
    <t>3 - 7</t>
  </si>
  <si>
    <t>43.50</t>
  </si>
  <si>
    <t>4 - 7</t>
  </si>
  <si>
    <t>4 - 8</t>
  </si>
  <si>
    <t>18.45</t>
  </si>
  <si>
    <t>28.24</t>
  </si>
  <si>
    <t>29.02</t>
  </si>
  <si>
    <t>31.31</t>
  </si>
  <si>
    <t>32.34</t>
  </si>
  <si>
    <t>34.31</t>
  </si>
  <si>
    <t>2 - 3 YV</t>
  </si>
  <si>
    <t>42.20</t>
  </si>
  <si>
    <t>43.41</t>
  </si>
  <si>
    <t>Yrmyt</t>
  </si>
  <si>
    <t>1.06</t>
  </si>
  <si>
    <t>4.02</t>
  </si>
  <si>
    <t>6.17</t>
  </si>
  <si>
    <t>10.14</t>
  </si>
  <si>
    <t>10.23</t>
  </si>
  <si>
    <t>75</t>
  </si>
  <si>
    <t>12.50</t>
  </si>
  <si>
    <t>13.12</t>
  </si>
  <si>
    <t>5 - 1 YV</t>
  </si>
  <si>
    <t>13.45</t>
  </si>
  <si>
    <t>14.01</t>
  </si>
  <si>
    <t>6 - 1 TV</t>
  </si>
  <si>
    <t>15.45</t>
  </si>
  <si>
    <t>20.02</t>
  </si>
  <si>
    <t>26.32</t>
  </si>
  <si>
    <t>21.12</t>
  </si>
  <si>
    <t>37.42</t>
  </si>
  <si>
    <t>39.21</t>
  </si>
  <si>
    <t>40.34</t>
  </si>
  <si>
    <t>42.26</t>
  </si>
  <si>
    <t>42.00</t>
  </si>
  <si>
    <t>10 - 3 YV</t>
  </si>
  <si>
    <t>10 - 4</t>
  </si>
  <si>
    <t>0.56</t>
  </si>
  <si>
    <t>1.20</t>
  </si>
  <si>
    <t>2.06</t>
  </si>
  <si>
    <t>23.56</t>
  </si>
  <si>
    <t>29.13</t>
  </si>
  <si>
    <t>30.07</t>
  </si>
  <si>
    <t>38.54</t>
  </si>
  <si>
    <t>44.02</t>
  </si>
  <si>
    <t>44.59</t>
  </si>
  <si>
    <t>3 - 6 TM</t>
  </si>
  <si>
    <t>FBC Feelings</t>
  </si>
  <si>
    <t>5.10</t>
  </si>
  <si>
    <t>5.27</t>
  </si>
  <si>
    <t>6.24</t>
  </si>
  <si>
    <t>19.19</t>
  </si>
  <si>
    <t>16.12</t>
  </si>
  <si>
    <t>24.54</t>
  </si>
  <si>
    <t>35.35</t>
  </si>
  <si>
    <t>2.03</t>
  </si>
  <si>
    <t>1 - 1 RL</t>
  </si>
  <si>
    <t>19.42</t>
  </si>
  <si>
    <t>20.00</t>
  </si>
  <si>
    <t>21.49</t>
  </si>
  <si>
    <t>1 - 4</t>
  </si>
  <si>
    <t>30.46</t>
  </si>
  <si>
    <t>31.32</t>
  </si>
  <si>
    <t>21.04</t>
  </si>
  <si>
    <t>3 - 4 YV</t>
  </si>
  <si>
    <t>29.42</t>
  </si>
  <si>
    <t>9.02</t>
  </si>
  <si>
    <t>15.24</t>
  </si>
  <si>
    <t>15.33</t>
  </si>
  <si>
    <t>20.52</t>
  </si>
  <si>
    <t xml:space="preserve">2 - 2 </t>
  </si>
  <si>
    <t>44.46</t>
  </si>
  <si>
    <t>SBS Wirmo</t>
  </si>
  <si>
    <t>1.30</t>
  </si>
  <si>
    <t>3.44</t>
  </si>
  <si>
    <t>5.00</t>
  </si>
  <si>
    <t>8.06</t>
  </si>
  <si>
    <t>8.25</t>
  </si>
  <si>
    <t>4 - 0</t>
  </si>
  <si>
    <t>4 - 0 YV</t>
  </si>
  <si>
    <t>13.06</t>
  </si>
  <si>
    <t>20min PR</t>
  </si>
  <si>
    <t>13.24</t>
  </si>
  <si>
    <t>5 - 0 YV</t>
  </si>
  <si>
    <t>14.18</t>
  </si>
  <si>
    <t>6 - 0</t>
  </si>
  <si>
    <t>15.43</t>
  </si>
  <si>
    <t>7 - 0</t>
  </si>
  <si>
    <t>17.25</t>
  </si>
  <si>
    <t>8 - 0</t>
  </si>
  <si>
    <t>18.26</t>
  </si>
  <si>
    <t>20.35</t>
  </si>
  <si>
    <t>9 - 0</t>
  </si>
  <si>
    <t>10 - 0</t>
  </si>
  <si>
    <t>28.21</t>
  </si>
  <si>
    <t>28.35</t>
  </si>
  <si>
    <t>12 - 0</t>
  </si>
  <si>
    <t>Ottelu päättyi ajassa 28.35</t>
  </si>
  <si>
    <t>2.57</t>
  </si>
  <si>
    <t>4.55</t>
  </si>
  <si>
    <t>11.08</t>
  </si>
  <si>
    <t>11.34</t>
  </si>
  <si>
    <t>16.15</t>
  </si>
  <si>
    <t>18.49</t>
  </si>
  <si>
    <t>19.16</t>
  </si>
  <si>
    <t>26.27</t>
  </si>
  <si>
    <t>35.25</t>
  </si>
  <si>
    <t>37.40</t>
  </si>
  <si>
    <t>2 - 5 YV</t>
  </si>
  <si>
    <t>44.31</t>
  </si>
  <si>
    <t xml:space="preserve">2 - 6 </t>
  </si>
  <si>
    <t>Hani-Halli, Mynämäki</t>
  </si>
  <si>
    <t>5.45</t>
  </si>
  <si>
    <t>5.54</t>
  </si>
  <si>
    <t>23.09</t>
  </si>
  <si>
    <t>5 - 0</t>
  </si>
  <si>
    <t>25.26</t>
  </si>
  <si>
    <t>5 - 1</t>
  </si>
  <si>
    <t>18.14</t>
  </si>
  <si>
    <t>30.15</t>
  </si>
  <si>
    <t>36.53</t>
  </si>
  <si>
    <t>40.49</t>
  </si>
  <si>
    <t>42.07</t>
  </si>
  <si>
    <t>Matias Mäkilä (C )</t>
  </si>
  <si>
    <t>4.18</t>
  </si>
  <si>
    <t>4.42</t>
  </si>
  <si>
    <t>16.58</t>
  </si>
  <si>
    <t>27.18</t>
  </si>
  <si>
    <t>3 - 2 SR</t>
  </si>
  <si>
    <t>35.08</t>
  </si>
  <si>
    <t>36.27</t>
  </si>
  <si>
    <t>38.29</t>
  </si>
  <si>
    <t>KAUSI 2014-2015</t>
  </si>
  <si>
    <t>(Kaj Engblom, Mika Aaltonen)</t>
  </si>
  <si>
    <t>SekTa - TBS</t>
  </si>
  <si>
    <t>(Kaj Engblom, Atte Nieminen)</t>
  </si>
  <si>
    <t>SekTa - SC Wolves</t>
  </si>
  <si>
    <t>[Kauden ensimmäinen ottelu]</t>
  </si>
  <si>
    <t>SekTa - SBS Wirmo 3</t>
  </si>
  <si>
    <t>41min/6kpl</t>
  </si>
  <si>
    <t>(3x 2min, 1x 5min, 1x 10min, 1x 20min)</t>
  </si>
  <si>
    <t>27min/3kpl</t>
  </si>
  <si>
    <t>SekTa - FBC Feelings</t>
  </si>
  <si>
    <t>(1x 2min, 1x 5min, 1x 20min)</t>
  </si>
  <si>
    <t>6 (1. ja 2.erä)</t>
  </si>
  <si>
    <t>IKA - SekTa</t>
  </si>
  <si>
    <t>KAUSI 2014-2015 IV-Div</t>
  </si>
  <si>
    <t>Miika Oja-Nisula</t>
  </si>
  <si>
    <t>750. Maali</t>
  </si>
  <si>
    <t>Kausi 2014-2015 (IV-div)</t>
  </si>
  <si>
    <t>800. Maali</t>
  </si>
  <si>
    <r>
      <t xml:space="preserve">10 - 4 </t>
    </r>
    <r>
      <rPr>
        <i/>
        <sz val="11"/>
        <color indexed="8"/>
        <rFont val="Calibri"/>
        <family val="2"/>
      </rPr>
      <t>(2 - 0)</t>
    </r>
  </si>
  <si>
    <t>(Kaj Engblom, Jarno Peltola)</t>
  </si>
  <si>
    <t>2014-2015</t>
  </si>
  <si>
    <t>33min</t>
  </si>
  <si>
    <t>4+1</t>
  </si>
  <si>
    <t>SekTa -Yrmyt</t>
  </si>
  <si>
    <t>2+3</t>
  </si>
  <si>
    <t>SBS Wirmo 3 - SekTa</t>
  </si>
  <si>
    <t xml:space="preserve">SekTa - FBC Feelings </t>
  </si>
  <si>
    <t>Kausi 15-16</t>
  </si>
  <si>
    <t>#</t>
  </si>
  <si>
    <t>TA-631</t>
  </si>
  <si>
    <t>AFC Campus 4</t>
  </si>
  <si>
    <t>SB Naantali 3</t>
  </si>
  <si>
    <t>Hallit</t>
  </si>
  <si>
    <t>Leaf-Areena</t>
  </si>
  <si>
    <t>Taivassalon Liikuntahalli</t>
  </si>
  <si>
    <t>xxx</t>
  </si>
  <si>
    <t>xxxx</t>
  </si>
  <si>
    <t>HirvHe</t>
  </si>
  <si>
    <t>Pyövelit 2</t>
  </si>
  <si>
    <t>Phantoms</t>
  </si>
  <si>
    <t>TuTo</t>
  </si>
  <si>
    <t>15-16</t>
  </si>
  <si>
    <t>Tulos:</t>
  </si>
  <si>
    <t>Tulos</t>
  </si>
  <si>
    <t>Voitto</t>
  </si>
  <si>
    <t>Tasapeli</t>
  </si>
  <si>
    <t>Häviö</t>
  </si>
  <si>
    <t>KAUSI 2015-2016</t>
  </si>
  <si>
    <t>KAUSI 2015-2016 IV-Div</t>
  </si>
  <si>
    <t>Taivassalon liikuntahalli</t>
  </si>
  <si>
    <t>rng</t>
  </si>
  <si>
    <t>1erä</t>
  </si>
  <si>
    <t>2erä</t>
  </si>
  <si>
    <t>3erä</t>
  </si>
  <si>
    <t>yv</t>
  </si>
  <si>
    <t>om</t>
  </si>
  <si>
    <t>39.31 maali</t>
  </si>
  <si>
    <t>20 12</t>
  </si>
  <si>
    <t>19.59?</t>
  </si>
  <si>
    <t>rl</t>
  </si>
  <si>
    <t>av</t>
  </si>
  <si>
    <t>1 13</t>
  </si>
  <si>
    <t>28 02</t>
  </si>
  <si>
    <t>3 34</t>
  </si>
  <si>
    <t>30 48</t>
  </si>
  <si>
    <t>2 43</t>
  </si>
  <si>
    <t>2 32</t>
  </si>
  <si>
    <t>0 28</t>
  </si>
  <si>
    <t>rl 1 / 2</t>
  </si>
  <si>
    <t>44 12</t>
  </si>
  <si>
    <t>pvm</t>
  </si>
  <si>
    <t>Vastustajat</t>
  </si>
  <si>
    <t>rl 1 / 3</t>
  </si>
  <si>
    <t>rl 0 / 2</t>
  </si>
  <si>
    <t>0 / 2</t>
  </si>
  <si>
    <t>2.32</t>
  </si>
  <si>
    <t>SekTa - Phantoms</t>
  </si>
  <si>
    <t>(Ville Koivisto, Atte Nieminen)</t>
  </si>
  <si>
    <t>0.28</t>
  </si>
  <si>
    <t>44.12</t>
  </si>
  <si>
    <t>(Ville Koivisto, Kaj Engblom)</t>
  </si>
  <si>
    <t>30.48</t>
  </si>
  <si>
    <t>SB Naantali 3 - SekTa</t>
  </si>
  <si>
    <t>3 - 10</t>
  </si>
  <si>
    <t>10 - 9</t>
  </si>
  <si>
    <t>8min / 4kpl</t>
  </si>
  <si>
    <t>4min / 2kpl</t>
  </si>
  <si>
    <t>(2x 2min)</t>
  </si>
  <si>
    <t>9 - 2</t>
  </si>
  <si>
    <t>TBS - SekTa</t>
  </si>
  <si>
    <t>4 (1. ja 2.erä)</t>
  </si>
  <si>
    <t>+7</t>
  </si>
  <si>
    <t xml:space="preserve">SekTa - Pyövelit 2 </t>
  </si>
  <si>
    <t>HirvHe - SekTa</t>
  </si>
  <si>
    <t>Joni Vainio</t>
  </si>
  <si>
    <t>#13</t>
  </si>
  <si>
    <t>#66</t>
  </si>
  <si>
    <t>#20</t>
  </si>
  <si>
    <t>#25</t>
  </si>
  <si>
    <t>#96</t>
  </si>
  <si>
    <t>11.</t>
  </si>
  <si>
    <t>12.</t>
  </si>
  <si>
    <t>13.</t>
  </si>
  <si>
    <t>14.</t>
  </si>
  <si>
    <t>15.</t>
  </si>
  <si>
    <t>16.</t>
  </si>
  <si>
    <t>Rl-</t>
  </si>
  <si>
    <t>17.</t>
  </si>
  <si>
    <t>18.</t>
  </si>
  <si>
    <t>19.</t>
  </si>
  <si>
    <t>20.</t>
  </si>
  <si>
    <t>RM</t>
  </si>
  <si>
    <t>3+</t>
  </si>
  <si>
    <t>4min</t>
  </si>
  <si>
    <t>4min/2kpl</t>
  </si>
  <si>
    <t>SekTa - Pyövelit 2</t>
  </si>
  <si>
    <t>Kausi 2015-2016 (IV-div)</t>
  </si>
  <si>
    <t>4. maali</t>
  </si>
  <si>
    <t>(?,?)</t>
  </si>
  <si>
    <t>?</t>
  </si>
  <si>
    <t>850. Maali</t>
  </si>
  <si>
    <t>19.43</t>
  </si>
  <si>
    <t>SekTa - HirvHe</t>
  </si>
  <si>
    <r>
      <rPr>
        <b/>
        <sz val="11"/>
        <color theme="1"/>
        <rFont val="Calibri"/>
        <family val="2"/>
        <scheme val="minor"/>
      </rPr>
      <t>5 - 5</t>
    </r>
    <r>
      <rPr>
        <sz val="11"/>
        <color theme="1"/>
        <rFont val="Calibri"/>
        <family val="2"/>
        <scheme val="minor"/>
      </rPr>
      <t xml:space="preserve"> (1 - 4)</t>
    </r>
  </si>
  <si>
    <t>(Sami Pöllänen, Ville Mettälä)</t>
  </si>
  <si>
    <t>2015-2016</t>
  </si>
  <si>
    <t>5+0</t>
  </si>
  <si>
    <t>7 - 7</t>
  </si>
  <si>
    <t>Yrmyt - SekTa</t>
  </si>
  <si>
    <t xml:space="preserve">Yrmyt - SekTa </t>
  </si>
  <si>
    <t>SekTa - TuTo</t>
  </si>
  <si>
    <t>Taivassalon liikutahalli</t>
  </si>
  <si>
    <t>(Lisäksi 5 ottelua joissa 4 m/e)</t>
  </si>
  <si>
    <t>Päivittämättä :(</t>
  </si>
  <si>
    <t>KAUSI 2016-2017</t>
  </si>
  <si>
    <t>#99</t>
  </si>
  <si>
    <t>Paikka</t>
  </si>
  <si>
    <t>PVM</t>
  </si>
  <si>
    <t>Ottelu</t>
  </si>
  <si>
    <t>JOUKKUE</t>
  </si>
  <si>
    <t>IV-</t>
  </si>
  <si>
    <t>Divisioona</t>
  </si>
  <si>
    <t>Lohko:</t>
  </si>
  <si>
    <t>V-</t>
  </si>
  <si>
    <t>III-</t>
  </si>
  <si>
    <t>Sarjat</t>
  </si>
  <si>
    <t>KAUSI:</t>
  </si>
  <si>
    <t>Kaudet</t>
  </si>
  <si>
    <t>2016-2017</t>
  </si>
  <si>
    <t>Koti</t>
  </si>
  <si>
    <t>Vieras</t>
  </si>
  <si>
    <t>Ottelu 1.</t>
  </si>
  <si>
    <t>K16-17</t>
  </si>
  <si>
    <t>KausiVlookup</t>
  </si>
  <si>
    <t>KausiXI</t>
  </si>
  <si>
    <t>KausiI</t>
  </si>
  <si>
    <t>KausiII</t>
  </si>
  <si>
    <t>KausiIII</t>
  </si>
  <si>
    <t>KausiIV</t>
  </si>
  <si>
    <t>KausiV</t>
  </si>
  <si>
    <t>KausiVI</t>
  </si>
  <si>
    <t>KausiVII</t>
  </si>
  <si>
    <t>KausiVIII</t>
  </si>
  <si>
    <t>KausiIX</t>
  </si>
  <si>
    <t>KausiX</t>
  </si>
  <si>
    <t>K15-16</t>
  </si>
  <si>
    <t>Eka</t>
  </si>
  <si>
    <t>Toka</t>
  </si>
  <si>
    <t>Kolmas</t>
  </si>
  <si>
    <t>Testi</t>
  </si>
  <si>
    <t>tv</t>
  </si>
  <si>
    <t>sr</t>
  </si>
  <si>
    <t>Ottelu 2.</t>
  </si>
  <si>
    <t>Ottelu 3.</t>
  </si>
  <si>
    <t>Ottelu 4.</t>
  </si>
  <si>
    <t>Ottelu 5.</t>
  </si>
  <si>
    <t>Ottelu 6.</t>
  </si>
  <si>
    <t>Ottelu 7.</t>
  </si>
  <si>
    <t>Ottelu 8.</t>
  </si>
  <si>
    <t>Ottelu 9.</t>
  </si>
  <si>
    <t>Ottelu 10.</t>
  </si>
  <si>
    <t>Ottelu 11.</t>
  </si>
  <si>
    <t>Ottelu 12.</t>
  </si>
  <si>
    <t>Ottelu 13.</t>
  </si>
  <si>
    <t>Ottelu 14.</t>
  </si>
  <si>
    <t>Ottelu 15.</t>
  </si>
  <si>
    <t>Ottelu 16.</t>
  </si>
  <si>
    <t>Ottelu 17.</t>
  </si>
  <si>
    <t>Ottelu 18.</t>
  </si>
  <si>
    <t>Ottelu 19.</t>
  </si>
  <si>
    <t>Ottelu 20.</t>
  </si>
  <si>
    <t>rng (min)</t>
  </si>
  <si>
    <t>rng (kpl)</t>
  </si>
  <si>
    <t>+ -</t>
  </si>
  <si>
    <t>tm</t>
  </si>
  <si>
    <t>0-pelit</t>
  </si>
  <si>
    <t>Pelkästään me ilman rangaistuksia</t>
  </si>
  <si>
    <t>Pelkästään vastustaja ilman rangaistuksia</t>
  </si>
  <si>
    <t>Hitain 1. maali SekTa</t>
  </si>
  <si>
    <t>Nopein 1. maali SekTa</t>
  </si>
  <si>
    <t>Hitain 1. maali Vastustaja</t>
  </si>
  <si>
    <t>Nopein 1. maali Vastustaja</t>
  </si>
  <si>
    <t>rl 0 / 0</t>
  </si>
  <si>
    <t>K14-15</t>
  </si>
  <si>
    <t>K13-14</t>
  </si>
  <si>
    <t>K12-13</t>
  </si>
  <si>
    <t>K11-12</t>
  </si>
  <si>
    <t>K10-11</t>
  </si>
  <si>
    <t>K09-10</t>
  </si>
  <si>
    <t>SU</t>
  </si>
  <si>
    <t>El Pantera</t>
  </si>
  <si>
    <t>Ruoska 3</t>
  </si>
  <si>
    <t>SBS Lieto 3</t>
  </si>
  <si>
    <t>KiU</t>
  </si>
  <si>
    <t>KemKi</t>
  </si>
  <si>
    <t>Ruoska 2</t>
  </si>
  <si>
    <t>KoKa</t>
  </si>
  <si>
    <t>SoVo</t>
  </si>
  <si>
    <t>PöU</t>
  </si>
  <si>
    <t>RK Rangers</t>
  </si>
  <si>
    <t>RunU</t>
  </si>
  <si>
    <t>Kisariihi Pöytyä</t>
  </si>
  <si>
    <t>1-</t>
  </si>
  <si>
    <t>1+</t>
  </si>
  <si>
    <t>16-17</t>
  </si>
  <si>
    <t>(MV) Matias Virta</t>
  </si>
  <si>
    <t>Jesse Höykinpuro</t>
  </si>
  <si>
    <t>KAUSI 2016-2017 IV-Div</t>
  </si>
  <si>
    <t>Kisariihi, Pöytyä</t>
  </si>
  <si>
    <t>rl 2 / 3</t>
  </si>
  <si>
    <t>HT</t>
  </si>
  <si>
    <t>1  / 2</t>
  </si>
  <si>
    <t>Matias Virta</t>
  </si>
  <si>
    <t>900. Maali</t>
  </si>
  <si>
    <t>950. Maali</t>
  </si>
  <si>
    <t>Kausi 2016-2017 (IV-div)</t>
  </si>
  <si>
    <t>14.29</t>
  </si>
  <si>
    <t>SekTa - RunU</t>
  </si>
  <si>
    <r>
      <rPr>
        <b/>
        <sz val="11"/>
        <color theme="1"/>
        <rFont val="Calibri"/>
        <family val="2"/>
        <scheme val="minor"/>
      </rPr>
      <t xml:space="preserve">3 - 1 </t>
    </r>
    <r>
      <rPr>
        <sz val="11"/>
        <color theme="1"/>
        <rFont val="Calibri"/>
        <family val="2"/>
        <scheme val="minor"/>
      </rPr>
      <t>(1 - 0)</t>
    </r>
  </si>
  <si>
    <t>(Atte Nieminen, Sami Pöllänen)</t>
  </si>
  <si>
    <t>26.38</t>
  </si>
  <si>
    <r>
      <rPr>
        <b/>
        <sz val="11"/>
        <color theme="1"/>
        <rFont val="Calibri"/>
        <family val="2"/>
        <scheme val="minor"/>
      </rPr>
      <t>7 - 4</t>
    </r>
    <r>
      <rPr>
        <sz val="11"/>
        <color theme="1"/>
        <rFont val="Calibri"/>
        <family val="2"/>
        <scheme val="minor"/>
      </rPr>
      <t xml:space="preserve"> (5 - 4)</t>
    </r>
  </si>
  <si>
    <t>(Joni Vainio, Sami Pöllänen)</t>
  </si>
  <si>
    <t>26min</t>
  </si>
  <si>
    <t>SekTa - RK Rangers</t>
  </si>
  <si>
    <t>SekTa - SB Hirvensalo 2</t>
  </si>
  <si>
    <t>3x2min + 10min</t>
  </si>
  <si>
    <t>0.24</t>
  </si>
  <si>
    <t>0.18</t>
  </si>
  <si>
    <t>29.19</t>
  </si>
  <si>
    <t>1 - 12</t>
  </si>
  <si>
    <t>40.18</t>
  </si>
  <si>
    <t>SekTa - PöU</t>
  </si>
  <si>
    <t>3 - 15</t>
  </si>
  <si>
    <t>14min / 4kpl</t>
  </si>
  <si>
    <t>20min / 6kpl</t>
  </si>
  <si>
    <t>10 (1.erä)</t>
  </si>
  <si>
    <t>-12</t>
  </si>
  <si>
    <t>(5x 2min+10min)</t>
  </si>
  <si>
    <t>(2x 2min, 2x 5min)</t>
  </si>
  <si>
    <t>(Jarno Peltola, Mika Aaltonen)</t>
  </si>
  <si>
    <t>20min/6kpl</t>
  </si>
  <si>
    <t>SB-areena</t>
  </si>
  <si>
    <t>(5x 2min + 10min)</t>
  </si>
  <si>
    <t>14min/4kpl</t>
  </si>
  <si>
    <t>(2x2min + 2x 5min)</t>
  </si>
  <si>
    <t>5 (3. erä)</t>
  </si>
  <si>
    <t xml:space="preserve">8 - 1 </t>
  </si>
  <si>
    <t>(Jesse Höykinpuro, Ville Koivisto)</t>
  </si>
  <si>
    <t>(Jesse Höykinpuro, Mika Aaltonen)</t>
  </si>
  <si>
    <t>2017-2018</t>
  </si>
  <si>
    <t>KausiXII</t>
  </si>
  <si>
    <t>K17-18</t>
  </si>
  <si>
    <t>KaPa-65</t>
  </si>
  <si>
    <t>SBT Shadows</t>
  </si>
  <si>
    <t>14.10.2017 Klo 13.00</t>
  </si>
  <si>
    <t>14.10.2017 Klo 15.00</t>
  </si>
  <si>
    <t>4.11.2017 Klo 11.00</t>
  </si>
  <si>
    <t>Pohitullin koulu, Uusikaupunki</t>
  </si>
  <si>
    <t>4.11.2017 Klo 14.00</t>
  </si>
  <si>
    <t>Lopullinen Sarjataulukko</t>
  </si>
  <si>
    <t>LR</t>
  </si>
  <si>
    <t>26.11.2017 Klo 13.00</t>
  </si>
  <si>
    <t>26.11.2017 Klo 16.00</t>
  </si>
  <si>
    <t>16.12.2017 Klo 15.00</t>
  </si>
  <si>
    <t>16.12.2017 Klo 18.00</t>
  </si>
  <si>
    <t>7.1.2018 Klo 15.00</t>
  </si>
  <si>
    <t>7.1.2018 Klo 17.00</t>
  </si>
  <si>
    <t>27.1.2018 Klo 15.00</t>
  </si>
  <si>
    <t>27.1.2018 Klo 18.00</t>
  </si>
  <si>
    <t>17.2.2018 Klo 10.00</t>
  </si>
  <si>
    <t>17.2.2018 Klo 18.00</t>
  </si>
  <si>
    <t>10.3.2018 Klo 10.00</t>
  </si>
  <si>
    <t>10.3.2018 Klo 12.00</t>
  </si>
  <si>
    <t>Robin Mattila</t>
  </si>
  <si>
    <t>Lassi Liukkonen</t>
  </si>
  <si>
    <t>karsinta</t>
  </si>
  <si>
    <t>17-18</t>
  </si>
  <si>
    <t>#32</t>
  </si>
  <si>
    <t>KAUSI 2017-2018</t>
  </si>
  <si>
    <t>0.50</t>
  </si>
  <si>
    <t>34.11</t>
  </si>
  <si>
    <t>(Mika Aaltonen, Jesse Höykinpuro)</t>
  </si>
  <si>
    <t>16.22</t>
  </si>
  <si>
    <t>Eniten tehtyjä maaleja / o</t>
  </si>
  <si>
    <t>6min / 3kpl</t>
  </si>
  <si>
    <t>12min / 2kpl</t>
  </si>
  <si>
    <t>(1x 2min, 1x 10min)</t>
  </si>
  <si>
    <t>SBT Shadows - SekTa</t>
  </si>
  <si>
    <t>Maijamäen liikuntahalli, Naantali</t>
  </si>
  <si>
    <t>(1. erä: 5 - 0)</t>
  </si>
  <si>
    <t>SekTa - KaPa-65</t>
  </si>
  <si>
    <t>KaPa-65 - SekTa</t>
  </si>
  <si>
    <t>(1. erä: 5 - 3)</t>
  </si>
  <si>
    <t>+6</t>
  </si>
  <si>
    <t>7 - 1</t>
  </si>
  <si>
    <t>(2 - 1 ; 3 - 0 ; 2 - 0)</t>
  </si>
  <si>
    <t>(5 - 0 ; 4 - 3 ; 2 - 1)</t>
  </si>
  <si>
    <t>KAUSI 2017-2018 IV-Div</t>
  </si>
  <si>
    <t>6min/3kpl</t>
  </si>
  <si>
    <t>X</t>
  </si>
  <si>
    <t>(X = Viimeisin kausi)</t>
  </si>
  <si>
    <t>Eniten tehtyjä maaleja ottelussa</t>
  </si>
  <si>
    <t>Tehdyt maalit yhteensä:</t>
  </si>
  <si>
    <t>Päästetyt maalit yhteensä:</t>
  </si>
  <si>
    <t>+ / - yhteensä:</t>
  </si>
  <si>
    <t>Eniten tehtyjä AV-maaleja kaudessa</t>
  </si>
  <si>
    <t>AV-Maalit yhteensä:</t>
  </si>
  <si>
    <t>Päästetyt AV-Maalit yhteensä:</t>
  </si>
  <si>
    <t>Tehdyt YV-Maalit yhteensä:</t>
  </si>
  <si>
    <t>Divari</t>
  </si>
  <si>
    <t>Päästetyt YV-Maalit yhteensä:</t>
  </si>
  <si>
    <t>SekTa rangaistuslaukaukset yhteensä:</t>
  </si>
  <si>
    <t>VST rangaistuslaukaukset yhteensä:</t>
  </si>
  <si>
    <t>SekTa - Siirretyn rangaistuksen aikana tehdyt maalit yhteensä:</t>
  </si>
  <si>
    <t>VST - Siirretyn rangaistuksen aikana tehdyt maalit yhteensä:</t>
  </si>
  <si>
    <t>SekTa - Nollapelit yhteensä:</t>
  </si>
  <si>
    <t>VST - Nollapelit yhteensä:</t>
  </si>
  <si>
    <t>SekTa - Hattutemput yhteensä:</t>
  </si>
  <si>
    <t>SekTa - Tasavajaalla tehdyt maalit yhteensä:</t>
  </si>
  <si>
    <t>VST - Tasavajaalla tehdyt maalit yhteensä:</t>
  </si>
  <si>
    <t>38kpl / 160min</t>
  </si>
  <si>
    <t>33kpl / 77min</t>
  </si>
  <si>
    <t>30kpl / 63min</t>
  </si>
  <si>
    <t>31kpl / 65min</t>
  </si>
  <si>
    <t>27kpl / 54min</t>
  </si>
  <si>
    <t>26kpl / 89min</t>
  </si>
  <si>
    <t>24kpl / 54min</t>
  </si>
  <si>
    <t>23kpl / 46min</t>
  </si>
  <si>
    <t>21kpl / 50min</t>
  </si>
  <si>
    <t>19kpl / 38min</t>
  </si>
  <si>
    <t>17kpl / 63min</t>
  </si>
  <si>
    <t>Vähiten jäähyjä kaudessa meille</t>
  </si>
  <si>
    <t>13kpl / 26min</t>
  </si>
  <si>
    <t>Vähiten jäähyjä kaudessa vastustajille</t>
  </si>
  <si>
    <t>46kpl / 113min</t>
  </si>
  <si>
    <t>44kpl / 141min</t>
  </si>
  <si>
    <t>37kpl / 132min</t>
  </si>
  <si>
    <t>35kpl / 94min</t>
  </si>
  <si>
    <t>33kpl / 98min</t>
  </si>
  <si>
    <t>24kpl / 63min</t>
  </si>
  <si>
    <t>24kpl / 48min</t>
  </si>
  <si>
    <t>21kpl / 48min</t>
  </si>
  <si>
    <t>21kpl / 42min</t>
  </si>
  <si>
    <t>20kpl / 48min</t>
  </si>
  <si>
    <t>19kpl / 41min</t>
  </si>
  <si>
    <t>Ottelut ilman rangaistuksia yhteensä:</t>
  </si>
  <si>
    <t>SekTa - Ottelut, missä vain me ilman rangaistuksia</t>
  </si>
  <si>
    <t>SekTa - Tyhjään maaliin tehdyt yhteensä:</t>
  </si>
  <si>
    <t>Eniten TM-maaleja kaudessa:</t>
  </si>
  <si>
    <t>Vähiten TM-maaleja kaudessa:</t>
  </si>
  <si>
    <t>Eniten VST TM-maaleja kaudessa:</t>
  </si>
  <si>
    <t>Vähiten VST TM-maaleja kaudessa:</t>
  </si>
  <si>
    <t>VST - Tyhjään maaliin tehdyt yhteensä:</t>
  </si>
  <si>
    <t>SekTa - Oma maali yhteensä:</t>
  </si>
  <si>
    <t>Eniten Omia maaleja kaudessa meille</t>
  </si>
  <si>
    <t>Vähiten omia maaleja kaudessa meille</t>
  </si>
  <si>
    <t>VST - Oma maali yhteensä:</t>
  </si>
  <si>
    <t>Eniten omia maaleja kaudessa vst</t>
  </si>
  <si>
    <t>Vähiten omia maaleja kaudessa vst</t>
  </si>
  <si>
    <t>VST - Ottelut missä vain vastustaja ilman rangaistuksia</t>
  </si>
  <si>
    <t>1000. Maali</t>
  </si>
  <si>
    <t>Kausi 2017-2018 (IV-div)</t>
  </si>
  <si>
    <t>28.29</t>
  </si>
  <si>
    <r>
      <rPr>
        <b/>
        <sz val="11"/>
        <color theme="1"/>
        <rFont val="Calibri"/>
        <family val="2"/>
        <scheme val="minor"/>
      </rPr>
      <t xml:space="preserve">3 - 4 </t>
    </r>
    <r>
      <rPr>
        <sz val="11"/>
        <color theme="1"/>
        <rFont val="Calibri"/>
        <family val="2"/>
        <scheme val="minor"/>
      </rPr>
      <t>(2 - 1)</t>
    </r>
  </si>
  <si>
    <t>(Robin Mattila, Jesse Höykinpuro)</t>
  </si>
  <si>
    <t>1x2min + 10min</t>
  </si>
  <si>
    <t>Mika Aaltonen, Ville Koivisto</t>
  </si>
  <si>
    <t>Ei rangaistuslaukauksia</t>
  </si>
  <si>
    <t>Ei nollapelejä</t>
  </si>
  <si>
    <t>KausiPitka</t>
  </si>
  <si>
    <t>ENITEN PISTEITÄ KAUDESSA:</t>
  </si>
  <si>
    <t>ENITEN MAALEJA KAUDESSA:</t>
  </si>
  <si>
    <t>ENITEN SYÖTTÖJÄ KAUDESSA:</t>
  </si>
  <si>
    <t>Ville Koivisto, Kaj Engblom</t>
  </si>
  <si>
    <t>Jarno Peltola, Kaj Engblom</t>
  </si>
  <si>
    <t>ENITEN JÄÄHYJÄ KAUDESSA (min):</t>
  </si>
  <si>
    <t>Juha Laakso, Jarkko Nieminen</t>
  </si>
  <si>
    <t>Koivisto, Kurri, Pöllänen, Engblom</t>
  </si>
  <si>
    <t>ENITEN JÄÄHYJÄ KAUDESSA (kpl):</t>
  </si>
  <si>
    <t>4kpl</t>
  </si>
  <si>
    <t>2kpl</t>
  </si>
  <si>
    <t>5kpl</t>
  </si>
  <si>
    <t>6kpl</t>
  </si>
  <si>
    <t>7kpl</t>
  </si>
  <si>
    <t>ENITEN PISTEITÄ OTTELUSSA:</t>
  </si>
  <si>
    <t>ENITEN MAALEJA OTTELUSSA:</t>
  </si>
  <si>
    <t>ENITEN SYÖTTÖJÄ OTTELUSSA:</t>
  </si>
  <si>
    <t>ENITEN JÄÄHYJÄ OTTELUSSA (min):</t>
  </si>
  <si>
    <t>ENITEN YLIVOIMALLA TEHTYJÄ MAALEJA KAUDESSA:</t>
  </si>
  <si>
    <t>Antti Heinonen, Oskari Nurmisto</t>
  </si>
  <si>
    <t>ENITEN ALIVOIMALLA TEHTYJÄ MAALEJA KAUDESSA:</t>
  </si>
  <si>
    <t>Matti Salonen, Mika Aaltonen</t>
  </si>
  <si>
    <t>Miika Oja-Nisula, Kaj Engblom</t>
  </si>
  <si>
    <t>Jaakko Toivola, Oskari Nurmisto</t>
  </si>
  <si>
    <t>ENITEN SIIRRETYN RANGAISTUKSEN AIKANA TEHTYJÄ MAALEJA KAUDESSA:</t>
  </si>
  <si>
    <t>Uusi-Mikkola, Kurri, Javanainen, Toukola</t>
  </si>
  <si>
    <t>Mika Aaltonen, Jarkko Nieminen</t>
  </si>
  <si>
    <t>Lasse Saarnio, Kaj Engblom</t>
  </si>
  <si>
    <t>Kaj Engblom, Mika Aaltonen</t>
  </si>
  <si>
    <t>ENITEN HATTUTEMPPUJA KAUDESSA:</t>
  </si>
  <si>
    <t>Mäkilä, Aaltonen, Koivisto</t>
  </si>
  <si>
    <t>ENITEN RANGAISTUSLAUKAUKSIA KAUDESSA:</t>
  </si>
  <si>
    <t>Ville Koivisto, Jarno Peltola</t>
  </si>
  <si>
    <t>Engblom, Koivisto, Pöllänen</t>
  </si>
  <si>
    <t>Nynäs, Engblom, Helander, Aaltonen, Saarnio, Leinonen, Murto</t>
  </si>
  <si>
    <t>Mika Aaltonen, Kaj Engblom</t>
  </si>
  <si>
    <t>ENITEN TYHJÄÄN MAALIIN TEHTYJÄ MAALEJA KAUDESSA:</t>
  </si>
  <si>
    <t>Kaj Engblom, Niko Nynäs</t>
  </si>
  <si>
    <t>Ville Koivisto, Jesse Höykinpuro</t>
  </si>
  <si>
    <t>Ville Rinnola, Jarno Peltola</t>
  </si>
  <si>
    <t>Pelaaja</t>
  </si>
  <si>
    <t>0-Peli</t>
  </si>
  <si>
    <t>Aaltonen, Mika</t>
  </si>
  <si>
    <t>Engblom, Kaj</t>
  </si>
  <si>
    <t>Höykinpuro, Jesse</t>
  </si>
  <si>
    <t>Mäkilä, Kurri, Engblom, Höykinpuro, Vainio, Pöllänen</t>
  </si>
  <si>
    <t>YHT</t>
  </si>
  <si>
    <t>Koivisto, Ville</t>
  </si>
  <si>
    <t>Kurri, Mauri</t>
  </si>
  <si>
    <t>Lehtonen, Henrik</t>
  </si>
  <si>
    <t>Liukkonen, Lassi</t>
  </si>
  <si>
    <t>Mettälä, Tuukka</t>
  </si>
  <si>
    <t>Mettälä, Ville</t>
  </si>
  <si>
    <t>Mäkilä, Matias</t>
  </si>
  <si>
    <t>Mattila, Robin</t>
  </si>
  <si>
    <t>Nieminen, Atte</t>
  </si>
  <si>
    <t>Oja-Nisula, Miika</t>
  </si>
  <si>
    <t>Peltola, Jarno</t>
  </si>
  <si>
    <t>Pöllänen, Sami</t>
  </si>
  <si>
    <t>Vainio, Joni</t>
  </si>
  <si>
    <t>Virta, Matias</t>
  </si>
  <si>
    <t>18-19</t>
  </si>
  <si>
    <t>2018-2019</t>
  </si>
  <si>
    <t>KausiXIII</t>
  </si>
  <si>
    <t>K18-19</t>
  </si>
  <si>
    <t>Ottelulista:</t>
  </si>
  <si>
    <t>1.erä</t>
  </si>
  <si>
    <t>2.erä</t>
  </si>
  <si>
    <t>3.erä</t>
  </si>
  <si>
    <t>tulos</t>
  </si>
  <si>
    <t>joukkueet</t>
  </si>
  <si>
    <t>rl+</t>
  </si>
  <si>
    <t>rl (yht)</t>
  </si>
  <si>
    <t>IV-Divisioona</t>
  </si>
  <si>
    <t>Sarjataso:</t>
  </si>
  <si>
    <t>Kausi:</t>
  </si>
  <si>
    <t>Ottelunro:</t>
  </si>
  <si>
    <t>2018-2018</t>
  </si>
  <si>
    <t>Karsinta</t>
  </si>
  <si>
    <t>Pelipaikka:</t>
  </si>
  <si>
    <t>Päiväys:</t>
  </si>
  <si>
    <t>Koti:</t>
  </si>
  <si>
    <t>Vieras:</t>
  </si>
  <si>
    <t>Tulossa !</t>
  </si>
  <si>
    <t>#6</t>
  </si>
  <si>
    <t>#7</t>
  </si>
  <si>
    <t>#12</t>
  </si>
  <si>
    <t>#15</t>
  </si>
  <si>
    <t>#16</t>
  </si>
  <si>
    <t>#18</t>
  </si>
  <si>
    <t>#21</t>
  </si>
  <si>
    <t>#24</t>
  </si>
  <si>
    <t>#26</t>
  </si>
  <si>
    <t>#27</t>
  </si>
  <si>
    <t>#28</t>
  </si>
  <si>
    <t>#29</t>
  </si>
  <si>
    <t>#30</t>
  </si>
  <si>
    <t>#31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</si>
  <si>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</si>
  <si>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</si>
  <si>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</si>
  <si>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</si>
  <si>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</si>
  <si>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</si>
  <si>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</si>
  <si>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</si>
  <si>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</si>
  <si>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</si>
  <si>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</si>
  <si>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#46</t>
  </si>
  <si>
    <t>Nananana, Bätmän</t>
  </si>
  <si>
    <t>Jäähyt (kpl)</t>
  </si>
  <si>
    <t>Jäähyt (min)</t>
  </si>
  <si>
    <t>(Mika Aaltonen, Matias Mäkilä)</t>
  </si>
  <si>
    <t>6.10.2018 Klo 13.00</t>
  </si>
  <si>
    <t>Ottelu 21.</t>
  </si>
  <si>
    <t>6.10.2018 Klo 16.00</t>
  </si>
  <si>
    <t>20.10.2018 Klo 14.00</t>
  </si>
  <si>
    <t>20.10.2018 Klo 16.00</t>
  </si>
  <si>
    <t>3.11.2018 Klo 12.00</t>
  </si>
  <si>
    <t>3.11.2018 Klo 15.00</t>
  </si>
  <si>
    <t>PIF 1</t>
  </si>
  <si>
    <t>AFC Campus 2</t>
  </si>
  <si>
    <t>17.11.2018 Klo 19.00</t>
  </si>
  <si>
    <t>2.12.2018 Klo 11.00</t>
  </si>
  <si>
    <t>2.12.2018 Klo 14.00</t>
  </si>
  <si>
    <t>15.12.2018 Klo 12.00</t>
  </si>
  <si>
    <t>15.12.2018 Klo 14.00</t>
  </si>
  <si>
    <t>PIF1</t>
  </si>
  <si>
    <t>5.1.2019 Klo 11.00</t>
  </si>
  <si>
    <t>5.1.2019 Klo 13.00</t>
  </si>
  <si>
    <t>20.1.2019 Klo 9.00</t>
  </si>
  <si>
    <t>20.1.2019 Klo 16.00</t>
  </si>
  <si>
    <t>2.2.2019 Klo 11.00</t>
  </si>
  <si>
    <t>2.2.2019 Klo 14.00</t>
  </si>
  <si>
    <t>16.2.2019 Klo 12.00</t>
  </si>
  <si>
    <t>16.2.2019 Klo 14.00</t>
  </si>
  <si>
    <t>2.3.2019 Klo 12.00</t>
  </si>
  <si>
    <t>2.3.2019 Klo 15.00</t>
  </si>
  <si>
    <t>Vastustaja</t>
  </si>
  <si>
    <t>im</t>
  </si>
  <si>
    <t>AFC Campus2</t>
  </si>
  <si>
    <t>6.10.2018 Klo 16:00</t>
  </si>
  <si>
    <t>6.10.2018 Klo 13:00</t>
  </si>
  <si>
    <t>20.10.2018 Klo 14:00</t>
  </si>
  <si>
    <t>20.10.2018 Klo 16:00</t>
  </si>
  <si>
    <t>Ottelu 22.</t>
  </si>
  <si>
    <t>Ottelu 23.</t>
  </si>
  <si>
    <t>Ottelu 24.</t>
  </si>
  <si>
    <t>17.3.2019 Klo 13.00</t>
  </si>
  <si>
    <t>Momentum-halli, Pori</t>
  </si>
  <si>
    <t>TEAM LSM</t>
  </si>
  <si>
    <t>17.3.2019 Klo 16:30</t>
  </si>
  <si>
    <t>28.3.2019 Klo 20.00</t>
  </si>
  <si>
    <t>SB Hirvensalo 2</t>
  </si>
  <si>
    <t>Me 0-rang</t>
  </si>
  <si>
    <t>VST-0-rang</t>
  </si>
  <si>
    <t>Molemmat</t>
  </si>
  <si>
    <t>KAUSI 2018-2019</t>
  </si>
  <si>
    <t>0.37</t>
  </si>
  <si>
    <t>(Joni Vainio, Mika Aaltonen)</t>
  </si>
  <si>
    <t>0.57</t>
  </si>
  <si>
    <t>SekTa - PIF 1</t>
  </si>
  <si>
    <t>30.45</t>
  </si>
  <si>
    <t>(Miika Oja-Nisula, Joni Vainio)</t>
  </si>
  <si>
    <t>43.13</t>
  </si>
  <si>
    <t>13 - 3</t>
  </si>
  <si>
    <t>9min / 3kpl</t>
  </si>
  <si>
    <t>(2x 2min, 1x 5min)</t>
  </si>
  <si>
    <t>12min / 6kpl</t>
  </si>
  <si>
    <t>(6x 2min)</t>
  </si>
  <si>
    <t>18min / 5kpl</t>
  </si>
  <si>
    <t>TEAM LSM - SekTa</t>
  </si>
  <si>
    <t>Momentum-Halli, Pori</t>
  </si>
  <si>
    <t>(4x 2min, 1x 10min)</t>
  </si>
  <si>
    <t>8 (1.erä)</t>
  </si>
  <si>
    <t>(3. erä: 8 - 1)</t>
  </si>
  <si>
    <t>(1. erä: 1 - 4)</t>
  </si>
  <si>
    <t>(3. erä: 0 - 4) [Karsintaottelu M3D]</t>
  </si>
  <si>
    <t>1 -13</t>
  </si>
  <si>
    <t>[Ottelu päättyi 37.08min]</t>
  </si>
  <si>
    <t>(1. erä: 1 - 8) [Ottelu päättyi 37.08min]</t>
  </si>
  <si>
    <t>(1 - 8 ; 0 - 4 ; 0 - 1) [Ottelu päättyi 37.08min]</t>
  </si>
  <si>
    <t>(1 - 3 ; 1 - 2 ; 0 - 1)</t>
  </si>
  <si>
    <t>29kpl / 69min</t>
  </si>
  <si>
    <t>33kpl / 75min</t>
  </si>
  <si>
    <t>KAUSI 2018-2019 IV-Div</t>
  </si>
  <si>
    <t>Jesse Hyökinpuro</t>
  </si>
  <si>
    <t>Rami Takala</t>
  </si>
  <si>
    <t>(MV) Lassi Liukkonen</t>
  </si>
  <si>
    <t>IV-DIV - LR LOHKO 10</t>
  </si>
  <si>
    <t>Karsinnat</t>
  </si>
  <si>
    <t>Jäähyminuutit (yhteensä)</t>
  </si>
  <si>
    <t>(Oma maali)</t>
  </si>
  <si>
    <t>9min/3kpl</t>
  </si>
  <si>
    <t>(2x2min + 1x 5min)</t>
  </si>
  <si>
    <t>18min/5kpl</t>
  </si>
  <si>
    <t>12min/2kpl</t>
  </si>
  <si>
    <t>12min/6kpl</t>
  </si>
  <si>
    <t>[37.08min]</t>
  </si>
  <si>
    <t>(1 -3 ; 1 - 2 ; 0 -1)</t>
  </si>
  <si>
    <t>(1 - 8 ; 0 - 4 ; 0 - 1)</t>
  </si>
  <si>
    <t>(1. erä: 1 - 8)</t>
  </si>
  <si>
    <t>21min</t>
  </si>
  <si>
    <t>3+3</t>
  </si>
  <si>
    <t>AFC Campus 2 - SekTa</t>
  </si>
  <si>
    <t>(70m/24o)</t>
  </si>
  <si>
    <t>Paras torjunta-% kaudessa</t>
  </si>
  <si>
    <t>Eniten torjuntoja ottelussa</t>
  </si>
  <si>
    <t>SekTa - AFC Campus 2</t>
  </si>
  <si>
    <t xml:space="preserve"> 1 - 3</t>
  </si>
  <si>
    <t>torj</t>
  </si>
  <si>
    <t xml:space="preserve">Runkosarja </t>
  </si>
  <si>
    <t>T/O</t>
  </si>
  <si>
    <t>PMK</t>
  </si>
  <si>
    <t>T-%</t>
  </si>
  <si>
    <t>1050. Maali</t>
  </si>
  <si>
    <t>Kausi 2018-2019 (IV-div)</t>
  </si>
  <si>
    <t>22.07</t>
  </si>
  <si>
    <r>
      <rPr>
        <b/>
        <sz val="11"/>
        <color theme="1"/>
        <rFont val="Calibri"/>
        <family val="2"/>
        <scheme val="minor"/>
      </rPr>
      <t xml:space="preserve">8 - 3 </t>
    </r>
    <r>
      <rPr>
        <sz val="11"/>
        <color theme="1"/>
        <rFont val="Calibri"/>
        <family val="2"/>
        <scheme val="minor"/>
      </rPr>
      <t>(5 - 1)</t>
    </r>
  </si>
  <si>
    <t>1100. Maali</t>
  </si>
  <si>
    <r>
      <rPr>
        <b/>
        <sz val="11"/>
        <color theme="1"/>
        <rFont val="Calibri"/>
        <family val="2"/>
        <scheme val="minor"/>
      </rPr>
      <t xml:space="preserve">1 - 13 </t>
    </r>
    <r>
      <rPr>
        <sz val="11"/>
        <color theme="1"/>
        <rFont val="Calibri"/>
        <family val="2"/>
        <scheme val="minor"/>
      </rPr>
      <t>(1 - 12)</t>
    </r>
  </si>
  <si>
    <t>1150. Maali</t>
  </si>
  <si>
    <t>24.33</t>
  </si>
  <si>
    <r>
      <rPr>
        <b/>
        <sz val="11"/>
        <color theme="1"/>
        <rFont val="Calibri"/>
        <family val="2"/>
        <scheme val="minor"/>
      </rPr>
      <t xml:space="preserve">3 - 8 </t>
    </r>
    <r>
      <rPr>
        <sz val="11"/>
        <color theme="1"/>
        <rFont val="Calibri"/>
        <family val="2"/>
        <scheme val="minor"/>
      </rPr>
      <t>(3 - 4)</t>
    </r>
  </si>
  <si>
    <t>(Jarno Peltola, Kaj Engblom)</t>
  </si>
  <si>
    <t>KARSINNAT M3D</t>
  </si>
  <si>
    <t>Takala, Rami</t>
  </si>
  <si>
    <t>Kars</t>
  </si>
  <si>
    <t>Uusi-Mikkola, Jussi</t>
  </si>
  <si>
    <t>SekTa - SB Hirvensalo 2 (3Div)</t>
  </si>
  <si>
    <t>Suominen, Timo</t>
  </si>
  <si>
    <t>Suominen, Ville</t>
  </si>
  <si>
    <t>Sutinen, Samuli</t>
  </si>
  <si>
    <t>Suvitie, Sampo</t>
  </si>
  <si>
    <t>Rinnola, Ville</t>
  </si>
  <si>
    <t>Mäki, Esa</t>
  </si>
  <si>
    <t>Vuoria, Jussi</t>
  </si>
  <si>
    <t>Kuntonen, Aki</t>
  </si>
  <si>
    <t>Murto, Jori</t>
  </si>
  <si>
    <t>Helander, Juuso</t>
  </si>
  <si>
    <t>Saarnio, Esa</t>
  </si>
  <si>
    <t>Saarnio, Lasse</t>
  </si>
  <si>
    <t>Nynäs, Niko</t>
  </si>
  <si>
    <t>Salonen, Matti</t>
  </si>
  <si>
    <t>Leinonen, Sampsa</t>
  </si>
  <si>
    <t>Hilden, Hans</t>
  </si>
  <si>
    <t>Javanainen, Mika</t>
  </si>
  <si>
    <t>Toivola, Jaakko</t>
  </si>
  <si>
    <t>Nimi</t>
  </si>
  <si>
    <t>2019-2020</t>
  </si>
  <si>
    <t>Suomen Cup</t>
  </si>
  <si>
    <t>Suomen Cup Länsi, 1.kierros, lohko C</t>
  </si>
  <si>
    <t>Miesten 4-divisioona Länsirannikko, lohko 09</t>
  </si>
  <si>
    <t>31.8.2019 Klo 12.00</t>
  </si>
  <si>
    <t>31.8.2019 Klo 15.00</t>
  </si>
  <si>
    <t>PRM</t>
  </si>
  <si>
    <t>31.8.2019 Klo 18.00</t>
  </si>
  <si>
    <t>TPS 3</t>
  </si>
  <si>
    <t>12.10.2019 Klo 16.00</t>
  </si>
  <si>
    <t>12.10.2019 Klo 18.00</t>
  </si>
  <si>
    <t>27.10.2019 Klo 15.00</t>
  </si>
  <si>
    <t>USB</t>
  </si>
  <si>
    <t>K/V:</t>
  </si>
  <si>
    <t>27.10.2019 Klo 18.00</t>
  </si>
  <si>
    <t>Wankers</t>
  </si>
  <si>
    <t>16.11.2019 Klo 12.00</t>
  </si>
  <si>
    <t>16.11.2019 Klo 14.00</t>
  </si>
  <si>
    <t>7.12.2019 Klo 13.00</t>
  </si>
  <si>
    <t>7.12.2019 Klo 16.00</t>
  </si>
  <si>
    <t>SBS KM</t>
  </si>
  <si>
    <t>5.1.2020 Klo 12.00</t>
  </si>
  <si>
    <t>5.1.2020 Klo 14.00</t>
  </si>
  <si>
    <t>Maijamäen liikuntahalli</t>
  </si>
  <si>
    <t>26.1.2020 Klo 10.00</t>
  </si>
  <si>
    <t>26.1.2020 Klo 19.00</t>
  </si>
  <si>
    <t>15.2.2020 Klo 10.00</t>
  </si>
  <si>
    <t>15.2.2020 Klo 12.00</t>
  </si>
  <si>
    <t>29.2.2020 Klo 11.00</t>
  </si>
  <si>
    <t>29.2.2020 Klo 13.00</t>
  </si>
  <si>
    <t>Sarja:</t>
  </si>
  <si>
    <t>M+</t>
  </si>
  <si>
    <t>M-</t>
  </si>
  <si>
    <t>JAV</t>
  </si>
  <si>
    <t>JAH</t>
  </si>
  <si>
    <t>Vesa Kurppa</t>
  </si>
  <si>
    <t>Pessi Aro</t>
  </si>
  <si>
    <t>T%</t>
  </si>
  <si>
    <t>NP</t>
  </si>
  <si>
    <t>Ilman rng</t>
  </si>
  <si>
    <t>S Cup</t>
  </si>
  <si>
    <t>19-20</t>
  </si>
  <si>
    <t>KAUSI 2019-2020</t>
  </si>
  <si>
    <t>(Jarno Peltola, Ville Koivisto)</t>
  </si>
  <si>
    <t>1.08</t>
  </si>
  <si>
    <t>PöU - SekTa</t>
  </si>
  <si>
    <t>6 - 7</t>
  </si>
  <si>
    <t>30.08</t>
  </si>
  <si>
    <t>SekTa - SB Naantali 3</t>
  </si>
  <si>
    <t>(Mika Aaltonen, -)</t>
  </si>
  <si>
    <t>SekTa - USB</t>
  </si>
  <si>
    <t>SekTa - SBS KM</t>
  </si>
  <si>
    <t>13 - 5</t>
  </si>
  <si>
    <t>5 - 8</t>
  </si>
  <si>
    <t>5min / 1kpl</t>
  </si>
  <si>
    <t>PRM - SekTa</t>
  </si>
  <si>
    <t>3 ottelua, joissa jäähyjä 1x 2min</t>
  </si>
  <si>
    <t>(3. erä: 0 - 8)</t>
  </si>
  <si>
    <t>(3. erä: 2 - 5)</t>
  </si>
  <si>
    <t>[Ottelu päättyi ajassa 40.27] [Suomen Cup]</t>
  </si>
  <si>
    <t>(1x 5min) [Suomen Cup]</t>
  </si>
  <si>
    <t>(1 - 4 ; 0 - 4 ; 0 - 5) [Ottelu päättyi ajassa 40.27] [Suomen Cup]</t>
  </si>
  <si>
    <t>(1 - 2 ; 0 - 6 ; 0 - 4)</t>
  </si>
  <si>
    <t>TPS 3 - SekTa</t>
  </si>
  <si>
    <t>(4 - 2 ; 3 - 1 ; 3 - 1) [Suomen Cup]</t>
  </si>
  <si>
    <t>-3</t>
  </si>
  <si>
    <t>(0 - 3 ; 3 - 0 ; 2 - 5)</t>
  </si>
  <si>
    <t>(0 - 2 ; 0 - 1 ; 2 - 2)</t>
  </si>
  <si>
    <t>IV-DIV - LR LOHKO 9</t>
  </si>
  <si>
    <t>Päivä</t>
  </si>
  <si>
    <t>Aika</t>
  </si>
  <si>
    <t>KaPa-65 1</t>
  </si>
  <si>
    <t>PMO</t>
  </si>
  <si>
    <t>20-21</t>
  </si>
  <si>
    <t>III-Div</t>
  </si>
  <si>
    <t>IV-Div+Cup</t>
  </si>
  <si>
    <t>IV-Div+Kars</t>
  </si>
  <si>
    <t>3 / 3</t>
  </si>
  <si>
    <t>4kpl / 11min</t>
  </si>
  <si>
    <t>18kpl / 44min</t>
  </si>
  <si>
    <t>VST - Jäähyjä yhteensä (kpl):</t>
  </si>
  <si>
    <t>Eniten jäähyjä vastustajalle / ottelu (min)</t>
  </si>
  <si>
    <t>Eniten jäähyjä meille / ottelu (min)</t>
  </si>
  <si>
    <t>KAUSI 2019-2020 IV-Div + Suomen Cup</t>
  </si>
  <si>
    <t>11 / 17</t>
  </si>
  <si>
    <t>IM-MAALIT</t>
  </si>
  <si>
    <t>(19-20 alk.)</t>
  </si>
  <si>
    <t>Mika Aaltonen, Rami Takala</t>
  </si>
  <si>
    <t>1kpl</t>
  </si>
  <si>
    <t>Kaj Engblom, Mika Aaltonen, Mauri Kurri, Pessi Aro</t>
  </si>
  <si>
    <t>2 / 5min</t>
  </si>
  <si>
    <t>2019-2020 (Suomen Cup)</t>
  </si>
  <si>
    <t>( 2m/2o )</t>
  </si>
  <si>
    <r>
      <t>Eniten torjuntoja kaudessa</t>
    </r>
    <r>
      <rPr>
        <sz val="11"/>
        <color rgb="FF000000"/>
        <rFont val="Calibri"/>
        <family val="2"/>
      </rPr>
      <t xml:space="preserve"> (18-19 alk.)</t>
    </r>
  </si>
  <si>
    <t>1200. Maali</t>
  </si>
  <si>
    <t>1250. Maali</t>
  </si>
  <si>
    <t>Kausi 2019-2020 (IV-div)</t>
  </si>
  <si>
    <t>18.31</t>
  </si>
  <si>
    <r>
      <rPr>
        <b/>
        <sz val="11"/>
        <color theme="1"/>
        <rFont val="Calibri"/>
        <family val="2"/>
        <scheme val="minor"/>
      </rPr>
      <t xml:space="preserve">1 - 12 </t>
    </r>
    <r>
      <rPr>
        <sz val="11"/>
        <color theme="1"/>
        <rFont val="Calibri"/>
        <family val="2"/>
        <scheme val="minor"/>
      </rPr>
      <t>(1 - 4)</t>
    </r>
  </si>
  <si>
    <t>(Rami Takala, Kaj Engblom)</t>
  </si>
  <si>
    <t>23.40</t>
  </si>
  <si>
    <r>
      <rPr>
        <b/>
        <sz val="11"/>
        <color theme="1"/>
        <rFont val="Calibri"/>
        <family val="2"/>
        <scheme val="minor"/>
      </rPr>
      <t xml:space="preserve">5 - 8 </t>
    </r>
    <r>
      <rPr>
        <sz val="11"/>
        <color theme="1"/>
        <rFont val="Calibri"/>
        <family val="2"/>
        <scheme val="minor"/>
      </rPr>
      <t>(2 - 3)</t>
    </r>
  </si>
  <si>
    <t>(Mika Aaltonen, Jarno Peltola)</t>
  </si>
  <si>
    <t>Scup</t>
  </si>
  <si>
    <t>Kurppa, Vesa</t>
  </si>
  <si>
    <t>Aro, Pessi</t>
  </si>
  <si>
    <t>SekTa - Jäähyjä  yhteensä (kpl):</t>
  </si>
  <si>
    <t>(1 - 4 ; 0 - 4 ; 0 - 5) [40.27] [Suomen Cup]</t>
  </si>
  <si>
    <t>Miesten 3-divisioona Länsirannikko, lohko 06</t>
  </si>
  <si>
    <t>2020-2021</t>
  </si>
  <si>
    <t>III-Divisioona</t>
  </si>
  <si>
    <t>11.10.2020 Klo 15.00</t>
  </si>
  <si>
    <t>HaNi-halli, Mynämäki</t>
  </si>
  <si>
    <t>11.10.2020 Klo 18.00</t>
  </si>
  <si>
    <t>AFC Campus</t>
  </si>
  <si>
    <t>SBS Wirmo 2</t>
  </si>
  <si>
    <t>8.11.2020 Klo 11.30</t>
  </si>
  <si>
    <t>8.11.2020 Klo 15.30</t>
  </si>
  <si>
    <t>Nakkilan Liikuntahalli</t>
  </si>
  <si>
    <t>Satabandy</t>
  </si>
  <si>
    <t>NTK</t>
  </si>
  <si>
    <t>13.12.2020 Klo 11.30</t>
  </si>
  <si>
    <t>13.12.2020 Klo 16.00</t>
  </si>
  <si>
    <t>SBS Masku</t>
  </si>
  <si>
    <t>LAJY</t>
  </si>
  <si>
    <t>19.12.2020 Klo 9.30</t>
  </si>
  <si>
    <t>Rauman Kauppaoppilaitos</t>
  </si>
  <si>
    <t>19.12.2020 Klo 13.30</t>
  </si>
  <si>
    <t>JYRÄ</t>
  </si>
  <si>
    <t>SALBA 2</t>
  </si>
  <si>
    <t>10.1.2021 Klo 10.00</t>
  </si>
  <si>
    <t>10.1.2021 Klo 14.30</t>
  </si>
  <si>
    <t>Miesten 3-divisioona Länsirannikko, lohko 05</t>
  </si>
  <si>
    <t>P/O</t>
  </si>
  <si>
    <t>LaJy</t>
  </si>
  <si>
    <t>SalBa 2</t>
  </si>
  <si>
    <t>0.00</t>
  </si>
  <si>
    <t>Jyrä</t>
  </si>
  <si>
    <t>YVM</t>
  </si>
  <si>
    <t>AVM</t>
  </si>
  <si>
    <t>Jani Ruuskanen</t>
  </si>
  <si>
    <t>Kaj-Kristian Engblom</t>
  </si>
  <si>
    <t>Veikka Saarinen</t>
  </si>
  <si>
    <t>Juha-Pekka Kiilunen</t>
  </si>
  <si>
    <t>14.3.2020 Klo 13.00</t>
  </si>
  <si>
    <t>14.3.2020 Klo 16.00</t>
  </si>
  <si>
    <t>2021-2022</t>
  </si>
  <si>
    <t>2022-2023</t>
  </si>
  <si>
    <t>25.9.2021 Klo 14.30</t>
  </si>
  <si>
    <t>25.9.2021 Klo 17.30</t>
  </si>
  <si>
    <t>16.10.2021 Klo 13.30</t>
  </si>
  <si>
    <t>16.10.2021 Klo 16.30</t>
  </si>
  <si>
    <t>13.11.2021 Klo 13.00</t>
  </si>
  <si>
    <t>13.11.2021 Klo 17.00</t>
  </si>
  <si>
    <t>19.12.2021 Klo 10.00</t>
  </si>
  <si>
    <t>19.12.2021 Klo 17.30</t>
  </si>
  <si>
    <t>19.2.2022 Klo 14.30</t>
  </si>
  <si>
    <t>5.2.2022 Klo 13.00</t>
  </si>
  <si>
    <t>5.2.2022 Klo 16.00</t>
  </si>
  <si>
    <t>19.2.2022 Klo 17.30</t>
  </si>
  <si>
    <t>26.2.2022 Klo 11.00</t>
  </si>
  <si>
    <t>26.2.2022 Klo 16.30</t>
  </si>
  <si>
    <t>12.3.2022 Klo 14.30</t>
  </si>
  <si>
    <t>12.3.2022 Klo 17.30</t>
  </si>
  <si>
    <t>19.3.2022 Klo 11.30</t>
  </si>
  <si>
    <t>19.3.2022 Klo 14.30</t>
  </si>
  <si>
    <t>23.4.2022 Klo 14.30</t>
  </si>
  <si>
    <t>Oripään liikuntahalli, Oripää</t>
  </si>
  <si>
    <t>Salohalli, Salo</t>
  </si>
  <si>
    <t>Flames</t>
  </si>
  <si>
    <t>OU</t>
  </si>
  <si>
    <t>SalPa</t>
  </si>
  <si>
    <t>FoSu Akatemia</t>
  </si>
  <si>
    <t>SC Toivo</t>
  </si>
  <si>
    <t>Akseli Nykänen</t>
  </si>
  <si>
    <t>Jasse Santavuori</t>
  </si>
  <si>
    <t>Pedar Järvensivu</t>
  </si>
  <si>
    <t>Mikko Hongisto</t>
  </si>
  <si>
    <t>Petri Vikman</t>
  </si>
  <si>
    <t>Maalivahti</t>
  </si>
  <si>
    <t>PMK/60</t>
  </si>
  <si>
    <t>21-22</t>
  </si>
  <si>
    <t>KAUSI 2020-2021</t>
  </si>
  <si>
    <t>KAUSI 2021-2022</t>
  </si>
  <si>
    <t>0.42</t>
  </si>
  <si>
    <t>SekTa - FoSu Akatemia</t>
  </si>
  <si>
    <t>SekTa - OU</t>
  </si>
  <si>
    <t>31.53</t>
  </si>
  <si>
    <t>AFC Campus - SekTa</t>
  </si>
  <si>
    <t>(Pedar Järvensivu, Miika Oja-Nisula)</t>
  </si>
  <si>
    <t>19.21</t>
  </si>
  <si>
    <t>[SekTa maali ajassa 28.03]</t>
  </si>
  <si>
    <t>SekTa - SalPa</t>
  </si>
  <si>
    <t>4 - 10</t>
  </si>
  <si>
    <t>[Kirjuri: T.Suominen]</t>
  </si>
  <si>
    <t>SekTa - AFC Campus</t>
  </si>
  <si>
    <t>SekTa - Flames</t>
  </si>
  <si>
    <t>(4x 2min) [Kauden 1. ottelu]</t>
  </si>
  <si>
    <t>(2x 2min, 1x 5min) [Kauden 2. ottelu]</t>
  </si>
  <si>
    <t>27min / 3kpl</t>
  </si>
  <si>
    <t>OU - SekTa</t>
  </si>
  <si>
    <t>(1. erä: 6 - 0)</t>
  </si>
  <si>
    <t>(3. erä: 0 - 6)</t>
  </si>
  <si>
    <t>(6 - 0 ; 4 - 0 ; 2 - 0) [Ottelu päättyi ajassa 38.07]</t>
  </si>
  <si>
    <t>-9</t>
  </si>
  <si>
    <t>SekTa - SC Toivo</t>
  </si>
  <si>
    <t>(0 - 1 ; 0 - 3 ; 0 - 5) [Kauden viimeinen ottelu (pl. Karsinta)]</t>
  </si>
  <si>
    <t>SC Toivo - SekTa</t>
  </si>
  <si>
    <t>(Akseli Nykänen 3+1)</t>
  </si>
  <si>
    <t>1300. Maali</t>
  </si>
  <si>
    <t>1350. Maali</t>
  </si>
  <si>
    <t>Kausi 2021-2022 (III-div)</t>
  </si>
  <si>
    <t>4.43</t>
  </si>
  <si>
    <r>
      <rPr>
        <b/>
        <sz val="11"/>
        <color theme="1"/>
        <rFont val="Calibri"/>
        <family val="2"/>
        <scheme val="minor"/>
      </rPr>
      <t xml:space="preserve">5 - 4 </t>
    </r>
    <r>
      <rPr>
        <sz val="11"/>
        <color theme="1"/>
        <rFont val="Calibri"/>
        <family val="2"/>
        <scheme val="minor"/>
      </rPr>
      <t>(1 - 0)</t>
    </r>
  </si>
  <si>
    <t>38.21</t>
  </si>
  <si>
    <r>
      <rPr>
        <b/>
        <sz val="11"/>
        <color theme="1"/>
        <rFont val="Calibri"/>
        <family val="2"/>
        <scheme val="minor"/>
      </rPr>
      <t xml:space="preserve">4 - 10 </t>
    </r>
    <r>
      <rPr>
        <sz val="11"/>
        <color theme="1"/>
        <rFont val="Calibri"/>
        <family val="2"/>
        <scheme val="minor"/>
      </rPr>
      <t>(4 - 8)</t>
    </r>
  </si>
  <si>
    <t>KAUSI 2020-2021 III-Div</t>
  </si>
  <si>
    <t>KAUSI 2021-2022 III-Div + Karsinta</t>
  </si>
  <si>
    <t>Voitto-%</t>
  </si>
  <si>
    <t>Osuus otteluista</t>
  </si>
  <si>
    <t>III-DIV - LR LOHKO 6</t>
  </si>
  <si>
    <t>MAALIVAHTI</t>
  </si>
  <si>
    <t>III-DIV - LR LOHKO 5</t>
  </si>
  <si>
    <t>VM</t>
  </si>
  <si>
    <t>22-23</t>
  </si>
  <si>
    <t>KausiXIV</t>
  </si>
  <si>
    <t>KausiXV</t>
  </si>
  <si>
    <t>KausiXVI</t>
  </si>
  <si>
    <t>KausiXVII</t>
  </si>
  <si>
    <t>III-Div+Kars</t>
  </si>
  <si>
    <t>21kpl / 63min</t>
  </si>
  <si>
    <t>17kpl / 37min</t>
  </si>
  <si>
    <t>27min</t>
  </si>
  <si>
    <t>3kpl</t>
  </si>
  <si>
    <t>1+6</t>
  </si>
  <si>
    <t xml:space="preserve">12 - 0 </t>
  </si>
  <si>
    <t>Miika Oja-Nisula, Mikko Hongisto</t>
  </si>
  <si>
    <t>Engblom, Nykänen, Aaltonen, Hongisto</t>
  </si>
  <si>
    <t>ENITEN VOITTOMAALEJA KAUDESSA:</t>
  </si>
  <si>
    <t>(100m/19o)</t>
  </si>
  <si>
    <t>5,26</t>
  </si>
  <si>
    <t>2  / 3</t>
  </si>
  <si>
    <t>3 / 6</t>
  </si>
  <si>
    <t>VOITTOMAALIT</t>
  </si>
  <si>
    <t>Ruuskanen, Jani</t>
  </si>
  <si>
    <t>Saarinen, Veikka</t>
  </si>
  <si>
    <t>Kiilunen, Juha-Pekka</t>
  </si>
  <si>
    <t>Nykänen, Akseli</t>
  </si>
  <si>
    <t>Vikman, Petri</t>
  </si>
  <si>
    <t>Santavuori, Jasse</t>
  </si>
  <si>
    <t>Hongisto, Mikko</t>
  </si>
  <si>
    <t>Järvensivu, Pedar</t>
  </si>
  <si>
    <t>Nieminen, Jarkko</t>
  </si>
  <si>
    <t>Nurmisto, Oskari</t>
  </si>
  <si>
    <t>Heinonen, Antti</t>
  </si>
  <si>
    <t>Laakso, Juha</t>
  </si>
  <si>
    <t>Niiles, Juho</t>
  </si>
  <si>
    <t>Varila, Erkka</t>
  </si>
  <si>
    <t>Hällfors, Tero</t>
  </si>
  <si>
    <t>Toivola, Vesa</t>
  </si>
  <si>
    <t>Toukola, Antti</t>
  </si>
  <si>
    <t>Kostiainen, Jere</t>
  </si>
  <si>
    <t>Finnholm, Tuomas</t>
  </si>
  <si>
    <t>Eemilä, Ville</t>
  </si>
  <si>
    <t>Voittomaalit</t>
  </si>
  <si>
    <t>Paasikivi, Mikko</t>
  </si>
  <si>
    <t>FC KYPS</t>
  </si>
  <si>
    <t>Ahto</t>
  </si>
  <si>
    <t>Ruoska 4</t>
  </si>
  <si>
    <t>TVA 2</t>
  </si>
  <si>
    <t>SBS Lieto 2</t>
  </si>
  <si>
    <t>FBC Turku 3</t>
  </si>
  <si>
    <t>PELAAJA</t>
  </si>
  <si>
    <t>Marcus Savela</t>
  </si>
  <si>
    <t>Henri Kananen</t>
  </si>
  <si>
    <t>Mika Ahven</t>
  </si>
  <si>
    <t>Jimi Laaksonen</t>
  </si>
  <si>
    <t>Ville Mäenranta</t>
  </si>
  <si>
    <t>Miesten 4-divisioona Länsirannikko, lohko 10</t>
  </si>
  <si>
    <t>24.9.2022 Klo 15.00</t>
  </si>
  <si>
    <t>24.9.2022 Klo 18.00</t>
  </si>
  <si>
    <t>16.10.2022 Klo 13.00</t>
  </si>
  <si>
    <t>16.10.2022 Klo 16.00</t>
  </si>
  <si>
    <t>29.10.2022 Klo 11.00</t>
  </si>
  <si>
    <t>29.10.2022 Klo 13.00</t>
  </si>
  <si>
    <t>20.11.2022 Klo 12.00</t>
  </si>
  <si>
    <t>20.11.2022 Klo 15.00</t>
  </si>
  <si>
    <t>3.12.2022 Klo 13.00</t>
  </si>
  <si>
    <t>3.12.2022 Klo 16.00</t>
  </si>
  <si>
    <t>18.12.2022 Klo 11.00</t>
  </si>
  <si>
    <t>18.12.2022 Klo 14.00</t>
  </si>
  <si>
    <t>Nouste Areena, Nousiainen</t>
  </si>
  <si>
    <t>8.1.2023 Klo 13.00</t>
  </si>
  <si>
    <t>8.1.2023 Klo 16.00</t>
  </si>
  <si>
    <t>21.1.2023 Klo 11.00</t>
  </si>
  <si>
    <t>21.1.2023 Klo 13.00</t>
  </si>
  <si>
    <t>12.2.2023 Klo 10.00</t>
  </si>
  <si>
    <t>12.2.2023 Klo 17.00</t>
  </si>
  <si>
    <t>26.2.2023 Klo 15.00</t>
  </si>
  <si>
    <t>26.2.2023 Klo 18.00</t>
  </si>
  <si>
    <t>18.3.2023 Klo 11.00</t>
  </si>
  <si>
    <t>18.3.2023 Klo 14.00</t>
  </si>
  <si>
    <t>1.4.2023 Klo 16.00</t>
  </si>
  <si>
    <t>1.4.2023 Klo 18.00</t>
  </si>
  <si>
    <t>0 / 4</t>
  </si>
  <si>
    <t>4 / 6</t>
  </si>
  <si>
    <t>12 / 29</t>
  </si>
  <si>
    <t>KAUSI 2022-2023</t>
  </si>
  <si>
    <t>SekTa - Ruoska 4</t>
  </si>
  <si>
    <t>(Akseli Nykänen, Marcus Savela)</t>
  </si>
  <si>
    <t>1.15</t>
  </si>
  <si>
    <t>SekTa - SBS Lieto 2</t>
  </si>
  <si>
    <t>10 - 7</t>
  </si>
  <si>
    <t>43.01</t>
  </si>
  <si>
    <t>SekTa - TVA 2</t>
  </si>
  <si>
    <t>35.22</t>
  </si>
  <si>
    <t>Ahto - SekTa</t>
  </si>
  <si>
    <t>(Veikka Saarinen, Jimi Laaksonen) [Kauden 1. ottelu]</t>
  </si>
  <si>
    <t>SekTa - FBC Turku 3</t>
  </si>
  <si>
    <t>15 - 3</t>
  </si>
  <si>
    <t>SekTa - FC KYPS</t>
  </si>
  <si>
    <t>10min / 5kpl</t>
  </si>
  <si>
    <t>Ruoska 4 - SekTa</t>
  </si>
  <si>
    <t>(3. erä: 8 - 2)</t>
  </si>
  <si>
    <r>
      <t xml:space="preserve">(1 - 1 ; 6 - 0 ; </t>
    </r>
    <r>
      <rPr>
        <b/>
        <sz val="11"/>
        <color theme="1"/>
        <rFont val="Calibri"/>
        <family val="2"/>
        <scheme val="minor"/>
      </rPr>
      <t>8 - 2</t>
    </r>
    <r>
      <rPr>
        <sz val="11"/>
        <color theme="1"/>
        <rFont val="Calibri"/>
        <family val="2"/>
        <scheme val="minor"/>
      </rPr>
      <t>)</t>
    </r>
  </si>
  <si>
    <r>
      <t>(1 - 1 ; 1 - 2 ;</t>
    </r>
    <r>
      <rPr>
        <b/>
        <sz val="11"/>
        <color theme="1"/>
        <rFont val="Calibri"/>
        <family val="2"/>
        <scheme val="minor"/>
      </rPr>
      <t xml:space="preserve"> 3 - 5</t>
    </r>
    <r>
      <rPr>
        <sz val="11"/>
        <color theme="1"/>
        <rFont val="Calibri"/>
        <family val="2"/>
        <scheme val="minor"/>
      </rPr>
      <t>)</t>
    </r>
  </si>
  <si>
    <t>(1 - 1 ; 6 - 0 ; 8 - 2) [Ottelu päättyi ajassa 41.54]</t>
  </si>
  <si>
    <t>(1 - 3 ; 2 - 3 ; 1 - 2)</t>
  </si>
  <si>
    <t>(1 - 1 ; 2 - 0 ; 2 - 0)</t>
  </si>
  <si>
    <t>25kpl / 50min</t>
  </si>
  <si>
    <t xml:space="preserve">10 - 7 </t>
  </si>
  <si>
    <t xml:space="preserve">SekTa - FBC Turku 3 </t>
  </si>
  <si>
    <t>(3.erä: 3 - 5)</t>
  </si>
  <si>
    <t>(Höykinpuro, Aaltonen, Vikman, Savela, Oja-Nisula)</t>
  </si>
  <si>
    <t>KAUSI 2022-2023 IV-Div</t>
  </si>
  <si>
    <t>Nouste-Areena, Nousiainen</t>
  </si>
  <si>
    <t>Kilosport/SB-Areena, Turku</t>
  </si>
  <si>
    <t>1400. Maali</t>
  </si>
  <si>
    <t>1450. Maali</t>
  </si>
  <si>
    <t>Kausi 2022-2023 (IV-div)</t>
  </si>
  <si>
    <t>34.07</t>
  </si>
  <si>
    <r>
      <rPr>
        <b/>
        <sz val="11"/>
        <color theme="1"/>
        <rFont val="Calibri"/>
        <family val="2"/>
        <scheme val="minor"/>
      </rPr>
      <t xml:space="preserve">15 - 3 </t>
    </r>
    <r>
      <rPr>
        <sz val="11"/>
        <color theme="1"/>
        <rFont val="Calibri"/>
        <family val="2"/>
        <scheme val="minor"/>
      </rPr>
      <t>(8 - 1)</t>
    </r>
  </si>
  <si>
    <r>
      <rPr>
        <b/>
        <sz val="11"/>
        <color theme="1"/>
        <rFont val="Calibri"/>
        <family val="2"/>
        <scheme val="minor"/>
      </rPr>
      <t xml:space="preserve">6 - 5 </t>
    </r>
    <r>
      <rPr>
        <sz val="11"/>
        <color theme="1"/>
        <rFont val="Calibri"/>
        <family val="2"/>
        <scheme val="minor"/>
      </rPr>
      <t>(5 - 5)</t>
    </r>
  </si>
  <si>
    <t>(Petri Vikman, Miika Oja-Nisula) [YV2]</t>
  </si>
  <si>
    <t>5+3</t>
  </si>
  <si>
    <t>FC KYPS - SekTa</t>
  </si>
  <si>
    <t>Aaltonen, Vikman, Oja-Nisula, Savela, Höykinpuro</t>
  </si>
  <si>
    <t>Maalivahdit</t>
  </si>
  <si>
    <t>L</t>
  </si>
  <si>
    <t>0/3</t>
  </si>
  <si>
    <t>(44m/12o)</t>
  </si>
  <si>
    <t>3,67</t>
  </si>
  <si>
    <t>3.67</t>
  </si>
  <si>
    <t>4.58</t>
  </si>
  <si>
    <t>Savela, Marcus</t>
  </si>
  <si>
    <t>Kananen, Henri</t>
  </si>
  <si>
    <t>Laaksonen, Jimi</t>
  </si>
  <si>
    <t>Mäenranta, Ville</t>
  </si>
  <si>
    <t>Ahven, Mika</t>
  </si>
  <si>
    <t>1 / 5</t>
  </si>
  <si>
    <t>Eniten päästettyjä maaleja ottelussa</t>
  </si>
  <si>
    <t>Nopein maali (ottelun alusta)</t>
  </si>
  <si>
    <t>Vastustajan nopein maali (ottelun alusta)</t>
  </si>
  <si>
    <t>(3. erä: 0 - 4) [M3D Karsinta]</t>
  </si>
  <si>
    <t>+10</t>
  </si>
  <si>
    <t>+9</t>
  </si>
  <si>
    <t>2023-2024</t>
  </si>
  <si>
    <t>M4DIV LR M4 Varsinais-Suomi A</t>
  </si>
  <si>
    <t>23.9.2023 Klo 14.00</t>
  </si>
  <si>
    <t>23.9.2023 Klo 12.00</t>
  </si>
  <si>
    <t>KiKi</t>
  </si>
  <si>
    <t>Påminne halli, Raasepori</t>
  </si>
  <si>
    <t>Karsinta III-Div</t>
  </si>
  <si>
    <t>14.10.2023 Klo 11.00</t>
  </si>
  <si>
    <t>14.10.2023 Klo 13.00</t>
  </si>
  <si>
    <t>4.11.2023 Klo 11.00</t>
  </si>
  <si>
    <t>4.11.2023 Klo 14.00</t>
  </si>
  <si>
    <t>25.11.2023 Klo 12.00</t>
  </si>
  <si>
    <t>25.11.2023 Klo 14.00</t>
  </si>
  <si>
    <t>17.12.2023 Klo 11.00</t>
  </si>
  <si>
    <t>17.12.2023 Klo 14.00</t>
  </si>
  <si>
    <t>6.1.2024 Klo 12.00</t>
  </si>
  <si>
    <t>6.1.2024 Klo 14.00</t>
  </si>
  <si>
    <t>27.1.2024 Klo 11.00</t>
  </si>
  <si>
    <t>27.1.2024 Klo 13.00</t>
  </si>
  <si>
    <t>17.2.2024 Klo 10.00</t>
  </si>
  <si>
    <t>17.2.2024 Klo 13.00</t>
  </si>
  <si>
    <t>3.2.2024 Klo 13.00</t>
  </si>
  <si>
    <t>3.2.2024 Klo 15.00</t>
  </si>
  <si>
    <t>23.3.2024 Klo 11.00</t>
  </si>
  <si>
    <t>23.3.2024 Klo 14.00</t>
  </si>
  <si>
    <t>6.4.2024 Klo 15.45</t>
  </si>
  <si>
    <t>7.4.2024 Klo 12.30</t>
  </si>
  <si>
    <t>13.4.2023 Klo 18.30</t>
  </si>
  <si>
    <t>14.4.2023 Klo 12.30</t>
  </si>
  <si>
    <t>Someron MH, Somero</t>
  </si>
  <si>
    <t>Mammutti</t>
  </si>
  <si>
    <t>SB Somero</t>
  </si>
  <si>
    <t>Velehot</t>
  </si>
  <si>
    <t>SC Wolves 2</t>
  </si>
  <si>
    <t>Ahven</t>
  </si>
  <si>
    <t>Virta</t>
  </si>
  <si>
    <t>2+2min</t>
  </si>
  <si>
    <t>23-24</t>
  </si>
  <si>
    <t>PR</t>
  </si>
  <si>
    <t>17 / 35</t>
  </si>
  <si>
    <t>KAUSI 2023-2024</t>
  </si>
  <si>
    <t>SekTa - Mammutti</t>
  </si>
  <si>
    <t>(Aleksi Tuokko, Mika Ahven)</t>
  </si>
  <si>
    <t>1.10</t>
  </si>
  <si>
    <t>Velehot - SekTa</t>
  </si>
  <si>
    <t>27.12</t>
  </si>
  <si>
    <t>(Mika Aaltonen, Aleksi Tuokko) [2 - 1 maali.]</t>
  </si>
  <si>
    <t>37.22</t>
  </si>
  <si>
    <t>SekTa - Velehot</t>
  </si>
  <si>
    <t>5 - 13</t>
  </si>
  <si>
    <t>10 - 1</t>
  </si>
  <si>
    <t>16min / 3kpl</t>
  </si>
  <si>
    <t>(2x 2min+EUK 2+10min)</t>
  </si>
  <si>
    <t>2 - 8</t>
  </si>
  <si>
    <r>
      <t xml:space="preserve">(1 - 0 ; 1 -2 ; </t>
    </r>
    <r>
      <rPr>
        <b/>
        <sz val="11"/>
        <color theme="1"/>
        <rFont val="Calibri"/>
        <family val="2"/>
        <scheme val="minor"/>
      </rPr>
      <t>0 - 6</t>
    </r>
    <r>
      <rPr>
        <sz val="11"/>
        <color theme="1"/>
        <rFont val="Calibri"/>
        <family val="2"/>
        <scheme val="minor"/>
      </rPr>
      <t>)</t>
    </r>
  </si>
  <si>
    <t>6 (2 ja 3.erä)</t>
  </si>
  <si>
    <r>
      <t xml:space="preserve">(2 - 1 ; </t>
    </r>
    <r>
      <rPr>
        <b/>
        <sz val="11"/>
        <color theme="1"/>
        <rFont val="Calibri"/>
        <family val="2"/>
        <scheme val="minor"/>
      </rPr>
      <t>2 - 6</t>
    </r>
    <r>
      <rPr>
        <sz val="11"/>
        <color theme="1"/>
        <rFont val="Calibri"/>
        <family val="2"/>
        <scheme val="minor"/>
      </rPr>
      <t xml:space="preserve"> ;</t>
    </r>
    <r>
      <rPr>
        <b/>
        <sz val="11"/>
        <color theme="1"/>
        <rFont val="Calibri"/>
        <family val="2"/>
        <scheme val="minor"/>
      </rPr>
      <t xml:space="preserve"> 1 - 6</t>
    </r>
    <r>
      <rPr>
        <sz val="11"/>
        <color theme="1"/>
        <rFont val="Calibri"/>
        <family val="2"/>
        <scheme val="minor"/>
      </rPr>
      <t>)</t>
    </r>
  </si>
  <si>
    <t>KiKi - SekTa</t>
  </si>
  <si>
    <t xml:space="preserve">(2 - 0 ; 4 - 1 ; 4 - 0) </t>
  </si>
  <si>
    <t>(0 - 0 ; 0 - 5 ; 0 - 4)</t>
  </si>
  <si>
    <t>-8</t>
  </si>
  <si>
    <t>(2 - 1 ; 2 - 6 ; 1 - 6)</t>
  </si>
  <si>
    <t>(Atte Nieminen)</t>
  </si>
  <si>
    <t>(Sami Pöllänen)</t>
  </si>
  <si>
    <t>(Petri Vikman)</t>
  </si>
  <si>
    <t>24-25</t>
  </si>
  <si>
    <t>22kpl / 64min</t>
  </si>
  <si>
    <t>28kpl / 78min</t>
  </si>
  <si>
    <t>KAUSI 2023-2024 IV-Div + Karsinta</t>
  </si>
  <si>
    <t>Olli-Pekka Vehviläinen</t>
  </si>
  <si>
    <t>Juha Kiilunen</t>
  </si>
  <si>
    <t>Aleksi Tuokko</t>
  </si>
  <si>
    <t>Joonas Pentti</t>
  </si>
  <si>
    <t>(2x 2min, EUK 2min+10min)</t>
  </si>
  <si>
    <t>22min/2kpl</t>
  </si>
  <si>
    <t>(2min + PR)</t>
  </si>
  <si>
    <t>(Mika Aaltonen, Aleksi Tuokko) [2 - 1 maali]</t>
  </si>
  <si>
    <t>(1-0 ; 1-2 ; 0-6) [III-Div karsinta]</t>
  </si>
  <si>
    <t>21.</t>
  </si>
  <si>
    <t>22.</t>
  </si>
  <si>
    <t>23.</t>
  </si>
  <si>
    <t>24.</t>
  </si>
  <si>
    <t>SBS Lieto 2 - SekTa (0-7)</t>
  </si>
  <si>
    <t>SekTa - KiKi (8-2)</t>
  </si>
  <si>
    <t>TVA 2 - SekTa (3-3)</t>
  </si>
  <si>
    <t>SekTa - TuTo (10-1)</t>
  </si>
  <si>
    <t>SekTa - Mammutti (4-4)</t>
  </si>
  <si>
    <t>Flames - SekTa (3-3)</t>
  </si>
  <si>
    <t>FBC Feelings - SekTa (2-5)</t>
  </si>
  <si>
    <t>SekTa - SB Somero (3-3)</t>
  </si>
  <si>
    <t>Velehot - SekTa (7-4)</t>
  </si>
  <si>
    <t>SekTa - PaPeNu (7-3)</t>
  </si>
  <si>
    <t>KiKi - SekTa (2-5)</t>
  </si>
  <si>
    <t>SekTa - SBS Lieto 2 (5-2)</t>
  </si>
  <si>
    <t>TuTo - SekTa (2-4)</t>
  </si>
  <si>
    <t>SekTa - TVA 2 (5-1)</t>
  </si>
  <si>
    <t>SekTa - Flames (4-1)</t>
  </si>
  <si>
    <t>Mammutti - SekTa (4-8)</t>
  </si>
  <si>
    <t>SekTa - FBC Feelings (6-0)</t>
  </si>
  <si>
    <t>SB Somero - SekTa (3-4)</t>
  </si>
  <si>
    <t>PaPeNu - SekTa (0-9)</t>
  </si>
  <si>
    <t>SekTa - Velehot (5-13)</t>
  </si>
  <si>
    <t>Total</t>
  </si>
  <si>
    <t>III-Div Karsinnat</t>
  </si>
  <si>
    <t>2023-2024 ; IV-Div</t>
  </si>
  <si>
    <t>2023-2024 ; III-Div Kars</t>
  </si>
  <si>
    <t>SekTa - SC Wolves 2 (7-2)</t>
  </si>
  <si>
    <t>SC Wolves 2 - SekTa (2-8)</t>
  </si>
  <si>
    <t>FC KYPS - SekTa (2-8)</t>
  </si>
  <si>
    <t>JA?</t>
  </si>
  <si>
    <t>SekTa - FC KYPS (2-2)</t>
  </si>
  <si>
    <t>Karsinnat:</t>
  </si>
  <si>
    <t>(Aaltonen, Saarinen, Pentti, Nykänen)</t>
  </si>
  <si>
    <t>(2min+PR) [Kpl määrältään 3x 2min otteluita yhteensä 6kpl]</t>
  </si>
  <si>
    <t>IV-DIV - LR LOHKO A</t>
  </si>
  <si>
    <t>III-DIV - Karsinnat</t>
  </si>
  <si>
    <t>IV-DIV + KARS</t>
  </si>
  <si>
    <t>2024-2025</t>
  </si>
  <si>
    <t>KausiXVIII</t>
  </si>
  <si>
    <t>KausiXIX</t>
  </si>
  <si>
    <t>SC Wolves 2 - SekTa</t>
  </si>
  <si>
    <t>Punt Parainen</t>
  </si>
  <si>
    <t>Mammutti - SekTa</t>
  </si>
  <si>
    <t>Mika Aaltonen, Joonas Pentti</t>
  </si>
  <si>
    <t>( 20m/14o )</t>
  </si>
  <si>
    <t>1.4</t>
  </si>
  <si>
    <t>SekTa - SC Wolves 2</t>
  </si>
  <si>
    <t>7 - 2</t>
  </si>
  <si>
    <t>Miika Oja-Nisula, Joonas Pentti</t>
  </si>
  <si>
    <t>Eioo</t>
  </si>
  <si>
    <t>1500. Maali</t>
  </si>
  <si>
    <t>1550. Maali</t>
  </si>
  <si>
    <t>Kausi 2023-2024 (IV-div)</t>
  </si>
  <si>
    <r>
      <rPr>
        <b/>
        <sz val="11"/>
        <color theme="1"/>
        <rFont val="Calibri"/>
        <family val="2"/>
        <scheme val="minor"/>
      </rPr>
      <t xml:space="preserve">4 - 4 </t>
    </r>
    <r>
      <rPr>
        <sz val="11"/>
        <color theme="1"/>
        <rFont val="Calibri"/>
        <family val="2"/>
        <scheme val="minor"/>
      </rPr>
      <t>(1 - 0)</t>
    </r>
  </si>
  <si>
    <t>14.59</t>
  </si>
  <si>
    <r>
      <rPr>
        <b/>
        <sz val="11"/>
        <color theme="1"/>
        <rFont val="Calibri"/>
        <family val="2"/>
        <scheme val="minor"/>
      </rPr>
      <t xml:space="preserve">4 - 8 </t>
    </r>
    <r>
      <rPr>
        <sz val="11"/>
        <color theme="1"/>
        <rFont val="Calibri"/>
        <family val="2"/>
        <scheme val="minor"/>
      </rPr>
      <t>(0 - 2)</t>
    </r>
  </si>
  <si>
    <t>(Joonas Pentti)</t>
  </si>
  <si>
    <t>1600. Maali</t>
  </si>
  <si>
    <r>
      <rPr>
        <b/>
        <sz val="11"/>
        <color theme="1"/>
        <rFont val="Calibri"/>
        <family val="2"/>
        <scheme val="minor"/>
      </rPr>
      <t xml:space="preserve">2 - 8 </t>
    </r>
    <r>
      <rPr>
        <sz val="11"/>
        <color theme="1"/>
        <rFont val="Calibri"/>
        <family val="2"/>
        <scheme val="minor"/>
      </rPr>
      <t>(2 - 5)</t>
    </r>
  </si>
  <si>
    <t>Vehviläinen, Olli-Pekka</t>
  </si>
  <si>
    <t>Tuokko, Aleksi</t>
  </si>
  <si>
    <t>Pentti, Joonas</t>
  </si>
  <si>
    <t xml:space="preserve">Kars </t>
  </si>
  <si>
    <t>Torjunnat</t>
  </si>
  <si>
    <t>Päästetyt maalit</t>
  </si>
  <si>
    <t>#47</t>
  </si>
  <si>
    <t>#48</t>
  </si>
  <si>
    <t>#49</t>
  </si>
  <si>
    <t>#51</t>
  </si>
  <si>
    <t>Taalintehtaan liikuntahalli, Kemiö</t>
  </si>
  <si>
    <t>Pohitullin Koulu, Uusikaupunki</t>
  </si>
  <si>
    <t>Taivassalon liikuntahalli, Taivassalo</t>
  </si>
  <si>
    <t>K23-24</t>
  </si>
  <si>
    <t>PELAAJAT JA MAALIVAHDIT</t>
  </si>
  <si>
    <t>26min / 2kpl</t>
  </si>
  <si>
    <t>2024-2025 ; III-Div</t>
  </si>
  <si>
    <t>12 / 30</t>
  </si>
  <si>
    <t>2 / 4</t>
  </si>
  <si>
    <t>Miika Oja-Nisula, Olli-Pekka Vehviläinen</t>
  </si>
  <si>
    <t>M3DIV LR M3 Varsinais-Suomi A</t>
  </si>
  <si>
    <t>7.9.2024 klo 11.00</t>
  </si>
  <si>
    <t>HaNi-Halli, Mynämäki</t>
  </si>
  <si>
    <t>7.9.2024 klo 14.30</t>
  </si>
  <si>
    <t>20.9.2024 klo 18.00</t>
  </si>
  <si>
    <t>27.9.2024 klo 18.00</t>
  </si>
  <si>
    <t>12.10.2024 klo 11.00</t>
  </si>
  <si>
    <t>12.10.2024 klo 15.00</t>
  </si>
  <si>
    <t>Jokioisten leipä Areena, Forssa</t>
  </si>
  <si>
    <t>SB Hirvensalo</t>
  </si>
  <si>
    <t>9.11.2024 klo 12.30</t>
  </si>
  <si>
    <t>9.11.2024 klo 16.30</t>
  </si>
  <si>
    <t>AjT</t>
  </si>
  <si>
    <t>30.11.2024 klo 12.00</t>
  </si>
  <si>
    <t>30.11.2024 klo 13.30</t>
  </si>
  <si>
    <t>13.12.2024 klo 18.00</t>
  </si>
  <si>
    <t>18.1.2025 klo 10.00</t>
  </si>
  <si>
    <t>18.1.2025 klo 15.00</t>
  </si>
  <si>
    <t>7.2.2025 klo 19.30</t>
  </si>
  <si>
    <t>15.2.2025 klo 12.30</t>
  </si>
  <si>
    <t>15.2.2025 klo 16.30</t>
  </si>
  <si>
    <t>1.3.2025 klo 11.30</t>
  </si>
  <si>
    <t>1.3.2025 klo 13.30</t>
  </si>
  <si>
    <t>9.3.2025 klo 10.00</t>
  </si>
  <si>
    <t>9.3.2025 klo 15.00</t>
  </si>
  <si>
    <t>Ryhti</t>
  </si>
  <si>
    <t>SBS Masku 2</t>
  </si>
  <si>
    <t>FBC TSP</t>
  </si>
  <si>
    <t>Grim Reapers</t>
  </si>
  <si>
    <t>Musketeers</t>
  </si>
  <si>
    <t>Team17</t>
  </si>
  <si>
    <t>Bulls</t>
  </si>
  <si>
    <t>Musketeers 2</t>
  </si>
  <si>
    <t>FBT Marlins</t>
  </si>
  <si>
    <t>SBS Kesäterä</t>
  </si>
  <si>
    <t>HTV</t>
  </si>
  <si>
    <t>River Rats</t>
  </si>
  <si>
    <t>HIF</t>
  </si>
  <si>
    <t>FBC Parainen</t>
  </si>
  <si>
    <t>Miesten 4-divisioona Länsirannikko, lohko 12</t>
  </si>
  <si>
    <t>Kausi 11-12 Jussi Vuoria 2/2 RL torjuntaa ; 1 0-peli</t>
  </si>
  <si>
    <t>Miesten 5-divisioona Länsirannikko, lohko 17</t>
  </si>
  <si>
    <t>FBC Blue River</t>
  </si>
  <si>
    <t>TuWe III</t>
  </si>
  <si>
    <t>Penalty Boys II</t>
  </si>
  <si>
    <t>SBB</t>
  </si>
  <si>
    <t>SBT Aakkerit</t>
  </si>
  <si>
    <t>1.10.2006 klo 14.00</t>
  </si>
  <si>
    <t>1.10.2006 klo 16.00</t>
  </si>
  <si>
    <t>5.11.2006 klo 10.00</t>
  </si>
  <si>
    <t>5.11.2006 klo 14.00</t>
  </si>
  <si>
    <t>25.11.2006 klo 10.00</t>
  </si>
  <si>
    <t>25.11.2006 klo 13.00</t>
  </si>
  <si>
    <t>9.12.2006 klo 9.00</t>
  </si>
  <si>
    <t>9.12.2006 klo 11.00</t>
  </si>
  <si>
    <t>17.12.2006 klo 11.00</t>
  </si>
  <si>
    <t>17.12.2006 klo 13.00</t>
  </si>
  <si>
    <t>6.1.2007 klo 9.00</t>
  </si>
  <si>
    <t>6.1.2007 klo 16.00</t>
  </si>
  <si>
    <t>21.1.2007 klo 12.00</t>
  </si>
  <si>
    <t>21.1.2007 klo 15.00</t>
  </si>
  <si>
    <t>10.2.2007 klo 12.00</t>
  </si>
  <si>
    <t>10.2.2007 klo 14.00</t>
  </si>
  <si>
    <t>24.2.2007 klo 10.00</t>
  </si>
  <si>
    <t>24.2.2007 klo 12.00</t>
  </si>
  <si>
    <t>17.3.2007 klo 10.00</t>
  </si>
  <si>
    <t>17.3.2007 klo 12.00</t>
  </si>
  <si>
    <t>31.3.2007 klo 10.00</t>
  </si>
  <si>
    <t>SBT ART</t>
  </si>
  <si>
    <t>Penalbo II</t>
  </si>
  <si>
    <t>Miehet V-divisioona Länsirannikko, lohko 17</t>
  </si>
  <si>
    <t>Miehet IV-divisioona Länsirannikko, lohko 09</t>
  </si>
  <si>
    <t>AFC Campus 6</t>
  </si>
  <si>
    <t>SB Naantali</t>
  </si>
  <si>
    <t>TuWe</t>
  </si>
  <si>
    <t>TBM</t>
  </si>
  <si>
    <t>Miehet V-divisioona Länsirannikko, lohko 19</t>
  </si>
  <si>
    <t>Miesten 5-divisioona Länsirannikko, lohko 19</t>
  </si>
  <si>
    <t>Pyövelit</t>
  </si>
  <si>
    <t>Ponteva</t>
  </si>
  <si>
    <t>Eligere</t>
  </si>
  <si>
    <t>Sheriffs 3</t>
  </si>
  <si>
    <t>Salamanders</t>
  </si>
  <si>
    <t>UHW-Bulls</t>
  </si>
  <si>
    <t>ÅIK</t>
  </si>
  <si>
    <t>Team-17</t>
  </si>
  <si>
    <t>LeVi</t>
  </si>
  <si>
    <t>Miehet IV-divisioona Länsirannikko, lohko 10</t>
  </si>
  <si>
    <t>KIU</t>
  </si>
  <si>
    <t>Miehet IV-divisioona Länsirannikko, lohko 12</t>
  </si>
  <si>
    <t>Miehet IV-divisioona Länsirannikko, lohko 11</t>
  </si>
  <si>
    <t>Miesten 4-divisioona Länsirannikko, lohko 11</t>
  </si>
  <si>
    <t>Miehet V-divisioona Länsirannikko, lohko 20</t>
  </si>
  <si>
    <t xml:space="preserve">Miesten 5-divisioona Länsirannikko, lohko 20 </t>
  </si>
  <si>
    <t>Miesten 4-divisioona Länsirannikko, lohko  11</t>
  </si>
  <si>
    <t>Miesten 4-divisioona Länsirannikko, lohko  12</t>
  </si>
  <si>
    <t>22.9.2007 klo 12.00</t>
  </si>
  <si>
    <t>13.10.2007 klo 18.00</t>
  </si>
  <si>
    <t>28.10.2007 klo 15.00</t>
  </si>
  <si>
    <t>28.10.2007 klo 18.00</t>
  </si>
  <si>
    <t>11.11.2007 klo 11.00</t>
  </si>
  <si>
    <t>25.11.2007 klo 16.00</t>
  </si>
  <si>
    <t>Räntämäen liikuntakeskus, Turku</t>
  </si>
  <si>
    <t>15.12.2007 klo 12.00</t>
  </si>
  <si>
    <t>15.12.2007 klo 14.00</t>
  </si>
  <si>
    <t>5.1.2008 klo 17.00</t>
  </si>
  <si>
    <t>20.1.2008 klo 12.00</t>
  </si>
  <si>
    <t>10.2.2008 klo 15.00</t>
  </si>
  <si>
    <t>10.2.2008 klo 17.00</t>
  </si>
  <si>
    <t>24.2.2008 klo 12.00</t>
  </si>
  <si>
    <t>1.3.2008 klo 12.00</t>
  </si>
  <si>
    <t>16.3.2008 klo 17.00</t>
  </si>
  <si>
    <t>16.3.2008 klo 19.00</t>
  </si>
  <si>
    <t>29.3.2008 klo 10.00</t>
  </si>
  <si>
    <t>5.4.2008 klo xx.xx</t>
  </si>
  <si>
    <t>18.10.2008 klo 14.00</t>
  </si>
  <si>
    <t>1.11.2008 klo 17.00</t>
  </si>
  <si>
    <t>1.11.2008 klo 19.00</t>
  </si>
  <si>
    <t>15.11.2008 klo 16.00</t>
  </si>
  <si>
    <t>30.11.2008 klo 15.00</t>
  </si>
  <si>
    <t>30.11.2008 klo 17.00</t>
  </si>
  <si>
    <t xml:space="preserve">Pyövelit </t>
  </si>
  <si>
    <t>14.12.2008 klo 12.00</t>
  </si>
  <si>
    <t>10.1.2009 klo 13.00</t>
  </si>
  <si>
    <t>10.1.2009 klo 16.00</t>
  </si>
  <si>
    <t>Salamanders II</t>
  </si>
  <si>
    <t>24.1.2009 klo 11.00</t>
  </si>
  <si>
    <t>7.2.2009 klo 12.00</t>
  </si>
  <si>
    <t>7.2.2009 klo 14.00</t>
  </si>
  <si>
    <t>21.2.2009 klo 13.00</t>
  </si>
  <si>
    <t>7.3.2009 klo 10.00</t>
  </si>
  <si>
    <t>7.3.2009 klo 12.00</t>
  </si>
  <si>
    <t>14.3.2009 klo 12.00</t>
  </si>
  <si>
    <t>29.3.2009 klo 10.30</t>
  </si>
  <si>
    <t>29.3.2009 klo 12.30</t>
  </si>
  <si>
    <t>26.9.2009 klo 16.00</t>
  </si>
  <si>
    <t>26.9.2009 klo 18.00</t>
  </si>
  <si>
    <t>10.10.2009 klo 14.00</t>
  </si>
  <si>
    <t>25.10.2009 klo 15.00</t>
  </si>
  <si>
    <t>25.10.2009 klo 18.00</t>
  </si>
  <si>
    <t>15.11.2009 klo xx.xx</t>
  </si>
  <si>
    <t>28.11.2009 klo 12.00</t>
  </si>
  <si>
    <t>28.11.2009 klo 14.00</t>
  </si>
  <si>
    <t>13.12.2009 klo 10.00</t>
  </si>
  <si>
    <t>9.1.2010 klo 13.00</t>
  </si>
  <si>
    <t>9.1.2010 klo 16.00</t>
  </si>
  <si>
    <t>27.1.2010 klo 14.00</t>
  </si>
  <si>
    <t>6.2.2010 klo 16.00</t>
  </si>
  <si>
    <t>6.2.2010 klo 18.00</t>
  </si>
  <si>
    <t>21.2.2010 klo 13.00</t>
  </si>
  <si>
    <t>7.3.2010 klo 17.00</t>
  </si>
  <si>
    <t>7.3.2010 klo 19.00</t>
  </si>
  <si>
    <t>20.3.2010 klo 10.00</t>
  </si>
  <si>
    <t>19.9.2010 klo 12.00</t>
  </si>
  <si>
    <t>19.9.2010 klo 15.00</t>
  </si>
  <si>
    <t>23.10.2010 klo 12.00</t>
  </si>
  <si>
    <t>23.10.2010 klo 15.00</t>
  </si>
  <si>
    <t>20.11.2010 klo 11.00</t>
  </si>
  <si>
    <t>20.11.2010 klo 13.00</t>
  </si>
  <si>
    <t>19.12.2010 klo 16.00</t>
  </si>
  <si>
    <t>19.12.2010 klo 18.00</t>
  </si>
  <si>
    <t>9.1.2011 klo 11.00</t>
  </si>
  <si>
    <t>9.1.2011 klo 13.00</t>
  </si>
  <si>
    <t>29.1.2011 klo 13.00</t>
  </si>
  <si>
    <t>29.1.2011 klo 16.00</t>
  </si>
  <si>
    <t>19.2.2011 klo 11.00</t>
  </si>
  <si>
    <t>19.2.2011 klo 14.00</t>
  </si>
  <si>
    <t>12.3.2011 klo 16.00</t>
  </si>
  <si>
    <t>12.3.2011 klo 19.00</t>
  </si>
  <si>
    <t>2.4.2011 klo 11.00</t>
  </si>
  <si>
    <t>2.4.2011 klo 13.00</t>
  </si>
  <si>
    <t>AFC Campus 5</t>
  </si>
  <si>
    <t>Luovutus</t>
  </si>
  <si>
    <t>7.4.2018 klo 12.30</t>
  </si>
  <si>
    <t>Karsinta V-Div</t>
  </si>
  <si>
    <t>JA</t>
  </si>
  <si>
    <t>Karsinta IV-Div</t>
  </si>
  <si>
    <t>V-Divisioona (Luovutus)</t>
  </si>
  <si>
    <t>SEKTA SSBL-OTTELUT</t>
  </si>
  <si>
    <t>IV-Divisioona + Karsinta III-Div</t>
  </si>
  <si>
    <t>IV-Divisioona + Karsinta V-Div</t>
  </si>
  <si>
    <t>Suomen Cup + IV-Divisioona</t>
  </si>
  <si>
    <t>III-Divisioona + Karsinta IV-Div</t>
  </si>
  <si>
    <t>KAUSI 2024-2025</t>
  </si>
  <si>
    <t>Kiilunen, Juha</t>
  </si>
  <si>
    <t>Halme, Vesa</t>
  </si>
  <si>
    <t>Rannikko, Tomi</t>
  </si>
  <si>
    <t>SBS Wirmo 2 - SekTa (3-2)</t>
  </si>
  <si>
    <t>SekTa - Phantoms (3-5)</t>
  </si>
  <si>
    <t>SekTa - SalPa (2-1)</t>
  </si>
  <si>
    <t>SB Hirvensalo - SekTa (1-8)</t>
  </si>
  <si>
    <t>SekTa - TVV (x-x)</t>
  </si>
  <si>
    <t>SekTa - SBS Wirmo 2 (x-x)</t>
  </si>
  <si>
    <t>Phantoms - SekTa (x-x)</t>
  </si>
  <si>
    <t>SekTa - SB Hirvensalo (x-x)</t>
  </si>
  <si>
    <t>SekTa - FoSu Akatemia (x-x)</t>
  </si>
  <si>
    <t>OU - SekTa (x-x)</t>
  </si>
  <si>
    <t>SekTa - AjT (x-x)</t>
  </si>
  <si>
    <t>TA-631 - SekTa (x-x)</t>
  </si>
  <si>
    <t>Velehot - SekTa (x-x)</t>
  </si>
  <si>
    <t>TVV - SekTa (x-x)</t>
  </si>
  <si>
    <t>FoSu Akatemia - SekTa (3-8)</t>
  </si>
  <si>
    <t>SekTa - OU (4-7)</t>
  </si>
  <si>
    <t>Laine, Jukka-Pekka</t>
  </si>
  <si>
    <t>Pöytäkirjat</t>
  </si>
  <si>
    <t>Laukaukset ja +/- Tilastot</t>
  </si>
  <si>
    <t>24.11.2024 klo 17.30</t>
  </si>
  <si>
    <t>AjT - SekTa (5-3)</t>
  </si>
  <si>
    <t>Vilmunen, Henri</t>
  </si>
  <si>
    <t>Nissi, Juho</t>
  </si>
  <si>
    <t>SekTa - TA-631 (3-4)</t>
  </si>
  <si>
    <t>SalPa - SekTa (5-2)</t>
  </si>
  <si>
    <t>TBS - SekTa (4-5)</t>
  </si>
  <si>
    <t>SekTa - Velehot (5-5)</t>
  </si>
  <si>
    <t>29.3.2025 klo 10.00</t>
  </si>
  <si>
    <t>SekTa - TVV (3-6)</t>
  </si>
  <si>
    <t>SekTa - SBS Wirmo 2 (2-5)</t>
  </si>
  <si>
    <t>Phantoms - SekTa (4-6)</t>
  </si>
  <si>
    <t>SekTa - SB Hirvensalo (7-1)</t>
  </si>
  <si>
    <t>SekTa - FoSu Akatemia (8-3)</t>
  </si>
  <si>
    <t>OU - SekTa (7-6)</t>
  </si>
  <si>
    <t>SekTa - AjT (1-3)</t>
  </si>
  <si>
    <t>TA-631 - SekTa (2-5)</t>
  </si>
  <si>
    <t>SekTa - TBS (6-3)</t>
  </si>
  <si>
    <t>Velehot - SekTa (6-1)</t>
  </si>
  <si>
    <t>TVV - SekTa (7-1)</t>
  </si>
  <si>
    <t>jatka tästä</t>
  </si>
  <si>
    <t>9 / 22 Ottelua</t>
  </si>
  <si>
    <t>III-DIV - LR LOHKO A</t>
  </si>
  <si>
    <t>0.08</t>
  </si>
  <si>
    <t>SekTa - AjT</t>
  </si>
  <si>
    <t>(Joonas Pentti, Aleksi Tuokko)</t>
  </si>
  <si>
    <t>0.17</t>
  </si>
  <si>
    <t>(Tekijä: JA) ???</t>
  </si>
  <si>
    <t>Oripään LH, Oripää</t>
  </si>
  <si>
    <t>7 - 6</t>
  </si>
  <si>
    <t>(Vesa Halme, Veikka Saarinen) [5 - 1 maali.]</t>
  </si>
  <si>
    <t>36.19</t>
  </si>
  <si>
    <t>SekTa - SB Hirvensalo</t>
  </si>
  <si>
    <t>SB Hirvensalo - SekTa</t>
  </si>
  <si>
    <t>FoSu Akatemia - SekTa</t>
  </si>
  <si>
    <t>1 - 8</t>
  </si>
  <si>
    <t>6min / 2kpl</t>
  </si>
  <si>
    <t>(2x 2min + 1x 2+2min)</t>
  </si>
  <si>
    <r>
      <t>(</t>
    </r>
    <r>
      <rPr>
        <b/>
        <sz val="11"/>
        <color theme="1"/>
        <rFont val="Calibri"/>
        <family val="2"/>
        <scheme val="minor"/>
      </rPr>
      <t>4 - 0</t>
    </r>
    <r>
      <rPr>
        <sz val="11"/>
        <color theme="1"/>
        <rFont val="Calibri"/>
        <family val="2"/>
        <scheme val="minor"/>
      </rPr>
      <t xml:space="preserve"> ; 1 - 3 ; 3 - 0)</t>
    </r>
  </si>
  <si>
    <r>
      <t>(</t>
    </r>
    <r>
      <rPr>
        <b/>
        <sz val="11"/>
        <color theme="1"/>
        <rFont val="Calibri"/>
        <family val="2"/>
        <scheme val="minor"/>
      </rPr>
      <t>4 - 0</t>
    </r>
    <r>
      <rPr>
        <sz val="11"/>
        <color theme="1"/>
        <rFont val="Calibri"/>
        <family val="2"/>
        <scheme val="minor"/>
      </rPr>
      <t xml:space="preserve"> ; 2 - 1 ; 2 - 0)</t>
    </r>
  </si>
  <si>
    <r>
      <t>(</t>
    </r>
    <r>
      <rPr>
        <b/>
        <sz val="11"/>
        <color theme="1"/>
        <rFont val="Calibri"/>
        <family val="2"/>
        <scheme val="minor"/>
      </rPr>
      <t>4 - 2</t>
    </r>
    <r>
      <rPr>
        <sz val="11"/>
        <color theme="1"/>
        <rFont val="Calibri"/>
        <family val="2"/>
        <scheme val="minor"/>
      </rPr>
      <t xml:space="preserve"> ; 0 - 1 ; 0 - 3)</t>
    </r>
  </si>
  <si>
    <t>4 (2.erä)</t>
  </si>
  <si>
    <r>
      <t xml:space="preserve">(0 - 2 ; </t>
    </r>
    <r>
      <rPr>
        <b/>
        <sz val="11"/>
        <color theme="1"/>
        <rFont val="Calibri"/>
        <family val="2"/>
        <scheme val="minor"/>
      </rPr>
      <t>4 - 3</t>
    </r>
    <r>
      <rPr>
        <sz val="11"/>
        <color theme="1"/>
        <rFont val="Calibri"/>
        <family val="2"/>
        <scheme val="minor"/>
      </rPr>
      <t xml:space="preserve"> ; 3 - 1)</t>
    </r>
  </si>
  <si>
    <r>
      <t>(</t>
    </r>
    <r>
      <rPr>
        <b/>
        <sz val="11"/>
        <color theme="1"/>
        <rFont val="Calibri"/>
        <family val="2"/>
        <scheme val="minor"/>
      </rPr>
      <t>4 - 1</t>
    </r>
    <r>
      <rPr>
        <sz val="11"/>
        <color theme="1"/>
        <rFont val="Calibri"/>
        <family val="2"/>
        <scheme val="minor"/>
      </rPr>
      <t xml:space="preserve"> ; 2 - 0 ; 1 - 0)</t>
    </r>
  </si>
  <si>
    <t>(4 - 0 ; 2 - 1 ; 2 - 0)</t>
  </si>
  <si>
    <t>(4 - 1 ; 2 - 0 ; 1 - 0)</t>
  </si>
  <si>
    <t>(Aaltonen, Nissi, Pentti)</t>
  </si>
  <si>
    <t>17 / 37</t>
  </si>
  <si>
    <t>27kpl / 56min</t>
  </si>
  <si>
    <t>27kpl / 58min</t>
  </si>
  <si>
    <t>443kpl / 1128min</t>
  </si>
  <si>
    <t>515kpl / 1255min</t>
  </si>
  <si>
    <t>(Vesa Halme, Veikka Saarinen) [5 - 1 maali]</t>
  </si>
  <si>
    <t>(4 - 0 ; 1 - 3 ; 3 - 0)</t>
  </si>
  <si>
    <t>(4 - 2 ; 0 - 1 ; 0 - 3)</t>
  </si>
  <si>
    <t>(0 - 2 ; 4 - 3 ; 3 - 1)</t>
  </si>
  <si>
    <t>KAUSI 2024-2025 III-Div</t>
  </si>
  <si>
    <t>KAIKKI KAUDET YHTEENSÄ (19)</t>
  </si>
  <si>
    <t>1650. Maali</t>
  </si>
  <si>
    <t>Kausi 2024-2025 (III-div)</t>
  </si>
  <si>
    <r>
      <rPr>
        <b/>
        <sz val="11"/>
        <color theme="1"/>
        <rFont val="Calibri"/>
        <family val="2"/>
        <scheme val="minor"/>
      </rPr>
      <t xml:space="preserve">5 - 5 </t>
    </r>
    <r>
      <rPr>
        <sz val="11"/>
        <color theme="1"/>
        <rFont val="Calibri"/>
        <family val="2"/>
        <scheme val="minor"/>
      </rPr>
      <t>(5 - 5)</t>
    </r>
  </si>
  <si>
    <t>(Veikka Saarinen, Juho Nissi)</t>
  </si>
  <si>
    <t xml:space="preserve">1696 Maalia </t>
  </si>
  <si>
    <t>Juho Nissi</t>
  </si>
  <si>
    <t>Vesa Halme</t>
  </si>
  <si>
    <t>1x 2+2min</t>
  </si>
  <si>
    <t xml:space="preserve">SekTa - SBS Wirmo 2 </t>
  </si>
  <si>
    <t>Aleksi Tuokko, Joonas Pentti</t>
  </si>
  <si>
    <t>Joonas Pentti, Juho Nissi</t>
  </si>
  <si>
    <t>Petri Vikman, Veikka Saarinen</t>
  </si>
  <si>
    <t>(48m/14o)</t>
  </si>
  <si>
    <t>3,43</t>
  </si>
  <si>
    <t>Yht 424 torjuntaa Mika + Matias</t>
  </si>
  <si>
    <t>Matias 27 viimeinen ottelu</t>
  </si>
  <si>
    <t>0 / 3</t>
  </si>
  <si>
    <t>Jukka-Pekka Laine</t>
  </si>
  <si>
    <t>Henri Vilmunen</t>
  </si>
  <si>
    <t>Tomi Rannikko</t>
  </si>
  <si>
    <t>Lohko</t>
  </si>
  <si>
    <t xml:space="preserve">Mika Ahven </t>
  </si>
  <si>
    <t xml:space="preserve">Matias Virta </t>
  </si>
  <si>
    <t xml:space="preserve">Lassi Liukkonen </t>
  </si>
  <si>
    <t xml:space="preserve">Vesa Kurppa </t>
  </si>
  <si>
    <t>kausi</t>
  </si>
  <si>
    <t>lohko</t>
  </si>
  <si>
    <t xml:space="preserve"> 2023-2024</t>
  </si>
  <si>
    <t xml:space="preserve">Jussi Vuoria </t>
  </si>
  <si>
    <t xml:space="preserve">Hans Hilden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</si>
</sst>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\ %"/>
  </numFmts>
  <fonts count="10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6"/>
      <color indexed="8"/>
      <name val="Calibri"/>
      <family val="2"/>
    </font>
    <font>
      <i/>
      <sz val="11"/>
      <color indexed="8"/>
      <name val="Calibri"/>
      <family val="2"/>
    </font>
    <font>
      <b/>
      <i/>
      <sz val="14"/>
      <color indexed="8"/>
      <name val="Calibri"/>
      <family val="2"/>
    </font>
    <font>
      <sz val="8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8"/>
      <color indexed="8"/>
      <name val="Calibri"/>
      <family val="2"/>
    </font>
    <font>
      <i/>
      <sz val="10"/>
      <color indexed="8"/>
      <name val="Calibri"/>
      <family val="2"/>
    </font>
    <font>
      <b/>
      <sz val="14"/>
      <color indexed="8"/>
      <name val="Calibri"/>
      <family val="2"/>
    </font>
    <font>
      <b/>
      <sz val="24"/>
      <color indexed="8"/>
      <name val="Arial Black"/>
      <family val="2"/>
    </font>
    <font>
      <sz val="11"/>
      <color indexed="10"/>
      <name val="Calibri"/>
      <family val="2"/>
    </font>
    <font>
      <b/>
      <i/>
      <sz val="12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12"/>
      <name val="Calibri"/>
      <family val="2"/>
    </font>
    <font>
      <sz val="8"/>
      <color indexed="12"/>
      <name val="Calibri"/>
      <family val="2"/>
    </font>
    <font>
      <sz val="11"/>
      <name val="Calibri"/>
      <family val="2"/>
    </font>
    <font>
      <i/>
      <sz val="8"/>
      <name val="Calibri"/>
      <family val="2"/>
    </font>
    <font>
      <b/>
      <sz val="10"/>
      <color indexed="8"/>
      <name val="Calibri"/>
      <family val="2"/>
    </font>
    <font>
      <b/>
      <sz val="8"/>
      <color indexed="12"/>
      <name val="Calibri"/>
      <family val="2"/>
    </font>
    <font>
      <sz val="8"/>
      <color indexed="10"/>
      <name val="Calibri"/>
      <family val="2"/>
    </font>
    <font>
      <sz val="11"/>
      <color indexed="12"/>
      <name val="Calibri"/>
      <family val="2"/>
    </font>
    <font>
      <sz val="11"/>
      <color indexed="17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indexed="8"/>
      <name val="Calibri"/>
      <family val="2"/>
    </font>
    <font>
      <sz val="8"/>
      <color indexed="8"/>
      <name val="Calibri"/>
      <family val="2"/>
    </font>
    <font>
      <b/>
      <u/>
      <sz val="14"/>
      <color indexed="8"/>
      <name val="Calibri"/>
      <family val="2"/>
    </font>
    <font>
      <sz val="11"/>
      <color indexed="12"/>
      <name val="Calibri"/>
      <family val="2"/>
    </font>
    <font>
      <b/>
      <sz val="11"/>
      <color indexed="17"/>
      <name val="Calibri"/>
      <family val="2"/>
    </font>
    <font>
      <b/>
      <sz val="11"/>
      <color indexed="10"/>
      <name val="Calibri"/>
      <family val="2"/>
    </font>
    <font>
      <b/>
      <sz val="11"/>
      <name val="Calibri"/>
      <family val="2"/>
    </font>
    <font>
      <b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8"/>
      <color indexed="62"/>
      <name val="Calibri"/>
      <family val="2"/>
    </font>
    <font>
      <sz val="11"/>
      <color indexed="17"/>
      <name val="Calibri"/>
      <family val="2"/>
    </font>
    <font>
      <sz val="11"/>
      <name val="Calibri"/>
      <family val="2"/>
    </font>
    <font>
      <sz val="11"/>
      <color indexed="11"/>
      <name val="Calibri"/>
      <family val="2"/>
    </font>
    <font>
      <i/>
      <sz val="8"/>
      <name val="Calibri"/>
      <family val="2"/>
    </font>
    <font>
      <b/>
      <sz val="16"/>
      <color indexed="8"/>
      <name val="Calibri"/>
      <family val="2"/>
    </font>
    <font>
      <b/>
      <u/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color indexed="11"/>
      <name val="Calibri"/>
      <family val="2"/>
    </font>
    <font>
      <sz val="10"/>
      <color indexed="8"/>
      <name val="Calibri"/>
      <family val="2"/>
    </font>
    <font>
      <sz val="11"/>
      <color indexed="16"/>
      <name val="Calibri"/>
      <family val="2"/>
    </font>
    <font>
      <sz val="8"/>
      <color indexed="16"/>
      <name val="Calibri"/>
      <family val="2"/>
    </font>
    <font>
      <i/>
      <sz val="8"/>
      <color indexed="16"/>
      <name val="Calibri"/>
      <family val="2"/>
    </font>
    <font>
      <i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7030A0"/>
      <name val="Calibri"/>
      <family val="2"/>
    </font>
    <font>
      <sz val="11"/>
      <name val="Calibri"/>
      <family val="2"/>
      <scheme val="minor"/>
    </font>
    <font>
      <sz val="11"/>
      <color rgb="FFFFC000"/>
      <name val="Calibri"/>
      <family val="2"/>
    </font>
    <font>
      <sz val="8"/>
      <color rgb="FFFFC000"/>
      <name val="Calibri"/>
      <family val="2"/>
    </font>
    <font>
      <b/>
      <sz val="8"/>
      <color rgb="FFFFFFFF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theme="8" tint="0.39997558519241921"/>
      <name val="Calibri"/>
      <family val="2"/>
    </font>
    <font>
      <u val="double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color theme="2" tint="-0.499984740745262"/>
      <name val="Calibri"/>
      <family val="2"/>
    </font>
    <font>
      <sz val="8"/>
      <color theme="2" tint="-0.499984740745262"/>
      <name val="Calibri"/>
      <family val="2"/>
      <scheme val="minor"/>
    </font>
    <font>
      <b/>
      <sz val="8"/>
      <color theme="2" tint="-0.499984740745262"/>
      <name val="Calibri"/>
      <family val="2"/>
    </font>
    <font>
      <b/>
      <i/>
      <u val="double"/>
      <sz val="11"/>
      <color indexed="8"/>
      <name val="Calibri"/>
      <family val="2"/>
    </font>
    <font>
      <i/>
      <u val="double"/>
      <sz val="11"/>
      <color theme="1"/>
      <name val="Calibri"/>
      <family val="2"/>
      <scheme val="minor"/>
    </font>
    <font>
      <i/>
      <u val="double"/>
      <sz val="11"/>
      <name val="Calibri"/>
      <family val="2"/>
    </font>
    <font>
      <i/>
      <u val="double"/>
      <sz val="11"/>
      <color indexed="12"/>
      <name val="Calibri"/>
      <family val="2"/>
    </font>
    <font>
      <sz val="16"/>
      <color indexed="8"/>
      <name val="Calibri"/>
      <family val="2"/>
    </font>
    <font>
      <b/>
      <sz val="11"/>
      <color indexed="8"/>
      <name val="Arial Black"/>
      <family val="2"/>
    </font>
    <font>
      <sz val="11"/>
      <color theme="6" tint="-0.249977111117893"/>
      <name val="Calibri"/>
      <family val="2"/>
    </font>
    <font>
      <sz val="8"/>
      <color theme="6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</font>
    <font>
      <sz val="11"/>
      <color indexed="8"/>
      <name val="Calibri"/>
    </font>
    <font>
      <sz val="11"/>
      <color theme="1"/>
      <name val="Calibri"/>
      <scheme val="minor"/>
    </font>
    <font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</font>
    <font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276299"/>
        <bgColor indexed="64"/>
      </patternFill>
    </fill>
    <fill>
      <patternFill patternType="solid">
        <fgColor rgb="FFC0CCE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9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000000"/>
      </bottom>
      <diagonal/>
    </border>
    <border>
      <left/>
      <right style="thin">
        <color indexed="64"/>
      </right>
      <top/>
      <bottom style="thick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99" fillId="0" borderId="0" applyFont="0" applyFill="0" applyBorder="0" applyAlignment="0" applyProtection="0"/>
    <xf numFmtId="0" fontId="106" fillId="0" borderId="0" applyNumberFormat="0" applyFill="0" applyBorder="0" applyAlignment="0" applyProtection="0"/>
  </cellStyleXfs>
  <cellXfs count="132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6" fillId="0" borderId="0" xfId="0" applyNumberFormat="1" applyFont="1"/>
    <xf numFmtId="49" fontId="7" fillId="0" borderId="0" xfId="0" applyNumberFormat="1" applyFont="1"/>
    <xf numFmtId="0" fontId="5" fillId="0" borderId="0" xfId="0" applyFont="1"/>
    <xf numFmtId="49" fontId="8" fillId="0" borderId="0" xfId="0" applyNumberFormat="1" applyFont="1"/>
    <xf numFmtId="49" fontId="9" fillId="0" borderId="0" xfId="0" applyNumberFormat="1" applyFont="1"/>
    <xf numFmtId="0" fontId="0" fillId="0" borderId="0" xfId="0" applyAlignment="1">
      <alignment horizontal="center"/>
    </xf>
    <xf numFmtId="49" fontId="5" fillId="0" borderId="2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5" fillId="0" borderId="0" xfId="0" applyNumberFormat="1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0" borderId="0" xfId="0" applyFont="1"/>
    <xf numFmtId="49" fontId="5" fillId="2" borderId="1" xfId="0" applyNumberFormat="1" applyFont="1" applyFill="1" applyBorder="1" applyAlignment="1">
      <alignment horizontal="center"/>
    </xf>
    <xf numFmtId="49" fontId="16" fillId="0" borderId="0" xfId="0" applyNumberFormat="1" applyFont="1"/>
    <xf numFmtId="49" fontId="0" fillId="2" borderId="0" xfId="0" applyNumberFormat="1" applyFill="1"/>
    <xf numFmtId="0" fontId="5" fillId="2" borderId="2" xfId="0" applyFont="1" applyFill="1" applyBorder="1"/>
    <xf numFmtId="0" fontId="0" fillId="2" borderId="2" xfId="0" applyFill="1" applyBorder="1"/>
    <xf numFmtId="49" fontId="5" fillId="2" borderId="0" xfId="0" applyNumberFormat="1" applyFont="1" applyFill="1" applyAlignment="1">
      <alignment horizontal="left"/>
    </xf>
    <xf numFmtId="49" fontId="0" fillId="2" borderId="0" xfId="0" applyNumberFormat="1" applyFill="1" applyAlignment="1">
      <alignment horizontal="center"/>
    </xf>
    <xf numFmtId="49" fontId="5" fillId="2" borderId="0" xfId="0" applyNumberFormat="1" applyFont="1" applyFill="1" applyAlignment="1">
      <alignment horizontal="center"/>
    </xf>
    <xf numFmtId="0" fontId="5" fillId="2" borderId="1" xfId="0" applyFont="1" applyFill="1" applyBorder="1"/>
    <xf numFmtId="0" fontId="5" fillId="2" borderId="8" xfId="0" applyFont="1" applyFill="1" applyBorder="1"/>
    <xf numFmtId="0" fontId="0" fillId="2" borderId="8" xfId="0" applyFill="1" applyBorder="1"/>
    <xf numFmtId="0" fontId="5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0" fillId="0" borderId="0" xfId="0" applyAlignment="1">
      <alignment horizontal="right"/>
    </xf>
    <xf numFmtId="0" fontId="20" fillId="0" borderId="0" xfId="0" applyFont="1"/>
    <xf numFmtId="0" fontId="2" fillId="0" borderId="2" xfId="0" applyFont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2" fillId="0" borderId="4" xfId="0" applyFont="1" applyBorder="1"/>
    <xf numFmtId="0" fontId="2" fillId="0" borderId="7" xfId="0" applyFont="1" applyBorder="1"/>
    <xf numFmtId="0" fontId="22" fillId="0" borderId="0" xfId="0" applyFont="1"/>
    <xf numFmtId="49" fontId="28" fillId="0" borderId="0" xfId="0" applyNumberFormat="1" applyFont="1" applyAlignment="1">
      <alignment horizontal="center"/>
    </xf>
    <xf numFmtId="0" fontId="32" fillId="0" borderId="4" xfId="0" applyFont="1" applyBorder="1"/>
    <xf numFmtId="0" fontId="32" fillId="0" borderId="7" xfId="0" applyFont="1" applyBorder="1"/>
    <xf numFmtId="0" fontId="4" fillId="0" borderId="4" xfId="0" applyFont="1" applyBorder="1"/>
    <xf numFmtId="49" fontId="32" fillId="0" borderId="4" xfId="0" applyNumberFormat="1" applyFont="1" applyBorder="1"/>
    <xf numFmtId="49" fontId="32" fillId="0" borderId="7" xfId="0" applyNumberFormat="1" applyFont="1" applyBorder="1"/>
    <xf numFmtId="49" fontId="4" fillId="0" borderId="4" xfId="0" applyNumberFormat="1" applyFont="1" applyBorder="1"/>
    <xf numFmtId="0" fontId="32" fillId="0" borderId="3" xfId="0" applyFont="1" applyBorder="1"/>
    <xf numFmtId="0" fontId="32" fillId="0" borderId="5" xfId="0" applyFont="1" applyBorder="1"/>
    <xf numFmtId="49" fontId="32" fillId="0" borderId="4" xfId="0" applyNumberFormat="1" applyFont="1" applyBorder="1" applyAlignment="1">
      <alignment horizontal="right"/>
    </xf>
    <xf numFmtId="0" fontId="4" fillId="0" borderId="4" xfId="0" applyFont="1" applyBorder="1" applyAlignment="1">
      <alignment horizontal="right"/>
    </xf>
    <xf numFmtId="49" fontId="32" fillId="0" borderId="7" xfId="0" applyNumberFormat="1" applyFont="1" applyBorder="1" applyAlignment="1">
      <alignment horizontal="right"/>
    </xf>
    <xf numFmtId="0" fontId="3" fillId="2" borderId="1" xfId="0" applyFont="1" applyFill="1" applyBorder="1"/>
    <xf numFmtId="0" fontId="32" fillId="2" borderId="2" xfId="0" applyFont="1" applyFill="1" applyBorder="1"/>
    <xf numFmtId="49" fontId="3" fillId="2" borderId="8" xfId="0" applyNumberFormat="1" applyFont="1" applyFill="1" applyBorder="1" applyAlignment="1">
      <alignment horizontal="right"/>
    </xf>
    <xf numFmtId="0" fontId="32" fillId="0" borderId="0" xfId="0" applyFont="1"/>
    <xf numFmtId="0" fontId="32" fillId="0" borderId="6" xfId="0" applyFont="1" applyBorder="1"/>
    <xf numFmtId="49" fontId="17" fillId="0" borderId="0" xfId="0" applyNumberFormat="1" applyFont="1" applyAlignment="1">
      <alignment horizontal="center"/>
    </xf>
    <xf numFmtId="0" fontId="33" fillId="0" borderId="0" xfId="0" applyFont="1"/>
    <xf numFmtId="0" fontId="0" fillId="0" borderId="4" xfId="0" applyBorder="1" applyAlignment="1">
      <alignment horizontal="right"/>
    </xf>
    <xf numFmtId="0" fontId="4" fillId="0" borderId="7" xfId="0" applyFont="1" applyBorder="1" applyAlignment="1">
      <alignment horizontal="right"/>
    </xf>
    <xf numFmtId="49" fontId="32" fillId="0" borderId="0" xfId="0" applyNumberFormat="1" applyFont="1" applyAlignment="1">
      <alignment horizontal="righ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0" borderId="9" xfId="0" applyFon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0" fontId="0" fillId="0" borderId="11" xfId="0" applyBorder="1"/>
    <xf numFmtId="0" fontId="2" fillId="0" borderId="11" xfId="0" applyFont="1" applyBorder="1"/>
    <xf numFmtId="49" fontId="0" fillId="0" borderId="11" xfId="0" applyNumberFormat="1" applyBorder="1"/>
    <xf numFmtId="0" fontId="2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49" fontId="37" fillId="0" borderId="0" xfId="0" applyNumberFormat="1" applyFont="1" applyAlignment="1">
      <alignment horizontal="center"/>
    </xf>
    <xf numFmtId="49" fontId="36" fillId="0" borderId="0" xfId="0" applyNumberFormat="1" applyFont="1" applyAlignment="1">
      <alignment horizontal="center"/>
    </xf>
    <xf numFmtId="0" fontId="2" fillId="0" borderId="12" xfId="0" applyFont="1" applyBorder="1"/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5" xfId="0" applyFont="1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49" fontId="23" fillId="0" borderId="0" xfId="0" applyNumberFormat="1" applyFont="1"/>
    <xf numFmtId="0" fontId="28" fillId="0" borderId="0" xfId="0" applyFont="1"/>
    <xf numFmtId="0" fontId="23" fillId="0" borderId="0" xfId="0" applyFont="1"/>
    <xf numFmtId="49" fontId="39" fillId="0" borderId="0" xfId="0" applyNumberFormat="1" applyFont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2" fillId="0" borderId="3" xfId="0" applyNumberFormat="1" applyFont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40" fillId="0" borderId="0" xfId="0" applyFont="1"/>
    <xf numFmtId="0" fontId="47" fillId="0" borderId="0" xfId="0" applyFont="1"/>
    <xf numFmtId="0" fontId="41" fillId="0" borderId="0" xfId="0" applyFont="1"/>
    <xf numFmtId="0" fontId="48" fillId="0" borderId="0" xfId="0" applyFont="1"/>
    <xf numFmtId="0" fontId="49" fillId="0" borderId="6" xfId="0" applyFont="1" applyBorder="1" applyAlignment="1">
      <alignment horizontal="center"/>
    </xf>
    <xf numFmtId="0" fontId="49" fillId="0" borderId="7" xfId="0" applyFont="1" applyBorder="1" applyAlignment="1">
      <alignment horizontal="center"/>
    </xf>
    <xf numFmtId="0" fontId="50" fillId="0" borderId="2" xfId="0" applyFont="1" applyBorder="1"/>
    <xf numFmtId="0" fontId="41" fillId="0" borderId="0" xfId="0" applyFont="1" applyAlignment="1">
      <alignment horizontal="center"/>
    </xf>
    <xf numFmtId="0" fontId="50" fillId="0" borderId="0" xfId="0" applyFont="1"/>
    <xf numFmtId="49" fontId="4" fillId="0" borderId="4" xfId="0" applyNumberFormat="1" applyFont="1" applyBorder="1" applyAlignment="1">
      <alignment horizontal="right"/>
    </xf>
    <xf numFmtId="0" fontId="40" fillId="0" borderId="0" xfId="0" applyFont="1" applyAlignment="1">
      <alignment horizontal="center"/>
    </xf>
    <xf numFmtId="0" fontId="25" fillId="0" borderId="18" xfId="0" applyFont="1" applyBorder="1"/>
    <xf numFmtId="0" fontId="25" fillId="0" borderId="13" xfId="0" applyFont="1" applyBorder="1"/>
    <xf numFmtId="0" fontId="52" fillId="0" borderId="13" xfId="0" applyFont="1" applyBorder="1" applyAlignment="1">
      <alignment horizontal="center"/>
    </xf>
    <xf numFmtId="0" fontId="25" fillId="0" borderId="19" xfId="0" applyFont="1" applyBorder="1"/>
    <xf numFmtId="0" fontId="25" fillId="0" borderId="15" xfId="0" applyFont="1" applyBorder="1"/>
    <xf numFmtId="0" fontId="52" fillId="0" borderId="15" xfId="0" applyFont="1" applyBorder="1" applyAlignment="1">
      <alignment horizontal="center"/>
    </xf>
    <xf numFmtId="49" fontId="52" fillId="0" borderId="15" xfId="0" applyNumberFormat="1" applyFont="1" applyBorder="1" applyAlignment="1">
      <alignment horizontal="center"/>
    </xf>
    <xf numFmtId="0" fontId="52" fillId="0" borderId="20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52" fillId="0" borderId="21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49" fontId="0" fillId="2" borderId="8" xfId="0" applyNumberForma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49" fontId="0" fillId="0" borderId="26" xfId="0" applyNumberFormat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49" fontId="0" fillId="0" borderId="28" xfId="0" applyNumberFormat="1" applyBorder="1" applyAlignment="1">
      <alignment horizontal="center"/>
    </xf>
    <xf numFmtId="49" fontId="0" fillId="0" borderId="29" xfId="0" applyNumberFormat="1" applyBorder="1" applyAlignment="1">
      <alignment horizontal="center"/>
    </xf>
    <xf numFmtId="0" fontId="0" fillId="0" borderId="23" xfId="0" applyBorder="1"/>
    <xf numFmtId="0" fontId="0" fillId="0" borderId="26" xfId="0" applyBorder="1"/>
    <xf numFmtId="0" fontId="0" fillId="0" borderId="0" xfId="0" applyAlignment="1">
      <alignment textRotation="90"/>
    </xf>
    <xf numFmtId="0" fontId="6" fillId="0" borderId="18" xfId="0" applyFont="1" applyBorder="1"/>
    <xf numFmtId="0" fontId="6" fillId="0" borderId="13" xfId="0" applyFont="1" applyBorder="1"/>
    <xf numFmtId="0" fontId="6" fillId="0" borderId="19" xfId="0" applyFont="1" applyBorder="1"/>
    <xf numFmtId="0" fontId="6" fillId="0" borderId="15" xfId="0" applyFont="1" applyBorder="1"/>
    <xf numFmtId="0" fontId="6" fillId="0" borderId="0" xfId="0" applyFont="1" applyAlignment="1">
      <alignment textRotation="90"/>
    </xf>
    <xf numFmtId="0" fontId="11" fillId="0" borderId="0" xfId="0" applyFont="1" applyAlignment="1">
      <alignment textRotation="90"/>
    </xf>
    <xf numFmtId="0" fontId="2" fillId="0" borderId="23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60" fillId="0" borderId="0" xfId="0" applyFont="1"/>
    <xf numFmtId="0" fontId="0" fillId="0" borderId="34" xfId="0" applyBorder="1"/>
    <xf numFmtId="0" fontId="57" fillId="0" borderId="23" xfId="0" applyFont="1" applyBorder="1" applyAlignment="1">
      <alignment horizontal="center"/>
    </xf>
    <xf numFmtId="0" fontId="57" fillId="0" borderId="26" xfId="0" applyFont="1" applyBorder="1" applyAlignment="1">
      <alignment horizontal="center"/>
    </xf>
    <xf numFmtId="0" fontId="57" fillId="3" borderId="26" xfId="0" applyFont="1" applyFill="1" applyBorder="1" applyAlignment="1">
      <alignment horizontal="center"/>
    </xf>
    <xf numFmtId="0" fontId="2" fillId="3" borderId="26" xfId="0" applyFont="1" applyFill="1" applyBorder="1" applyAlignment="1">
      <alignment horizontal="center"/>
    </xf>
    <xf numFmtId="49" fontId="2" fillId="3" borderId="26" xfId="0" applyNumberFormat="1" applyFont="1" applyFill="1" applyBorder="1" applyAlignment="1">
      <alignment horizontal="center"/>
    </xf>
    <xf numFmtId="0" fontId="25" fillId="3" borderId="15" xfId="0" applyFont="1" applyFill="1" applyBorder="1" applyAlignment="1">
      <alignment horizontal="center"/>
    </xf>
    <xf numFmtId="0" fontId="7" fillId="0" borderId="0" xfId="0" applyFont="1"/>
    <xf numFmtId="0" fontId="0" fillId="5" borderId="15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2" borderId="17" xfId="0" applyFill="1" applyBorder="1" applyAlignment="1">
      <alignment horizontal="center"/>
    </xf>
    <xf numFmtId="14" fontId="2" fillId="0" borderId="0" xfId="0" applyNumberFormat="1" applyFont="1"/>
    <xf numFmtId="1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/>
    <xf numFmtId="0" fontId="49" fillId="0" borderId="0" xfId="0" applyFont="1"/>
    <xf numFmtId="0" fontId="61" fillId="0" borderId="0" xfId="0" applyFont="1"/>
    <xf numFmtId="0" fontId="61" fillId="0" borderId="11" xfId="0" applyFont="1" applyBorder="1"/>
    <xf numFmtId="0" fontId="61" fillId="0" borderId="0" xfId="0" applyFont="1" applyAlignment="1">
      <alignment horizontal="right"/>
    </xf>
    <xf numFmtId="0" fontId="61" fillId="0" borderId="0" xfId="0" applyFont="1" applyAlignment="1">
      <alignment horizontal="center"/>
    </xf>
    <xf numFmtId="49" fontId="63" fillId="0" borderId="0" xfId="0" applyNumberFormat="1" applyFont="1" applyAlignment="1">
      <alignment horizontal="center"/>
    </xf>
    <xf numFmtId="49" fontId="64" fillId="0" borderId="0" xfId="0" applyNumberFormat="1" applyFont="1" applyAlignment="1">
      <alignment horizontal="center"/>
    </xf>
    <xf numFmtId="49" fontId="65" fillId="0" borderId="0" xfId="0" applyNumberFormat="1" applyFont="1" applyAlignment="1">
      <alignment horizontal="center"/>
    </xf>
    <xf numFmtId="49" fontId="66" fillId="0" borderId="0" xfId="0" applyNumberFormat="1" applyFont="1" applyAlignment="1">
      <alignment horizontal="center"/>
    </xf>
    <xf numFmtId="49" fontId="67" fillId="0" borderId="0" xfId="0" applyNumberFormat="1" applyFont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49" fontId="1" fillId="0" borderId="20" xfId="0" applyNumberFormat="1" applyFont="1" applyBorder="1" applyAlignment="1">
      <alignment horizontal="center"/>
    </xf>
    <xf numFmtId="49" fontId="1" fillId="0" borderId="32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49" fontId="2" fillId="2" borderId="28" xfId="0" applyNumberFormat="1" applyFont="1" applyFill="1" applyBorder="1" applyAlignment="1">
      <alignment horizontal="center"/>
    </xf>
    <xf numFmtId="49" fontId="2" fillId="2" borderId="32" xfId="0" applyNumberFormat="1" applyFont="1" applyFill="1" applyBorder="1" applyAlignment="1">
      <alignment horizontal="center"/>
    </xf>
    <xf numFmtId="49" fontId="2" fillId="2" borderId="29" xfId="0" applyNumberFormat="1" applyFont="1" applyFill="1" applyBorder="1" applyAlignment="1">
      <alignment horizontal="center"/>
    </xf>
    <xf numFmtId="0" fontId="2" fillId="2" borderId="14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49" fontId="2" fillId="2" borderId="31" xfId="0" applyNumberFormat="1" applyFont="1" applyFill="1" applyBorder="1" applyAlignment="1">
      <alignment horizontal="right"/>
    </xf>
    <xf numFmtId="0" fontId="2" fillId="2" borderId="39" xfId="0" applyFont="1" applyFill="1" applyBorder="1" applyAlignment="1">
      <alignment horizontal="right"/>
    </xf>
    <xf numFmtId="0" fontId="2" fillId="2" borderId="31" xfId="0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57" fillId="0" borderId="0" xfId="0" applyFont="1"/>
    <xf numFmtId="0" fontId="57" fillId="6" borderId="47" xfId="0" applyFont="1" applyFill="1" applyBorder="1" applyAlignment="1">
      <alignment horizontal="center"/>
    </xf>
    <xf numFmtId="0" fontId="57" fillId="6" borderId="38" xfId="0" applyFont="1" applyFill="1" applyBorder="1" applyAlignment="1">
      <alignment horizontal="center"/>
    </xf>
    <xf numFmtId="0" fontId="57" fillId="6" borderId="32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right"/>
    </xf>
    <xf numFmtId="0" fontId="2" fillId="6" borderId="45" xfId="0" applyFont="1" applyFill="1" applyBorder="1" applyAlignment="1">
      <alignment horizontal="right"/>
    </xf>
    <xf numFmtId="0" fontId="2" fillId="6" borderId="46" xfId="0" applyFont="1" applyFill="1" applyBorder="1" applyAlignment="1">
      <alignment horizontal="right"/>
    </xf>
    <xf numFmtId="0" fontId="1" fillId="4" borderId="25" xfId="0" applyFont="1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49" fontId="2" fillId="0" borderId="15" xfId="0" applyNumberFormat="1" applyFont="1" applyBorder="1" applyAlignment="1">
      <alignment horizontal="center"/>
    </xf>
    <xf numFmtId="49" fontId="2" fillId="0" borderId="38" xfId="0" applyNumberFormat="1" applyFont="1" applyBorder="1" applyAlignment="1">
      <alignment horizontal="center"/>
    </xf>
    <xf numFmtId="0" fontId="0" fillId="7" borderId="0" xfId="0" applyFill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7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49" fontId="73" fillId="0" borderId="0" xfId="0" applyNumberFormat="1" applyFont="1"/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77" fillId="9" borderId="49" xfId="0" applyFont="1" applyFill="1" applyBorder="1" applyAlignment="1">
      <alignment vertical="center" wrapText="1"/>
    </xf>
    <xf numFmtId="0" fontId="77" fillId="9" borderId="49" xfId="0" applyFont="1" applyFill="1" applyBorder="1" applyAlignment="1">
      <alignment horizontal="right" vertical="center" wrapText="1"/>
    </xf>
    <xf numFmtId="0" fontId="77" fillId="9" borderId="49" xfId="0" applyFont="1" applyFill="1" applyBorder="1" applyAlignment="1">
      <alignment horizontal="center" vertical="center" wrapText="1"/>
    </xf>
    <xf numFmtId="0" fontId="76" fillId="8" borderId="50" xfId="0" applyFont="1" applyFill="1" applyBorder="1" applyAlignment="1">
      <alignment horizontal="center" vertical="center" wrapText="1"/>
    </xf>
    <xf numFmtId="0" fontId="76" fillId="8" borderId="48" xfId="0" applyFont="1" applyFill="1" applyBorder="1" applyAlignment="1">
      <alignment horizontal="center" vertical="center" wrapText="1"/>
    </xf>
    <xf numFmtId="0" fontId="77" fillId="9" borderId="51" xfId="0" applyFont="1" applyFill="1" applyBorder="1" applyAlignment="1">
      <alignment vertical="center" wrapText="1"/>
    </xf>
    <xf numFmtId="0" fontId="77" fillId="9" borderId="52" xfId="0" applyFont="1" applyFill="1" applyBorder="1" applyAlignment="1">
      <alignment horizontal="right" vertical="center" wrapText="1"/>
    </xf>
    <xf numFmtId="0" fontId="77" fillId="9" borderId="43" xfId="0" applyFont="1" applyFill="1" applyBorder="1" applyAlignment="1">
      <alignment vertical="center" wrapText="1"/>
    </xf>
    <xf numFmtId="0" fontId="77" fillId="9" borderId="0" xfId="0" applyFont="1" applyFill="1" applyAlignment="1">
      <alignment vertical="center" wrapText="1"/>
    </xf>
    <xf numFmtId="0" fontId="77" fillId="9" borderId="0" xfId="0" applyFont="1" applyFill="1" applyAlignment="1">
      <alignment horizontal="right" vertical="center" wrapText="1"/>
    </xf>
    <xf numFmtId="0" fontId="77" fillId="9" borderId="0" xfId="0" applyFont="1" applyFill="1" applyAlignment="1">
      <alignment horizontal="center" vertical="center" wrapText="1"/>
    </xf>
    <xf numFmtId="0" fontId="77" fillId="9" borderId="53" xfId="0" applyFont="1" applyFill="1" applyBorder="1" applyAlignment="1">
      <alignment horizontal="right" vertical="center" wrapText="1"/>
    </xf>
    <xf numFmtId="0" fontId="77" fillId="9" borderId="54" xfId="0" applyFont="1" applyFill="1" applyBorder="1" applyAlignment="1">
      <alignment vertical="center" wrapText="1"/>
    </xf>
    <xf numFmtId="0" fontId="77" fillId="9" borderId="55" xfId="0" applyFont="1" applyFill="1" applyBorder="1" applyAlignment="1">
      <alignment vertical="center" wrapText="1"/>
    </xf>
    <xf numFmtId="0" fontId="77" fillId="9" borderId="55" xfId="0" applyFont="1" applyFill="1" applyBorder="1" applyAlignment="1">
      <alignment horizontal="right" vertical="center" wrapText="1"/>
    </xf>
    <xf numFmtId="0" fontId="77" fillId="9" borderId="55" xfId="0" applyFont="1" applyFill="1" applyBorder="1" applyAlignment="1">
      <alignment horizontal="center" vertical="center" wrapText="1"/>
    </xf>
    <xf numFmtId="0" fontId="77" fillId="9" borderId="56" xfId="0" applyFont="1" applyFill="1" applyBorder="1" applyAlignment="1">
      <alignment horizontal="right" vertical="center" wrapText="1"/>
    </xf>
    <xf numFmtId="0" fontId="2" fillId="6" borderId="50" xfId="0" applyFont="1" applyFill="1" applyBorder="1" applyAlignment="1">
      <alignment horizontal="right"/>
    </xf>
    <xf numFmtId="0" fontId="2" fillId="6" borderId="43" xfId="0" applyFont="1" applyFill="1" applyBorder="1" applyAlignment="1">
      <alignment horizontal="right"/>
    </xf>
    <xf numFmtId="0" fontId="2" fillId="6" borderId="54" xfId="0" applyFont="1" applyFill="1" applyBorder="1" applyAlignment="1">
      <alignment horizontal="right"/>
    </xf>
    <xf numFmtId="0" fontId="1" fillId="6" borderId="22" xfId="0" applyFont="1" applyFill="1" applyBorder="1" applyAlignment="1">
      <alignment horizontal="center"/>
    </xf>
    <xf numFmtId="49" fontId="0" fillId="6" borderId="26" xfId="0" applyNumberFormat="1" applyFill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49" fillId="0" borderId="44" xfId="0" applyFont="1" applyBorder="1" applyAlignment="1">
      <alignment horizontal="center"/>
    </xf>
    <xf numFmtId="0" fontId="49" fillId="0" borderId="2" xfId="0" applyFont="1" applyBorder="1"/>
    <xf numFmtId="0" fontId="0" fillId="2" borderId="8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right"/>
    </xf>
    <xf numFmtId="49" fontId="2" fillId="2" borderId="38" xfId="0" applyNumberFormat="1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80" fillId="0" borderId="0" xfId="0" applyFont="1"/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left"/>
    </xf>
    <xf numFmtId="14" fontId="57" fillId="0" borderId="0" xfId="0" applyNumberFormat="1" applyFont="1" applyAlignment="1">
      <alignment horizontal="left"/>
    </xf>
    <xf numFmtId="0" fontId="81" fillId="0" borderId="0" xfId="0" applyFont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2" borderId="26" xfId="0" applyFill="1" applyBorder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0" borderId="19" xfId="0" applyBorder="1"/>
    <xf numFmtId="0" fontId="0" fillId="0" borderId="15" xfId="0" applyBorder="1"/>
    <xf numFmtId="0" fontId="0" fillId="6" borderId="19" xfId="0" applyFill="1" applyBorder="1"/>
    <xf numFmtId="0" fontId="0" fillId="6" borderId="15" xfId="0" applyFill="1" applyBorder="1"/>
    <xf numFmtId="0" fontId="57" fillId="5" borderId="28" xfId="0" applyFont="1" applyFill="1" applyBorder="1" applyAlignment="1">
      <alignment horizontal="center"/>
    </xf>
    <xf numFmtId="0" fontId="1" fillId="0" borderId="57" xfId="0" applyFont="1" applyBorder="1" applyAlignment="1">
      <alignment horizontal="center"/>
    </xf>
    <xf numFmtId="49" fontId="1" fillId="0" borderId="26" xfId="0" applyNumberFormat="1" applyFont="1" applyBorder="1" applyAlignment="1">
      <alignment horizontal="center"/>
    </xf>
    <xf numFmtId="49" fontId="1" fillId="0" borderId="28" xfId="0" applyNumberFormat="1" applyFont="1" applyBorder="1" applyAlignment="1">
      <alignment horizontal="center"/>
    </xf>
    <xf numFmtId="10" fontId="2" fillId="6" borderId="26" xfId="0" applyNumberFormat="1" applyFont="1" applyFill="1" applyBorder="1" applyAlignment="1">
      <alignment horizontal="center"/>
    </xf>
    <xf numFmtId="0" fontId="2" fillId="6" borderId="18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2" fillId="6" borderId="47" xfId="0" applyFont="1" applyFill="1" applyBorder="1" applyAlignment="1">
      <alignment horizontal="center"/>
    </xf>
    <xf numFmtId="0" fontId="2" fillId="6" borderId="50" xfId="0" applyFont="1" applyFill="1" applyBorder="1" applyAlignment="1">
      <alignment horizontal="center"/>
    </xf>
    <xf numFmtId="49" fontId="2" fillId="6" borderId="19" xfId="0" applyNumberFormat="1" applyFont="1" applyFill="1" applyBorder="1" applyAlignment="1">
      <alignment horizontal="center"/>
    </xf>
    <xf numFmtId="49" fontId="2" fillId="6" borderId="47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48" xfId="0" applyBorder="1"/>
    <xf numFmtId="0" fontId="0" fillId="6" borderId="54" xfId="0" applyFill="1" applyBorder="1"/>
    <xf numFmtId="0" fontId="0" fillId="6" borderId="55" xfId="0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6" borderId="20" xfId="0" applyFill="1" applyBorder="1"/>
    <xf numFmtId="0" fontId="0" fillId="6" borderId="43" xfId="0" applyFill="1" applyBorder="1"/>
    <xf numFmtId="0" fontId="0" fillId="0" borderId="43" xfId="0" applyBorder="1"/>
    <xf numFmtId="0" fontId="0" fillId="6" borderId="50" xfId="0" applyFill="1" applyBorder="1"/>
    <xf numFmtId="0" fontId="0" fillId="6" borderId="48" xfId="0" applyFill="1" applyBorder="1"/>
    <xf numFmtId="0" fontId="0" fillId="6" borderId="26" xfId="0" applyFill="1" applyBorder="1"/>
    <xf numFmtId="0" fontId="0" fillId="6" borderId="34" xfId="0" applyFill="1" applyBorder="1"/>
    <xf numFmtId="0" fontId="0" fillId="0" borderId="20" xfId="0" applyBorder="1"/>
    <xf numFmtId="0" fontId="0" fillId="6" borderId="56" xfId="0" applyFill="1" applyBorder="1"/>
    <xf numFmtId="0" fontId="0" fillId="0" borderId="48" xfId="0" applyBorder="1" applyAlignment="1">
      <alignment horizontal="center"/>
    </xf>
    <xf numFmtId="0" fontId="83" fillId="0" borderId="0" xfId="0" applyFont="1"/>
    <xf numFmtId="0" fontId="84" fillId="0" borderId="0" xfId="0" applyFont="1"/>
    <xf numFmtId="0" fontId="0" fillId="4" borderId="19" xfId="0" applyFill="1" applyBorder="1"/>
    <xf numFmtId="0" fontId="0" fillId="4" borderId="15" xfId="0" applyFill="1" applyBorder="1"/>
    <xf numFmtId="0" fontId="0" fillId="4" borderId="0" xfId="0" applyFill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3" xfId="0" applyFill="1" applyBorder="1"/>
    <xf numFmtId="0" fontId="57" fillId="4" borderId="0" xfId="0" applyFont="1" applyFill="1"/>
    <xf numFmtId="0" fontId="57" fillId="4" borderId="0" xfId="0" applyFont="1" applyFill="1" applyAlignment="1">
      <alignment horizontal="left"/>
    </xf>
    <xf numFmtId="0" fontId="0" fillId="4" borderId="0" xfId="0" applyFill="1"/>
    <xf numFmtId="0" fontId="0" fillId="4" borderId="4" xfId="0" applyFill="1" applyBorder="1"/>
    <xf numFmtId="14" fontId="57" fillId="4" borderId="0" xfId="0" applyNumberFormat="1" applyFont="1" applyFill="1" applyAlignment="1">
      <alignment horizontal="left"/>
    </xf>
    <xf numFmtId="0" fontId="81" fillId="4" borderId="0" xfId="0" applyFont="1" applyFill="1" applyAlignment="1">
      <alignment horizontal="center"/>
    </xf>
    <xf numFmtId="49" fontId="0" fillId="4" borderId="0" xfId="0" applyNumberFormat="1" applyFill="1"/>
    <xf numFmtId="0" fontId="57" fillId="4" borderId="0" xfId="0" applyFont="1" applyFill="1" applyAlignment="1">
      <alignment horizontal="center"/>
    </xf>
    <xf numFmtId="0" fontId="57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/>
    <xf numFmtId="0" fontId="0" fillId="4" borderId="44" xfId="0" applyFill="1" applyBorder="1"/>
    <xf numFmtId="0" fontId="0" fillId="4" borderId="7" xfId="0" applyFill="1" applyBorder="1"/>
    <xf numFmtId="49" fontId="0" fillId="4" borderId="0" xfId="0" applyNumberFormat="1" applyFill="1" applyAlignment="1">
      <alignment horizontal="center"/>
    </xf>
    <xf numFmtId="0" fontId="0" fillId="4" borderId="50" xfId="0" applyFill="1" applyBorder="1"/>
    <xf numFmtId="0" fontId="0" fillId="4" borderId="48" xfId="0" applyFill="1" applyBorder="1"/>
    <xf numFmtId="0" fontId="0" fillId="4" borderId="20" xfId="0" applyFill="1" applyBorder="1"/>
    <xf numFmtId="0" fontId="0" fillId="4" borderId="54" xfId="0" applyFill="1" applyBorder="1"/>
    <xf numFmtId="0" fontId="0" fillId="4" borderId="55" xfId="0" applyFill="1" applyBorder="1"/>
    <xf numFmtId="0" fontId="0" fillId="4" borderId="56" xfId="0" applyFill="1" applyBorder="1"/>
    <xf numFmtId="0" fontId="0" fillId="4" borderId="26" xfId="0" applyFill="1" applyBorder="1"/>
    <xf numFmtId="0" fontId="0" fillId="4" borderId="34" xfId="0" applyFill="1" applyBorder="1"/>
    <xf numFmtId="0" fontId="2" fillId="5" borderId="23" xfId="0" applyFont="1" applyFill="1" applyBorder="1" applyAlignment="1">
      <alignment horizontal="center"/>
    </xf>
    <xf numFmtId="0" fontId="2" fillId="5" borderId="3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center"/>
    </xf>
    <xf numFmtId="0" fontId="0" fillId="5" borderId="58" xfId="0" applyFill="1" applyBorder="1"/>
    <xf numFmtId="14" fontId="57" fillId="4" borderId="19" xfId="0" applyNumberFormat="1" applyFont="1" applyFill="1" applyBorder="1" applyAlignment="1">
      <alignment horizontal="left"/>
    </xf>
    <xf numFmtId="0" fontId="57" fillId="4" borderId="20" xfId="0" applyFont="1" applyFill="1" applyBorder="1"/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49" fontId="1" fillId="0" borderId="19" xfId="0" applyNumberFormat="1" applyFont="1" applyBorder="1" applyAlignment="1">
      <alignment horizontal="center"/>
    </xf>
    <xf numFmtId="49" fontId="1" fillId="0" borderId="47" xfId="0" applyNumberFormat="1" applyFont="1" applyBorder="1" applyAlignment="1">
      <alignment horizontal="center"/>
    </xf>
    <xf numFmtId="0" fontId="57" fillId="6" borderId="26" xfId="0" applyFont="1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57" fillId="0" borderId="59" xfId="0" applyFont="1" applyBorder="1"/>
    <xf numFmtId="0" fontId="57" fillId="0" borderId="9" xfId="0" applyFont="1" applyBorder="1"/>
    <xf numFmtId="0" fontId="57" fillId="0" borderId="9" xfId="0" applyFont="1" applyBorder="1" applyAlignment="1">
      <alignment horizontal="center"/>
    </xf>
    <xf numFmtId="0" fontId="57" fillId="0" borderId="0" xfId="0" applyFont="1" applyAlignment="1">
      <alignment horizontal="right"/>
    </xf>
    <xf numFmtId="0" fontId="0" fillId="13" borderId="0" xfId="0" applyFill="1"/>
    <xf numFmtId="0" fontId="0" fillId="13" borderId="0" xfId="0" applyFill="1" applyAlignment="1">
      <alignment horizontal="center"/>
    </xf>
    <xf numFmtId="0" fontId="57" fillId="13" borderId="0" xfId="0" applyFont="1" applyFill="1" applyAlignment="1">
      <alignment horizontal="center"/>
    </xf>
    <xf numFmtId="0" fontId="57" fillId="0" borderId="48" xfId="0" applyFont="1" applyBorder="1" applyAlignment="1">
      <alignment horizontal="center"/>
    </xf>
    <xf numFmtId="0" fontId="57" fillId="0" borderId="48" xfId="0" applyFont="1" applyBorder="1"/>
    <xf numFmtId="0" fontId="0" fillId="0" borderId="40" xfId="0" applyBorder="1" applyAlignment="1">
      <alignment horizontal="center"/>
    </xf>
    <xf numFmtId="0" fontId="0" fillId="0" borderId="55" xfId="0" applyBorder="1" applyAlignment="1">
      <alignment horizontal="center"/>
    </xf>
    <xf numFmtId="0" fontId="57" fillId="0" borderId="55" xfId="0" applyFont="1" applyBorder="1" applyAlignment="1">
      <alignment horizontal="center"/>
    </xf>
    <xf numFmtId="0" fontId="0" fillId="0" borderId="56" xfId="0" applyBorder="1" applyAlignment="1">
      <alignment horizontal="center"/>
    </xf>
    <xf numFmtId="14" fontId="0" fillId="0" borderId="50" xfId="0" applyNumberFormat="1" applyBorder="1"/>
    <xf numFmtId="16" fontId="0" fillId="0" borderId="55" xfId="0" applyNumberFormat="1" applyBorder="1" applyAlignment="1">
      <alignment horizontal="center"/>
    </xf>
    <xf numFmtId="16" fontId="0" fillId="0" borderId="48" xfId="0" applyNumberFormat="1" applyBorder="1" applyAlignment="1">
      <alignment horizontal="center"/>
    </xf>
    <xf numFmtId="17" fontId="0" fillId="0" borderId="55" xfId="0" applyNumberFormat="1" applyBorder="1" applyAlignment="1">
      <alignment horizontal="center"/>
    </xf>
    <xf numFmtId="0" fontId="57" fillId="0" borderId="43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57" fillId="0" borderId="43" xfId="0" applyFont="1" applyBorder="1"/>
    <xf numFmtId="0" fontId="57" fillId="6" borderId="38" xfId="0" applyFont="1" applyFill="1" applyBorder="1" applyAlignment="1">
      <alignment horizontal="left"/>
    </xf>
    <xf numFmtId="0" fontId="1" fillId="6" borderId="23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49" fontId="57" fillId="5" borderId="0" xfId="0" applyNumberFormat="1" applyFont="1" applyFill="1"/>
    <xf numFmtId="49" fontId="0" fillId="13" borderId="0" xfId="0" applyNumberFormat="1" applyFill="1"/>
    <xf numFmtId="2" fontId="0" fillId="13" borderId="0" xfId="0" applyNumberFormat="1" applyFill="1"/>
    <xf numFmtId="49" fontId="16" fillId="13" borderId="0" xfId="0" applyNumberFormat="1" applyFont="1" applyFill="1"/>
    <xf numFmtId="49" fontId="7" fillId="13" borderId="0" xfId="0" applyNumberFormat="1" applyFont="1" applyFill="1" applyAlignment="1">
      <alignment horizontal="center"/>
    </xf>
    <xf numFmtId="49" fontId="7" fillId="13" borderId="0" xfId="0" applyNumberFormat="1" applyFont="1" applyFill="1"/>
    <xf numFmtId="49" fontId="6" fillId="13" borderId="0" xfId="0" applyNumberFormat="1" applyFont="1" applyFill="1"/>
    <xf numFmtId="49" fontId="5" fillId="13" borderId="0" xfId="0" applyNumberFormat="1" applyFont="1" applyFill="1" applyAlignment="1">
      <alignment horizontal="left"/>
    </xf>
    <xf numFmtId="49" fontId="0" fillId="13" borderId="0" xfId="0" applyNumberFormat="1" applyFill="1" applyAlignment="1">
      <alignment horizontal="left"/>
    </xf>
    <xf numFmtId="2" fontId="0" fillId="13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2" fillId="13" borderId="0" xfId="0" applyNumberFormat="1" applyFont="1" applyFill="1" applyAlignment="1">
      <alignment horizontal="center"/>
    </xf>
    <xf numFmtId="1" fontId="82" fillId="13" borderId="0" xfId="0" applyNumberFormat="1" applyFont="1" applyFill="1" applyAlignment="1">
      <alignment horizontal="center"/>
    </xf>
    <xf numFmtId="49" fontId="2" fillId="13" borderId="0" xfId="0" applyNumberFormat="1" applyFont="1" applyFill="1" applyAlignment="1">
      <alignment horizontal="left"/>
    </xf>
    <xf numFmtId="1" fontId="2" fillId="13" borderId="0" xfId="0" applyNumberFormat="1" applyFont="1" applyFill="1" applyAlignment="1">
      <alignment horizontal="left"/>
    </xf>
    <xf numFmtId="1" fontId="2" fillId="13" borderId="0" xfId="0" applyNumberFormat="1" applyFont="1" applyFill="1" applyAlignment="1">
      <alignment horizontal="center"/>
    </xf>
    <xf numFmtId="49" fontId="25" fillId="13" borderId="0" xfId="0" applyNumberFormat="1" applyFont="1" applyFill="1"/>
    <xf numFmtId="0" fontId="71" fillId="13" borderId="0" xfId="0" applyFont="1" applyFill="1" applyAlignment="1">
      <alignment horizontal="left"/>
    </xf>
    <xf numFmtId="1" fontId="71" fillId="13" borderId="0" xfId="0" applyNumberFormat="1" applyFont="1" applyFill="1" applyAlignment="1">
      <alignment horizontal="left"/>
    </xf>
    <xf numFmtId="1" fontId="57" fillId="13" borderId="0" xfId="0" applyNumberFormat="1" applyFont="1" applyFill="1" applyAlignment="1">
      <alignment horizontal="left"/>
    </xf>
    <xf numFmtId="49" fontId="2" fillId="5" borderId="0" xfId="0" applyNumberFormat="1" applyFont="1" applyFill="1" applyAlignment="1">
      <alignment horizontal="center"/>
    </xf>
    <xf numFmtId="49" fontId="91" fillId="13" borderId="0" xfId="0" applyNumberFormat="1" applyFont="1" applyFill="1"/>
    <xf numFmtId="49" fontId="2" fillId="13" borderId="0" xfId="0" applyNumberFormat="1" applyFont="1" applyFill="1"/>
    <xf numFmtId="0" fontId="2" fillId="13" borderId="0" xfId="0" applyFont="1" applyFill="1"/>
    <xf numFmtId="14" fontId="0" fillId="13" borderId="0" xfId="0" applyNumberFormat="1" applyFill="1" applyAlignment="1">
      <alignment horizontal="center"/>
    </xf>
    <xf numFmtId="0" fontId="5" fillId="13" borderId="0" xfId="0" applyFont="1" applyFill="1"/>
    <xf numFmtId="14" fontId="13" fillId="13" borderId="0" xfId="0" applyNumberFormat="1" applyFont="1" applyFill="1" applyAlignment="1">
      <alignment horizontal="center"/>
    </xf>
    <xf numFmtId="49" fontId="13" fillId="13" borderId="0" xfId="0" applyNumberFormat="1" applyFont="1" applyFill="1" applyAlignment="1">
      <alignment horizontal="center"/>
    </xf>
    <xf numFmtId="0" fontId="13" fillId="13" borderId="0" xfId="0" applyFont="1" applyFill="1" applyAlignment="1">
      <alignment horizontal="center"/>
    </xf>
    <xf numFmtId="0" fontId="13" fillId="13" borderId="0" xfId="0" applyFont="1" applyFill="1"/>
    <xf numFmtId="0" fontId="8" fillId="13" borderId="0" xfId="0" applyFont="1" applyFill="1"/>
    <xf numFmtId="14" fontId="23" fillId="13" borderId="0" xfId="0" applyNumberFormat="1" applyFont="1" applyFill="1" applyAlignment="1">
      <alignment horizontal="center"/>
    </xf>
    <xf numFmtId="49" fontId="23" fillId="13" borderId="0" xfId="0" applyNumberFormat="1" applyFont="1" applyFill="1" applyAlignment="1">
      <alignment horizontal="center"/>
    </xf>
    <xf numFmtId="0" fontId="23" fillId="13" borderId="0" xfId="0" applyFont="1" applyFill="1" applyAlignment="1">
      <alignment horizontal="center"/>
    </xf>
    <xf numFmtId="0" fontId="23" fillId="13" borderId="0" xfId="0" applyFont="1" applyFill="1"/>
    <xf numFmtId="49" fontId="1" fillId="13" borderId="0" xfId="0" applyNumberFormat="1" applyFont="1" applyFill="1" applyAlignment="1">
      <alignment horizontal="center"/>
    </xf>
    <xf numFmtId="14" fontId="59" fillId="13" borderId="0" xfId="0" applyNumberFormat="1" applyFont="1" applyFill="1" applyAlignment="1">
      <alignment horizontal="center"/>
    </xf>
    <xf numFmtId="49" fontId="59" fillId="13" borderId="0" xfId="0" applyNumberFormat="1" applyFont="1" applyFill="1" applyAlignment="1">
      <alignment horizontal="center"/>
    </xf>
    <xf numFmtId="0" fontId="59" fillId="13" borderId="0" xfId="0" applyFont="1" applyFill="1" applyAlignment="1">
      <alignment horizontal="center"/>
    </xf>
    <xf numFmtId="0" fontId="59" fillId="13" borderId="0" xfId="0" applyFont="1" applyFill="1"/>
    <xf numFmtId="49" fontId="4" fillId="13" borderId="0" xfId="0" applyNumberFormat="1" applyFont="1" applyFill="1" applyAlignment="1">
      <alignment horizontal="center"/>
    </xf>
    <xf numFmtId="14" fontId="56" fillId="13" borderId="0" xfId="0" applyNumberFormat="1" applyFont="1" applyFill="1" applyAlignment="1">
      <alignment horizontal="center"/>
    </xf>
    <xf numFmtId="0" fontId="56" fillId="13" borderId="0" xfId="0" applyFont="1" applyFill="1" applyAlignment="1">
      <alignment horizontal="center"/>
    </xf>
    <xf numFmtId="49" fontId="56" fillId="13" borderId="0" xfId="0" applyNumberFormat="1" applyFont="1" applyFill="1" applyAlignment="1">
      <alignment horizontal="center"/>
    </xf>
    <xf numFmtId="0" fontId="56" fillId="13" borderId="0" xfId="0" applyFont="1" applyFill="1"/>
    <xf numFmtId="49" fontId="60" fillId="13" borderId="0" xfId="0" applyNumberFormat="1" applyFont="1" applyFill="1"/>
    <xf numFmtId="49" fontId="80" fillId="13" borderId="0" xfId="0" applyNumberFormat="1" applyFont="1" applyFill="1"/>
    <xf numFmtId="0" fontId="2" fillId="4" borderId="19" xfId="0" applyFont="1" applyFill="1" applyBorder="1"/>
    <xf numFmtId="14" fontId="0" fillId="4" borderId="15" xfId="0" applyNumberFormat="1" applyFill="1" applyBorder="1" applyAlignment="1">
      <alignment horizontal="center"/>
    </xf>
    <xf numFmtId="49" fontId="0" fillId="4" borderId="15" xfId="0" applyNumberForma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2" fillId="4" borderId="50" xfId="0" applyFont="1" applyFill="1" applyBorder="1"/>
    <xf numFmtId="14" fontId="0" fillId="4" borderId="48" xfId="0" applyNumberFormat="1" applyFill="1" applyBorder="1" applyAlignment="1">
      <alignment horizontal="center"/>
    </xf>
    <xf numFmtId="49" fontId="0" fillId="4" borderId="48" xfId="0" applyNumberFormat="1" applyFill="1" applyBorder="1" applyAlignment="1">
      <alignment horizontal="center"/>
    </xf>
    <xf numFmtId="0" fontId="0" fillId="4" borderId="48" xfId="0" applyFill="1" applyBorder="1" applyAlignment="1">
      <alignment horizontal="center"/>
    </xf>
    <xf numFmtId="0" fontId="0" fillId="4" borderId="40" xfId="0" applyFill="1" applyBorder="1"/>
    <xf numFmtId="0" fontId="2" fillId="4" borderId="54" xfId="0" applyFont="1" applyFill="1" applyBorder="1"/>
    <xf numFmtId="14" fontId="0" fillId="4" borderId="55" xfId="0" applyNumberFormat="1" applyFill="1" applyBorder="1" applyAlignment="1">
      <alignment horizontal="center"/>
    </xf>
    <xf numFmtId="49" fontId="0" fillId="4" borderId="55" xfId="0" applyNumberFormat="1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5" fillId="4" borderId="19" xfId="0" applyFont="1" applyFill="1" applyBorder="1"/>
    <xf numFmtId="14" fontId="23" fillId="4" borderId="15" xfId="0" applyNumberFormat="1" applyFont="1" applyFill="1" applyBorder="1" applyAlignment="1">
      <alignment horizontal="center"/>
    </xf>
    <xf numFmtId="49" fontId="23" fillId="4" borderId="15" xfId="0" applyNumberFormat="1" applyFont="1" applyFill="1" applyBorder="1" applyAlignment="1">
      <alignment horizontal="center"/>
    </xf>
    <xf numFmtId="0" fontId="23" fillId="4" borderId="15" xfId="0" applyFont="1" applyFill="1" applyBorder="1" applyAlignment="1">
      <alignment horizontal="center"/>
    </xf>
    <xf numFmtId="0" fontId="23" fillId="4" borderId="15" xfId="0" applyFont="1" applyFill="1" applyBorder="1"/>
    <xf numFmtId="0" fontId="23" fillId="4" borderId="20" xfId="0" applyFont="1" applyFill="1" applyBorder="1"/>
    <xf numFmtId="0" fontId="5" fillId="4" borderId="50" xfId="0" applyFont="1" applyFill="1" applyBorder="1"/>
    <xf numFmtId="14" fontId="23" fillId="4" borderId="48" xfId="0" applyNumberFormat="1" applyFont="1" applyFill="1" applyBorder="1" applyAlignment="1">
      <alignment horizontal="center"/>
    </xf>
    <xf numFmtId="49" fontId="23" fillId="4" borderId="48" xfId="0" applyNumberFormat="1" applyFont="1" applyFill="1" applyBorder="1" applyAlignment="1">
      <alignment horizontal="center"/>
    </xf>
    <xf numFmtId="0" fontId="23" fillId="4" borderId="48" xfId="0" applyFont="1" applyFill="1" applyBorder="1" applyAlignment="1">
      <alignment horizontal="center"/>
    </xf>
    <xf numFmtId="0" fontId="23" fillId="4" borderId="48" xfId="0" applyFont="1" applyFill="1" applyBorder="1"/>
    <xf numFmtId="0" fontId="23" fillId="4" borderId="40" xfId="0" applyFont="1" applyFill="1" applyBorder="1"/>
    <xf numFmtId="0" fontId="5" fillId="4" borderId="43" xfId="0" applyFont="1" applyFill="1" applyBorder="1"/>
    <xf numFmtId="14" fontId="23" fillId="4" borderId="0" xfId="0" applyNumberFormat="1" applyFont="1" applyFill="1" applyAlignment="1">
      <alignment horizontal="center"/>
    </xf>
    <xf numFmtId="49" fontId="23" fillId="4" borderId="0" xfId="0" applyNumberFormat="1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0" fontId="23" fillId="4" borderId="0" xfId="0" applyFont="1" applyFill="1"/>
    <xf numFmtId="0" fontId="23" fillId="4" borderId="53" xfId="0" applyFont="1" applyFill="1" applyBorder="1"/>
    <xf numFmtId="0" fontId="5" fillId="4" borderId="54" xfId="0" applyFont="1" applyFill="1" applyBorder="1"/>
    <xf numFmtId="14" fontId="23" fillId="4" borderId="55" xfId="0" applyNumberFormat="1" applyFont="1" applyFill="1" applyBorder="1" applyAlignment="1">
      <alignment horizontal="center"/>
    </xf>
    <xf numFmtId="49" fontId="23" fillId="4" borderId="55" xfId="0" applyNumberFormat="1" applyFont="1" applyFill="1" applyBorder="1" applyAlignment="1">
      <alignment horizontal="center"/>
    </xf>
    <xf numFmtId="0" fontId="23" fillId="4" borderId="55" xfId="0" applyFont="1" applyFill="1" applyBorder="1" applyAlignment="1">
      <alignment horizontal="center"/>
    </xf>
    <xf numFmtId="0" fontId="23" fillId="4" borderId="55" xfId="0" applyFont="1" applyFill="1" applyBorder="1"/>
    <xf numFmtId="0" fontId="23" fillId="4" borderId="56" xfId="0" applyFont="1" applyFill="1" applyBorder="1"/>
    <xf numFmtId="49" fontId="1" fillId="4" borderId="15" xfId="0" applyNumberFormat="1" applyFont="1" applyFill="1" applyBorder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53" xfId="0" applyFill="1" applyBorder="1"/>
    <xf numFmtId="49" fontId="1" fillId="4" borderId="48" xfId="0" applyNumberFormat="1" applyFont="1" applyFill="1" applyBorder="1" applyAlignment="1">
      <alignment horizontal="center"/>
    </xf>
    <xf numFmtId="49" fontId="1" fillId="4" borderId="55" xfId="0" applyNumberFormat="1" applyFont="1" applyFill="1" applyBorder="1" applyAlignment="1">
      <alignment horizontal="center"/>
    </xf>
    <xf numFmtId="49" fontId="90" fillId="13" borderId="0" xfId="0" applyNumberFormat="1" applyFont="1" applyFill="1"/>
    <xf numFmtId="49" fontId="18" fillId="13" borderId="0" xfId="0" applyNumberFormat="1" applyFont="1" applyFill="1"/>
    <xf numFmtId="49" fontId="8" fillId="13" borderId="0" xfId="0" applyNumberFormat="1" applyFont="1" applyFill="1"/>
    <xf numFmtId="0" fontId="2" fillId="13" borderId="44" xfId="0" applyFont="1" applyFill="1" applyBorder="1"/>
    <xf numFmtId="0" fontId="0" fillId="13" borderId="0" xfId="0" applyFill="1" applyAlignment="1">
      <alignment horizontal="right"/>
    </xf>
    <xf numFmtId="0" fontId="2" fillId="13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0" fillId="13" borderId="3" xfId="0" applyFill="1" applyBorder="1"/>
    <xf numFmtId="0" fontId="1" fillId="13" borderId="44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7" fillId="13" borderId="0" xfId="0" applyFont="1" applyFill="1"/>
    <xf numFmtId="0" fontId="62" fillId="13" borderId="0" xfId="0" applyFont="1" applyFill="1"/>
    <xf numFmtId="0" fontId="1" fillId="13" borderId="26" xfId="0" applyFont="1" applyFill="1" applyBorder="1" applyAlignment="1">
      <alignment horizontal="center"/>
    </xf>
    <xf numFmtId="0" fontId="2" fillId="6" borderId="26" xfId="0" applyFont="1" applyFill="1" applyBorder="1" applyAlignment="1">
      <alignment horizontal="right"/>
    </xf>
    <xf numFmtId="0" fontId="2" fillId="13" borderId="26" xfId="0" applyFont="1" applyFill="1" applyBorder="1" applyAlignment="1">
      <alignment horizontal="right"/>
    </xf>
    <xf numFmtId="0" fontId="57" fillId="5" borderId="47" xfId="0" applyFont="1" applyFill="1" applyBorder="1" applyAlignment="1">
      <alignment horizontal="center"/>
    </xf>
    <xf numFmtId="0" fontId="57" fillId="5" borderId="38" xfId="0" applyFont="1" applyFill="1" applyBorder="1" applyAlignment="1">
      <alignment horizontal="center"/>
    </xf>
    <xf numFmtId="0" fontId="57" fillId="5" borderId="32" xfId="0" applyFont="1" applyFill="1" applyBorder="1" applyAlignment="1">
      <alignment horizontal="center"/>
    </xf>
    <xf numFmtId="49" fontId="1" fillId="13" borderId="0" xfId="0" applyNumberFormat="1" applyFont="1" applyFill="1"/>
    <xf numFmtId="0" fontId="0" fillId="13" borderId="60" xfId="0" applyFill="1" applyBorder="1"/>
    <xf numFmtId="0" fontId="0" fillId="13" borderId="61" xfId="0" applyFill="1" applyBorder="1"/>
    <xf numFmtId="0" fontId="0" fillId="13" borderId="62" xfId="0" applyFill="1" applyBorder="1"/>
    <xf numFmtId="0" fontId="0" fillId="13" borderId="63" xfId="0" applyFill="1" applyBorder="1"/>
    <xf numFmtId="0" fontId="0" fillId="13" borderId="64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67" xfId="0" applyFill="1" applyBorder="1"/>
    <xf numFmtId="0" fontId="0" fillId="13" borderId="68" xfId="0" applyFill="1" applyBorder="1"/>
    <xf numFmtId="0" fontId="0" fillId="13" borderId="62" xfId="0" applyFill="1" applyBorder="1" applyAlignment="1">
      <alignment horizontal="center"/>
    </xf>
    <xf numFmtId="0" fontId="0" fillId="13" borderId="65" xfId="0" applyFill="1" applyBorder="1" applyAlignment="1">
      <alignment horizontal="center"/>
    </xf>
    <xf numFmtId="0" fontId="0" fillId="13" borderId="68" xfId="0" applyFill="1" applyBorder="1" applyAlignment="1">
      <alignment horizontal="center"/>
    </xf>
    <xf numFmtId="49" fontId="1" fillId="13" borderId="62" xfId="0" applyNumberFormat="1" applyFont="1" applyFill="1" applyBorder="1" applyAlignment="1">
      <alignment horizontal="center"/>
    </xf>
    <xf numFmtId="49" fontId="1" fillId="13" borderId="65" xfId="0" applyNumberFormat="1" applyFont="1" applyFill="1" applyBorder="1" applyAlignment="1">
      <alignment horizontal="center"/>
    </xf>
    <xf numFmtId="49" fontId="1" fillId="13" borderId="68" xfId="0" applyNumberFormat="1" applyFont="1" applyFill="1" applyBorder="1" applyAlignment="1">
      <alignment horizontal="center"/>
    </xf>
    <xf numFmtId="0" fontId="1" fillId="13" borderId="60" xfId="0" applyFont="1" applyFill="1" applyBorder="1"/>
    <xf numFmtId="49" fontId="0" fillId="13" borderId="62" xfId="0" applyNumberFormat="1" applyFill="1" applyBorder="1" applyAlignment="1">
      <alignment horizontal="center"/>
    </xf>
    <xf numFmtId="49" fontId="0" fillId="13" borderId="65" xfId="0" applyNumberFormat="1" applyFill="1" applyBorder="1" applyAlignment="1">
      <alignment horizontal="center"/>
    </xf>
    <xf numFmtId="49" fontId="0" fillId="13" borderId="68" xfId="0" applyNumberFormat="1" applyFill="1" applyBorder="1" applyAlignment="1">
      <alignment horizontal="center"/>
    </xf>
    <xf numFmtId="49" fontId="2" fillId="13" borderId="62" xfId="0" applyNumberFormat="1" applyFont="1" applyFill="1" applyBorder="1" applyAlignment="1">
      <alignment horizontal="right"/>
    </xf>
    <xf numFmtId="49" fontId="30" fillId="13" borderId="65" xfId="0" applyNumberFormat="1" applyFont="1" applyFill="1" applyBorder="1" applyAlignment="1">
      <alignment horizontal="right"/>
    </xf>
    <xf numFmtId="49" fontId="2" fillId="13" borderId="65" xfId="0" applyNumberFormat="1" applyFont="1" applyFill="1" applyBorder="1" applyAlignment="1">
      <alignment horizontal="right"/>
    </xf>
    <xf numFmtId="49" fontId="2" fillId="13" borderId="68" xfId="0" applyNumberFormat="1" applyFont="1" applyFill="1" applyBorder="1" applyAlignment="1">
      <alignment horizontal="right"/>
    </xf>
    <xf numFmtId="49" fontId="1" fillId="13" borderId="62" xfId="0" applyNumberFormat="1" applyFont="1" applyFill="1" applyBorder="1" applyAlignment="1">
      <alignment horizontal="right"/>
    </xf>
    <xf numFmtId="49" fontId="1" fillId="13" borderId="65" xfId="0" applyNumberFormat="1" applyFont="1" applyFill="1" applyBorder="1" applyAlignment="1">
      <alignment horizontal="right"/>
    </xf>
    <xf numFmtId="49" fontId="0" fillId="13" borderId="65" xfId="0" applyNumberFormat="1" applyFill="1" applyBorder="1" applyAlignment="1">
      <alignment horizontal="right"/>
    </xf>
    <xf numFmtId="0" fontId="0" fillId="13" borderId="65" xfId="0" applyFill="1" applyBorder="1" applyAlignment="1">
      <alignment horizontal="right"/>
    </xf>
    <xf numFmtId="49" fontId="1" fillId="13" borderId="68" xfId="0" applyNumberFormat="1" applyFont="1" applyFill="1" applyBorder="1" applyAlignment="1">
      <alignment horizontal="right"/>
    </xf>
    <xf numFmtId="49" fontId="5" fillId="4" borderId="19" xfId="0" applyNumberFormat="1" applyFont="1" applyFill="1" applyBorder="1"/>
    <xf numFmtId="49" fontId="0" fillId="4" borderId="15" xfId="0" applyNumberFormat="1" applyFill="1" applyBorder="1"/>
    <xf numFmtId="0" fontId="0" fillId="4" borderId="15" xfId="0" applyFill="1" applyBorder="1" applyAlignment="1">
      <alignment horizontal="right"/>
    </xf>
    <xf numFmtId="14" fontId="0" fillId="4" borderId="15" xfId="0" applyNumberFormat="1" applyFill="1" applyBorder="1"/>
    <xf numFmtId="49" fontId="2" fillId="4" borderId="15" xfId="0" applyNumberFormat="1" applyFont="1" applyFill="1" applyBorder="1" applyAlignment="1">
      <alignment horizontal="center"/>
    </xf>
    <xf numFmtId="0" fontId="40" fillId="4" borderId="19" xfId="0" applyFont="1" applyFill="1" applyBorder="1"/>
    <xf numFmtId="0" fontId="57" fillId="4" borderId="19" xfId="0" applyFont="1" applyFill="1" applyBorder="1"/>
    <xf numFmtId="0" fontId="60" fillId="13" borderId="0" xfId="0" applyFont="1" applyFill="1"/>
    <xf numFmtId="0" fontId="20" fillId="13" borderId="0" xfId="0" applyFont="1" applyFill="1"/>
    <xf numFmtId="0" fontId="22" fillId="13" borderId="0" xfId="0" applyFont="1" applyFill="1"/>
    <xf numFmtId="0" fontId="84" fillId="13" borderId="0" xfId="0" applyFont="1" applyFill="1"/>
    <xf numFmtId="0" fontId="83" fillId="13" borderId="0" xfId="0" applyFont="1" applyFill="1"/>
    <xf numFmtId="0" fontId="33" fillId="13" borderId="0" xfId="0" applyFont="1" applyFill="1"/>
    <xf numFmtId="49" fontId="5" fillId="13" borderId="0" xfId="0" applyNumberFormat="1" applyFont="1" applyFill="1"/>
    <xf numFmtId="14" fontId="0" fillId="13" borderId="0" xfId="0" applyNumberFormat="1" applyFill="1"/>
    <xf numFmtId="0" fontId="40" fillId="13" borderId="0" xfId="0" applyFont="1" applyFill="1"/>
    <xf numFmtId="49" fontId="34" fillId="13" borderId="0" xfId="0" applyNumberFormat="1" applyFont="1" applyFill="1"/>
    <xf numFmtId="0" fontId="19" fillId="13" borderId="0" xfId="0" applyFont="1" applyFill="1"/>
    <xf numFmtId="0" fontId="54" fillId="13" borderId="0" xfId="0" applyFont="1" applyFill="1"/>
    <xf numFmtId="49" fontId="20" fillId="13" borderId="0" xfId="0" applyNumberFormat="1" applyFont="1" applyFill="1"/>
    <xf numFmtId="0" fontId="27" fillId="13" borderId="0" xfId="0" applyFont="1" applyFill="1"/>
    <xf numFmtId="0" fontId="27" fillId="13" borderId="0" xfId="0" applyFont="1" applyFill="1" applyAlignment="1">
      <alignment horizontal="center"/>
    </xf>
    <xf numFmtId="0" fontId="26" fillId="13" borderId="0" xfId="0" applyFont="1" applyFill="1"/>
    <xf numFmtId="49" fontId="22" fillId="13" borderId="0" xfId="0" applyNumberFormat="1" applyFont="1" applyFill="1"/>
    <xf numFmtId="0" fontId="55" fillId="13" borderId="0" xfId="0" applyFont="1" applyFill="1"/>
    <xf numFmtId="0" fontId="12" fillId="13" borderId="0" xfId="0" applyFont="1" applyFill="1"/>
    <xf numFmtId="0" fontId="21" fillId="13" borderId="0" xfId="0" applyFont="1" applyFill="1"/>
    <xf numFmtId="14" fontId="12" fillId="13" borderId="0" xfId="0" applyNumberFormat="1" applyFont="1" applyFill="1"/>
    <xf numFmtId="49" fontId="12" fillId="13" borderId="0" xfId="0" applyNumberFormat="1" applyFont="1" applyFill="1"/>
    <xf numFmtId="0" fontId="85" fillId="13" borderId="0" xfId="0" applyFont="1" applyFill="1"/>
    <xf numFmtId="0" fontId="86" fillId="13" borderId="0" xfId="0" applyFont="1" applyFill="1"/>
    <xf numFmtId="0" fontId="87" fillId="13" borderId="0" xfId="0" applyFont="1" applyFill="1"/>
    <xf numFmtId="0" fontId="79" fillId="13" borderId="0" xfId="0" applyFont="1" applyFill="1"/>
    <xf numFmtId="0" fontId="87" fillId="13" borderId="0" xfId="0" applyFont="1" applyFill="1" applyAlignment="1">
      <alignment horizontal="center"/>
    </xf>
    <xf numFmtId="49" fontId="33" fillId="13" borderId="0" xfId="0" applyNumberFormat="1" applyFont="1" applyFill="1"/>
    <xf numFmtId="0" fontId="19" fillId="4" borderId="43" xfId="0" applyFont="1" applyFill="1" applyBorder="1"/>
    <xf numFmtId="0" fontId="22" fillId="4" borderId="0" xfId="0" applyFont="1" applyFill="1"/>
    <xf numFmtId="0" fontId="22" fillId="4" borderId="0" xfId="0" applyFont="1" applyFill="1" applyAlignment="1">
      <alignment horizontal="center"/>
    </xf>
    <xf numFmtId="0" fontId="22" fillId="4" borderId="53" xfId="0" applyFont="1" applyFill="1" applyBorder="1"/>
    <xf numFmtId="0" fontId="19" fillId="4" borderId="54" xfId="0" applyFont="1" applyFill="1" applyBorder="1"/>
    <xf numFmtId="0" fontId="27" fillId="4" borderId="55" xfId="0" applyFont="1" applyFill="1" applyBorder="1"/>
    <xf numFmtId="0" fontId="27" fillId="4" borderId="55" xfId="0" applyFont="1" applyFill="1" applyBorder="1" applyAlignment="1">
      <alignment horizontal="center"/>
    </xf>
    <xf numFmtId="0" fontId="27" fillId="4" borderId="56" xfId="0" applyFont="1" applyFill="1" applyBorder="1"/>
    <xf numFmtId="0" fontId="10" fillId="4" borderId="64" xfId="0" applyFont="1" applyFill="1" applyBorder="1"/>
    <xf numFmtId="0" fontId="10" fillId="4" borderId="64" xfId="0" applyFont="1" applyFill="1" applyBorder="1" applyAlignment="1">
      <alignment horizontal="center"/>
    </xf>
    <xf numFmtId="0" fontId="24" fillId="4" borderId="64" xfId="0" applyFont="1" applyFill="1" applyBorder="1"/>
    <xf numFmtId="0" fontId="10" fillId="4" borderId="75" xfId="0" applyFont="1" applyFill="1" applyBorder="1"/>
    <xf numFmtId="0" fontId="10" fillId="4" borderId="75" xfId="0" applyFont="1" applyFill="1" applyBorder="1" applyAlignment="1">
      <alignment horizontal="center"/>
    </xf>
    <xf numFmtId="0" fontId="10" fillId="4" borderId="72" xfId="0" applyFont="1" applyFill="1" applyBorder="1"/>
    <xf numFmtId="14" fontId="24" fillId="4" borderId="64" xfId="0" applyNumberFormat="1" applyFont="1" applyFill="1" applyBorder="1"/>
    <xf numFmtId="49" fontId="24" fillId="4" borderId="64" xfId="0" applyNumberFormat="1" applyFont="1" applyFill="1" applyBorder="1"/>
    <xf numFmtId="0" fontId="10" fillId="4" borderId="74" xfId="0" applyFont="1" applyFill="1" applyBorder="1"/>
    <xf numFmtId="14" fontId="24" fillId="4" borderId="75" xfId="0" applyNumberFormat="1" applyFont="1" applyFill="1" applyBorder="1"/>
    <xf numFmtId="0" fontId="24" fillId="4" borderId="75" xfId="0" applyFont="1" applyFill="1" applyBorder="1"/>
    <xf numFmtId="49" fontId="24" fillId="4" borderId="75" xfId="0" applyNumberFormat="1" applyFont="1" applyFill="1" applyBorder="1"/>
    <xf numFmtId="0" fontId="45" fillId="4" borderId="48" xfId="0" applyFont="1" applyFill="1" applyBorder="1"/>
    <xf numFmtId="0" fontId="45" fillId="4" borderId="48" xfId="0" applyFont="1" applyFill="1" applyBorder="1" applyAlignment="1">
      <alignment horizontal="center"/>
    </xf>
    <xf numFmtId="14" fontId="10" fillId="4" borderId="64" xfId="0" applyNumberFormat="1" applyFont="1" applyFill="1" applyBorder="1"/>
    <xf numFmtId="49" fontId="10" fillId="4" borderId="64" xfId="0" applyNumberFormat="1" applyFont="1" applyFill="1" applyBorder="1"/>
    <xf numFmtId="0" fontId="86" fillId="4" borderId="19" xfId="0" applyFont="1" applyFill="1" applyBorder="1"/>
    <xf numFmtId="0" fontId="87" fillId="4" borderId="15" xfId="0" applyFont="1" applyFill="1" applyBorder="1"/>
    <xf numFmtId="0" fontId="89" fillId="4" borderId="15" xfId="0" applyFont="1" applyFill="1" applyBorder="1"/>
    <xf numFmtId="0" fontId="89" fillId="4" borderId="15" xfId="0" applyFont="1" applyFill="1" applyBorder="1" applyAlignment="1">
      <alignment horizontal="center"/>
    </xf>
    <xf numFmtId="0" fontId="89" fillId="4" borderId="20" xfId="0" applyFont="1" applyFill="1" applyBorder="1"/>
    <xf numFmtId="0" fontId="45" fillId="4" borderId="40" xfId="0" applyFont="1" applyFill="1" applyBorder="1"/>
    <xf numFmtId="0" fontId="33" fillId="4" borderId="0" xfId="0" applyFont="1" applyFill="1"/>
    <xf numFmtId="0" fontId="33" fillId="4" borderId="55" xfId="0" applyFont="1" applyFill="1" applyBorder="1"/>
    <xf numFmtId="49" fontId="10" fillId="4" borderId="64" xfId="0" applyNumberFormat="1" applyFont="1" applyFill="1" applyBorder="1" applyAlignment="1">
      <alignment horizontal="center"/>
    </xf>
    <xf numFmtId="0" fontId="2" fillId="4" borderId="43" xfId="0" applyFont="1" applyFill="1" applyBorder="1"/>
    <xf numFmtId="0" fontId="0" fillId="4" borderId="43" xfId="0" applyFill="1" applyBorder="1"/>
    <xf numFmtId="49" fontId="24" fillId="4" borderId="0" xfId="0" applyNumberFormat="1" applyFont="1" applyFill="1" applyAlignment="1">
      <alignment horizontal="center"/>
    </xf>
    <xf numFmtId="49" fontId="24" fillId="4" borderId="55" xfId="0" applyNumberFormat="1" applyFont="1" applyFill="1" applyBorder="1" applyAlignment="1">
      <alignment horizontal="center"/>
    </xf>
    <xf numFmtId="49" fontId="15" fillId="13" borderId="0" xfId="0" applyNumberFormat="1" applyFont="1" applyFill="1"/>
    <xf numFmtId="0" fontId="6" fillId="13" borderId="0" xfId="0" applyFont="1" applyFill="1"/>
    <xf numFmtId="0" fontId="43" fillId="13" borderId="0" xfId="0" applyFont="1" applyFill="1"/>
    <xf numFmtId="14" fontId="42" fillId="13" borderId="0" xfId="0" applyNumberFormat="1" applyFont="1" applyFill="1" applyAlignment="1">
      <alignment horizontal="center"/>
    </xf>
    <xf numFmtId="49" fontId="42" fillId="13" borderId="0" xfId="0" applyNumberFormat="1" applyFont="1" applyFill="1" applyAlignment="1">
      <alignment horizontal="center"/>
    </xf>
    <xf numFmtId="0" fontId="42" fillId="13" borderId="0" xfId="0" applyFont="1" applyFill="1" applyAlignment="1">
      <alignment horizontal="center"/>
    </xf>
    <xf numFmtId="0" fontId="42" fillId="13" borderId="0" xfId="0" applyFont="1" applyFill="1"/>
    <xf numFmtId="0" fontId="35" fillId="13" borderId="0" xfId="0" applyFont="1" applyFill="1"/>
    <xf numFmtId="49" fontId="14" fillId="13" borderId="0" xfId="0" applyNumberFormat="1" applyFont="1" applyFill="1" applyAlignment="1">
      <alignment horizontal="center"/>
    </xf>
    <xf numFmtId="14" fontId="14" fillId="13" borderId="0" xfId="0" applyNumberFormat="1" applyFont="1" applyFill="1" applyAlignment="1">
      <alignment horizontal="center"/>
    </xf>
    <xf numFmtId="0" fontId="14" fillId="13" borderId="0" xfId="0" applyFont="1" applyFill="1" applyAlignment="1">
      <alignment horizontal="center"/>
    </xf>
    <xf numFmtId="0" fontId="14" fillId="13" borderId="0" xfId="0" applyFont="1" applyFill="1"/>
    <xf numFmtId="49" fontId="8" fillId="13" borderId="0" xfId="0" applyNumberFormat="1" applyFont="1" applyFill="1" applyAlignment="1">
      <alignment horizontal="center"/>
    </xf>
    <xf numFmtId="14" fontId="8" fillId="13" borderId="0" xfId="0" applyNumberFormat="1" applyFont="1" applyFill="1" applyAlignment="1">
      <alignment horizontal="center"/>
    </xf>
    <xf numFmtId="0" fontId="8" fillId="13" borderId="0" xfId="0" applyFont="1" applyFill="1" applyAlignment="1">
      <alignment horizontal="center"/>
    </xf>
    <xf numFmtId="14" fontId="10" fillId="4" borderId="64" xfId="0" applyNumberFormat="1" applyFont="1" applyFill="1" applyBorder="1" applyAlignment="1">
      <alignment horizontal="center"/>
    </xf>
    <xf numFmtId="49" fontId="10" fillId="4" borderId="72" xfId="0" applyNumberFormat="1" applyFont="1" applyFill="1" applyBorder="1" applyAlignment="1">
      <alignment horizontal="center"/>
    </xf>
    <xf numFmtId="0" fontId="0" fillId="6" borderId="19" xfId="0" applyFill="1" applyBorder="1" applyAlignment="1">
      <alignment horizontal="right"/>
    </xf>
    <xf numFmtId="0" fontId="2" fillId="6" borderId="79" xfId="0" applyFont="1" applyFill="1" applyBorder="1" applyAlignment="1">
      <alignment horizontal="right"/>
    </xf>
    <xf numFmtId="0" fontId="2" fillId="6" borderId="17" xfId="0" applyFont="1" applyFill="1" applyBorder="1" applyAlignment="1">
      <alignment horizontal="right"/>
    </xf>
    <xf numFmtId="0" fontId="57" fillId="6" borderId="15" xfId="0" applyFont="1" applyFill="1" applyBorder="1" applyAlignment="1">
      <alignment horizontal="center"/>
    </xf>
    <xf numFmtId="0" fontId="57" fillId="6" borderId="15" xfId="0" applyFon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57" fillId="6" borderId="19" xfId="0" applyFont="1" applyFill="1" applyBorder="1" applyAlignment="1">
      <alignment horizontal="right"/>
    </xf>
    <xf numFmtId="0" fontId="57" fillId="6" borderId="15" xfId="0" applyFont="1" applyFill="1" applyBorder="1" applyAlignment="1">
      <alignment horizontal="right"/>
    </xf>
    <xf numFmtId="0" fontId="57" fillId="4" borderId="48" xfId="0" applyFont="1" applyFill="1" applyBorder="1" applyAlignment="1">
      <alignment horizontal="center"/>
    </xf>
    <xf numFmtId="0" fontId="57" fillId="4" borderId="55" xfId="0" applyFont="1" applyFill="1" applyBorder="1" applyAlignment="1">
      <alignment horizontal="center"/>
    </xf>
    <xf numFmtId="0" fontId="0" fillId="4" borderId="57" xfId="0" applyFill="1" applyBorder="1"/>
    <xf numFmtId="0" fontId="57" fillId="4" borderId="34" xfId="0" applyFont="1" applyFill="1" applyBorder="1" applyAlignment="1">
      <alignment horizontal="center"/>
    </xf>
    <xf numFmtId="0" fontId="94" fillId="6" borderId="19" xfId="0" applyFont="1" applyFill="1" applyBorder="1"/>
    <xf numFmtId="0" fontId="94" fillId="6" borderId="15" xfId="0" applyFont="1" applyFill="1" applyBorder="1"/>
    <xf numFmtId="0" fontId="94" fillId="6" borderId="15" xfId="0" applyFont="1" applyFill="1" applyBorder="1" applyAlignment="1">
      <alignment horizontal="center"/>
    </xf>
    <xf numFmtId="0" fontId="94" fillId="0" borderId="0" xfId="0" applyFont="1"/>
    <xf numFmtId="0" fontId="94" fillId="4" borderId="26" xfId="0" applyFont="1" applyFill="1" applyBorder="1"/>
    <xf numFmtId="0" fontId="94" fillId="4" borderId="48" xfId="0" applyFont="1" applyFill="1" applyBorder="1"/>
    <xf numFmtId="0" fontId="94" fillId="4" borderId="48" xfId="0" applyFont="1" applyFill="1" applyBorder="1" applyAlignment="1">
      <alignment horizontal="center"/>
    </xf>
    <xf numFmtId="0" fontId="94" fillId="4" borderId="57" xfId="0" applyFont="1" applyFill="1" applyBorder="1"/>
    <xf numFmtId="0" fontId="94" fillId="4" borderId="55" xfId="0" applyFont="1" applyFill="1" applyBorder="1" applyAlignment="1">
      <alignment horizontal="center"/>
    </xf>
    <xf numFmtId="0" fontId="94" fillId="4" borderId="34" xfId="0" applyFont="1" applyFill="1" applyBorder="1" applyAlignment="1">
      <alignment horizontal="center"/>
    </xf>
    <xf numFmtId="0" fontId="60" fillId="13" borderId="0" xfId="0" applyFont="1" applyFill="1" applyAlignment="1">
      <alignment horizontal="center"/>
    </xf>
    <xf numFmtId="0" fontId="94" fillId="13" borderId="0" xfId="0" applyFont="1" applyFill="1" applyAlignment="1">
      <alignment horizontal="center"/>
    </xf>
    <xf numFmtId="49" fontId="94" fillId="6" borderId="20" xfId="0" applyNumberFormat="1" applyFont="1" applyFill="1" applyBorder="1" applyAlignment="1">
      <alignment horizontal="center"/>
    </xf>
    <xf numFmtId="0" fontId="57" fillId="6" borderId="2" xfId="0" applyFont="1" applyFill="1" applyBorder="1"/>
    <xf numFmtId="0" fontId="57" fillId="6" borderId="8" xfId="0" applyFont="1" applyFill="1" applyBorder="1" applyAlignment="1">
      <alignment horizontal="center"/>
    </xf>
    <xf numFmtId="0" fontId="57" fillId="6" borderId="3" xfId="0" applyFont="1" applyFill="1" applyBorder="1"/>
    <xf numFmtId="0" fontId="57" fillId="6" borderId="0" xfId="0" applyFont="1" applyFill="1"/>
    <xf numFmtId="0" fontId="57" fillId="6" borderId="0" xfId="0" applyFont="1" applyFill="1" applyAlignment="1">
      <alignment horizontal="center"/>
    </xf>
    <xf numFmtId="0" fontId="57" fillId="6" borderId="4" xfId="0" applyFont="1" applyFill="1" applyBorder="1" applyAlignment="1">
      <alignment horizontal="center"/>
    </xf>
    <xf numFmtId="0" fontId="57" fillId="6" borderId="0" xfId="0" applyFont="1" applyFill="1" applyAlignment="1">
      <alignment horizontal="left"/>
    </xf>
    <xf numFmtId="0" fontId="0" fillId="6" borderId="3" xfId="0" applyFill="1" applyBorder="1"/>
    <xf numFmtId="0" fontId="0" fillId="6" borderId="4" xfId="0" applyFill="1" applyBorder="1" applyAlignment="1">
      <alignment horizontal="center"/>
    </xf>
    <xf numFmtId="0" fontId="0" fillId="6" borderId="5" xfId="0" applyFill="1" applyBorder="1"/>
    <xf numFmtId="0" fontId="0" fillId="6" borderId="44" xfId="0" applyFill="1" applyBorder="1" applyAlignment="1">
      <alignment horizontal="center"/>
    </xf>
    <xf numFmtId="0" fontId="57" fillId="6" borderId="44" xfId="0" applyFont="1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57" fillId="14" borderId="26" xfId="0" applyFont="1" applyFill="1" applyBorder="1" applyAlignment="1" applyProtection="1">
      <alignment horizontal="center"/>
      <protection locked="0"/>
    </xf>
    <xf numFmtId="0" fontId="0" fillId="14" borderId="26" xfId="0" applyFill="1" applyBorder="1" applyAlignment="1" applyProtection="1">
      <alignment horizontal="center"/>
      <protection locked="0"/>
    </xf>
    <xf numFmtId="0" fontId="60" fillId="14" borderId="26" xfId="0" applyFont="1" applyFill="1" applyBorder="1" applyAlignment="1" applyProtection="1">
      <alignment horizontal="center"/>
      <protection locked="0"/>
    </xf>
    <xf numFmtId="0" fontId="60" fillId="14" borderId="26" xfId="0" applyFont="1" applyFill="1" applyBorder="1" applyProtection="1">
      <protection locked="0"/>
    </xf>
    <xf numFmtId="0" fontId="94" fillId="13" borderId="0" xfId="0" applyFont="1" applyFill="1"/>
    <xf numFmtId="0" fontId="57" fillId="4" borderId="19" xfId="0" applyFont="1" applyFill="1" applyBorder="1" applyAlignment="1">
      <alignment horizontal="center"/>
    </xf>
    <xf numFmtId="49" fontId="57" fillId="4" borderId="15" xfId="0" applyNumberFormat="1" applyFont="1" applyFill="1" applyBorder="1" applyAlignment="1">
      <alignment horizontal="center"/>
    </xf>
    <xf numFmtId="0" fontId="57" fillId="4" borderId="20" xfId="0" applyFont="1" applyFill="1" applyBorder="1" applyAlignment="1">
      <alignment horizontal="center"/>
    </xf>
    <xf numFmtId="0" fontId="57" fillId="4" borderId="50" xfId="0" applyFont="1" applyFill="1" applyBorder="1" applyAlignment="1">
      <alignment horizontal="center"/>
    </xf>
    <xf numFmtId="0" fontId="57" fillId="4" borderId="48" xfId="0" applyFont="1" applyFill="1" applyBorder="1" applyAlignment="1">
      <alignment horizontal="right"/>
    </xf>
    <xf numFmtId="0" fontId="57" fillId="4" borderId="40" xfId="0" applyFont="1" applyFill="1" applyBorder="1" applyAlignment="1">
      <alignment horizontal="center"/>
    </xf>
    <xf numFmtId="0" fontId="57" fillId="4" borderId="43" xfId="0" applyFont="1" applyFill="1" applyBorder="1" applyAlignment="1">
      <alignment horizontal="center"/>
    </xf>
    <xf numFmtId="0" fontId="57" fillId="4" borderId="0" xfId="0" applyFont="1" applyFill="1" applyAlignment="1">
      <alignment horizontal="right"/>
    </xf>
    <xf numFmtId="0" fontId="57" fillId="4" borderId="53" xfId="0" applyFont="1" applyFill="1" applyBorder="1" applyAlignment="1">
      <alignment horizontal="center"/>
    </xf>
    <xf numFmtId="0" fontId="57" fillId="4" borderId="54" xfId="0" applyFont="1" applyFill="1" applyBorder="1" applyAlignment="1">
      <alignment horizontal="center"/>
    </xf>
    <xf numFmtId="0" fontId="57" fillId="4" borderId="55" xfId="0" applyFont="1" applyFill="1" applyBorder="1" applyAlignment="1">
      <alignment horizontal="right"/>
    </xf>
    <xf numFmtId="0" fontId="57" fillId="4" borderId="56" xfId="0" applyFont="1" applyFill="1" applyBorder="1" applyAlignment="1">
      <alignment horizontal="center"/>
    </xf>
    <xf numFmtId="0" fontId="57" fillId="4" borderId="15" xfId="0" applyFont="1" applyFill="1" applyBorder="1" applyAlignment="1">
      <alignment horizontal="right"/>
    </xf>
    <xf numFmtId="0" fontId="57" fillId="4" borderId="15" xfId="0" applyFont="1" applyFill="1" applyBorder="1" applyAlignment="1">
      <alignment horizontal="center"/>
    </xf>
    <xf numFmtId="0" fontId="57" fillId="4" borderId="26" xfId="0" applyFont="1" applyFill="1" applyBorder="1" applyAlignment="1">
      <alignment horizontal="center"/>
    </xf>
    <xf numFmtId="0" fontId="57" fillId="4" borderId="20" xfId="0" applyFont="1" applyFill="1" applyBorder="1" applyAlignment="1" applyProtection="1">
      <alignment horizontal="center"/>
      <protection locked="0"/>
    </xf>
    <xf numFmtId="0" fontId="57" fillId="4" borderId="48" xfId="0" applyFont="1" applyFill="1" applyBorder="1" applyAlignment="1">
      <alignment horizontal="left"/>
    </xf>
    <xf numFmtId="0" fontId="57" fillId="4" borderId="55" xfId="0" applyFont="1" applyFill="1" applyBorder="1" applyAlignment="1">
      <alignment horizontal="left"/>
    </xf>
    <xf numFmtId="0" fontId="0" fillId="4" borderId="40" xfId="0" applyFill="1" applyBorder="1" applyAlignment="1">
      <alignment horizontal="center"/>
    </xf>
    <xf numFmtId="0" fontId="0" fillId="4" borderId="56" xfId="0" applyFill="1" applyBorder="1" applyAlignment="1">
      <alignment horizontal="center"/>
    </xf>
    <xf numFmtId="0" fontId="57" fillId="6" borderId="3" xfId="0" applyFont="1" applyFill="1" applyBorder="1" applyAlignment="1">
      <alignment horizontal="right"/>
    </xf>
    <xf numFmtId="0" fontId="57" fillId="4" borderId="54" xfId="0" applyFont="1" applyFill="1" applyBorder="1"/>
    <xf numFmtId="0" fontId="57" fillId="4" borderId="56" xfId="0" applyFont="1" applyFill="1" applyBorder="1" applyAlignment="1" applyProtection="1">
      <alignment horizontal="center"/>
      <protection locked="0"/>
    </xf>
    <xf numFmtId="0" fontId="0" fillId="6" borderId="1" xfId="0" applyFill="1" applyBorder="1"/>
    <xf numFmtId="0" fontId="0" fillId="6" borderId="13" xfId="0" applyFill="1" applyBorder="1"/>
    <xf numFmtId="0" fontId="0" fillId="6" borderId="2" xfId="0" applyFill="1" applyBorder="1"/>
    <xf numFmtId="0" fontId="57" fillId="6" borderId="80" xfId="0" applyFont="1" applyFill="1" applyBorder="1" applyAlignment="1">
      <alignment horizontal="center"/>
    </xf>
    <xf numFmtId="0" fontId="60" fillId="14" borderId="26" xfId="0" applyFont="1" applyFill="1" applyBorder="1" applyAlignment="1" applyProtection="1">
      <alignment horizontal="left"/>
      <protection locked="0"/>
    </xf>
    <xf numFmtId="14" fontId="60" fillId="14" borderId="26" xfId="0" applyNumberFormat="1" applyFont="1" applyFill="1" applyBorder="1" applyAlignment="1" applyProtection="1">
      <alignment horizontal="left"/>
      <protection locked="0"/>
    </xf>
    <xf numFmtId="0" fontId="94" fillId="4" borderId="26" xfId="0" applyFont="1" applyFill="1" applyBorder="1" applyAlignment="1">
      <alignment horizontal="left"/>
    </xf>
    <xf numFmtId="0" fontId="60" fillId="0" borderId="0" xfId="0" applyFont="1" applyAlignment="1">
      <alignment horizontal="center"/>
    </xf>
    <xf numFmtId="0" fontId="94" fillId="0" borderId="0" xfId="0" applyFont="1" applyAlignment="1">
      <alignment horizontal="center"/>
    </xf>
    <xf numFmtId="0" fontId="60" fillId="0" borderId="0" xfId="0" applyFont="1" applyAlignment="1">
      <alignment horizontal="left"/>
    </xf>
    <xf numFmtId="0" fontId="60" fillId="14" borderId="26" xfId="0" quotePrefix="1" applyFont="1" applyFill="1" applyBorder="1" applyAlignment="1" applyProtection="1">
      <alignment horizontal="center"/>
      <protection locked="0"/>
    </xf>
    <xf numFmtId="2" fontId="60" fillId="14" borderId="26" xfId="0" quotePrefix="1" applyNumberFormat="1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/>
    </xf>
    <xf numFmtId="0" fontId="2" fillId="6" borderId="42" xfId="0" applyFont="1" applyFill="1" applyBorder="1" applyAlignment="1">
      <alignment horizontal="center"/>
    </xf>
    <xf numFmtId="0" fontId="57" fillId="0" borderId="53" xfId="0" applyFont="1" applyBorder="1"/>
    <xf numFmtId="0" fontId="0" fillId="0" borderId="53" xfId="0" applyBorder="1"/>
    <xf numFmtId="49" fontId="57" fillId="5" borderId="4" xfId="0" applyNumberFormat="1" applyFont="1" applyFill="1" applyBorder="1"/>
    <xf numFmtId="16" fontId="0" fillId="0" borderId="34" xfId="0" quotePrefix="1" applyNumberFormat="1" applyBorder="1" applyAlignment="1">
      <alignment horizontal="center"/>
    </xf>
    <xf numFmtId="0" fontId="0" fillId="6" borderId="34" xfId="0" quotePrefix="1" applyFill="1" applyBorder="1" applyAlignment="1">
      <alignment horizontal="center"/>
    </xf>
    <xf numFmtId="0" fontId="2" fillId="6" borderId="26" xfId="0" applyFont="1" applyFill="1" applyBorder="1" applyAlignment="1">
      <alignment horizontal="center"/>
    </xf>
    <xf numFmtId="0" fontId="2" fillId="13" borderId="26" xfId="0" applyFont="1" applyFill="1" applyBorder="1" applyAlignment="1">
      <alignment horizontal="center"/>
    </xf>
    <xf numFmtId="0" fontId="0" fillId="13" borderId="81" xfId="0" applyFill="1" applyBorder="1"/>
    <xf numFmtId="0" fontId="0" fillId="13" borderId="82" xfId="0" applyFill="1" applyBorder="1"/>
    <xf numFmtId="0" fontId="0" fillId="13" borderId="83" xfId="0" applyFill="1" applyBorder="1" applyAlignment="1">
      <alignment horizontal="center"/>
    </xf>
    <xf numFmtId="49" fontId="0" fillId="13" borderId="83" xfId="0" applyNumberFormat="1" applyFill="1" applyBorder="1" applyAlignment="1">
      <alignment horizontal="center"/>
    </xf>
    <xf numFmtId="0" fontId="4" fillId="13" borderId="0" xfId="0" applyFont="1" applyFill="1"/>
    <xf numFmtId="0" fontId="1" fillId="13" borderId="18" xfId="0" applyFont="1" applyFill="1" applyBorder="1" applyAlignment="1">
      <alignment horizontal="center"/>
    </xf>
    <xf numFmtId="0" fontId="0" fillId="13" borderId="19" xfId="0" applyFill="1" applyBorder="1" applyAlignment="1">
      <alignment horizontal="center"/>
    </xf>
    <xf numFmtId="0" fontId="1" fillId="13" borderId="19" xfId="0" applyFont="1" applyFill="1" applyBorder="1" applyAlignment="1">
      <alignment horizontal="center"/>
    </xf>
    <xf numFmtId="0" fontId="1" fillId="13" borderId="28" xfId="0" applyFont="1" applyFill="1" applyBorder="1" applyAlignment="1">
      <alignment horizontal="center"/>
    </xf>
    <xf numFmtId="0" fontId="1" fillId="13" borderId="50" xfId="0" applyFont="1" applyFill="1" applyBorder="1" applyAlignment="1">
      <alignment horizontal="center"/>
    </xf>
    <xf numFmtId="0" fontId="1" fillId="13" borderId="47" xfId="0" applyFont="1" applyFill="1" applyBorder="1" applyAlignment="1">
      <alignment horizontal="center"/>
    </xf>
    <xf numFmtId="49" fontId="1" fillId="13" borderId="19" xfId="0" applyNumberFormat="1" applyFont="1" applyFill="1" applyBorder="1" applyAlignment="1">
      <alignment horizontal="center"/>
    </xf>
    <xf numFmtId="49" fontId="1" fillId="13" borderId="47" xfId="0" applyNumberFormat="1" applyFont="1" applyFill="1" applyBorder="1" applyAlignment="1">
      <alignment horizontal="center"/>
    </xf>
    <xf numFmtId="0" fontId="94" fillId="14" borderId="26" xfId="0" applyFont="1" applyFill="1" applyBorder="1" applyProtection="1">
      <protection locked="0"/>
    </xf>
    <xf numFmtId="0" fontId="57" fillId="0" borderId="19" xfId="0" applyFont="1" applyBorder="1" applyAlignment="1">
      <alignment horizontal="center"/>
    </xf>
    <xf numFmtId="0" fontId="57" fillId="0" borderId="15" xfId="0" applyFont="1" applyBorder="1" applyAlignment="1">
      <alignment horizontal="center"/>
    </xf>
    <xf numFmtId="0" fontId="57" fillId="0" borderId="20" xfId="0" applyFont="1" applyBorder="1" applyAlignment="1">
      <alignment horizontal="center"/>
    </xf>
    <xf numFmtId="0" fontId="0" fillId="0" borderId="19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53" xfId="0" applyBorder="1" applyAlignment="1" applyProtection="1">
      <alignment horizontal="center"/>
      <protection locked="0"/>
    </xf>
    <xf numFmtId="0" fontId="57" fillId="5" borderId="38" xfId="0" quotePrefix="1" applyFont="1" applyFill="1" applyBorder="1" applyAlignment="1">
      <alignment horizontal="center"/>
    </xf>
    <xf numFmtId="49" fontId="10" fillId="4" borderId="69" xfId="0" applyNumberFormat="1" applyFont="1" applyFill="1" applyBorder="1" applyAlignment="1">
      <alignment horizontal="center"/>
    </xf>
    <xf numFmtId="0" fontId="1" fillId="13" borderId="0" xfId="0" applyFont="1" applyFill="1"/>
    <xf numFmtId="0" fontId="0" fillId="13" borderId="48" xfId="0" applyFill="1" applyBorder="1"/>
    <xf numFmtId="0" fontId="0" fillId="13" borderId="55" xfId="0" applyFill="1" applyBorder="1"/>
    <xf numFmtId="0" fontId="57" fillId="6" borderId="19" xfId="0" applyFont="1" applyFill="1" applyBorder="1"/>
    <xf numFmtId="0" fontId="57" fillId="6" borderId="15" xfId="0" applyFont="1" applyFill="1" applyBorder="1"/>
    <xf numFmtId="49" fontId="57" fillId="6" borderId="15" xfId="0" applyNumberFormat="1" applyFont="1" applyFill="1" applyBorder="1"/>
    <xf numFmtId="49" fontId="57" fillId="6" borderId="15" xfId="0" applyNumberFormat="1" applyFont="1" applyFill="1" applyBorder="1" applyAlignment="1">
      <alignment horizontal="center"/>
    </xf>
    <xf numFmtId="49" fontId="23" fillId="4" borderId="69" xfId="0" applyNumberFormat="1" applyFont="1" applyFill="1" applyBorder="1" applyAlignment="1">
      <alignment horizontal="center"/>
    </xf>
    <xf numFmtId="0" fontId="23" fillId="4" borderId="71" xfId="0" applyFont="1" applyFill="1" applyBorder="1" applyAlignment="1">
      <alignment horizontal="center"/>
    </xf>
    <xf numFmtId="49" fontId="23" fillId="4" borderId="72" xfId="0" applyNumberFormat="1" applyFont="1" applyFill="1" applyBorder="1" applyAlignment="1">
      <alignment horizontal="center"/>
    </xf>
    <xf numFmtId="49" fontId="73" fillId="4" borderId="64" xfId="0" applyNumberFormat="1" applyFont="1" applyFill="1" applyBorder="1" applyAlignment="1">
      <alignment horizontal="center"/>
    </xf>
    <xf numFmtId="0" fontId="23" fillId="4" borderId="73" xfId="0" applyFont="1" applyFill="1" applyBorder="1" applyAlignment="1">
      <alignment horizontal="center"/>
    </xf>
    <xf numFmtId="0" fontId="57" fillId="6" borderId="20" xfId="0" applyFont="1" applyFill="1" applyBorder="1" applyAlignment="1">
      <alignment horizontal="center"/>
    </xf>
    <xf numFmtId="49" fontId="23" fillId="4" borderId="74" xfId="0" applyNumberFormat="1" applyFont="1" applyFill="1" applyBorder="1" applyAlignment="1">
      <alignment horizontal="center"/>
    </xf>
    <xf numFmtId="49" fontId="73" fillId="4" borderId="75" xfId="0" applyNumberFormat="1" applyFont="1" applyFill="1" applyBorder="1" applyAlignment="1">
      <alignment horizontal="center"/>
    </xf>
    <xf numFmtId="0" fontId="23" fillId="4" borderId="76" xfId="0" applyFont="1" applyFill="1" applyBorder="1" applyAlignment="1">
      <alignment horizontal="center"/>
    </xf>
    <xf numFmtId="49" fontId="23" fillId="4" borderId="85" xfId="0" applyNumberFormat="1" applyFont="1" applyFill="1" applyBorder="1" applyAlignment="1">
      <alignment horizontal="center"/>
    </xf>
    <xf numFmtId="49" fontId="73" fillId="4" borderId="82" xfId="0" applyNumberFormat="1" applyFont="1" applyFill="1" applyBorder="1" applyAlignment="1">
      <alignment horizontal="center"/>
    </xf>
    <xf numFmtId="0" fontId="23" fillId="4" borderId="84" xfId="0" applyFont="1" applyFill="1" applyBorder="1" applyAlignment="1">
      <alignment horizontal="center"/>
    </xf>
    <xf numFmtId="0" fontId="57" fillId="6" borderId="19" xfId="0" quotePrefix="1" applyFont="1" applyFill="1" applyBorder="1"/>
    <xf numFmtId="0" fontId="57" fillId="13" borderId="0" xfId="0" quotePrefix="1" applyFont="1" applyFill="1"/>
    <xf numFmtId="49" fontId="57" fillId="13" borderId="0" xfId="0" applyNumberFormat="1" applyFont="1" applyFill="1" applyAlignment="1">
      <alignment horizontal="center"/>
    </xf>
    <xf numFmtId="49" fontId="57" fillId="13" borderId="0" xfId="0" applyNumberFormat="1" applyFont="1" applyFill="1"/>
    <xf numFmtId="0" fontId="57" fillId="13" borderId="48" xfId="0" quotePrefix="1" applyFont="1" applyFill="1" applyBorder="1"/>
    <xf numFmtId="0" fontId="57" fillId="13" borderId="48" xfId="0" applyFont="1" applyFill="1" applyBorder="1"/>
    <xf numFmtId="49" fontId="57" fillId="13" borderId="48" xfId="0" applyNumberFormat="1" applyFont="1" applyFill="1" applyBorder="1" applyAlignment="1">
      <alignment horizontal="center"/>
    </xf>
    <xf numFmtId="49" fontId="57" fillId="13" borderId="48" xfId="0" applyNumberFormat="1" applyFont="1" applyFill="1" applyBorder="1"/>
    <xf numFmtId="0" fontId="57" fillId="13" borderId="48" xfId="0" applyFont="1" applyFill="1" applyBorder="1" applyAlignment="1">
      <alignment horizontal="center"/>
    </xf>
    <xf numFmtId="49" fontId="57" fillId="6" borderId="48" xfId="0" applyNumberFormat="1" applyFont="1" applyFill="1" applyBorder="1" applyAlignment="1">
      <alignment horizontal="center"/>
    </xf>
    <xf numFmtId="0" fontId="57" fillId="6" borderId="40" xfId="0" applyFont="1" applyFill="1" applyBorder="1" applyAlignment="1">
      <alignment horizontal="center"/>
    </xf>
    <xf numFmtId="0" fontId="73" fillId="4" borderId="64" xfId="0" applyFont="1" applyFill="1" applyBorder="1" applyAlignment="1">
      <alignment horizontal="center"/>
    </xf>
    <xf numFmtId="0" fontId="73" fillId="4" borderId="82" xfId="0" applyFont="1" applyFill="1" applyBorder="1" applyAlignment="1">
      <alignment horizontal="center"/>
    </xf>
    <xf numFmtId="49" fontId="65" fillId="4" borderId="15" xfId="0" applyNumberFormat="1" applyFont="1" applyFill="1" applyBorder="1" applyAlignment="1">
      <alignment horizontal="center"/>
    </xf>
    <xf numFmtId="0" fontId="65" fillId="4" borderId="20" xfId="0" applyFont="1" applyFill="1" applyBorder="1" applyAlignment="1">
      <alignment horizontal="center"/>
    </xf>
    <xf numFmtId="49" fontId="64" fillId="4" borderId="15" xfId="0" applyNumberFormat="1" applyFont="1" applyFill="1" applyBorder="1" applyAlignment="1">
      <alignment horizontal="center"/>
    </xf>
    <xf numFmtId="0" fontId="64" fillId="4" borderId="20" xfId="0" applyFont="1" applyFill="1" applyBorder="1" applyAlignment="1">
      <alignment horizontal="center"/>
    </xf>
    <xf numFmtId="49" fontId="64" fillId="4" borderId="85" xfId="0" applyNumberFormat="1" applyFont="1" applyFill="1" applyBorder="1" applyAlignment="1">
      <alignment horizontal="center"/>
    </xf>
    <xf numFmtId="0" fontId="58" fillId="4" borderId="64" xfId="0" applyFont="1" applyFill="1" applyBorder="1" applyAlignment="1">
      <alignment horizontal="center"/>
    </xf>
    <xf numFmtId="0" fontId="64" fillId="4" borderId="73" xfId="0" applyFont="1" applyFill="1" applyBorder="1" applyAlignment="1">
      <alignment horizontal="center"/>
    </xf>
    <xf numFmtId="49" fontId="64" fillId="4" borderId="72" xfId="0" applyNumberFormat="1" applyFont="1" applyFill="1" applyBorder="1" applyAlignment="1">
      <alignment horizontal="center"/>
    </xf>
    <xf numFmtId="0" fontId="58" fillId="4" borderId="82" xfId="0" applyFont="1" applyFill="1" applyBorder="1" applyAlignment="1">
      <alignment horizontal="center"/>
    </xf>
    <xf numFmtId="0" fontId="64" fillId="4" borderId="84" xfId="0" applyFont="1" applyFill="1" applyBorder="1" applyAlignment="1">
      <alignment horizontal="center"/>
    </xf>
    <xf numFmtId="49" fontId="64" fillId="4" borderId="0" xfId="0" applyNumberFormat="1" applyFont="1" applyFill="1" applyAlignment="1">
      <alignment horizontal="center"/>
    </xf>
    <xf numFmtId="0" fontId="64" fillId="4" borderId="0" xfId="0" applyFont="1" applyFill="1" applyAlignment="1">
      <alignment horizontal="center"/>
    </xf>
    <xf numFmtId="0" fontId="64" fillId="4" borderId="53" xfId="0" applyFont="1" applyFill="1" applyBorder="1" applyAlignment="1">
      <alignment horizontal="center"/>
    </xf>
    <xf numFmtId="49" fontId="65" fillId="4" borderId="70" xfId="0" applyNumberFormat="1" applyFont="1" applyFill="1" applyBorder="1" applyAlignment="1">
      <alignment horizontal="center"/>
    </xf>
    <xf numFmtId="0" fontId="65" fillId="4" borderId="71" xfId="0" applyFont="1" applyFill="1" applyBorder="1" applyAlignment="1">
      <alignment horizontal="center"/>
    </xf>
    <xf numFmtId="49" fontId="65" fillId="4" borderId="74" xfId="0" applyNumberFormat="1" applyFont="1" applyFill="1" applyBorder="1" applyAlignment="1">
      <alignment horizontal="center"/>
    </xf>
    <xf numFmtId="0" fontId="65" fillId="4" borderId="75" xfId="0" applyFont="1" applyFill="1" applyBorder="1" applyAlignment="1">
      <alignment horizontal="center"/>
    </xf>
    <xf numFmtId="0" fontId="65" fillId="4" borderId="76" xfId="0" applyFont="1" applyFill="1" applyBorder="1" applyAlignment="1">
      <alignment horizontal="center"/>
    </xf>
    <xf numFmtId="0" fontId="57" fillId="4" borderId="19" xfId="0" quotePrefix="1" applyFont="1" applyFill="1" applyBorder="1"/>
    <xf numFmtId="0" fontId="23" fillId="4" borderId="64" xfId="0" applyFont="1" applyFill="1" applyBorder="1" applyAlignment="1">
      <alignment horizontal="center"/>
    </xf>
    <xf numFmtId="49" fontId="65" fillId="4" borderId="48" xfId="0" applyNumberFormat="1" applyFont="1" applyFill="1" applyBorder="1" applyAlignment="1">
      <alignment horizontal="center"/>
    </xf>
    <xf numFmtId="0" fontId="65" fillId="4" borderId="48" xfId="0" applyFont="1" applyFill="1" applyBorder="1" applyAlignment="1">
      <alignment horizontal="center"/>
    </xf>
    <xf numFmtId="0" fontId="65" fillId="4" borderId="40" xfId="0" applyFont="1" applyFill="1" applyBorder="1" applyAlignment="1">
      <alignment horizontal="center"/>
    </xf>
    <xf numFmtId="0" fontId="23" fillId="4" borderId="70" xfId="0" applyFont="1" applyFill="1" applyBorder="1" applyAlignment="1">
      <alignment horizontal="center"/>
    </xf>
    <xf numFmtId="49" fontId="65" fillId="13" borderId="0" xfId="0" applyNumberFormat="1" applyFont="1" applyFill="1" applyAlignment="1">
      <alignment horizontal="center"/>
    </xf>
    <xf numFmtId="0" fontId="65" fillId="13" borderId="0" xfId="0" applyFont="1" applyFill="1" applyAlignment="1">
      <alignment horizontal="center"/>
    </xf>
    <xf numFmtId="49" fontId="23" fillId="4" borderId="77" xfId="0" applyNumberFormat="1" applyFont="1" applyFill="1" applyBorder="1" applyAlignment="1">
      <alignment horizontal="center"/>
    </xf>
    <xf numFmtId="0" fontId="73" fillId="4" borderId="61" xfId="0" applyFont="1" applyFill="1" applyBorder="1" applyAlignment="1">
      <alignment horizontal="center"/>
    </xf>
    <xf numFmtId="0" fontId="23" fillId="4" borderId="78" xfId="0" applyFont="1" applyFill="1" applyBorder="1" applyAlignment="1">
      <alignment horizontal="center"/>
    </xf>
    <xf numFmtId="49" fontId="64" fillId="4" borderId="55" xfId="0" applyNumberFormat="1" applyFont="1" applyFill="1" applyBorder="1" applyAlignment="1">
      <alignment horizontal="center"/>
    </xf>
    <xf numFmtId="0" fontId="64" fillId="4" borderId="55" xfId="0" applyFont="1" applyFill="1" applyBorder="1" applyAlignment="1">
      <alignment horizontal="center"/>
    </xf>
    <xf numFmtId="0" fontId="64" fillId="4" borderId="56" xfId="0" applyFont="1" applyFill="1" applyBorder="1" applyAlignment="1">
      <alignment horizontal="center"/>
    </xf>
    <xf numFmtId="49" fontId="64" fillId="4" borderId="77" xfId="0" applyNumberFormat="1" applyFont="1" applyFill="1" applyBorder="1" applyAlignment="1">
      <alignment horizontal="center"/>
    </xf>
    <xf numFmtId="0" fontId="58" fillId="4" borderId="61" xfId="0" applyFont="1" applyFill="1" applyBorder="1" applyAlignment="1">
      <alignment horizontal="center"/>
    </xf>
    <xf numFmtId="0" fontId="64" fillId="4" borderId="78" xfId="0" applyFont="1" applyFill="1" applyBorder="1" applyAlignment="1">
      <alignment horizontal="center"/>
    </xf>
    <xf numFmtId="0" fontId="73" fillId="4" borderId="75" xfId="0" applyFont="1" applyFill="1" applyBorder="1" applyAlignment="1">
      <alignment horizontal="center"/>
    </xf>
    <xf numFmtId="49" fontId="73" fillId="4" borderId="61" xfId="0" applyNumberFormat="1" applyFont="1" applyFill="1" applyBorder="1" applyAlignment="1">
      <alignment horizontal="center"/>
    </xf>
    <xf numFmtId="0" fontId="65" fillId="4" borderId="15" xfId="0" applyFont="1" applyFill="1" applyBorder="1" applyAlignment="1">
      <alignment horizontal="center"/>
    </xf>
    <xf numFmtId="49" fontId="31" fillId="13" borderId="0" xfId="0" applyNumberFormat="1" applyFont="1" applyFill="1" applyAlignment="1">
      <alignment horizontal="center"/>
    </xf>
    <xf numFmtId="49" fontId="44" fillId="13" borderId="0" xfId="0" applyNumberFormat="1" applyFont="1" applyFill="1" applyAlignment="1">
      <alignment horizontal="center"/>
    </xf>
    <xf numFmtId="0" fontId="23" fillId="4" borderId="61" xfId="0" applyFont="1" applyFill="1" applyBorder="1" applyAlignment="1">
      <alignment horizontal="center"/>
    </xf>
    <xf numFmtId="49" fontId="65" fillId="4" borderId="20" xfId="0" applyNumberFormat="1" applyFont="1" applyFill="1" applyBorder="1" applyAlignment="1">
      <alignment horizontal="center"/>
    </xf>
    <xf numFmtId="49" fontId="64" fillId="4" borderId="20" xfId="0" applyNumberFormat="1" applyFont="1" applyFill="1" applyBorder="1" applyAlignment="1">
      <alignment horizontal="center"/>
    </xf>
    <xf numFmtId="49" fontId="23" fillId="4" borderId="71" xfId="0" applyNumberFormat="1" applyFont="1" applyFill="1" applyBorder="1" applyAlignment="1">
      <alignment horizontal="center"/>
    </xf>
    <xf numFmtId="49" fontId="23" fillId="4" borderId="73" xfId="0" applyNumberFormat="1" applyFont="1" applyFill="1" applyBorder="1" applyAlignment="1">
      <alignment horizontal="center"/>
    </xf>
    <xf numFmtId="49" fontId="23" fillId="4" borderId="76" xfId="0" applyNumberFormat="1" applyFont="1" applyFill="1" applyBorder="1" applyAlignment="1">
      <alignment horizontal="center"/>
    </xf>
    <xf numFmtId="49" fontId="57" fillId="6" borderId="20" xfId="0" applyNumberFormat="1" applyFont="1" applyFill="1" applyBorder="1" applyAlignment="1">
      <alignment horizontal="center"/>
    </xf>
    <xf numFmtId="49" fontId="23" fillId="4" borderId="84" xfId="0" applyNumberFormat="1" applyFont="1" applyFill="1" applyBorder="1" applyAlignment="1">
      <alignment horizontal="center"/>
    </xf>
    <xf numFmtId="49" fontId="64" fillId="4" borderId="56" xfId="0" applyNumberFormat="1" applyFont="1" applyFill="1" applyBorder="1" applyAlignment="1">
      <alignment horizontal="center"/>
    </xf>
    <xf numFmtId="49" fontId="64" fillId="4" borderId="73" xfId="0" applyNumberFormat="1" applyFont="1" applyFill="1" applyBorder="1" applyAlignment="1">
      <alignment horizontal="center"/>
    </xf>
    <xf numFmtId="49" fontId="58" fillId="4" borderId="64" xfId="0" applyNumberFormat="1" applyFont="1" applyFill="1" applyBorder="1" applyAlignment="1">
      <alignment horizontal="center"/>
    </xf>
    <xf numFmtId="49" fontId="58" fillId="4" borderId="82" xfId="0" applyNumberFormat="1" applyFont="1" applyFill="1" applyBorder="1" applyAlignment="1">
      <alignment horizontal="center"/>
    </xf>
    <xf numFmtId="0" fontId="64" fillId="4" borderId="76" xfId="0" applyFont="1" applyFill="1" applyBorder="1" applyAlignment="1">
      <alignment horizontal="center"/>
    </xf>
    <xf numFmtId="49" fontId="64" fillId="4" borderId="69" xfId="0" applyNumberFormat="1" applyFont="1" applyFill="1" applyBorder="1" applyAlignment="1">
      <alignment horizontal="center"/>
    </xf>
    <xf numFmtId="49" fontId="58" fillId="4" borderId="70" xfId="0" applyNumberFormat="1" applyFont="1" applyFill="1" applyBorder="1" applyAlignment="1">
      <alignment horizontal="center"/>
    </xf>
    <xf numFmtId="0" fontId="64" fillId="4" borderId="71" xfId="0" applyFont="1" applyFill="1" applyBorder="1" applyAlignment="1">
      <alignment horizontal="center"/>
    </xf>
    <xf numFmtId="49" fontId="64" fillId="4" borderId="75" xfId="0" applyNumberFormat="1" applyFont="1" applyFill="1" applyBorder="1" applyAlignment="1">
      <alignment horizontal="center"/>
    </xf>
    <xf numFmtId="49" fontId="65" fillId="4" borderId="85" xfId="0" applyNumberFormat="1" applyFont="1" applyFill="1" applyBorder="1" applyAlignment="1">
      <alignment horizontal="center"/>
    </xf>
    <xf numFmtId="49" fontId="70" fillId="4" borderId="82" xfId="0" applyNumberFormat="1" applyFont="1" applyFill="1" applyBorder="1" applyAlignment="1">
      <alignment horizontal="center"/>
    </xf>
    <xf numFmtId="0" fontId="65" fillId="4" borderId="84" xfId="0" applyFont="1" applyFill="1" applyBorder="1" applyAlignment="1">
      <alignment horizontal="center"/>
    </xf>
    <xf numFmtId="49" fontId="58" fillId="4" borderId="61" xfId="0" applyNumberFormat="1" applyFont="1" applyFill="1" applyBorder="1" applyAlignment="1">
      <alignment horizontal="center"/>
    </xf>
    <xf numFmtId="49" fontId="23" fillId="4" borderId="50" xfId="0" applyNumberFormat="1" applyFont="1" applyFill="1" applyBorder="1" applyAlignment="1">
      <alignment horizontal="center"/>
    </xf>
    <xf numFmtId="49" fontId="73" fillId="4" borderId="48" xfId="0" applyNumberFormat="1" applyFont="1" applyFill="1" applyBorder="1" applyAlignment="1">
      <alignment horizontal="center"/>
    </xf>
    <xf numFmtId="0" fontId="23" fillId="4" borderId="40" xfId="0" applyFont="1" applyFill="1" applyBorder="1" applyAlignment="1">
      <alignment horizontal="center"/>
    </xf>
    <xf numFmtId="49" fontId="70" fillId="4" borderId="75" xfId="0" applyNumberFormat="1" applyFont="1" applyFill="1" applyBorder="1" applyAlignment="1">
      <alignment horizontal="center"/>
    </xf>
    <xf numFmtId="16" fontId="0" fillId="13" borderId="0" xfId="0" applyNumberFormat="1" applyFill="1"/>
    <xf numFmtId="0" fontId="86" fillId="4" borderId="50" xfId="0" applyFont="1" applyFill="1" applyBorder="1"/>
    <xf numFmtId="0" fontId="87" fillId="4" borderId="48" xfId="0" applyFont="1" applyFill="1" applyBorder="1"/>
    <xf numFmtId="0" fontId="89" fillId="4" borderId="48" xfId="0" applyFont="1" applyFill="1" applyBorder="1"/>
    <xf numFmtId="0" fontId="89" fillId="4" borderId="48" xfId="0" applyFont="1" applyFill="1" applyBorder="1" applyAlignment="1">
      <alignment horizontal="center"/>
    </xf>
    <xf numFmtId="0" fontId="89" fillId="4" borderId="40" xfId="0" applyFont="1" applyFill="1" applyBorder="1"/>
    <xf numFmtId="0" fontId="86" fillId="4" borderId="54" xfId="0" applyFont="1" applyFill="1" applyBorder="1"/>
    <xf numFmtId="0" fontId="87" fillId="4" borderId="55" xfId="0" applyFont="1" applyFill="1" applyBorder="1"/>
    <xf numFmtId="0" fontId="88" fillId="4" borderId="55" xfId="0" applyFont="1" applyFill="1" applyBorder="1"/>
    <xf numFmtId="0" fontId="88" fillId="4" borderId="55" xfId="0" applyFont="1" applyFill="1" applyBorder="1" applyAlignment="1">
      <alignment horizontal="center"/>
    </xf>
    <xf numFmtId="0" fontId="88" fillId="4" borderId="56" xfId="0" applyFont="1" applyFill="1" applyBorder="1"/>
    <xf numFmtId="0" fontId="97" fillId="15" borderId="87" xfId="0" applyFont="1" applyFill="1" applyBorder="1"/>
    <xf numFmtId="0" fontId="97" fillId="15" borderId="86" xfId="0" applyFont="1" applyFill="1" applyBorder="1"/>
    <xf numFmtId="0" fontId="0" fillId="16" borderId="89" xfId="0" applyFill="1" applyBorder="1"/>
    <xf numFmtId="49" fontId="0" fillId="16" borderId="88" xfId="0" applyNumberFormat="1" applyFill="1" applyBorder="1"/>
    <xf numFmtId="0" fontId="0" fillId="17" borderId="89" xfId="0" applyFill="1" applyBorder="1"/>
    <xf numFmtId="49" fontId="0" fillId="17" borderId="88" xfId="0" applyNumberFormat="1" applyFill="1" applyBorder="1"/>
    <xf numFmtId="49" fontId="0" fillId="17" borderId="90" xfId="0" applyNumberFormat="1" applyFill="1" applyBorder="1"/>
    <xf numFmtId="0" fontId="0" fillId="17" borderId="91" xfId="0" applyFill="1" applyBorder="1"/>
    <xf numFmtId="0" fontId="72" fillId="13" borderId="0" xfId="0" applyFont="1" applyFill="1"/>
    <xf numFmtId="0" fontId="72" fillId="13" borderId="0" xfId="0" applyFont="1" applyFill="1" applyAlignment="1">
      <alignment horizontal="center"/>
    </xf>
    <xf numFmtId="0" fontId="70" fillId="4" borderId="69" xfId="0" applyFont="1" applyFill="1" applyBorder="1" applyAlignment="1">
      <alignment vertical="top"/>
    </xf>
    <xf numFmtId="0" fontId="70" fillId="4" borderId="70" xfId="0" applyFont="1" applyFill="1" applyBorder="1" applyAlignment="1">
      <alignment vertical="top"/>
    </xf>
    <xf numFmtId="0" fontId="70" fillId="4" borderId="70" xfId="0" applyFont="1" applyFill="1" applyBorder="1" applyAlignment="1">
      <alignment horizontal="center" vertical="top"/>
    </xf>
    <xf numFmtId="0" fontId="65" fillId="4" borderId="71" xfId="0" applyFont="1" applyFill="1" applyBorder="1" applyAlignment="1">
      <alignment horizontal="center" vertical="top"/>
    </xf>
    <xf numFmtId="49" fontId="23" fillId="4" borderId="72" xfId="0" applyNumberFormat="1" applyFont="1" applyFill="1" applyBorder="1" applyAlignment="1">
      <alignment vertical="top"/>
    </xf>
    <xf numFmtId="49" fontId="23" fillId="4" borderId="64" xfId="0" applyNumberFormat="1" applyFont="1" applyFill="1" applyBorder="1" applyAlignment="1">
      <alignment vertical="top"/>
    </xf>
    <xf numFmtId="49" fontId="23" fillId="4" borderId="64" xfId="0" applyNumberFormat="1" applyFont="1" applyFill="1" applyBorder="1" applyAlignment="1">
      <alignment horizontal="center" vertical="top"/>
    </xf>
    <xf numFmtId="49" fontId="23" fillId="4" borderId="73" xfId="0" applyNumberFormat="1" applyFont="1" applyFill="1" applyBorder="1" applyAlignment="1">
      <alignment horizontal="center" vertical="top"/>
    </xf>
    <xf numFmtId="0" fontId="23" fillId="4" borderId="72" xfId="0" applyFont="1" applyFill="1" applyBorder="1" applyAlignment="1">
      <alignment vertical="top"/>
    </xf>
    <xf numFmtId="0" fontId="23" fillId="4" borderId="64" xfId="0" applyFont="1" applyFill="1" applyBorder="1" applyAlignment="1">
      <alignment vertical="top"/>
    </xf>
    <xf numFmtId="0" fontId="23" fillId="4" borderId="64" xfId="0" applyFont="1" applyFill="1" applyBorder="1" applyAlignment="1">
      <alignment horizontal="center" vertical="top"/>
    </xf>
    <xf numFmtId="0" fontId="23" fillId="4" borderId="73" xfId="0" applyFont="1" applyFill="1" applyBorder="1" applyAlignment="1">
      <alignment horizontal="center" vertical="top"/>
    </xf>
    <xf numFmtId="0" fontId="23" fillId="4" borderId="74" xfId="0" applyFont="1" applyFill="1" applyBorder="1" applyAlignment="1">
      <alignment vertical="top"/>
    </xf>
    <xf numFmtId="0" fontId="23" fillId="4" borderId="75" xfId="0" applyFont="1" applyFill="1" applyBorder="1" applyAlignment="1">
      <alignment vertical="top"/>
    </xf>
    <xf numFmtId="0" fontId="23" fillId="4" borderId="75" xfId="0" applyFont="1" applyFill="1" applyBorder="1" applyAlignment="1">
      <alignment horizontal="center" vertical="top"/>
    </xf>
    <xf numFmtId="0" fontId="23" fillId="4" borderId="76" xfId="0" applyFont="1" applyFill="1" applyBorder="1" applyAlignment="1">
      <alignment horizontal="center" vertical="top"/>
    </xf>
    <xf numFmtId="49" fontId="0" fillId="4" borderId="15" xfId="0" applyNumberFormat="1" applyFill="1" applyBorder="1" applyAlignment="1">
      <alignment horizontal="right"/>
    </xf>
    <xf numFmtId="0" fontId="45" fillId="13" borderId="0" xfId="0" applyFont="1" applyFill="1"/>
    <xf numFmtId="0" fontId="74" fillId="13" borderId="0" xfId="0" applyFont="1" applyFill="1"/>
    <xf numFmtId="0" fontId="53" fillId="13" borderId="0" xfId="0" applyFont="1" applyFill="1"/>
    <xf numFmtId="0" fontId="92" fillId="13" borderId="0" xfId="0" applyFont="1" applyFill="1"/>
    <xf numFmtId="0" fontId="75" fillId="13" borderId="0" xfId="0" applyFont="1" applyFill="1"/>
    <xf numFmtId="0" fontId="78" fillId="13" borderId="0" xfId="0" applyFont="1" applyFill="1"/>
    <xf numFmtId="0" fontId="93" fillId="13" borderId="0" xfId="0" applyFont="1" applyFill="1"/>
    <xf numFmtId="0" fontId="51" fillId="13" borderId="0" xfId="0" applyFont="1" applyFill="1"/>
    <xf numFmtId="0" fontId="46" fillId="13" borderId="0" xfId="0" applyFont="1" applyFill="1"/>
    <xf numFmtId="0" fontId="88" fillId="13" borderId="0" xfId="0" applyFont="1" applyFill="1"/>
    <xf numFmtId="0" fontId="89" fillId="13" borderId="0" xfId="0" applyFont="1" applyFill="1"/>
    <xf numFmtId="0" fontId="23" fillId="13" borderId="0" xfId="0" applyFont="1" applyFill="1" applyAlignment="1">
      <alignment horizontal="center" vertical="top"/>
    </xf>
    <xf numFmtId="0" fontId="10" fillId="4" borderId="74" xfId="0" applyFont="1" applyFill="1" applyBorder="1" applyAlignment="1">
      <alignment vertical="top"/>
    </xf>
    <xf numFmtId="0" fontId="0" fillId="13" borderId="26" xfId="0" applyFill="1" applyBorder="1" applyAlignment="1">
      <alignment horizontal="center"/>
    </xf>
    <xf numFmtId="0" fontId="62" fillId="0" borderId="0" xfId="0" applyFont="1"/>
    <xf numFmtId="0" fontId="71" fillId="0" borderId="0" xfId="0" applyFont="1"/>
    <xf numFmtId="0" fontId="62" fillId="0" borderId="0" xfId="0" applyFont="1" applyAlignment="1">
      <alignment horizontal="center"/>
    </xf>
    <xf numFmtId="0" fontId="71" fillId="6" borderId="47" xfId="0" applyFont="1" applyFill="1" applyBorder="1" applyAlignment="1">
      <alignment horizontal="center"/>
    </xf>
    <xf numFmtId="0" fontId="71" fillId="6" borderId="38" xfId="0" applyFont="1" applyFill="1" applyBorder="1" applyAlignment="1">
      <alignment horizontal="center"/>
    </xf>
    <xf numFmtId="0" fontId="71" fillId="6" borderId="38" xfId="0" applyFont="1" applyFill="1" applyBorder="1" applyAlignment="1">
      <alignment horizontal="left"/>
    </xf>
    <xf numFmtId="0" fontId="71" fillId="6" borderId="32" xfId="0" applyFont="1" applyFill="1" applyBorder="1" applyAlignment="1">
      <alignment horizontal="center"/>
    </xf>
    <xf numFmtId="0" fontId="62" fillId="6" borderId="19" xfId="0" applyFont="1" applyFill="1" applyBorder="1" applyAlignment="1">
      <alignment horizontal="right"/>
    </xf>
    <xf numFmtId="0" fontId="25" fillId="6" borderId="79" xfId="0" applyFont="1" applyFill="1" applyBorder="1" applyAlignment="1">
      <alignment horizontal="right"/>
    </xf>
    <xf numFmtId="0" fontId="52" fillId="6" borderId="22" xfId="0" applyFont="1" applyFill="1" applyBorder="1" applyAlignment="1">
      <alignment horizontal="center"/>
    </xf>
    <xf numFmtId="0" fontId="62" fillId="6" borderId="26" xfId="0" applyFont="1" applyFill="1" applyBorder="1" applyAlignment="1">
      <alignment horizontal="center"/>
    </xf>
    <xf numFmtId="49" fontId="62" fillId="6" borderId="26" xfId="0" applyNumberFormat="1" applyFont="1" applyFill="1" applyBorder="1" applyAlignment="1">
      <alignment horizontal="center"/>
    </xf>
    <xf numFmtId="0" fontId="52" fillId="0" borderId="25" xfId="0" applyFont="1" applyBorder="1" applyAlignment="1">
      <alignment horizontal="center"/>
    </xf>
    <xf numFmtId="0" fontId="62" fillId="0" borderId="26" xfId="0" applyFont="1" applyBorder="1" applyAlignment="1">
      <alignment horizontal="center"/>
    </xf>
    <xf numFmtId="0" fontId="62" fillId="0" borderId="34" xfId="0" applyFont="1" applyBorder="1" applyAlignment="1">
      <alignment horizontal="center"/>
    </xf>
    <xf numFmtId="16" fontId="62" fillId="0" borderId="34" xfId="0" quotePrefix="1" applyNumberFormat="1" applyFont="1" applyBorder="1" applyAlignment="1">
      <alignment horizontal="center"/>
    </xf>
    <xf numFmtId="0" fontId="52" fillId="6" borderId="25" xfId="0" applyFont="1" applyFill="1" applyBorder="1" applyAlignment="1">
      <alignment horizontal="center"/>
    </xf>
    <xf numFmtId="0" fontId="62" fillId="6" borderId="34" xfId="0" applyFont="1" applyFill="1" applyBorder="1" applyAlignment="1">
      <alignment horizontal="center"/>
    </xf>
    <xf numFmtId="0" fontId="62" fillId="6" borderId="34" xfId="0" quotePrefix="1" applyFont="1" applyFill="1" applyBorder="1" applyAlignment="1">
      <alignment horizontal="center"/>
    </xf>
    <xf numFmtId="0" fontId="25" fillId="6" borderId="17" xfId="0" applyFont="1" applyFill="1" applyBorder="1" applyAlignment="1">
      <alignment horizontal="right"/>
    </xf>
    <xf numFmtId="0" fontId="71" fillId="0" borderId="43" xfId="0" applyFont="1" applyBorder="1"/>
    <xf numFmtId="0" fontId="71" fillId="0" borderId="43" xfId="0" applyFont="1" applyBorder="1" applyAlignment="1">
      <alignment horizontal="center"/>
    </xf>
    <xf numFmtId="0" fontId="62" fillId="0" borderId="0" xfId="0" applyFont="1" applyAlignment="1">
      <alignment horizontal="right"/>
    </xf>
    <xf numFmtId="0" fontId="62" fillId="0" borderId="43" xfId="0" applyFont="1" applyBorder="1"/>
    <xf numFmtId="0" fontId="62" fillId="0" borderId="43" xfId="0" applyFont="1" applyBorder="1" applyAlignment="1">
      <alignment horizontal="center"/>
    </xf>
    <xf numFmtId="0" fontId="62" fillId="0" borderId="53" xfId="0" applyFont="1" applyBorder="1"/>
    <xf numFmtId="14" fontId="0" fillId="0" borderId="0" xfId="0" applyNumberFormat="1"/>
    <xf numFmtId="49" fontId="65" fillId="4" borderId="72" xfId="0" applyNumberFormat="1" applyFont="1" applyFill="1" applyBorder="1" applyAlignment="1">
      <alignment vertical="top"/>
    </xf>
    <xf numFmtId="49" fontId="65" fillId="4" borderId="64" xfId="0" applyNumberFormat="1" applyFont="1" applyFill="1" applyBorder="1" applyAlignment="1">
      <alignment vertical="top"/>
    </xf>
    <xf numFmtId="49" fontId="65" fillId="4" borderId="64" xfId="0" applyNumberFormat="1" applyFont="1" applyFill="1" applyBorder="1" applyAlignment="1">
      <alignment horizontal="center" vertical="top"/>
    </xf>
    <xf numFmtId="49" fontId="65" fillId="4" borderId="73" xfId="0" applyNumberFormat="1" applyFont="1" applyFill="1" applyBorder="1" applyAlignment="1">
      <alignment horizontal="center" vertical="top"/>
    </xf>
    <xf numFmtId="0" fontId="65" fillId="4" borderId="72" xfId="0" applyFont="1" applyFill="1" applyBorder="1" applyAlignment="1">
      <alignment vertical="top"/>
    </xf>
    <xf numFmtId="0" fontId="65" fillId="4" borderId="64" xfId="0" applyFont="1" applyFill="1" applyBorder="1" applyAlignment="1">
      <alignment vertical="top"/>
    </xf>
    <xf numFmtId="0" fontId="65" fillId="4" borderId="64" xfId="0" applyFont="1" applyFill="1" applyBorder="1" applyAlignment="1">
      <alignment horizontal="center" vertical="top"/>
    </xf>
    <xf numFmtId="0" fontId="65" fillId="4" borderId="73" xfId="0" applyFont="1" applyFill="1" applyBorder="1" applyAlignment="1">
      <alignment horizontal="center" vertical="top"/>
    </xf>
    <xf numFmtId="2" fontId="0" fillId="0" borderId="0" xfId="0" applyNumberFormat="1" applyAlignment="1">
      <alignment horizontal="center"/>
    </xf>
    <xf numFmtId="16" fontId="60" fillId="14" borderId="26" xfId="0" quotePrefix="1" applyNumberFormat="1" applyFont="1" applyFill="1" applyBorder="1" applyAlignment="1" applyProtection="1">
      <alignment horizontal="center"/>
      <protection locked="0"/>
    </xf>
    <xf numFmtId="0" fontId="0" fillId="0" borderId="0" xfId="0" quotePrefix="1" applyAlignment="1">
      <alignment horizontal="center"/>
    </xf>
    <xf numFmtId="0" fontId="5" fillId="13" borderId="48" xfId="0" applyFont="1" applyFill="1" applyBorder="1"/>
    <xf numFmtId="0" fontId="58" fillId="4" borderId="70" xfId="0" applyFont="1" applyFill="1" applyBorder="1" applyAlignment="1">
      <alignment horizontal="center"/>
    </xf>
    <xf numFmtId="49" fontId="64" fillId="4" borderId="43" xfId="0" applyNumberFormat="1" applyFont="1" applyFill="1" applyBorder="1" applyAlignment="1">
      <alignment horizontal="center"/>
    </xf>
    <xf numFmtId="0" fontId="0" fillId="13" borderId="56" xfId="0" applyFill="1" applyBorder="1"/>
    <xf numFmtId="0" fontId="4" fillId="0" borderId="57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4" fillId="0" borderId="80" xfId="0" applyFont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13" borderId="3" xfId="0" applyFont="1" applyFill="1" applyBorder="1" applyAlignment="1">
      <alignment horizontal="left"/>
    </xf>
    <xf numFmtId="0" fontId="4" fillId="13" borderId="0" xfId="0" applyFont="1" applyFill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3" borderId="44" xfId="0" applyFont="1" applyFill="1" applyBorder="1" applyAlignment="1">
      <alignment horizontal="center"/>
    </xf>
    <xf numFmtId="0" fontId="1" fillId="13" borderId="42" xfId="0" applyFont="1" applyFill="1" applyBorder="1" applyAlignment="1">
      <alignment horizontal="center"/>
    </xf>
    <xf numFmtId="0" fontId="65" fillId="4" borderId="55" xfId="0" applyFont="1" applyFill="1" applyBorder="1" applyAlignment="1">
      <alignment horizontal="center"/>
    </xf>
    <xf numFmtId="0" fontId="65" fillId="4" borderId="70" xfId="0" applyFont="1" applyFill="1" applyBorder="1" applyAlignment="1">
      <alignment horizontal="center"/>
    </xf>
    <xf numFmtId="0" fontId="10" fillId="4" borderId="73" xfId="0" applyFont="1" applyFill="1" applyBorder="1"/>
    <xf numFmtId="49" fontId="98" fillId="4" borderId="72" xfId="0" applyNumberFormat="1" applyFont="1" applyFill="1" applyBorder="1" applyAlignment="1">
      <alignment horizontal="center"/>
    </xf>
    <xf numFmtId="0" fontId="98" fillId="4" borderId="64" xfId="0" applyFont="1" applyFill="1" applyBorder="1"/>
    <xf numFmtId="0" fontId="98" fillId="4" borderId="73" xfId="0" applyFont="1" applyFill="1" applyBorder="1"/>
    <xf numFmtId="14" fontId="98" fillId="4" borderId="64" xfId="0" applyNumberFormat="1" applyFont="1" applyFill="1" applyBorder="1" applyAlignment="1">
      <alignment horizontal="center"/>
    </xf>
    <xf numFmtId="49" fontId="98" fillId="4" borderId="64" xfId="0" applyNumberFormat="1" applyFont="1" applyFill="1" applyBorder="1" applyAlignment="1">
      <alignment horizontal="center"/>
    </xf>
    <xf numFmtId="0" fontId="98" fillId="4" borderId="64" xfId="0" applyFont="1" applyFill="1" applyBorder="1" applyAlignment="1">
      <alignment horizontal="center"/>
    </xf>
    <xf numFmtId="0" fontId="73" fillId="4" borderId="73" xfId="0" applyFont="1" applyFill="1" applyBorder="1"/>
    <xf numFmtId="0" fontId="98" fillId="4" borderId="70" xfId="0" applyFont="1" applyFill="1" applyBorder="1"/>
    <xf numFmtId="0" fontId="98" fillId="4" borderId="71" xfId="0" applyFont="1" applyFill="1" applyBorder="1"/>
    <xf numFmtId="0" fontId="73" fillId="4" borderId="64" xfId="0" applyFont="1" applyFill="1" applyBorder="1"/>
    <xf numFmtId="49" fontId="24" fillId="4" borderId="72" xfId="0" applyNumberFormat="1" applyFont="1" applyFill="1" applyBorder="1" applyAlignment="1">
      <alignment horizontal="center"/>
    </xf>
    <xf numFmtId="14" fontId="24" fillId="4" borderId="64" xfId="0" applyNumberFormat="1" applyFont="1" applyFill="1" applyBorder="1" applyAlignment="1">
      <alignment horizontal="center"/>
    </xf>
    <xf numFmtId="49" fontId="24" fillId="4" borderId="64" xfId="0" applyNumberFormat="1" applyFont="1" applyFill="1" applyBorder="1" applyAlignment="1">
      <alignment horizontal="center"/>
    </xf>
    <xf numFmtId="0" fontId="24" fillId="4" borderId="64" xfId="0" applyFont="1" applyFill="1" applyBorder="1" applyAlignment="1">
      <alignment horizontal="center"/>
    </xf>
    <xf numFmtId="0" fontId="23" fillId="4" borderId="70" xfId="0" applyFont="1" applyFill="1" applyBorder="1"/>
    <xf numFmtId="0" fontId="70" fillId="4" borderId="77" xfId="0" applyFont="1" applyFill="1" applyBorder="1" applyAlignment="1">
      <alignment vertical="top"/>
    </xf>
    <xf numFmtId="0" fontId="70" fillId="4" borderId="61" xfId="0" applyFont="1" applyFill="1" applyBorder="1" applyAlignment="1">
      <alignment vertical="top"/>
    </xf>
    <xf numFmtId="0" fontId="70" fillId="4" borderId="61" xfId="0" applyFont="1" applyFill="1" applyBorder="1" applyAlignment="1">
      <alignment horizontal="center" vertical="top"/>
    </xf>
    <xf numFmtId="0" fontId="73" fillId="4" borderId="77" xfId="0" applyFont="1" applyFill="1" applyBorder="1" applyAlignment="1">
      <alignment vertical="top"/>
    </xf>
    <xf numFmtId="0" fontId="73" fillId="4" borderId="61" xfId="0" applyFont="1" applyFill="1" applyBorder="1" applyAlignment="1">
      <alignment vertical="top"/>
    </xf>
    <xf numFmtId="0" fontId="73" fillId="4" borderId="61" xfId="0" applyFont="1" applyFill="1" applyBorder="1" applyAlignment="1">
      <alignment horizontal="center" vertical="top"/>
    </xf>
    <xf numFmtId="0" fontId="24" fillId="4" borderId="73" xfId="0" applyFont="1" applyFill="1" applyBorder="1"/>
    <xf numFmtId="0" fontId="56" fillId="4" borderId="73" xfId="0" applyFont="1" applyFill="1" applyBorder="1"/>
    <xf numFmtId="0" fontId="56" fillId="4" borderId="76" xfId="0" applyFont="1" applyFill="1" applyBorder="1"/>
    <xf numFmtId="0" fontId="98" fillId="4" borderId="72" xfId="0" applyFont="1" applyFill="1" applyBorder="1"/>
    <xf numFmtId="0" fontId="98" fillId="4" borderId="64" xfId="0" applyFont="1" applyFill="1" applyBorder="1" applyAlignment="1">
      <alignment horizontal="right"/>
    </xf>
    <xf numFmtId="14" fontId="98" fillId="4" borderId="64" xfId="0" applyNumberFormat="1" applyFont="1" applyFill="1" applyBorder="1"/>
    <xf numFmtId="49" fontId="98" fillId="4" borderId="64" xfId="0" applyNumberFormat="1" applyFont="1" applyFill="1" applyBorder="1"/>
    <xf numFmtId="0" fontId="98" fillId="13" borderId="0" xfId="0" applyFont="1" applyFill="1"/>
    <xf numFmtId="0" fontId="23" fillId="4" borderId="85" xfId="0" applyFont="1" applyFill="1" applyBorder="1" applyAlignment="1">
      <alignment vertical="top"/>
    </xf>
    <xf numFmtId="0" fontId="23" fillId="4" borderId="82" xfId="0" applyFont="1" applyFill="1" applyBorder="1" applyAlignment="1">
      <alignment vertical="top"/>
    </xf>
    <xf numFmtId="0" fontId="23" fillId="4" borderId="82" xfId="0" applyFont="1" applyFill="1" applyBorder="1" applyAlignment="1">
      <alignment horizontal="center" vertical="top"/>
    </xf>
    <xf numFmtId="0" fontId="10" fillId="13" borderId="0" xfId="0" applyFont="1" applyFill="1"/>
    <xf numFmtId="0" fontId="24" fillId="4" borderId="0" xfId="0" applyFont="1" applyFill="1"/>
    <xf numFmtId="0" fontId="24" fillId="4" borderId="0" xfId="0" applyFont="1" applyFill="1" applyAlignment="1">
      <alignment horizontal="right"/>
    </xf>
    <xf numFmtId="0" fontId="24" fillId="4" borderId="53" xfId="0" applyFont="1" applyFill="1" applyBorder="1"/>
    <xf numFmtId="0" fontId="24" fillId="13" borderId="0" xfId="0" applyFont="1" applyFill="1"/>
    <xf numFmtId="2" fontId="24" fillId="4" borderId="0" xfId="0" applyNumberFormat="1" applyFont="1" applyFill="1" applyAlignment="1">
      <alignment horizontal="center"/>
    </xf>
    <xf numFmtId="0" fontId="24" fillId="4" borderId="19" xfId="0" applyFont="1" applyFill="1" applyBorder="1"/>
    <xf numFmtId="0" fontId="24" fillId="4" borderId="15" xfId="0" applyFont="1" applyFill="1" applyBorder="1"/>
    <xf numFmtId="0" fontId="24" fillId="4" borderId="15" xfId="0" applyFont="1" applyFill="1" applyBorder="1" applyAlignment="1">
      <alignment horizontal="right"/>
    </xf>
    <xf numFmtId="2" fontId="24" fillId="4" borderId="15" xfId="0" applyNumberFormat="1" applyFont="1" applyFill="1" applyBorder="1" applyAlignment="1">
      <alignment horizontal="center"/>
    </xf>
    <xf numFmtId="49" fontId="24" fillId="4" borderId="15" xfId="0" applyNumberFormat="1" applyFont="1" applyFill="1" applyBorder="1" applyAlignment="1">
      <alignment horizontal="center"/>
    </xf>
    <xf numFmtId="0" fontId="24" fillId="4" borderId="20" xfId="0" applyFont="1" applyFill="1" applyBorder="1"/>
    <xf numFmtId="16" fontId="24" fillId="4" borderId="15" xfId="0" quotePrefix="1" applyNumberFormat="1" applyFont="1" applyFill="1" applyBorder="1"/>
    <xf numFmtId="14" fontId="24" fillId="4" borderId="15" xfId="0" applyNumberFormat="1" applyFont="1" applyFill="1" applyBorder="1" applyAlignment="1">
      <alignment horizontal="center"/>
    </xf>
    <xf numFmtId="0" fontId="24" fillId="4" borderId="15" xfId="0" applyFont="1" applyFill="1" applyBorder="1" applyAlignment="1">
      <alignment horizontal="center"/>
    </xf>
    <xf numFmtId="0" fontId="24" fillId="4" borderId="20" xfId="0" applyFont="1" applyFill="1" applyBorder="1" applyAlignment="1">
      <alignment horizontal="right"/>
    </xf>
    <xf numFmtId="164" fontId="0" fillId="13" borderId="0" xfId="0" applyNumberFormat="1" applyFill="1" applyAlignment="1">
      <alignment horizontal="center"/>
    </xf>
    <xf numFmtId="49" fontId="5" fillId="2" borderId="8" xfId="0" applyNumberFormat="1" applyFont="1" applyFill="1" applyBorder="1" applyAlignment="1">
      <alignment horizontal="center"/>
    </xf>
    <xf numFmtId="0" fontId="0" fillId="0" borderId="80" xfId="0" applyBorder="1"/>
    <xf numFmtId="0" fontId="57" fillId="0" borderId="80" xfId="0" applyFont="1" applyBorder="1"/>
    <xf numFmtId="0" fontId="0" fillId="12" borderId="0" xfId="0" applyFill="1"/>
    <xf numFmtId="0" fontId="1" fillId="6" borderId="19" xfId="0" applyFont="1" applyFill="1" applyBorder="1" applyAlignment="1">
      <alignment horizontal="center"/>
    </xf>
    <xf numFmtId="0" fontId="2" fillId="13" borderId="57" xfId="0" applyFont="1" applyFill="1" applyBorder="1" applyAlignment="1">
      <alignment horizontal="right"/>
    </xf>
    <xf numFmtId="49" fontId="100" fillId="6" borderId="57" xfId="0" applyNumberFormat="1" applyFont="1" applyFill="1" applyBorder="1" applyAlignment="1">
      <alignment horizontal="right"/>
    </xf>
    <xf numFmtId="0" fontId="101" fillId="6" borderId="57" xfId="0" applyFont="1" applyFill="1" applyBorder="1" applyAlignment="1">
      <alignment horizontal="center"/>
    </xf>
    <xf numFmtId="0" fontId="101" fillId="6" borderId="50" xfId="0" applyFont="1" applyFill="1" applyBorder="1" applyAlignment="1">
      <alignment horizontal="center"/>
    </xf>
    <xf numFmtId="0" fontId="57" fillId="18" borderId="0" xfId="0" applyFont="1" applyFill="1"/>
    <xf numFmtId="0" fontId="0" fillId="19" borderId="0" xfId="0" applyFill="1"/>
    <xf numFmtId="0" fontId="0" fillId="14" borderId="0" xfId="0" applyFill="1"/>
    <xf numFmtId="14" fontId="0" fillId="14" borderId="0" xfId="0" applyNumberFormat="1" applyFill="1"/>
    <xf numFmtId="0" fontId="57" fillId="20" borderId="0" xfId="0" applyFont="1" applyFill="1" applyAlignment="1">
      <alignment horizontal="center"/>
    </xf>
    <xf numFmtId="0" fontId="57" fillId="20" borderId="0" xfId="0" applyFont="1" applyFill="1"/>
    <xf numFmtId="0" fontId="57" fillId="21" borderId="0" xfId="0" applyFont="1" applyFill="1" applyAlignment="1">
      <alignment horizontal="center"/>
    </xf>
    <xf numFmtId="0" fontId="57" fillId="21" borderId="0" xfId="0" applyFont="1" applyFill="1"/>
    <xf numFmtId="0" fontId="0" fillId="19" borderId="0" xfId="0" applyFill="1" applyAlignment="1">
      <alignment horizontal="center"/>
    </xf>
    <xf numFmtId="2" fontId="0" fillId="19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2" fontId="0" fillId="22" borderId="0" xfId="0" applyNumberFormat="1" applyFill="1" applyAlignment="1">
      <alignment horizontal="center"/>
    </xf>
    <xf numFmtId="0" fontId="0" fillId="22" borderId="0" xfId="0" applyFill="1"/>
    <xf numFmtId="0" fontId="0" fillId="19" borderId="0" xfId="0" quotePrefix="1" applyFill="1" applyAlignment="1">
      <alignment horizontal="center"/>
    </xf>
    <xf numFmtId="0" fontId="57" fillId="23" borderId="0" xfId="0" applyFont="1" applyFill="1" applyAlignment="1">
      <alignment horizontal="center"/>
    </xf>
    <xf numFmtId="0" fontId="57" fillId="23" borderId="0" xfId="0" applyFont="1" applyFill="1" applyAlignment="1">
      <alignment horizontal="left"/>
    </xf>
    <xf numFmtId="0" fontId="0" fillId="24" borderId="0" xfId="0" applyFill="1"/>
    <xf numFmtId="0" fontId="0" fillId="24" borderId="0" xfId="0" applyFill="1" applyAlignment="1">
      <alignment horizontal="center"/>
    </xf>
    <xf numFmtId="2" fontId="0" fillId="0" borderId="0" xfId="0" applyNumberFormat="1"/>
    <xf numFmtId="0" fontId="0" fillId="5" borderId="19" xfId="0" applyFill="1" applyBorder="1" applyAlignment="1">
      <alignment horizontal="center"/>
    </xf>
    <xf numFmtId="0" fontId="0" fillId="5" borderId="15" xfId="0" applyFill="1" applyBorder="1"/>
    <xf numFmtId="0" fontId="0" fillId="5" borderId="2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7" fillId="25" borderId="0" xfId="0" applyFont="1" applyFill="1" applyAlignment="1">
      <alignment horizontal="center"/>
    </xf>
    <xf numFmtId="0" fontId="0" fillId="26" borderId="0" xfId="0" applyFill="1" applyAlignment="1">
      <alignment horizontal="center"/>
    </xf>
    <xf numFmtId="0" fontId="57" fillId="18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41" xfId="0" applyBorder="1" applyAlignment="1">
      <alignment horizontal="center"/>
    </xf>
    <xf numFmtId="14" fontId="0" fillId="4" borderId="48" xfId="0" applyNumberFormat="1" applyFill="1" applyBorder="1"/>
    <xf numFmtId="20" fontId="0" fillId="4" borderId="48" xfId="0" applyNumberFormat="1" applyFill="1" applyBorder="1"/>
    <xf numFmtId="16" fontId="0" fillId="4" borderId="40" xfId="0" quotePrefix="1" applyNumberFormat="1" applyFill="1" applyBorder="1" applyAlignment="1">
      <alignment horizontal="center"/>
    </xf>
    <xf numFmtId="14" fontId="0" fillId="4" borderId="0" xfId="0" applyNumberFormat="1" applyFill="1"/>
    <xf numFmtId="20" fontId="0" fillId="4" borderId="0" xfId="0" applyNumberFormat="1" applyFill="1"/>
    <xf numFmtId="16" fontId="0" fillId="4" borderId="53" xfId="0" quotePrefix="1" applyNumberFormat="1" applyFill="1" applyBorder="1" applyAlignment="1">
      <alignment horizontal="center"/>
    </xf>
    <xf numFmtId="17" fontId="0" fillId="4" borderId="53" xfId="0" quotePrefix="1" applyNumberFormat="1" applyFill="1" applyBorder="1" applyAlignment="1">
      <alignment horizontal="center"/>
    </xf>
    <xf numFmtId="14" fontId="0" fillId="4" borderId="55" xfId="0" applyNumberFormat="1" applyFill="1" applyBorder="1"/>
    <xf numFmtId="20" fontId="0" fillId="4" borderId="55" xfId="0" applyNumberFormat="1" applyFill="1" applyBorder="1"/>
    <xf numFmtId="16" fontId="0" fillId="4" borderId="56" xfId="0" quotePrefix="1" applyNumberFormat="1" applyFill="1" applyBorder="1" applyAlignment="1">
      <alignment horizontal="center"/>
    </xf>
    <xf numFmtId="16" fontId="2" fillId="13" borderId="26" xfId="0" quotePrefix="1" applyNumberFormat="1" applyFont="1" applyFill="1" applyBorder="1" applyAlignment="1">
      <alignment horizontal="center"/>
    </xf>
    <xf numFmtId="0" fontId="2" fillId="13" borderId="19" xfId="0" applyFont="1" applyFill="1" applyBorder="1" applyAlignment="1">
      <alignment horizontal="center"/>
    </xf>
    <xf numFmtId="0" fontId="2" fillId="13" borderId="43" xfId="0" applyFont="1" applyFill="1" applyBorder="1" applyAlignment="1">
      <alignment horizontal="center"/>
    </xf>
    <xf numFmtId="0" fontId="0" fillId="13" borderId="43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2" fillId="6" borderId="26" xfId="0" quotePrefix="1" applyFont="1" applyFill="1" applyBorder="1" applyAlignment="1">
      <alignment horizontal="center"/>
    </xf>
    <xf numFmtId="0" fontId="0" fillId="13" borderId="53" xfId="0" applyFill="1" applyBorder="1"/>
    <xf numFmtId="49" fontId="23" fillId="4" borderId="43" xfId="0" applyNumberFormat="1" applyFont="1" applyFill="1" applyBorder="1" applyAlignment="1">
      <alignment horizontal="center"/>
    </xf>
    <xf numFmtId="0" fontId="23" fillId="4" borderId="53" xfId="0" applyFont="1" applyFill="1" applyBorder="1" applyAlignment="1">
      <alignment horizontal="center"/>
    </xf>
    <xf numFmtId="0" fontId="2" fillId="13" borderId="48" xfId="0" applyFont="1" applyFill="1" applyBorder="1"/>
    <xf numFmtId="0" fontId="0" fillId="13" borderId="40" xfId="0" applyFill="1" applyBorder="1"/>
    <xf numFmtId="49" fontId="65" fillId="4" borderId="0" xfId="0" applyNumberFormat="1" applyFont="1" applyFill="1" applyAlignment="1">
      <alignment horizontal="center"/>
    </xf>
    <xf numFmtId="0" fontId="65" fillId="4" borderId="53" xfId="0" applyFont="1" applyFill="1" applyBorder="1" applyAlignment="1">
      <alignment horizontal="center"/>
    </xf>
    <xf numFmtId="49" fontId="70" fillId="4" borderId="0" xfId="0" applyNumberFormat="1" applyFont="1" applyFill="1" applyAlignment="1">
      <alignment horizontal="center"/>
    </xf>
    <xf numFmtId="49" fontId="73" fillId="4" borderId="70" xfId="0" applyNumberFormat="1" applyFont="1" applyFill="1" applyBorder="1" applyAlignment="1">
      <alignment horizontal="center"/>
    </xf>
    <xf numFmtId="14" fontId="10" fillId="4" borderId="82" xfId="0" applyNumberFormat="1" applyFont="1" applyFill="1" applyBorder="1" applyAlignment="1">
      <alignment horizontal="center"/>
    </xf>
    <xf numFmtId="49" fontId="10" fillId="4" borderId="82" xfId="0" applyNumberFormat="1" applyFont="1" applyFill="1" applyBorder="1" applyAlignment="1">
      <alignment horizontal="center"/>
    </xf>
    <xf numFmtId="0" fontId="10" fillId="4" borderId="82" xfId="0" applyFont="1" applyFill="1" applyBorder="1" applyAlignment="1">
      <alignment horizontal="center"/>
    </xf>
    <xf numFmtId="0" fontId="10" fillId="4" borderId="82" xfId="0" applyFont="1" applyFill="1" applyBorder="1"/>
    <xf numFmtId="49" fontId="10" fillId="4" borderId="85" xfId="0" applyNumberFormat="1" applyFont="1" applyFill="1" applyBorder="1" applyAlignment="1">
      <alignment horizontal="center"/>
    </xf>
    <xf numFmtId="49" fontId="98" fillId="4" borderId="43" xfId="0" applyNumberFormat="1" applyFont="1" applyFill="1" applyBorder="1" applyAlignment="1">
      <alignment horizontal="center"/>
    </xf>
    <xf numFmtId="14" fontId="98" fillId="4" borderId="0" xfId="0" applyNumberFormat="1" applyFont="1" applyFill="1" applyAlignment="1">
      <alignment horizontal="center"/>
    </xf>
    <xf numFmtId="0" fontId="98" fillId="4" borderId="0" xfId="0" applyFont="1" applyFill="1" applyAlignment="1">
      <alignment horizontal="center"/>
    </xf>
    <xf numFmtId="49" fontId="98" fillId="4" borderId="0" xfId="0" applyNumberFormat="1" applyFont="1" applyFill="1" applyAlignment="1">
      <alignment horizontal="center"/>
    </xf>
    <xf numFmtId="49" fontId="98" fillId="4" borderId="0" xfId="0" applyNumberFormat="1" applyFont="1" applyFill="1"/>
    <xf numFmtId="0" fontId="98" fillId="4" borderId="61" xfId="0" applyFont="1" applyFill="1" applyBorder="1"/>
    <xf numFmtId="0" fontId="98" fillId="4" borderId="78" xfId="0" applyFont="1" applyFill="1" applyBorder="1"/>
    <xf numFmtId="49" fontId="98" fillId="4" borderId="69" xfId="0" applyNumberFormat="1" applyFont="1" applyFill="1" applyBorder="1" applyAlignment="1">
      <alignment horizontal="center"/>
    </xf>
    <xf numFmtId="14" fontId="98" fillId="4" borderId="70" xfId="0" applyNumberFormat="1" applyFont="1" applyFill="1" applyBorder="1" applyAlignment="1">
      <alignment horizontal="center"/>
    </xf>
    <xf numFmtId="0" fontId="98" fillId="4" borderId="70" xfId="0" applyFont="1" applyFill="1" applyBorder="1" applyAlignment="1">
      <alignment horizontal="center"/>
    </xf>
    <xf numFmtId="49" fontId="98" fillId="4" borderId="70" xfId="0" applyNumberFormat="1" applyFont="1" applyFill="1" applyBorder="1" applyAlignment="1">
      <alignment horizontal="center"/>
    </xf>
    <xf numFmtId="49" fontId="98" fillId="4" borderId="70" xfId="0" applyNumberFormat="1" applyFont="1" applyFill="1" applyBorder="1"/>
    <xf numFmtId="49" fontId="102" fillId="17" borderId="90" xfId="0" applyNumberFormat="1" applyFont="1" applyFill="1" applyBorder="1"/>
    <xf numFmtId="0" fontId="65" fillId="4" borderId="78" xfId="0" applyFont="1" applyFill="1" applyBorder="1" applyAlignment="1">
      <alignment horizontal="center" vertical="top"/>
    </xf>
    <xf numFmtId="16" fontId="70" fillId="4" borderId="61" xfId="0" applyNumberFormat="1" applyFont="1" applyFill="1" applyBorder="1" applyAlignment="1">
      <alignment horizontal="center" vertical="top"/>
    </xf>
    <xf numFmtId="0" fontId="23" fillId="4" borderId="0" xfId="0" applyFont="1" applyFill="1" applyAlignment="1">
      <alignment horizontal="right"/>
    </xf>
    <xf numFmtId="14" fontId="59" fillId="14" borderId="0" xfId="0" applyNumberFormat="1" applyFont="1" applyFill="1"/>
    <xf numFmtId="0" fontId="59" fillId="14" borderId="0" xfId="0" applyFont="1" applyFill="1"/>
    <xf numFmtId="0" fontId="59" fillId="24" borderId="0" xfId="0" applyFont="1" applyFill="1"/>
    <xf numFmtId="0" fontId="0" fillId="4" borderId="53" xfId="0" quotePrefix="1" applyFill="1" applyBorder="1" applyAlignment="1">
      <alignment horizontal="center"/>
    </xf>
    <xf numFmtId="165" fontId="2" fillId="6" borderId="26" xfId="0" applyNumberFormat="1" applyFont="1" applyFill="1" applyBorder="1" applyAlignment="1">
      <alignment horizontal="center"/>
    </xf>
    <xf numFmtId="165" fontId="1" fillId="13" borderId="26" xfId="0" applyNumberFormat="1" applyFont="1" applyFill="1" applyBorder="1" applyAlignment="1">
      <alignment horizontal="center"/>
    </xf>
    <xf numFmtId="165" fontId="1" fillId="0" borderId="26" xfId="0" applyNumberFormat="1" applyFont="1" applyBorder="1" applyAlignment="1">
      <alignment horizontal="center"/>
    </xf>
    <xf numFmtId="165" fontId="1" fillId="0" borderId="15" xfId="0" applyNumberFormat="1" applyFont="1" applyBorder="1" applyAlignment="1">
      <alignment horizontal="center"/>
    </xf>
    <xf numFmtId="165" fontId="1" fillId="0" borderId="27" xfId="0" applyNumberFormat="1" applyFont="1" applyBorder="1" applyAlignment="1">
      <alignment horizontal="center"/>
    </xf>
    <xf numFmtId="165" fontId="2" fillId="0" borderId="36" xfId="0" applyNumberFormat="1" applyFont="1" applyBorder="1" applyAlignment="1">
      <alignment horizontal="center"/>
    </xf>
    <xf numFmtId="49" fontId="2" fillId="6" borderId="19" xfId="0" quotePrefix="1" applyNumberFormat="1" applyFont="1" applyFill="1" applyBorder="1" applyAlignment="1">
      <alignment horizontal="center"/>
    </xf>
    <xf numFmtId="49" fontId="7" fillId="13" borderId="0" xfId="0" applyNumberFormat="1" applyFont="1" applyFill="1" applyAlignment="1">
      <alignment vertical="center"/>
    </xf>
    <xf numFmtId="49" fontId="0" fillId="13" borderId="0" xfId="0" applyNumberFormat="1" applyFill="1" applyAlignment="1">
      <alignment vertical="center"/>
    </xf>
    <xf numFmtId="49" fontId="80" fillId="13" borderId="0" xfId="0" applyNumberFormat="1" applyFont="1" applyFill="1" applyAlignment="1">
      <alignment vertical="center"/>
    </xf>
    <xf numFmtId="49" fontId="5" fillId="2" borderId="44" xfId="0" applyNumberFormat="1" applyFont="1" applyFill="1" applyBorder="1" applyAlignment="1">
      <alignment horizontal="center"/>
    </xf>
    <xf numFmtId="1" fontId="57" fillId="0" borderId="42" xfId="0" applyNumberFormat="1" applyFont="1" applyBorder="1" applyAlignment="1">
      <alignment horizontal="center"/>
    </xf>
    <xf numFmtId="9" fontId="0" fillId="0" borderId="0" xfId="1" applyFont="1" applyFill="1" applyAlignment="1">
      <alignment horizontal="center"/>
    </xf>
    <xf numFmtId="1" fontId="57" fillId="0" borderId="43" xfId="0" applyNumberFormat="1" applyFont="1" applyBorder="1" applyAlignment="1">
      <alignment horizontal="center"/>
    </xf>
    <xf numFmtId="0" fontId="0" fillId="13" borderId="0" xfId="0" applyFill="1" applyAlignment="1">
      <alignment horizontal="left"/>
    </xf>
    <xf numFmtId="49" fontId="73" fillId="4" borderId="0" xfId="0" applyNumberFormat="1" applyFont="1" applyFill="1" applyAlignment="1">
      <alignment horizontal="center"/>
    </xf>
    <xf numFmtId="49" fontId="98" fillId="4" borderId="77" xfId="0" applyNumberFormat="1" applyFont="1" applyFill="1" applyBorder="1" applyAlignment="1">
      <alignment horizontal="center"/>
    </xf>
    <xf numFmtId="14" fontId="10" fillId="4" borderId="61" xfId="0" applyNumberFormat="1" applyFont="1" applyFill="1" applyBorder="1" applyAlignment="1">
      <alignment horizontal="center"/>
    </xf>
    <xf numFmtId="49" fontId="10" fillId="4" borderId="61" xfId="0" applyNumberFormat="1" applyFont="1" applyFill="1" applyBorder="1" applyAlignment="1">
      <alignment horizontal="center"/>
    </xf>
    <xf numFmtId="0" fontId="10" fillId="4" borderId="61" xfId="0" applyFont="1" applyFill="1" applyBorder="1" applyAlignment="1">
      <alignment horizontal="center"/>
    </xf>
    <xf numFmtId="0" fontId="10" fillId="4" borderId="61" xfId="0" applyFont="1" applyFill="1" applyBorder="1"/>
    <xf numFmtId="49" fontId="10" fillId="4" borderId="77" xfId="0" applyNumberFormat="1" applyFont="1" applyFill="1" applyBorder="1" applyAlignment="1">
      <alignment horizontal="center"/>
    </xf>
    <xf numFmtId="14" fontId="98" fillId="4" borderId="61" xfId="0" applyNumberFormat="1" applyFont="1" applyFill="1" applyBorder="1" applyAlignment="1">
      <alignment horizontal="center"/>
    </xf>
    <xf numFmtId="0" fontId="98" fillId="4" borderId="61" xfId="0" applyFont="1" applyFill="1" applyBorder="1" applyAlignment="1">
      <alignment horizontal="center"/>
    </xf>
    <xf numFmtId="49" fontId="98" fillId="4" borderId="61" xfId="0" applyNumberFormat="1" applyFont="1" applyFill="1" applyBorder="1" applyAlignment="1">
      <alignment horizontal="center"/>
    </xf>
    <xf numFmtId="0" fontId="10" fillId="4" borderId="78" xfId="0" applyFont="1" applyFill="1" applyBorder="1"/>
    <xf numFmtId="0" fontId="98" fillId="4" borderId="64" xfId="0" applyFont="1" applyFill="1" applyBorder="1" applyAlignment="1">
      <alignment horizontal="left"/>
    </xf>
    <xf numFmtId="49" fontId="10" fillId="4" borderId="64" xfId="0" quotePrefix="1" applyNumberFormat="1" applyFont="1" applyFill="1" applyBorder="1" applyAlignment="1">
      <alignment horizontal="center"/>
    </xf>
    <xf numFmtId="165" fontId="24" fillId="4" borderId="15" xfId="1" applyNumberFormat="1" applyFont="1" applyFill="1" applyBorder="1" applyAlignment="1">
      <alignment horizontal="right"/>
    </xf>
    <xf numFmtId="0" fontId="0" fillId="27" borderId="0" xfId="0" applyFill="1" applyAlignment="1">
      <alignment horizontal="center"/>
    </xf>
    <xf numFmtId="0" fontId="0" fillId="0" borderId="80" xfId="0" applyBorder="1" applyAlignment="1">
      <alignment horizontal="center"/>
    </xf>
    <xf numFmtId="17" fontId="0" fillId="0" borderId="0" xfId="0" quotePrefix="1" applyNumberFormat="1" applyAlignment="1">
      <alignment horizontal="center"/>
    </xf>
    <xf numFmtId="0" fontId="58" fillId="22" borderId="0" xfId="0" applyFont="1" applyFill="1" applyAlignment="1">
      <alignment horizontal="center"/>
    </xf>
    <xf numFmtId="0" fontId="58" fillId="19" borderId="0" xfId="0" applyFont="1" applyFill="1" applyAlignment="1">
      <alignment horizontal="center"/>
    </xf>
    <xf numFmtId="49" fontId="1" fillId="13" borderId="19" xfId="0" quotePrefix="1" applyNumberFormat="1" applyFont="1" applyFill="1" applyBorder="1" applyAlignment="1">
      <alignment horizontal="center"/>
    </xf>
    <xf numFmtId="49" fontId="1" fillId="13" borderId="47" xfId="0" quotePrefix="1" applyNumberFormat="1" applyFont="1" applyFill="1" applyBorder="1" applyAlignment="1">
      <alignment horizontal="center"/>
    </xf>
    <xf numFmtId="49" fontId="0" fillId="4" borderId="15" xfId="0" quotePrefix="1" applyNumberFormat="1" applyFill="1" applyBorder="1" applyAlignment="1">
      <alignment horizontal="center"/>
    </xf>
    <xf numFmtId="0" fontId="65" fillId="4" borderId="82" xfId="0" applyFont="1" applyFill="1" applyBorder="1" applyAlignment="1">
      <alignment horizontal="center"/>
    </xf>
    <xf numFmtId="49" fontId="23" fillId="4" borderId="78" xfId="0" applyNumberFormat="1" applyFont="1" applyFill="1" applyBorder="1" applyAlignment="1">
      <alignment horizontal="center"/>
    </xf>
    <xf numFmtId="49" fontId="23" fillId="4" borderId="73" xfId="0" quotePrefix="1" applyNumberFormat="1" applyFont="1" applyFill="1" applyBorder="1" applyAlignment="1">
      <alignment horizontal="center"/>
    </xf>
    <xf numFmtId="49" fontId="3" fillId="2" borderId="0" xfId="0" applyNumberFormat="1" applyFont="1" applyFill="1" applyAlignment="1">
      <alignment horizontal="left"/>
    </xf>
    <xf numFmtId="49" fontId="104" fillId="5" borderId="4" xfId="0" applyNumberFormat="1" applyFont="1" applyFill="1" applyBorder="1"/>
    <xf numFmtId="0" fontId="3" fillId="0" borderId="0" xfId="0" applyFont="1" applyAlignment="1">
      <alignment horizontal="center"/>
    </xf>
    <xf numFmtId="1" fontId="104" fillId="0" borderId="43" xfId="0" applyNumberFormat="1" applyFont="1" applyBorder="1" applyAlignment="1">
      <alignment horizontal="center"/>
    </xf>
    <xf numFmtId="9" fontId="59" fillId="0" borderId="0" xfId="1" applyFont="1" applyFill="1" applyAlignment="1">
      <alignment horizontal="center"/>
    </xf>
    <xf numFmtId="0" fontId="65" fillId="4" borderId="19" xfId="0" applyFont="1" applyFill="1" applyBorder="1"/>
    <xf numFmtId="0" fontId="65" fillId="4" borderId="15" xfId="0" applyFont="1" applyFill="1" applyBorder="1"/>
    <xf numFmtId="14" fontId="105" fillId="4" borderId="15" xfId="0" applyNumberFormat="1" applyFont="1" applyFill="1" applyBorder="1"/>
    <xf numFmtId="0" fontId="105" fillId="4" borderId="15" xfId="0" applyFont="1" applyFill="1" applyBorder="1"/>
    <xf numFmtId="49" fontId="105" fillId="4" borderId="15" xfId="0" applyNumberFormat="1" applyFont="1" applyFill="1" applyBorder="1"/>
    <xf numFmtId="0" fontId="105" fillId="4" borderId="20" xfId="0" applyFont="1" applyFill="1" applyBorder="1"/>
    <xf numFmtId="0" fontId="10" fillId="4" borderId="77" xfId="0" applyFont="1" applyFill="1" applyBorder="1"/>
    <xf numFmtId="0" fontId="24" fillId="4" borderId="72" xfId="0" applyFont="1" applyFill="1" applyBorder="1"/>
    <xf numFmtId="0" fontId="24" fillId="4" borderId="76" xfId="0" applyFont="1" applyFill="1" applyBorder="1"/>
    <xf numFmtId="0" fontId="24" fillId="4" borderId="74" xfId="0" applyFont="1" applyFill="1" applyBorder="1"/>
    <xf numFmtId="0" fontId="24" fillId="4" borderId="75" xfId="0" applyFont="1" applyFill="1" applyBorder="1" applyAlignment="1">
      <alignment horizontal="center"/>
    </xf>
    <xf numFmtId="14" fontId="10" fillId="4" borderId="61" xfId="0" applyNumberFormat="1" applyFont="1" applyFill="1" applyBorder="1"/>
    <xf numFmtId="49" fontId="10" fillId="4" borderId="61" xfId="0" applyNumberFormat="1" applyFont="1" applyFill="1" applyBorder="1"/>
    <xf numFmtId="14" fontId="10" fillId="4" borderId="75" xfId="0" applyNumberFormat="1" applyFont="1" applyFill="1" applyBorder="1"/>
    <xf numFmtId="49" fontId="10" fillId="4" borderId="75" xfId="0" applyNumberFormat="1" applyFont="1" applyFill="1" applyBorder="1"/>
    <xf numFmtId="0" fontId="10" fillId="4" borderId="76" xfId="0" applyFont="1" applyFill="1" applyBorder="1"/>
    <xf numFmtId="0" fontId="65" fillId="4" borderId="69" xfId="0" applyFont="1" applyFill="1" applyBorder="1"/>
    <xf numFmtId="0" fontId="65" fillId="4" borderId="70" xfId="0" applyFont="1" applyFill="1" applyBorder="1"/>
    <xf numFmtId="14" fontId="105" fillId="4" borderId="70" xfId="0" applyNumberFormat="1" applyFont="1" applyFill="1" applyBorder="1"/>
    <xf numFmtId="0" fontId="105" fillId="4" borderId="70" xfId="0" applyFont="1" applyFill="1" applyBorder="1"/>
    <xf numFmtId="49" fontId="105" fillId="4" borderId="70" xfId="0" applyNumberFormat="1" applyFont="1" applyFill="1" applyBorder="1"/>
    <xf numFmtId="0" fontId="105" fillId="4" borderId="71" xfId="0" applyFont="1" applyFill="1" applyBorder="1"/>
    <xf numFmtId="0" fontId="65" fillId="4" borderId="72" xfId="0" applyFont="1" applyFill="1" applyBorder="1"/>
    <xf numFmtId="0" fontId="65" fillId="4" borderId="64" xfId="0" applyFont="1" applyFill="1" applyBorder="1"/>
    <xf numFmtId="0" fontId="65" fillId="4" borderId="64" xfId="0" applyFont="1" applyFill="1" applyBorder="1" applyAlignment="1">
      <alignment horizontal="center"/>
    </xf>
    <xf numFmtId="14" fontId="105" fillId="4" borderId="64" xfId="0" applyNumberFormat="1" applyFont="1" applyFill="1" applyBorder="1"/>
    <xf numFmtId="0" fontId="105" fillId="4" borderId="64" xfId="0" applyFont="1" applyFill="1" applyBorder="1"/>
    <xf numFmtId="49" fontId="105" fillId="4" borderId="64" xfId="0" applyNumberFormat="1" applyFont="1" applyFill="1" applyBorder="1"/>
    <xf numFmtId="0" fontId="105" fillId="4" borderId="73" xfId="0" applyFont="1" applyFill="1" applyBorder="1"/>
    <xf numFmtId="0" fontId="65" fillId="4" borderId="74" xfId="0" applyFont="1" applyFill="1" applyBorder="1"/>
    <xf numFmtId="0" fontId="65" fillId="4" borderId="75" xfId="0" applyFont="1" applyFill="1" applyBorder="1"/>
    <xf numFmtId="14" fontId="105" fillId="4" borderId="75" xfId="0" applyNumberFormat="1" applyFont="1" applyFill="1" applyBorder="1"/>
    <xf numFmtId="0" fontId="105" fillId="4" borderId="75" xfId="0" applyFont="1" applyFill="1" applyBorder="1"/>
    <xf numFmtId="49" fontId="105" fillId="4" borderId="75" xfId="0" applyNumberFormat="1" applyFont="1" applyFill="1" applyBorder="1"/>
    <xf numFmtId="0" fontId="105" fillId="4" borderId="76" xfId="0" applyFont="1" applyFill="1" applyBorder="1"/>
    <xf numFmtId="0" fontId="10" fillId="4" borderId="69" xfId="0" applyFont="1" applyFill="1" applyBorder="1"/>
    <xf numFmtId="0" fontId="10" fillId="4" borderId="70" xfId="0" applyFont="1" applyFill="1" applyBorder="1"/>
    <xf numFmtId="0" fontId="10" fillId="4" borderId="70" xfId="0" applyFont="1" applyFill="1" applyBorder="1" applyAlignment="1">
      <alignment horizontal="center"/>
    </xf>
    <xf numFmtId="14" fontId="24" fillId="4" borderId="70" xfId="0" applyNumberFormat="1" applyFont="1" applyFill="1" applyBorder="1"/>
    <xf numFmtId="0" fontId="24" fillId="4" borderId="70" xfId="0" applyFont="1" applyFill="1" applyBorder="1"/>
    <xf numFmtId="49" fontId="24" fillId="4" borderId="70" xfId="0" applyNumberFormat="1" applyFont="1" applyFill="1" applyBorder="1"/>
    <xf numFmtId="0" fontId="24" fillId="4" borderId="71" xfId="0" applyFont="1" applyFill="1" applyBorder="1"/>
    <xf numFmtId="0" fontId="23" fillId="4" borderId="73" xfId="0" applyFont="1" applyFill="1" applyBorder="1"/>
    <xf numFmtId="14" fontId="65" fillId="4" borderId="15" xfId="0" applyNumberFormat="1" applyFont="1" applyFill="1" applyBorder="1"/>
    <xf numFmtId="49" fontId="65" fillId="4" borderId="15" xfId="0" applyNumberFormat="1" applyFont="1" applyFill="1" applyBorder="1"/>
    <xf numFmtId="0" fontId="65" fillId="4" borderId="20" xfId="0" applyFont="1" applyFill="1" applyBorder="1"/>
    <xf numFmtId="0" fontId="98" fillId="4" borderId="69" xfId="0" applyFont="1" applyFill="1" applyBorder="1"/>
    <xf numFmtId="0" fontId="98" fillId="4" borderId="70" xfId="0" applyFont="1" applyFill="1" applyBorder="1" applyAlignment="1">
      <alignment horizontal="left"/>
    </xf>
    <xf numFmtId="14" fontId="98" fillId="4" borderId="70" xfId="0" applyNumberFormat="1" applyFont="1" applyFill="1" applyBorder="1"/>
    <xf numFmtId="0" fontId="10" fillId="4" borderId="64" xfId="0" applyFont="1" applyFill="1" applyBorder="1" applyAlignment="1">
      <alignment horizontal="right"/>
    </xf>
    <xf numFmtId="0" fontId="70" fillId="4" borderId="19" xfId="0" applyFont="1" applyFill="1" applyBorder="1"/>
    <xf numFmtId="0" fontId="70" fillId="4" borderId="15" xfId="0" applyFont="1" applyFill="1" applyBorder="1"/>
    <xf numFmtId="0" fontId="70" fillId="4" borderId="15" xfId="0" applyFont="1" applyFill="1" applyBorder="1" applyAlignment="1">
      <alignment horizontal="center"/>
    </xf>
    <xf numFmtId="0" fontId="70" fillId="4" borderId="15" xfId="0" applyFont="1" applyFill="1" applyBorder="1" applyAlignment="1">
      <alignment horizontal="right"/>
    </xf>
    <xf numFmtId="14" fontId="70" fillId="4" borderId="15" xfId="0" applyNumberFormat="1" applyFont="1" applyFill="1" applyBorder="1"/>
    <xf numFmtId="49" fontId="70" fillId="4" borderId="15" xfId="0" applyNumberFormat="1" applyFont="1" applyFill="1" applyBorder="1"/>
    <xf numFmtId="0" fontId="70" fillId="4" borderId="20" xfId="0" applyFont="1" applyFill="1" applyBorder="1"/>
    <xf numFmtId="0" fontId="65" fillId="4" borderId="71" xfId="0" applyFont="1" applyFill="1" applyBorder="1"/>
    <xf numFmtId="0" fontId="0" fillId="5" borderId="0" xfId="0" applyFill="1" applyAlignment="1">
      <alignment horizontal="center"/>
    </xf>
    <xf numFmtId="0" fontId="0" fillId="0" borderId="0" xfId="0" quotePrefix="1"/>
    <xf numFmtId="0" fontId="10" fillId="4" borderId="0" xfId="0" applyFont="1" applyFill="1"/>
    <xf numFmtId="0" fontId="10" fillId="4" borderId="0" xfId="0" applyFont="1" applyFill="1" applyAlignment="1">
      <alignment horizontal="right"/>
    </xf>
    <xf numFmtId="49" fontId="10" fillId="4" borderId="0" xfId="0" applyNumberFormat="1" applyFont="1" applyFill="1" applyAlignment="1">
      <alignment horizontal="center"/>
    </xf>
    <xf numFmtId="0" fontId="10" fillId="4" borderId="53" xfId="0" applyFont="1" applyFill="1" applyBorder="1"/>
    <xf numFmtId="0" fontId="0" fillId="13" borderId="92" xfId="0" applyFill="1" applyBorder="1"/>
    <xf numFmtId="0" fontId="0" fillId="13" borderId="75" xfId="0" applyFill="1" applyBorder="1"/>
    <xf numFmtId="49" fontId="2" fillId="13" borderId="93" xfId="0" applyNumberFormat="1" applyFont="1" applyFill="1" applyBorder="1" applyAlignment="1">
      <alignment horizontal="right"/>
    </xf>
    <xf numFmtId="14" fontId="10" fillId="4" borderId="70" xfId="0" applyNumberFormat="1" applyFont="1" applyFill="1" applyBorder="1" applyAlignment="1">
      <alignment horizontal="center"/>
    </xf>
    <xf numFmtId="49" fontId="10" fillId="4" borderId="70" xfId="0" applyNumberFormat="1" applyFont="1" applyFill="1" applyBorder="1" applyAlignment="1">
      <alignment horizontal="center"/>
    </xf>
    <xf numFmtId="0" fontId="10" fillId="4" borderId="71" xfId="0" applyFont="1" applyFill="1" applyBorder="1"/>
    <xf numFmtId="0" fontId="23" fillId="4" borderId="78" xfId="0" applyFont="1" applyFill="1" applyBorder="1"/>
    <xf numFmtId="49" fontId="10" fillId="4" borderId="74" xfId="0" applyNumberFormat="1" applyFont="1" applyFill="1" applyBorder="1" applyAlignment="1">
      <alignment horizontal="center"/>
    </xf>
    <xf numFmtId="14" fontId="10" fillId="4" borderId="75" xfId="0" applyNumberFormat="1" applyFont="1" applyFill="1" applyBorder="1" applyAlignment="1">
      <alignment horizontal="center"/>
    </xf>
    <xf numFmtId="49" fontId="10" fillId="4" borderId="75" xfId="0" applyNumberFormat="1" applyFont="1" applyFill="1" applyBorder="1" applyAlignment="1">
      <alignment horizontal="center"/>
    </xf>
    <xf numFmtId="49" fontId="65" fillId="4" borderId="19" xfId="0" applyNumberFormat="1" applyFont="1" applyFill="1" applyBorder="1" applyAlignment="1">
      <alignment horizontal="center"/>
    </xf>
    <xf numFmtId="14" fontId="65" fillId="4" borderId="15" xfId="0" applyNumberFormat="1" applyFont="1" applyFill="1" applyBorder="1" applyAlignment="1">
      <alignment horizontal="center"/>
    </xf>
    <xf numFmtId="49" fontId="70" fillId="4" borderId="15" xfId="0" applyNumberFormat="1" applyFont="1" applyFill="1" applyBorder="1" applyAlignment="1">
      <alignment horizontal="center"/>
    </xf>
    <xf numFmtId="14" fontId="70" fillId="4" borderId="15" xfId="0" applyNumberFormat="1" applyFont="1" applyFill="1" applyBorder="1" applyAlignment="1">
      <alignment horizontal="center"/>
    </xf>
    <xf numFmtId="14" fontId="65" fillId="4" borderId="70" xfId="0" applyNumberFormat="1" applyFont="1" applyFill="1" applyBorder="1" applyAlignment="1">
      <alignment horizontal="center"/>
    </xf>
    <xf numFmtId="0" fontId="70" fillId="4" borderId="70" xfId="0" applyFont="1" applyFill="1" applyBorder="1"/>
    <xf numFmtId="0" fontId="70" fillId="4" borderId="71" xfId="0" applyFont="1" applyFill="1" applyBorder="1"/>
    <xf numFmtId="14" fontId="65" fillId="4" borderId="75" xfId="0" applyNumberFormat="1" applyFont="1" applyFill="1" applyBorder="1" applyAlignment="1">
      <alignment horizontal="center"/>
    </xf>
    <xf numFmtId="49" fontId="65" fillId="4" borderId="75" xfId="0" applyNumberFormat="1" applyFont="1" applyFill="1" applyBorder="1" applyAlignment="1">
      <alignment horizontal="center"/>
    </xf>
    <xf numFmtId="0" fontId="70" fillId="4" borderId="75" xfId="0" applyFont="1" applyFill="1" applyBorder="1"/>
    <xf numFmtId="0" fontId="70" fillId="4" borderId="76" xfId="0" applyFont="1" applyFill="1" applyBorder="1"/>
    <xf numFmtId="0" fontId="70" fillId="4" borderId="15" xfId="0" applyFont="1" applyFill="1" applyBorder="1" applyAlignment="1">
      <alignment horizontal="left"/>
    </xf>
    <xf numFmtId="14" fontId="70" fillId="4" borderId="70" xfId="0" applyNumberFormat="1" applyFont="1" applyFill="1" applyBorder="1" applyAlignment="1">
      <alignment horizontal="center"/>
    </xf>
    <xf numFmtId="0" fontId="70" fillId="4" borderId="70" xfId="0" applyFont="1" applyFill="1" applyBorder="1" applyAlignment="1">
      <alignment horizontal="center"/>
    </xf>
    <xf numFmtId="49" fontId="70" fillId="4" borderId="70" xfId="0" applyNumberFormat="1" applyFont="1" applyFill="1" applyBorder="1" applyAlignment="1">
      <alignment horizontal="center"/>
    </xf>
    <xf numFmtId="49" fontId="65" fillId="4" borderId="72" xfId="0" applyNumberFormat="1" applyFont="1" applyFill="1" applyBorder="1" applyAlignment="1">
      <alignment horizontal="center"/>
    </xf>
    <xf numFmtId="14" fontId="70" fillId="4" borderId="64" xfId="0" applyNumberFormat="1" applyFont="1" applyFill="1" applyBorder="1" applyAlignment="1">
      <alignment horizontal="center"/>
    </xf>
    <xf numFmtId="49" fontId="70" fillId="4" borderId="64" xfId="0" applyNumberFormat="1" applyFont="1" applyFill="1" applyBorder="1" applyAlignment="1">
      <alignment horizontal="center"/>
    </xf>
    <xf numFmtId="0" fontId="70" fillId="4" borderId="64" xfId="0" applyFont="1" applyFill="1" applyBorder="1" applyAlignment="1">
      <alignment horizontal="center"/>
    </xf>
    <xf numFmtId="0" fontId="70" fillId="4" borderId="64" xfId="0" applyFont="1" applyFill="1" applyBorder="1"/>
    <xf numFmtId="0" fontId="70" fillId="4" borderId="73" xfId="0" applyFont="1" applyFill="1" applyBorder="1"/>
    <xf numFmtId="49" fontId="65" fillId="4" borderId="77" xfId="0" applyNumberFormat="1" applyFont="1" applyFill="1" applyBorder="1" applyAlignment="1">
      <alignment horizontal="center"/>
    </xf>
    <xf numFmtId="14" fontId="70" fillId="4" borderId="61" xfId="0" applyNumberFormat="1" applyFont="1" applyFill="1" applyBorder="1" applyAlignment="1">
      <alignment horizontal="center"/>
    </xf>
    <xf numFmtId="49" fontId="70" fillId="4" borderId="61" xfId="0" applyNumberFormat="1" applyFont="1" applyFill="1" applyBorder="1" applyAlignment="1">
      <alignment horizontal="center"/>
    </xf>
    <xf numFmtId="0" fontId="70" fillId="4" borderId="61" xfId="0" applyFont="1" applyFill="1" applyBorder="1" applyAlignment="1">
      <alignment horizontal="center"/>
    </xf>
    <xf numFmtId="0" fontId="70" fillId="4" borderId="61" xfId="0" applyFont="1" applyFill="1" applyBorder="1"/>
    <xf numFmtId="0" fontId="70" fillId="4" borderId="78" xfId="0" applyFont="1" applyFill="1" applyBorder="1"/>
    <xf numFmtId="0" fontId="23" fillId="4" borderId="71" xfId="0" applyFont="1" applyFill="1" applyBorder="1"/>
    <xf numFmtId="0" fontId="23" fillId="4" borderId="64" xfId="0" applyFont="1" applyFill="1" applyBorder="1"/>
    <xf numFmtId="49" fontId="98" fillId="4" borderId="74" xfId="0" applyNumberFormat="1" applyFont="1" applyFill="1" applyBorder="1" applyAlignment="1">
      <alignment horizontal="center"/>
    </xf>
    <xf numFmtId="14" fontId="98" fillId="4" borderId="75" xfId="0" applyNumberFormat="1" applyFont="1" applyFill="1" applyBorder="1" applyAlignment="1">
      <alignment horizontal="center"/>
    </xf>
    <xf numFmtId="49" fontId="98" fillId="4" borderId="75" xfId="0" applyNumberFormat="1" applyFont="1" applyFill="1" applyBorder="1" applyAlignment="1">
      <alignment horizontal="center"/>
    </xf>
    <xf numFmtId="0" fontId="98" fillId="4" borderId="75" xfId="0" applyFont="1" applyFill="1" applyBorder="1" applyAlignment="1">
      <alignment horizontal="center"/>
    </xf>
    <xf numFmtId="0" fontId="98" fillId="4" borderId="75" xfId="0" applyFont="1" applyFill="1" applyBorder="1"/>
    <xf numFmtId="0" fontId="10" fillId="4" borderId="84" xfId="0" applyFont="1" applyFill="1" applyBorder="1"/>
    <xf numFmtId="49" fontId="10" fillId="4" borderId="54" xfId="0" applyNumberFormat="1" applyFont="1" applyFill="1" applyBorder="1" applyAlignment="1">
      <alignment horizontal="center"/>
    </xf>
    <xf numFmtId="14" fontId="10" fillId="4" borderId="55" xfId="0" applyNumberFormat="1" applyFont="1" applyFill="1" applyBorder="1" applyAlignment="1">
      <alignment horizontal="center"/>
    </xf>
    <xf numFmtId="49" fontId="10" fillId="4" borderId="55" xfId="0" applyNumberFormat="1" applyFont="1" applyFill="1" applyBorder="1" applyAlignment="1">
      <alignment horizontal="center"/>
    </xf>
    <xf numFmtId="0" fontId="10" fillId="4" borderId="55" xfId="0" applyFont="1" applyFill="1" applyBorder="1" applyAlignment="1">
      <alignment horizontal="center"/>
    </xf>
    <xf numFmtId="0" fontId="10" fillId="4" borderId="55" xfId="0" applyFont="1" applyFill="1" applyBorder="1"/>
    <xf numFmtId="0" fontId="10" fillId="4" borderId="56" xfId="0" applyFont="1" applyFill="1" applyBorder="1"/>
    <xf numFmtId="49" fontId="98" fillId="4" borderId="61" xfId="0" applyNumberFormat="1" applyFont="1" applyFill="1" applyBorder="1"/>
    <xf numFmtId="14" fontId="70" fillId="4" borderId="75" xfId="0" applyNumberFormat="1" applyFont="1" applyFill="1" applyBorder="1" applyAlignment="1">
      <alignment horizontal="center"/>
    </xf>
    <xf numFmtId="0" fontId="70" fillId="4" borderId="75" xfId="0" applyFont="1" applyFill="1" applyBorder="1" applyAlignment="1">
      <alignment horizontal="center"/>
    </xf>
    <xf numFmtId="0" fontId="2" fillId="6" borderId="19" xfId="0" applyFont="1" applyFill="1" applyBorder="1"/>
    <xf numFmtId="49" fontId="70" fillId="4" borderId="19" xfId="0" applyNumberFormat="1" applyFont="1" applyFill="1" applyBorder="1" applyAlignment="1">
      <alignment horizontal="center"/>
    </xf>
    <xf numFmtId="0" fontId="5" fillId="6" borderId="19" xfId="0" applyFont="1" applyFill="1" applyBorder="1"/>
    <xf numFmtId="49" fontId="10" fillId="4" borderId="43" xfId="0" applyNumberFormat="1" applyFont="1" applyFill="1" applyBorder="1" applyAlignment="1">
      <alignment horizontal="center"/>
    </xf>
    <xf numFmtId="0" fontId="98" fillId="4" borderId="0" xfId="0" applyFont="1" applyFill="1"/>
    <xf numFmtId="49" fontId="65" fillId="4" borderId="69" xfId="0" applyNumberFormat="1" applyFont="1" applyFill="1" applyBorder="1" applyAlignment="1">
      <alignment horizontal="center"/>
    </xf>
    <xf numFmtId="14" fontId="65" fillId="4" borderId="64" xfId="0" applyNumberFormat="1" applyFont="1" applyFill="1" applyBorder="1" applyAlignment="1">
      <alignment horizontal="center"/>
    </xf>
    <xf numFmtId="49" fontId="65" fillId="4" borderId="64" xfId="0" applyNumberFormat="1" applyFont="1" applyFill="1" applyBorder="1" applyAlignment="1">
      <alignment horizontal="center"/>
    </xf>
    <xf numFmtId="14" fontId="65" fillId="4" borderId="82" xfId="0" applyNumberFormat="1" applyFont="1" applyFill="1" applyBorder="1" applyAlignment="1">
      <alignment horizontal="center"/>
    </xf>
    <xf numFmtId="49" fontId="65" fillId="4" borderId="82" xfId="0" applyNumberFormat="1" applyFont="1" applyFill="1" applyBorder="1" applyAlignment="1">
      <alignment horizontal="center"/>
    </xf>
    <xf numFmtId="0" fontId="65" fillId="4" borderId="82" xfId="0" applyFont="1" applyFill="1" applyBorder="1"/>
    <xf numFmtId="0" fontId="70" fillId="4" borderId="84" xfId="0" applyFont="1" applyFill="1" applyBorder="1" applyAlignment="1">
      <alignment horizontal="center"/>
    </xf>
    <xf numFmtId="49" fontId="70" fillId="4" borderId="69" xfId="0" applyNumberFormat="1" applyFont="1" applyFill="1" applyBorder="1" applyAlignment="1">
      <alignment horizontal="center"/>
    </xf>
    <xf numFmtId="0" fontId="70" fillId="4" borderId="82" xfId="0" applyFont="1" applyFill="1" applyBorder="1" applyAlignment="1">
      <alignment horizontal="left"/>
    </xf>
    <xf numFmtId="0" fontId="70" fillId="4" borderId="84" xfId="0" applyFont="1" applyFill="1" applyBorder="1" applyAlignment="1">
      <alignment horizontal="left"/>
    </xf>
    <xf numFmtId="0" fontId="98" fillId="4" borderId="76" xfId="0" applyFont="1" applyFill="1" applyBorder="1"/>
    <xf numFmtId="49" fontId="65" fillId="4" borderId="54" xfId="0" applyNumberFormat="1" applyFont="1" applyFill="1" applyBorder="1" applyAlignment="1">
      <alignment horizontal="center"/>
    </xf>
    <xf numFmtId="14" fontId="70" fillId="4" borderId="55" xfId="0" applyNumberFormat="1" applyFont="1" applyFill="1" applyBorder="1" applyAlignment="1">
      <alignment horizontal="center"/>
    </xf>
    <xf numFmtId="49" fontId="70" fillId="4" borderId="55" xfId="0" applyNumberFormat="1" applyFont="1" applyFill="1" applyBorder="1" applyAlignment="1">
      <alignment horizontal="center"/>
    </xf>
    <xf numFmtId="0" fontId="70" fillId="4" borderId="55" xfId="0" applyFont="1" applyFill="1" applyBorder="1" applyAlignment="1">
      <alignment horizontal="center"/>
    </xf>
    <xf numFmtId="0" fontId="70" fillId="4" borderId="55" xfId="0" applyFont="1" applyFill="1" applyBorder="1"/>
    <xf numFmtId="0" fontId="70" fillId="4" borderId="56" xfId="0" applyFont="1" applyFill="1" applyBorder="1"/>
    <xf numFmtId="0" fontId="65" fillId="13" borderId="43" xfId="0" applyFont="1" applyFill="1" applyBorder="1"/>
    <xf numFmtId="0" fontId="10" fillId="13" borderId="43" xfId="0" applyFont="1" applyFill="1" applyBorder="1"/>
    <xf numFmtId="0" fontId="98" fillId="13" borderId="43" xfId="0" applyFont="1" applyFill="1" applyBorder="1"/>
    <xf numFmtId="0" fontId="0" fillId="13" borderId="43" xfId="0" applyFill="1" applyBorder="1"/>
    <xf numFmtId="0" fontId="23" fillId="4" borderId="69" xfId="0" applyFont="1" applyFill="1" applyBorder="1"/>
    <xf numFmtId="0" fontId="23" fillId="4" borderId="72" xfId="0" applyFont="1" applyFill="1" applyBorder="1"/>
    <xf numFmtId="0" fontId="23" fillId="4" borderId="74" xfId="0" applyFont="1" applyFill="1" applyBorder="1"/>
    <xf numFmtId="0" fontId="23" fillId="4" borderId="75" xfId="0" applyFont="1" applyFill="1" applyBorder="1"/>
    <xf numFmtId="0" fontId="23" fillId="4" borderId="75" xfId="0" applyFont="1" applyFill="1" applyBorder="1" applyAlignment="1">
      <alignment horizontal="center"/>
    </xf>
    <xf numFmtId="0" fontId="23" fillId="4" borderId="76" xfId="0" applyFont="1" applyFill="1" applyBorder="1"/>
    <xf numFmtId="0" fontId="10" fillId="4" borderId="85" xfId="0" applyFont="1" applyFill="1" applyBorder="1"/>
    <xf numFmtId="49" fontId="24" fillId="4" borderId="0" xfId="0" applyNumberFormat="1" applyFont="1" applyFill="1" applyAlignment="1">
      <alignment horizontal="right"/>
    </xf>
    <xf numFmtId="0" fontId="24" fillId="4" borderId="55" xfId="0" applyFont="1" applyFill="1" applyBorder="1"/>
    <xf numFmtId="0" fontId="24" fillId="4" borderId="55" xfId="0" applyFont="1" applyFill="1" applyBorder="1" applyAlignment="1">
      <alignment horizontal="right"/>
    </xf>
    <xf numFmtId="0" fontId="24" fillId="4" borderId="56" xfId="0" applyFont="1" applyFill="1" applyBorder="1"/>
    <xf numFmtId="0" fontId="70" fillId="4" borderId="48" xfId="0" applyFont="1" applyFill="1" applyBorder="1"/>
    <xf numFmtId="0" fontId="70" fillId="4" borderId="48" xfId="0" applyFont="1" applyFill="1" applyBorder="1" applyAlignment="1">
      <alignment horizontal="right"/>
    </xf>
    <xf numFmtId="0" fontId="70" fillId="4" borderId="48" xfId="0" applyFont="1" applyFill="1" applyBorder="1" applyAlignment="1">
      <alignment horizontal="center"/>
    </xf>
    <xf numFmtId="0" fontId="70" fillId="4" borderId="40" xfId="0" applyFont="1" applyFill="1" applyBorder="1"/>
    <xf numFmtId="0" fontId="0" fillId="24" borderId="43" xfId="0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49" fontId="23" fillId="4" borderId="15" xfId="0" quotePrefix="1" applyNumberFormat="1" applyFont="1" applyFill="1" applyBorder="1" applyAlignment="1">
      <alignment horizontal="center"/>
    </xf>
    <xf numFmtId="0" fontId="57" fillId="0" borderId="53" xfId="0" applyFont="1" applyBorder="1" applyAlignment="1">
      <alignment horizontal="center"/>
    </xf>
    <xf numFmtId="0" fontId="0" fillId="0" borderId="53" xfId="0" applyBorder="1" applyAlignment="1">
      <alignment horizontal="center"/>
    </xf>
    <xf numFmtId="0" fontId="2" fillId="14" borderId="0" xfId="0" applyFont="1" applyFill="1" applyAlignment="1">
      <alignment horizontal="right"/>
    </xf>
    <xf numFmtId="0" fontId="57" fillId="14" borderId="0" xfId="0" applyFont="1" applyFill="1"/>
    <xf numFmtId="0" fontId="57" fillId="14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9" fontId="2" fillId="6" borderId="26" xfId="1" applyFont="1" applyFill="1" applyBorder="1" applyAlignment="1">
      <alignment horizontal="center"/>
    </xf>
    <xf numFmtId="9" fontId="2" fillId="13" borderId="26" xfId="1" applyFont="1" applyFill="1" applyBorder="1" applyAlignment="1">
      <alignment horizontal="center"/>
    </xf>
    <xf numFmtId="164" fontId="2" fillId="6" borderId="26" xfId="0" applyNumberFormat="1" applyFont="1" applyFill="1" applyBorder="1" applyAlignment="1">
      <alignment horizontal="center"/>
    </xf>
    <xf numFmtId="0" fontId="23" fillId="4" borderId="78" xfId="0" applyFont="1" applyFill="1" applyBorder="1" applyAlignment="1">
      <alignment horizontal="center" vertical="top"/>
    </xf>
    <xf numFmtId="0" fontId="23" fillId="4" borderId="64" xfId="0" quotePrefix="1" applyFont="1" applyFill="1" applyBorder="1" applyAlignment="1">
      <alignment horizontal="center" vertical="top"/>
    </xf>
    <xf numFmtId="0" fontId="23" fillId="4" borderId="77" xfId="0" applyFont="1" applyFill="1" applyBorder="1"/>
    <xf numFmtId="0" fontId="23" fillId="4" borderId="61" xfId="0" applyFont="1" applyFill="1" applyBorder="1"/>
    <xf numFmtId="0" fontId="0" fillId="13" borderId="0" xfId="0" quotePrefix="1" applyFill="1"/>
    <xf numFmtId="0" fontId="57" fillId="28" borderId="0" xfId="0" applyFont="1" applyFill="1" applyAlignment="1">
      <alignment horizontal="center"/>
    </xf>
    <xf numFmtId="0" fontId="106" fillId="14" borderId="0" xfId="2" applyFill="1" applyAlignment="1">
      <alignment horizontal="center"/>
    </xf>
    <xf numFmtId="0" fontId="57" fillId="18" borderId="26" xfId="0" applyFont="1" applyFill="1" applyBorder="1"/>
    <xf numFmtId="0" fontId="57" fillId="18" borderId="26" xfId="0" applyFont="1" applyFill="1" applyBorder="1" applyAlignment="1">
      <alignment horizontal="center"/>
    </xf>
    <xf numFmtId="0" fontId="0" fillId="14" borderId="26" xfId="0" applyFill="1" applyBorder="1"/>
    <xf numFmtId="0" fontId="0" fillId="14" borderId="26" xfId="0" applyFill="1" applyBorder="1" applyAlignment="1">
      <alignment horizontal="center"/>
    </xf>
    <xf numFmtId="0" fontId="0" fillId="0" borderId="28" xfId="0" applyBorder="1"/>
    <xf numFmtId="0" fontId="0" fillId="0" borderId="94" xfId="0" applyBorder="1"/>
    <xf numFmtId="0" fontId="0" fillId="0" borderId="94" xfId="0" applyBorder="1" applyAlignment="1">
      <alignment horizontal="center"/>
    </xf>
    <xf numFmtId="0" fontId="0" fillId="14" borderId="28" xfId="0" applyFill="1" applyBorder="1" applyAlignment="1">
      <alignment horizontal="center"/>
    </xf>
    <xf numFmtId="0" fontId="0" fillId="14" borderId="28" xfId="0" applyFill="1" applyBorder="1"/>
    <xf numFmtId="0" fontId="73" fillId="14" borderId="0" xfId="2" applyFont="1" applyFill="1" applyAlignment="1">
      <alignment horizontal="center"/>
    </xf>
    <xf numFmtId="0" fontId="107" fillId="14" borderId="0" xfId="0" applyFont="1" applyFill="1"/>
    <xf numFmtId="14" fontId="107" fillId="14" borderId="0" xfId="0" applyNumberFormat="1" applyFont="1" applyFill="1"/>
    <xf numFmtId="0" fontId="107" fillId="24" borderId="0" xfId="0" applyFont="1" applyFill="1"/>
    <xf numFmtId="164" fontId="0" fillId="0" borderId="26" xfId="0" applyNumberFormat="1" applyBorder="1" applyAlignment="1">
      <alignment horizontal="center"/>
    </xf>
    <xf numFmtId="0" fontId="2" fillId="6" borderId="48" xfId="0" applyFont="1" applyFill="1" applyBorder="1" applyAlignment="1">
      <alignment horizontal="right"/>
    </xf>
    <xf numFmtId="0" fontId="2" fillId="6" borderId="15" xfId="0" applyFont="1" applyFill="1" applyBorder="1" applyAlignment="1">
      <alignment horizontal="right"/>
    </xf>
    <xf numFmtId="0" fontId="106" fillId="0" borderId="43" xfId="2" applyBorder="1"/>
    <xf numFmtId="0" fontId="57" fillId="14" borderId="0" xfId="0" applyFont="1" applyFill="1" applyAlignment="1">
      <alignment horizontal="center"/>
    </xf>
    <xf numFmtId="0" fontId="23" fillId="4" borderId="82" xfId="0" quotePrefix="1" applyFont="1" applyFill="1" applyBorder="1" applyAlignment="1">
      <alignment horizontal="center" vertical="top"/>
    </xf>
    <xf numFmtId="0" fontId="57" fillId="1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2" fontId="1" fillId="0" borderId="19" xfId="0" applyNumberFormat="1" applyFont="1" applyBorder="1" applyAlignment="1">
      <alignment horizontal="center"/>
    </xf>
    <xf numFmtId="2" fontId="1" fillId="0" borderId="20" xfId="0" applyNumberFormat="1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57" fillId="6" borderId="26" xfId="0" applyFont="1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57" fillId="6" borderId="19" xfId="0" applyFont="1" applyFill="1" applyBorder="1" applyAlignment="1">
      <alignment horizontal="center"/>
    </xf>
    <xf numFmtId="0" fontId="57" fillId="6" borderId="20" xfId="0" applyFont="1" applyFill="1" applyBorder="1" applyAlignment="1">
      <alignment horizontal="center"/>
    </xf>
    <xf numFmtId="0" fontId="57" fillId="6" borderId="26" xfId="0" quotePrefix="1" applyFont="1" applyFill="1" applyBorder="1" applyAlignment="1">
      <alignment horizontal="center"/>
    </xf>
    <xf numFmtId="0" fontId="57" fillId="0" borderId="43" xfId="0" applyFont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53" xfId="0" applyFont="1" applyBorder="1" applyAlignment="1">
      <alignment horizontal="center"/>
    </xf>
    <xf numFmtId="0" fontId="57" fillId="29" borderId="43" xfId="0" applyFont="1" applyFill="1" applyBorder="1" applyAlignment="1">
      <alignment horizontal="center"/>
    </xf>
    <xf numFmtId="0" fontId="57" fillId="29" borderId="0" xfId="0" applyFont="1" applyFill="1" applyAlignment="1">
      <alignment horizontal="center"/>
    </xf>
    <xf numFmtId="0" fontId="57" fillId="29" borderId="53" xfId="0" applyFont="1" applyFill="1" applyBorder="1" applyAlignment="1">
      <alignment horizontal="center"/>
    </xf>
    <xf numFmtId="0" fontId="57" fillId="23" borderId="0" xfId="0" applyFont="1" applyFill="1" applyAlignment="1">
      <alignment horizontal="center"/>
    </xf>
    <xf numFmtId="0" fontId="57" fillId="23" borderId="53" xfId="0" applyFont="1" applyFill="1" applyBorder="1" applyAlignment="1">
      <alignment horizontal="center"/>
    </xf>
    <xf numFmtId="0" fontId="57" fillId="23" borderId="43" xfId="0" applyFont="1" applyFill="1" applyBorder="1" applyAlignment="1">
      <alignment horizontal="center"/>
    </xf>
    <xf numFmtId="0" fontId="57" fillId="5" borderId="0" xfId="0" applyFont="1" applyFill="1" applyBorder="1" applyAlignment="1">
      <alignment horizontal="center"/>
    </xf>
    <xf numFmtId="0" fontId="2" fillId="6" borderId="43" xfId="0" applyFont="1" applyFill="1" applyBorder="1" applyAlignment="1">
      <alignment horizontal="center"/>
    </xf>
  </cellXfs>
  <cellStyles count="3">
    <cellStyle name="Hyperlinkki" xfId="2" builtinId="8"/>
    <cellStyle name="Normaali" xfId="0" builtinId="0"/>
    <cellStyle name="Prosenttia" xfId="1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</xdr:row>
      <xdr:rowOff>0</xdr:rowOff>
    </xdr:from>
    <xdr:to>
      <xdr:col>84</xdr:col>
      <xdr:colOff>24981</xdr:colOff>
      <xdr:row>39</xdr:row>
      <xdr:rowOff>97585</xdr:rowOff>
    </xdr:to>
    <xdr:pic>
      <xdr:nvPicPr>
        <xdr:cNvPr id="7" name="Kuva 6">
          <a:extLst>
            <a:ext uri="{FF2B5EF4-FFF2-40B4-BE49-F238E27FC236}">
              <a16:creationId xmlns:a16="http://schemas.microsoft.com/office/drawing/2014/main" id="{60127301-8CE7-428D-9244-4051EE71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0" y="571500"/>
          <a:ext cx="13251124" cy="6982799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</xdr:row>
      <xdr:rowOff>0</xdr:rowOff>
    </xdr:from>
    <xdr:to>
      <xdr:col>138</xdr:col>
      <xdr:colOff>79383</xdr:colOff>
      <xdr:row>36</xdr:row>
      <xdr:rowOff>40348</xdr:rowOff>
    </xdr:to>
    <xdr:pic>
      <xdr:nvPicPr>
        <xdr:cNvPr id="8" name="Kuva 7">
          <a:extLst>
            <a:ext uri="{FF2B5EF4-FFF2-40B4-BE49-F238E27FC236}">
              <a16:creationId xmlns:a16="http://schemas.microsoft.com/office/drawing/2014/main" id="{C16580A6-7D73-4A10-8847-25C65D9F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25071" y="571500"/>
          <a:ext cx="13060598" cy="6354062"/>
        </a:xfrm>
        <a:prstGeom prst="rect">
          <a:avLst/>
        </a:prstGeom>
      </xdr:spPr>
    </xdr:pic>
    <xdr:clientData/>
  </xdr:twoCellAnchor>
  <xdr:twoCellAnchor editAs="oneCell">
    <xdr:from>
      <xdr:col>139</xdr:col>
      <xdr:colOff>0</xdr:colOff>
      <xdr:row>3</xdr:row>
      <xdr:rowOff>0</xdr:rowOff>
    </xdr:from>
    <xdr:to>
      <xdr:col>192</xdr:col>
      <xdr:colOff>174646</xdr:colOff>
      <xdr:row>36</xdr:row>
      <xdr:rowOff>2242</xdr:rowOff>
    </xdr:to>
    <xdr:pic>
      <xdr:nvPicPr>
        <xdr:cNvPr id="9" name="Kuva 8">
          <a:extLst>
            <a:ext uri="{FF2B5EF4-FFF2-40B4-BE49-F238E27FC236}">
              <a16:creationId xmlns:a16="http://schemas.microsoft.com/office/drawing/2014/main" id="{DC15CC14-ADE6-4ABC-930C-636A82F9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51214" y="571500"/>
          <a:ext cx="13155861" cy="631595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</xdr:row>
      <xdr:rowOff>0</xdr:rowOff>
    </xdr:from>
    <xdr:to>
      <xdr:col>247</xdr:col>
      <xdr:colOff>155594</xdr:colOff>
      <xdr:row>73</xdr:row>
      <xdr:rowOff>118906</xdr:rowOff>
    </xdr:to>
    <xdr:pic>
      <xdr:nvPicPr>
        <xdr:cNvPr id="10" name="Kuva 9">
          <a:extLst>
            <a:ext uri="{FF2B5EF4-FFF2-40B4-BE49-F238E27FC236}">
              <a16:creationId xmlns:a16="http://schemas.microsoft.com/office/drawing/2014/main" id="{76C1CC54-42F2-4BDC-8D64-65DFEF86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22286" y="571500"/>
          <a:ext cx="13136808" cy="13508335"/>
        </a:xfrm>
        <a:prstGeom prst="rect">
          <a:avLst/>
        </a:prstGeom>
      </xdr:spPr>
    </xdr:pic>
    <xdr:clientData/>
  </xdr:twoCellAnchor>
  <xdr:twoCellAnchor editAs="oneCell">
    <xdr:from>
      <xdr:col>248</xdr:col>
      <xdr:colOff>0</xdr:colOff>
      <xdr:row>3</xdr:row>
      <xdr:rowOff>0</xdr:rowOff>
    </xdr:from>
    <xdr:to>
      <xdr:col>285</xdr:col>
      <xdr:colOff>14078</xdr:colOff>
      <xdr:row>73</xdr:row>
      <xdr:rowOff>61748</xdr:rowOff>
    </xdr:to>
    <xdr:pic>
      <xdr:nvPicPr>
        <xdr:cNvPr id="11" name="Kuva 10">
          <a:extLst>
            <a:ext uri="{FF2B5EF4-FFF2-40B4-BE49-F238E27FC236}">
              <a16:creationId xmlns:a16="http://schemas.microsoft.com/office/drawing/2014/main" id="{F639368E-9559-4AAE-B3F6-47082E2A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48429" y="571500"/>
          <a:ext cx="13117756" cy="134511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23</xdr:col>
      <xdr:colOff>38637</xdr:colOff>
      <xdr:row>70</xdr:row>
      <xdr:rowOff>143134</xdr:rowOff>
    </xdr:to>
    <xdr:pic>
      <xdr:nvPicPr>
        <xdr:cNvPr id="14" name="Kuva 13">
          <a:extLst>
            <a:ext uri="{FF2B5EF4-FFF2-40B4-BE49-F238E27FC236}">
              <a16:creationId xmlns:a16="http://schemas.microsoft.com/office/drawing/2014/main" id="{7E3376BD-9A7E-4C6E-8185-A8860428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5679" y="11674929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15</xdr:col>
      <xdr:colOff>304949</xdr:colOff>
      <xdr:row>55</xdr:row>
      <xdr:rowOff>81815</xdr:rowOff>
    </xdr:to>
    <xdr:pic>
      <xdr:nvPicPr>
        <xdr:cNvPr id="15" name="Kuva 14">
          <a:extLst>
            <a:ext uri="{FF2B5EF4-FFF2-40B4-BE49-F238E27FC236}">
              <a16:creationId xmlns:a16="http://schemas.microsoft.com/office/drawing/2014/main" id="{9D871073-2C63-46B8-941F-6B8D7FEE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5679" y="9375321"/>
          <a:ext cx="1066949" cy="1238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61</xdr:row>
      <xdr:rowOff>0</xdr:rowOff>
    </xdr:from>
    <xdr:to>
      <xdr:col>23</xdr:col>
      <xdr:colOff>38637</xdr:colOff>
      <xdr:row>70</xdr:row>
      <xdr:rowOff>143134</xdr:rowOff>
    </xdr:to>
    <xdr:pic>
      <xdr:nvPicPr>
        <xdr:cNvPr id="7" name="Kuva 13">
          <a:extLst>
            <a:ext uri="{FF2B5EF4-FFF2-40B4-BE49-F238E27FC236}">
              <a16:creationId xmlns:a16="http://schemas.microsoft.com/office/drawing/2014/main" id="{E77205B1-9D8A-4BD5-AB90-4E056768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5" y="11658600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15</xdr:col>
      <xdr:colOff>304949</xdr:colOff>
      <xdr:row>55</xdr:row>
      <xdr:rowOff>81815</xdr:rowOff>
    </xdr:to>
    <xdr:pic>
      <xdr:nvPicPr>
        <xdr:cNvPr id="8" name="Kuva 14">
          <a:extLst>
            <a:ext uri="{FF2B5EF4-FFF2-40B4-BE49-F238E27FC236}">
              <a16:creationId xmlns:a16="http://schemas.microsoft.com/office/drawing/2014/main" id="{65A22A20-1385-45DB-AB9F-119721C7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8875" y="9363075"/>
          <a:ext cx="1066949" cy="123434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66</xdr:col>
      <xdr:colOff>69154</xdr:colOff>
      <xdr:row>30</xdr:row>
      <xdr:rowOff>72688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4CF77A-4EFD-4970-89F5-05E413BEF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0" y="1728107"/>
          <a:ext cx="7172083" cy="408679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34</xdr:row>
      <xdr:rowOff>0</xdr:rowOff>
    </xdr:from>
    <xdr:to>
      <xdr:col>67</xdr:col>
      <xdr:colOff>36169</xdr:colOff>
      <xdr:row>44</xdr:row>
      <xdr:rowOff>114582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0C2FF5-707F-45B5-BC77-91D8DBCE2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8357" y="6504214"/>
          <a:ext cx="6894169" cy="20195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0</xdr:colOff>
      <xdr:row>3</xdr:row>
      <xdr:rowOff>0</xdr:rowOff>
    </xdr:from>
    <xdr:to>
      <xdr:col>146</xdr:col>
      <xdr:colOff>79384</xdr:colOff>
      <xdr:row>36</xdr:row>
      <xdr:rowOff>40348</xdr:rowOff>
    </xdr:to>
    <xdr:pic>
      <xdr:nvPicPr>
        <xdr:cNvPr id="3" name="Kuva 7">
          <a:extLst>
            <a:ext uri="{FF2B5EF4-FFF2-40B4-BE49-F238E27FC236}">
              <a16:creationId xmlns:a16="http://schemas.microsoft.com/office/drawing/2014/main" id="{47A163AF-2B2D-4035-B4FE-653268F0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69925" y="571500"/>
          <a:ext cx="12700008" cy="6345898"/>
        </a:xfrm>
        <a:prstGeom prst="rect">
          <a:avLst/>
        </a:prstGeom>
      </xdr:spPr>
    </xdr:pic>
    <xdr:clientData/>
  </xdr:twoCellAnchor>
  <xdr:twoCellAnchor editAs="oneCell">
    <xdr:from>
      <xdr:col>147</xdr:col>
      <xdr:colOff>0</xdr:colOff>
      <xdr:row>3</xdr:row>
      <xdr:rowOff>0</xdr:rowOff>
    </xdr:from>
    <xdr:to>
      <xdr:col>200</xdr:col>
      <xdr:colOff>174647</xdr:colOff>
      <xdr:row>36</xdr:row>
      <xdr:rowOff>2242</xdr:rowOff>
    </xdr:to>
    <xdr:pic>
      <xdr:nvPicPr>
        <xdr:cNvPr id="4" name="Kuva 8">
          <a:extLst>
            <a:ext uri="{FF2B5EF4-FFF2-40B4-BE49-F238E27FC236}">
              <a16:creationId xmlns:a16="http://schemas.microsoft.com/office/drawing/2014/main" id="{E997E92E-958D-4CD2-BEB2-08629BC2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928675" y="571500"/>
          <a:ext cx="12795271" cy="6307792"/>
        </a:xfrm>
        <a:prstGeom prst="rect">
          <a:avLst/>
        </a:prstGeom>
      </xdr:spPr>
    </xdr:pic>
    <xdr:clientData/>
  </xdr:twoCellAnchor>
  <xdr:twoCellAnchor editAs="oneCell">
    <xdr:from>
      <xdr:col>203</xdr:col>
      <xdr:colOff>0</xdr:colOff>
      <xdr:row>3</xdr:row>
      <xdr:rowOff>0</xdr:rowOff>
    </xdr:from>
    <xdr:to>
      <xdr:col>256</xdr:col>
      <xdr:colOff>155594</xdr:colOff>
      <xdr:row>73</xdr:row>
      <xdr:rowOff>118906</xdr:rowOff>
    </xdr:to>
    <xdr:pic>
      <xdr:nvPicPr>
        <xdr:cNvPr id="5" name="Kuva 9">
          <a:extLst>
            <a:ext uri="{FF2B5EF4-FFF2-40B4-BE49-F238E27FC236}">
              <a16:creationId xmlns:a16="http://schemas.microsoft.com/office/drawing/2014/main" id="{6AE1689C-D074-4077-8564-C3005438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25550" y="571500"/>
          <a:ext cx="12776219" cy="13492006"/>
        </a:xfrm>
        <a:prstGeom prst="rect">
          <a:avLst/>
        </a:prstGeom>
      </xdr:spPr>
    </xdr:pic>
    <xdr:clientData/>
  </xdr:twoCellAnchor>
  <xdr:twoCellAnchor editAs="oneCell">
    <xdr:from>
      <xdr:col>258</xdr:col>
      <xdr:colOff>0</xdr:colOff>
      <xdr:row>3</xdr:row>
      <xdr:rowOff>0</xdr:rowOff>
    </xdr:from>
    <xdr:to>
      <xdr:col>295</xdr:col>
      <xdr:colOff>14077</xdr:colOff>
      <xdr:row>73</xdr:row>
      <xdr:rowOff>61748</xdr:rowOff>
    </xdr:to>
    <xdr:pic>
      <xdr:nvPicPr>
        <xdr:cNvPr id="6" name="Kuva 10">
          <a:extLst>
            <a:ext uri="{FF2B5EF4-FFF2-40B4-BE49-F238E27FC236}">
              <a16:creationId xmlns:a16="http://schemas.microsoft.com/office/drawing/2014/main" id="{BE8D5BC2-29EA-430C-9832-BC666B5E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84300" y="571500"/>
          <a:ext cx="12910928" cy="134348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28</xdr:col>
      <xdr:colOff>174708</xdr:colOff>
      <xdr:row>70</xdr:row>
      <xdr:rowOff>143134</xdr:rowOff>
    </xdr:to>
    <xdr:pic>
      <xdr:nvPicPr>
        <xdr:cNvPr id="7" name="Kuva 13">
          <a:extLst>
            <a:ext uri="{FF2B5EF4-FFF2-40B4-BE49-F238E27FC236}">
              <a16:creationId xmlns:a16="http://schemas.microsoft.com/office/drawing/2014/main" id="{02F9C94F-C1AA-47D8-B5B7-F75AAB8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8875" y="11658600"/>
          <a:ext cx="3848637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17</xdr:col>
      <xdr:colOff>87234</xdr:colOff>
      <xdr:row>55</xdr:row>
      <xdr:rowOff>81815</xdr:rowOff>
    </xdr:to>
    <xdr:pic>
      <xdr:nvPicPr>
        <xdr:cNvPr id="8" name="Kuva 14">
          <a:extLst>
            <a:ext uri="{FF2B5EF4-FFF2-40B4-BE49-F238E27FC236}">
              <a16:creationId xmlns:a16="http://schemas.microsoft.com/office/drawing/2014/main" id="{29C4866A-C982-480C-92C7-A31C6262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8875" y="9363075"/>
          <a:ext cx="1066949" cy="1234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75</xdr:col>
      <xdr:colOff>612913</xdr:colOff>
      <xdr:row>228</xdr:row>
      <xdr:rowOff>0</xdr:rowOff>
    </xdr:from>
    <xdr:to>
      <xdr:col>91</xdr:col>
      <xdr:colOff>150529</xdr:colOff>
      <xdr:row>244</xdr:row>
      <xdr:rowOff>181426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75A5F-D5CA-4FBA-B4CC-0E8B16C92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51543" y="36219848"/>
          <a:ext cx="7363853" cy="3229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0000000}" name="Table13" displayName="Table13" ref="B91:P107" totalsRowShown="0" headerRowDxfId="25" dataDxfId="24" tableBorderDxfId="23">
  <autoFilter ref="B91:P107" xr:uid="{00000000-0009-0000-0100-00000D000000}"/>
  <sortState xmlns:xlrd2="http://schemas.microsoft.com/office/spreadsheetml/2017/richdata2" ref="B92:P106">
    <sortCondition ref="B91:B106"/>
  </sortState>
  <tableColumns count="15">
    <tableColumn id="1" xr3:uid="{00000000-0010-0000-0000-000001000000}" name="Nimi" dataDxfId="22">
      <calculatedColumnFormula>'15-16P'!C5</calculatedColumnFormula>
    </tableColumn>
    <tableColumn id="2" xr3:uid="{00000000-0010-0000-0000-000002000000}" name="O" dataDxfId="21">
      <calculatedColumnFormula>'15-16P'!D5</calculatedColumnFormula>
    </tableColumn>
    <tableColumn id="3" xr3:uid="{00000000-0010-0000-0000-000003000000}" name="M" dataDxfId="20">
      <calculatedColumnFormula>'15-16P'!E5</calculatedColumnFormula>
    </tableColumn>
    <tableColumn id="4" xr3:uid="{00000000-0010-0000-0000-000004000000}" name="S" dataDxfId="19">
      <calculatedColumnFormula>'15-16P'!F5</calculatedColumnFormula>
    </tableColumn>
    <tableColumn id="5" xr3:uid="{00000000-0010-0000-0000-000005000000}" name="P" dataDxfId="18">
      <calculatedColumnFormula>'15-16P'!G5</calculatedColumnFormula>
    </tableColumn>
    <tableColumn id="6" xr3:uid="{00000000-0010-0000-0000-000006000000}" name="J" dataDxfId="17">
      <calculatedColumnFormula>'15-16P'!H5</calculatedColumnFormula>
    </tableColumn>
    <tableColumn id="7" xr3:uid="{00000000-0010-0000-0000-000007000000}" name="Ratk" dataDxfId="16">
      <calculatedColumnFormula>'15-16P'!I5</calculatedColumnFormula>
    </tableColumn>
    <tableColumn id="8" xr3:uid="{00000000-0010-0000-0000-000008000000}" name="YV" dataDxfId="15">
      <calculatedColumnFormula>'15-16P'!J5</calculatedColumnFormula>
    </tableColumn>
    <tableColumn id="9" xr3:uid="{00000000-0010-0000-0000-000009000000}" name="AV" dataDxfId="14">
      <calculatedColumnFormula>'15-16P'!K5</calculatedColumnFormula>
    </tableColumn>
    <tableColumn id="10" xr3:uid="{00000000-0010-0000-0000-00000A000000}" name="RL" dataDxfId="13">
      <calculatedColumnFormula>'15-16P'!L5</calculatedColumnFormula>
    </tableColumn>
    <tableColumn id="11" xr3:uid="{00000000-0010-0000-0000-00000B000000}" name="0-peli" dataDxfId="12">
      <calculatedColumnFormula>'15-16P'!M5</calculatedColumnFormula>
    </tableColumn>
    <tableColumn id="12" xr3:uid="{00000000-0010-0000-0000-00000C000000}" name="SR" dataDxfId="11">
      <calculatedColumnFormula>'15-16P'!N5</calculatedColumnFormula>
    </tableColumn>
    <tableColumn id="13" xr3:uid="{00000000-0010-0000-0000-00000D000000}" name="TV" dataDxfId="10">
      <calculatedColumnFormula>'15-16P'!O5</calculatedColumnFormula>
    </tableColumn>
    <tableColumn id="14" xr3:uid="{00000000-0010-0000-0000-00000E000000}" name="Hattu" dataDxfId="9">
      <calculatedColumnFormula>'15-16P'!P5</calculatedColumnFormula>
    </tableColumn>
    <tableColumn id="15" xr3:uid="{00000000-0010-0000-0000-00000F000000}" name="TM" dataDxfId="8">
      <calculatedColumnFormula>'15-16P'!Q5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bl_Pelaajat" displayName="tbl_Pelaajat" ref="B2:C54" totalsRowShown="0">
  <autoFilter ref="B2:C54" xr:uid="{00000000-0009-0000-0100-000001000000}"/>
  <tableColumns count="2">
    <tableColumn id="1" xr3:uid="{00000000-0010-0000-0100-000001000000}" name="#" dataDxfId="7"/>
    <tableColumn id="2" xr3:uid="{00000000-0010-0000-0100-000002000000}" name="Pelaaja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Hallit" displayName="tbl_Hallit" ref="E2:E23" totalsRowShown="0">
  <autoFilter ref="E2:E23" xr:uid="{00000000-0009-0000-0100-000002000000}"/>
  <tableColumns count="1">
    <tableColumn id="1" xr3:uid="{00000000-0010-0000-0200-000001000000}" name="Hallit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bl_Tulos" displayName="tbl_Tulos" ref="G2:G5" totalsRowShown="0">
  <autoFilter ref="G2:G5" xr:uid="{00000000-0009-0000-0100-000003000000}"/>
  <tableColumns count="1">
    <tableColumn id="1" xr3:uid="{00000000-0010-0000-0300-000001000000}" name="Tulos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bl_Div" displayName="tbl_Div" ref="G8:G11" totalsRowShown="0">
  <autoFilter ref="G8:G11" xr:uid="{00000000-0009-0000-0100-000004000000}"/>
  <tableColumns count="1">
    <tableColumn id="1" xr3:uid="{00000000-0010-0000-0400-000001000000}" name="Sarja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bl_Kaudet" displayName="tbl_Kaudet" ref="O2:P21" totalsRowShown="0">
  <autoFilter ref="O2:P21" xr:uid="{00000000-0009-0000-0100-000005000000}"/>
  <tableColumns count="2">
    <tableColumn id="1" xr3:uid="{00000000-0010-0000-0500-000001000000}" name="Kaudet"/>
    <tableColumn id="2" xr3:uid="{00000000-0010-0000-0500-000002000000}" name="KausiVlookup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bl_Kausi1617" displayName="tbl_Kausi1617" ref="X2:X10" totalsRowShown="0">
  <autoFilter ref="X2:X10" xr:uid="{00000000-0009-0000-0100-000007000000}"/>
  <tableColumns count="1">
    <tableColumn id="1" xr3:uid="{00000000-0010-0000-0600-000001000000}" name="K16-1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_Kausi1516" displayName="tbl_Kausi1516" ref="Z2:Z6" totalsRowShown="0">
  <autoFilter ref="Z2:Z6" xr:uid="{00000000-0009-0000-0100-000006000000}"/>
  <tableColumns count="1">
    <tableColumn id="1" xr3:uid="{00000000-0010-0000-0700-000001000000}" name="K15-16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bl_Kausi1011" displayName="tbl_Kausi1011" ref="AJ2:AJ11" totalsRowShown="0">
  <autoFilter ref="AJ2:AJ11" xr:uid="{00000000-0009-0000-0100-000008000000}"/>
  <tableColumns count="1">
    <tableColumn id="1" xr3:uid="{00000000-0010-0000-0800-000001000000}" name="K10-1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bl_Kausi1718" displayName="tbl_Kausi1718" ref="V2:V10" totalsRowShown="0">
  <autoFilter ref="V2:V10" xr:uid="{00000000-0009-0000-0100-000009000000}"/>
  <tableColumns count="1">
    <tableColumn id="1" xr3:uid="{00000000-0010-0000-0900-000001000000}" name="K17-1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bl_KausiDivari" displayName="tbl_KausiDivari" ref="I2:J21" totalsRowShown="0">
  <autoFilter ref="I2:J21" xr:uid="{00000000-0009-0000-0100-00000A000000}"/>
  <tableColumns count="2">
    <tableColumn id="1" xr3:uid="{00000000-0010-0000-0A00-000001000000}" name="Kausi" dataDxfId="6"/>
    <tableColumn id="2" xr3:uid="{00000000-0010-0000-0A00-000002000000}" name="Divari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bl_KausiPitkaDivari" displayName="tbl_KausiPitkaDivari" ref="L2:M21" totalsRowShown="0" headerRowDxfId="5" headerRowBorderDxfId="4" tableBorderDxfId="3" totalsRowBorderDxfId="2">
  <autoFilter ref="L2:M21" xr:uid="{00000000-0009-0000-0100-00000B000000}"/>
  <tableColumns count="2">
    <tableColumn id="1" xr3:uid="{00000000-0010-0000-0B00-000001000000}" name="KausiPitka" dataDxfId="1"/>
    <tableColumn id="2" xr3:uid="{00000000-0010-0000-0B00-000002000000}" name="Divari" dataDxfId="0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bl_Kausi1819" displayName="tbl_Kausi1819" ref="T2:T9" totalsRowShown="0">
  <autoFilter ref="T2:T9" xr:uid="{00000000-0009-0000-0100-00000C000000}"/>
  <tableColumns count="1">
    <tableColumn id="1" xr3:uid="{00000000-0010-0000-0C00-000001000000}" name="K18-19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39B476-A07E-4B65-A54C-A10464BCB379}" name="Taulukko14" displayName="Taulukko14" ref="R2:R14" totalsRowShown="0">
  <autoFilter ref="R2:R14" xr:uid="{8D39B476-A07E-4B65-A54C-A10464BCB379}"/>
  <tableColumns count="1">
    <tableColumn id="1" xr3:uid="{005BAAF5-1231-46DF-BE9F-E3D5B4BF51F1}" name="K23-2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Ottelup&#246;yt&#228;kirjat\Kausi%2024-25%20-%203Div\340-O06-SekTa-OU-4-7-JokioistenLeip&#228;Areena-824492-2024-10-14-10-10-41.pdf" TargetMode="External"/><Relationship Id="rId13" Type="http://schemas.openxmlformats.org/officeDocument/2006/relationships/hyperlink" Target="Ottelup&#246;yt&#228;kirjat\Kausi%2024-25%20-%203Div\341-O07-AjT-SekTa-Tilastokaavake.jpeg" TargetMode="External"/><Relationship Id="rId18" Type="http://schemas.openxmlformats.org/officeDocument/2006/relationships/hyperlink" Target="Ottelup&#246;yt&#228;kirjat\Kausi%2024-25%20-%203Div\343-O09-SalPa-SekTa-Tilastokaavake.jpeg" TargetMode="External"/><Relationship Id="rId3" Type="http://schemas.openxmlformats.org/officeDocument/2006/relationships/hyperlink" Target="Ottelup&#246;yt&#228;kirjat\Kausi%2024-25%20-%203Div\337-O03-SekTa-SalPa-Tilastokaavake.jpeg" TargetMode="External"/><Relationship Id="rId7" Type="http://schemas.openxmlformats.org/officeDocument/2006/relationships/hyperlink" Target="Ottelup&#246;yt&#228;kirjat\Kausi%2024-25%20-%203Div\340-O06-SekTa-OU-Tilastokaavake.jpeg" TargetMode="External"/><Relationship Id="rId12" Type="http://schemas.openxmlformats.org/officeDocument/2006/relationships/hyperlink" Target="Ottelup&#246;yt&#228;kirjat\Kausi%2024-25%20-%203Div\335-O01-SBSWirmo2-SekTa-3-2-HaNiHalli-824514-20240907.pdf" TargetMode="External"/><Relationship Id="rId17" Type="http://schemas.openxmlformats.org/officeDocument/2006/relationships/hyperlink" Target="Ottelup&#246;yt&#228;kirjat\Kausi%2024-25%20-%203Div\342-O08-SekTa-TA631-Tilastokaavake.jpeg" TargetMode="External"/><Relationship Id="rId2" Type="http://schemas.openxmlformats.org/officeDocument/2006/relationships/hyperlink" Target="Ottelup&#246;yt&#228;kirjat\Kausi%2024-25%20-%203Div\336-O02-SekTa-Phantoms-Tilastokaavake.jpeg" TargetMode="External"/><Relationship Id="rId16" Type="http://schemas.openxmlformats.org/officeDocument/2006/relationships/hyperlink" Target="Ottelup&#246;yt&#228;kirjat\Kausi%2024-25%20-%203Div\341-O07-AjT-SekTa-Tilastokaavake.jpeg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Ottelup&#246;yt&#228;kirjat\Kausi%2024-25%20-%203Div\335-O01-SBSWirmo2-SekTa-Tilastokaavake.jpeg" TargetMode="External"/><Relationship Id="rId6" Type="http://schemas.openxmlformats.org/officeDocument/2006/relationships/hyperlink" Target="Ottelup&#246;yt&#228;kirjat\Kausi%2024-25%20-%203Div\339-O05-FosuAkatemia-SekTa-3-8-JokioistenLeip&#228;Areena-824494-2024-10-14-09-59-23.pdf" TargetMode="External"/><Relationship Id="rId11" Type="http://schemas.openxmlformats.org/officeDocument/2006/relationships/hyperlink" Target="Ottelup&#246;yt&#228;kirjat\Kausi%2024-25%20-%203Div\336-O02-SekTa-Phantoms-3-5-HaNiHalli-824512-20240907.pdf" TargetMode="External"/><Relationship Id="rId5" Type="http://schemas.openxmlformats.org/officeDocument/2006/relationships/hyperlink" Target="Ottelup&#246;yt&#228;kirjat\Kausi%2024-25%20-%203Div\339-O05-FoSuAkatemia-SekTa-Tilastokaavake.jpeg" TargetMode="External"/><Relationship Id="rId15" Type="http://schemas.openxmlformats.org/officeDocument/2006/relationships/hyperlink" Target="Ottelup&#246;yt&#228;kirjat\Kausi%2024-25%20-%203Div\343-O09-SalPa-SekTa-Tilastokaavake.jpeg" TargetMode="External"/><Relationship Id="rId10" Type="http://schemas.openxmlformats.org/officeDocument/2006/relationships/hyperlink" Target="Ottelup&#246;yt&#228;kirjat\Kausi%2024-25%20-%203Div\337-O03-SekTa-SalPa-2-1-Leaf-824506-20240920.pdf" TargetMode="External"/><Relationship Id="rId19" Type="http://schemas.openxmlformats.org/officeDocument/2006/relationships/printerSettings" Target="../printerSettings/printerSettings16.bin"/><Relationship Id="rId4" Type="http://schemas.openxmlformats.org/officeDocument/2006/relationships/hyperlink" Target="Ottelup&#246;yt&#228;kirjat\Kausi%2024-25%20-%203Div\338-O04-SBHirvensalo-SekTa-Tilastokaavake.jpeg" TargetMode="External"/><Relationship Id="rId9" Type="http://schemas.openxmlformats.org/officeDocument/2006/relationships/hyperlink" Target="Ottelup&#246;yt&#228;kirjat\Kausi%2024-25%20-%203Div\338-O04-SBHirvensalo-SekTa-1-8-Leaf-824496-20240927.pdf" TargetMode="External"/><Relationship Id="rId14" Type="http://schemas.openxmlformats.org/officeDocument/2006/relationships/hyperlink" Target="Ottelup&#246;yt&#228;kirjat\Kausi%2024-25%20-%203Div\342-O08-SekTa-TA631-Tilastokaavake.jpeg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Ottelup&#246;yt&#228;kirjat\Kausi%2011-12%20-%204Div\094-O01-SekTa-Ryhti-25092011-LeafAreena.pdf" TargetMode="External"/><Relationship Id="rId299" Type="http://schemas.openxmlformats.org/officeDocument/2006/relationships/hyperlink" Target="Ottelup&#246;yt&#228;kirjat\Kausi%2021-22%20-%203Div\285-O18-3DIV-3657-SekTa-SC-Toivo-Leaf-2022-03-19.pdf" TargetMode="External"/><Relationship Id="rId21" Type="http://schemas.openxmlformats.org/officeDocument/2006/relationships/hyperlink" Target="Ottelup&#246;yt&#228;kirjat\Kausi%2023-24%20-%204Div\331-O21-810859-2024-04-06-1545-Leaf_Areena-SekTa-SC_Wolves2.pdf" TargetMode="External"/><Relationship Id="rId63" Type="http://schemas.openxmlformats.org/officeDocument/2006/relationships/hyperlink" Target="Ottelup&#246;yt&#228;kirjat\Kausi%2008-09%20-%205Div\040-O01-SekTa-Eligere-18102008-SBAreena.pdf" TargetMode="External"/><Relationship Id="rId159" Type="http://schemas.openxmlformats.org/officeDocument/2006/relationships/hyperlink" Target="Ottelup&#246;yt&#228;kirjat\Kausi%2013-14%20-%204Div\137-O07-PIF-SekTa-01122013-LeafAreena.pdf" TargetMode="External"/><Relationship Id="rId324" Type="http://schemas.openxmlformats.org/officeDocument/2006/relationships/hyperlink" Target="Ottelup&#246;yt&#228;kirjat\Kausi%2022-23%20-%204Div\310-O24-4DIV-Flames-SekTa-SportGarden-2991-2023-04-01.pdf" TargetMode="External"/><Relationship Id="rId170" Type="http://schemas.openxmlformats.org/officeDocument/2006/relationships/hyperlink" Target="Ottelup&#246;yt&#228;kirjat\Kausi%2013-14%20-%204Div\148-O18-SekTa-TPS2-15032014-LeafAreena.pdf" TargetMode="External"/><Relationship Id="rId226" Type="http://schemas.openxmlformats.org/officeDocument/2006/relationships/hyperlink" Target="Ottelup&#246;yt&#228;kirjat\Kausi%2017-18%20-%204Div\211-O06-2017-11-26-SB-Naantali-SekTa_5-1_Maijam&#228;en-Liikuntahalli.jpg" TargetMode="External"/><Relationship Id="rId268" Type="http://schemas.openxmlformats.org/officeDocument/2006/relationships/hyperlink" Target="Ottelup&#246;yt&#228;kirjat\Kausi%2019-20%20-%204Div\254-O08-4DIV-SBNaantali3-SekTa-Leaf-7070-2019-11-16.pdf" TargetMode="External"/><Relationship Id="rId32" Type="http://schemas.openxmlformats.org/officeDocument/2006/relationships/hyperlink" Target="Ottelup&#246;yt&#228;kirjat\Kausi%2006-07%20-%205Div\008-O08-SekTa-Bulls-09122006-R&#228;nt&#228;m&#228;ki.pdf" TargetMode="External"/><Relationship Id="rId74" Type="http://schemas.openxmlformats.org/officeDocument/2006/relationships/hyperlink" Target="Ottelup&#246;yt&#228;kirjat\Kausi%2008-09%20-%205Div\051-O12-SekTa-SBSWirmo2-07022009-R&#228;nt&#228;m&#228;ki.pdf" TargetMode="External"/><Relationship Id="rId128" Type="http://schemas.openxmlformats.org/officeDocument/2006/relationships/hyperlink" Target="Ottelup&#246;yt&#228;kirjat\Kausi%2011-12%20-%204Div\105-O12-SekTa-SBSMasku2-21012012-SportGarden.pdf" TargetMode="External"/><Relationship Id="rId335" Type="http://schemas.openxmlformats.org/officeDocument/2006/relationships/hyperlink" Target="Ottelup&#246;yt&#228;kirjat\Kausi%2024-25%20-%203Div\345-O11-SekTa-Velehot-5-5-Leaf-824468-20241130.pdf" TargetMode="External"/><Relationship Id="rId5" Type="http://schemas.openxmlformats.org/officeDocument/2006/relationships/hyperlink" Target="Ottelup&#246;yt&#228;kirjat\Kausi%2023-24%20-%204Div\315-O05-721437-2023-11-04-1100-Leaf_Areena-SekTa-Mammutti.pdf" TargetMode="External"/><Relationship Id="rId181" Type="http://schemas.openxmlformats.org/officeDocument/2006/relationships/hyperlink" Target="Ottelup&#246;yt&#228;kirjat\Kausi%2014-15%20-%204Div\159-O11-SekTa-IKA-10012015-PuntParainen.pdf" TargetMode="External"/><Relationship Id="rId237" Type="http://schemas.openxmlformats.org/officeDocument/2006/relationships/hyperlink" Target="Ottelup&#246;yt&#228;kirjat\Kausi%2018-19%20-%204Div\223-O01-Phantoms-SekTa-KisariihiP&#246;yty&#228;-522373-2024-08-30-10-36-22.pdf" TargetMode="External"/><Relationship Id="rId279" Type="http://schemas.openxmlformats.org/officeDocument/2006/relationships/hyperlink" Target="Ottelup&#246;yt&#228;kirjat\Kausi%2019-20%20-%204Div\265-O19-4DIV-SBSKM-SekTa-SBAreena-7121-2020-02-29.pdf" TargetMode="External"/><Relationship Id="rId43" Type="http://schemas.openxmlformats.org/officeDocument/2006/relationships/hyperlink" Target="Ottelup&#246;yt&#228;kirjat\Kausi%2006-07%20-%205Div\019-O19-SekTa-PenaltyBoys2-17032007-R&#228;nt&#228;m&#228;ki.pdf" TargetMode="External"/><Relationship Id="rId139" Type="http://schemas.openxmlformats.org/officeDocument/2006/relationships/hyperlink" Target="Ottelup&#246;yt&#228;kirjat\Kausi%2012-13%20-%205Div\116-O05-SekTa-RiverRats-03112012-KilosportTurku.pdf" TargetMode="External"/><Relationship Id="rId290" Type="http://schemas.openxmlformats.org/officeDocument/2006/relationships/hyperlink" Target="Ottelup&#246;yt&#228;kirjat\Kausi%2021-22%20-%203Div\276-O09-3DIV-3627-SekTa-P&#246;U-SBAreena-2022-02-05.pdf" TargetMode="External"/><Relationship Id="rId304" Type="http://schemas.openxmlformats.org/officeDocument/2006/relationships/hyperlink" Target="Ottelup&#246;yt&#228;kirjat\Kausi%2022-23%20-%204Div\290-O04-4DIV-SekTa-FCKYPS-Leaf-2899-2022-10-16.pdf" TargetMode="External"/><Relationship Id="rId346" Type="http://schemas.openxmlformats.org/officeDocument/2006/relationships/hyperlink" Target="Ottelup&#246;yt&#228;kirjat\Kausi%2024-25%20-%203Div\356-O22-TVV-SekTa-7-1-Leaf-824430-20250329.pdf" TargetMode="External"/><Relationship Id="rId85" Type="http://schemas.openxmlformats.org/officeDocument/2006/relationships/hyperlink" Target="Ottelup&#246;yt&#228;kirjat\Kausi%2009-10%20-%204Div\062-O05-SekTa-LeVi-25102009-HemminginKoulu.pdf" TargetMode="External"/><Relationship Id="rId150" Type="http://schemas.openxmlformats.org/officeDocument/2006/relationships/hyperlink" Target="Ottelup&#246;yt&#228;kirjat\Kausi%2012-13%20-%205Div\127-O15-Musketeers2-SekTa-17022013-LeafAreena.pdf" TargetMode="External"/><Relationship Id="rId192" Type="http://schemas.openxmlformats.org/officeDocument/2006/relationships/hyperlink" Target="Ottelup&#246;yt&#228;kirjat\Kausi%2015-16%20-%204Div\171-O02-AFCCampus4-SekTa-26092015-Leaf.pdf" TargetMode="External"/><Relationship Id="rId206" Type="http://schemas.openxmlformats.org/officeDocument/2006/relationships/hyperlink" Target="Ottelup&#246;yt&#228;kirjat\Kausi%2016-17%20-%204Div\192-O03-Gremlins-SekTa-29102016-SBAreena.pdf" TargetMode="External"/><Relationship Id="rId248" Type="http://schemas.openxmlformats.org/officeDocument/2006/relationships/hyperlink" Target="Ottelup&#246;yt&#228;kirjat\Kausi%2018-19%20-%204Div\234-O12-SekTa-AFCCampus2-PuntParainen-522468-2024-08-30-10-46-20.pdf" TargetMode="External"/><Relationship Id="rId12" Type="http://schemas.openxmlformats.org/officeDocument/2006/relationships/hyperlink" Target="Ottelup&#246;yt&#228;kirjat\Kausi%2023-24%20-%204Div\322-O12-721401-2024-01-06-1400-Lietohalli-SekTa-SBS_Lieto2.pdf" TargetMode="External"/><Relationship Id="rId108" Type="http://schemas.openxmlformats.org/officeDocument/2006/relationships/hyperlink" Target="Ottelup&#246;yt&#228;kirjat\Kausi%2010-11%20-%204Div\085-O10-SekTa-SBSLieto3-09012011-Lietohalli.pdf" TargetMode="External"/><Relationship Id="rId315" Type="http://schemas.openxmlformats.org/officeDocument/2006/relationships/hyperlink" Target="Ottelup&#246;yt&#228;kirjat\Kausi%2022-23%20-%204Div\301-O15-4DIV-Ruoska4-SekTa-NousteAreena-2948-2023-01-21.pdf" TargetMode="External"/><Relationship Id="rId54" Type="http://schemas.openxmlformats.org/officeDocument/2006/relationships/hyperlink" Target="Ottelup&#246;yt&#228;kirjat\Kausi%2007-08%20-%204Div\030-O09-Gremlins-SekTa-05012008-R&#228;nt&#228;m&#228;en-LK.pdf" TargetMode="External"/><Relationship Id="rId96" Type="http://schemas.openxmlformats.org/officeDocument/2006/relationships/hyperlink" Target="Ottelup&#246;yt&#228;kirjat\Kausi%2009-10%20-%204Div\073-O16-SBSWirmo2-SekTa-07032010-LeafAreena.pdf" TargetMode="External"/><Relationship Id="rId161" Type="http://schemas.openxmlformats.org/officeDocument/2006/relationships/hyperlink" Target="Ottelup&#246;yt&#228;kirjat\Kausi%2013-14%20-%204Div\139-O09-SekTa-TVA-15122013-SBAreena.pdf" TargetMode="External"/><Relationship Id="rId217" Type="http://schemas.openxmlformats.org/officeDocument/2006/relationships/hyperlink" Target="Ottelup&#246;yt&#228;kirjat\Kausi%2016-17%20-%204Div\203-O14-SekTa-Py&#246;velit2-26022017-SBAreena.pdf" TargetMode="External"/><Relationship Id="rId259" Type="http://schemas.openxmlformats.org/officeDocument/2006/relationships/hyperlink" Target="Ottelup&#246;yt&#228;kirjat\Kausi%2018-19%20-%204Div\245-O23-Karsinta-SekTa-SBNaantali3-MomentumPori-571610-2024-08-30-10-56-37.pdf" TargetMode="External"/><Relationship Id="rId23" Type="http://schemas.openxmlformats.org/officeDocument/2006/relationships/hyperlink" Target="Ottelup&#246;yt&#228;kirjat\Kausi%2023-24%20-%204Div\333-O23-814539-2024-04-13-1830-Kisariihi_P&#246;yty&#228;-FC_KYPS-SekTa.pdf" TargetMode="External"/><Relationship Id="rId119" Type="http://schemas.openxmlformats.org/officeDocument/2006/relationships/hyperlink" Target="Ottelup&#246;yt&#228;kirjat\Kausi%2011-12%20-%204Div\096-O03-SBSMasku2-SekTa-08102011-Hemminki.pdf" TargetMode="External"/><Relationship Id="rId270" Type="http://schemas.openxmlformats.org/officeDocument/2006/relationships/hyperlink" Target="Ottelup&#246;yt&#228;kirjat\Kausi%2019-20%20-%204Div\256-O10-4DIV-TA631-SekTa-SportGarden-7081-2019-12-07.pdf" TargetMode="External"/><Relationship Id="rId326" Type="http://schemas.openxmlformats.org/officeDocument/2006/relationships/hyperlink" Target="Ottelup&#246;yt&#228;kirjat\Kausi%2024-25%20-%203Div\336-O02-SekTa-Phantoms-3-5-HaNiHalli-824512-20240907.pdf" TargetMode="External"/><Relationship Id="rId65" Type="http://schemas.openxmlformats.org/officeDocument/2006/relationships/hyperlink" Target="Ottelup&#246;yt&#228;kirjat\Kausi%2008-09%20-%205Div\042-O03-SBSWirmo2-SekTa-01112008-Laurinkoulu.pdf" TargetMode="External"/><Relationship Id="rId130" Type="http://schemas.openxmlformats.org/officeDocument/2006/relationships/hyperlink" Target="Ottelup&#246;yt&#228;kirjat\Kausi%2011-12%20-%204Div\107-O14-AFCCampus4-SekTa-04022012-KilosportTurku.pdf" TargetMode="External"/><Relationship Id="rId172" Type="http://schemas.openxmlformats.org/officeDocument/2006/relationships/hyperlink" Target="Ottelup&#246;yt&#228;kirjat\Kausi%2014-15%20-%204Div\150-O02-IKA-SekTa-04102014-Leaf.pdf" TargetMode="External"/><Relationship Id="rId228" Type="http://schemas.openxmlformats.org/officeDocument/2006/relationships/hyperlink" Target="Ottelup&#246;yt&#228;kirjat\Kausi%2017-18%20-%204Div\214-O09-2018-01-07-SekTa-TBS_3-4_Leaf-Areena.jpg" TargetMode="External"/><Relationship Id="rId281" Type="http://schemas.openxmlformats.org/officeDocument/2006/relationships/hyperlink" Target="Ottelup&#246;yt&#228;kirjat\Kausi%2020-21%20-%203Div\267-O02-3DIV-SekTa-SBSWirmo2-HaNihalli-5630-2020-10-11.pdf" TargetMode="External"/><Relationship Id="rId337" Type="http://schemas.openxmlformats.org/officeDocument/2006/relationships/hyperlink" Target="Ottelup&#246;yt&#228;kirjat\Kausi%2024-25%20-%203Div\347-O13-SekTa-SBSWirmo2-2-5-Leaf-824446-20250118.pdf" TargetMode="External"/><Relationship Id="rId34" Type="http://schemas.openxmlformats.org/officeDocument/2006/relationships/hyperlink" Target="Ottelup&#246;yt&#228;kirjat\Kausi%2006-07%20-%205Div\010-O10-SekTa-SBTAakkerit-17122006-SB-Areena.pdf" TargetMode="External"/><Relationship Id="rId76" Type="http://schemas.openxmlformats.org/officeDocument/2006/relationships/hyperlink" Target="Ottelup&#246;yt&#228;kirjat\Kausi%2008-09%20-%205Div\053-O14-SekTa-Ponteva-07032009-R&#228;nt&#228;m&#228;ki.pdf" TargetMode="External"/><Relationship Id="rId141" Type="http://schemas.openxmlformats.org/officeDocument/2006/relationships/hyperlink" Target="Ottelup&#246;yt&#228;kirjat\Kausi%2012-13%20-%205Div\118-O06-SekTa-RiverRats-25112012-LeafAreena.pdf" TargetMode="External"/><Relationship Id="rId7" Type="http://schemas.openxmlformats.org/officeDocument/2006/relationships/hyperlink" Target="Ottelup&#246;yt&#228;kirjat\Kausi%2023-24%20-%204Div\317-O07-721430-2023-11-25-1200-Lietohalli-FBC_Feelings-SekTa.pdf" TargetMode="External"/><Relationship Id="rId183" Type="http://schemas.openxmlformats.org/officeDocument/2006/relationships/hyperlink" Target="Ottelup&#246;yt&#228;kirjat\Kausi%2014-15%20-%204Div\161-O13-PaPeNu-SekTa-24012015-Leaf.pdf" TargetMode="External"/><Relationship Id="rId239" Type="http://schemas.openxmlformats.org/officeDocument/2006/relationships/hyperlink" Target="Ottelup&#246;yt&#228;kirjat\Kausi%2018-19%20-%204Div\225-O03-KIK-SekTa-PuntParainen-522395-2024-08-30-10-39-03.pdf" TargetMode="External"/><Relationship Id="rId250" Type="http://schemas.openxmlformats.org/officeDocument/2006/relationships/hyperlink" Target="Ottelup&#246;yt&#228;kirjat\Kausi%2018-19%20-%204Div\236-O14-SekTa-Phantoms-SBAreena-522482-2024-08-30-10-47-45.pdf" TargetMode="External"/><Relationship Id="rId292" Type="http://schemas.openxmlformats.org/officeDocument/2006/relationships/hyperlink" Target="Ottelup&#246;yt&#228;kirjat\Kausi%2021-22%20-%203Div\278-O11-3DIV-3635-TBS-SekTa-SBAreena-2022-02-19.pdf" TargetMode="External"/><Relationship Id="rId306" Type="http://schemas.openxmlformats.org/officeDocument/2006/relationships/hyperlink" Target="Ottelup&#246;yt&#228;kirjat\Kausi%2022-23%20-%204Div\292-O06-4DIV-AFCCampus2-SekTa-Kisariihi-2905-2022-10-29.pdf" TargetMode="External"/><Relationship Id="rId45" Type="http://schemas.openxmlformats.org/officeDocument/2006/relationships/hyperlink" Target="Ottelup&#246;yt&#228;kirjat\Kausi%2006-07%20-%205Div\021-O21-PaPeNu-SekTa-31032007-SB-Areena.pdf" TargetMode="External"/><Relationship Id="rId87" Type="http://schemas.openxmlformats.org/officeDocument/2006/relationships/hyperlink" Target="Ottelup&#246;yt&#228;kirjat\Kausi%2009-10%20-%204Div\064-O07-SekTa-UHWBulls-28112009-SportGarden.pdf" TargetMode="External"/><Relationship Id="rId110" Type="http://schemas.openxmlformats.org/officeDocument/2006/relationships/hyperlink" Target="Ottelup&#246;yt&#228;kirjat\Kausi%2010-11%20-%204Div\087-O12-SoVo-SekTa-29012011-HalikonLH.pdf" TargetMode="External"/><Relationship Id="rId348" Type="http://schemas.openxmlformats.org/officeDocument/2006/relationships/drawing" Target="../drawings/drawing4.xml"/><Relationship Id="rId152" Type="http://schemas.openxmlformats.org/officeDocument/2006/relationships/hyperlink" Target="Ottelup&#246;yt&#228;kirjat\Kausi%2012-13%20-%205Div\129-O17-SekTa-FBTMarlins-23032013-KilosportTurku.pdf" TargetMode="External"/><Relationship Id="rId194" Type="http://schemas.openxmlformats.org/officeDocument/2006/relationships/hyperlink" Target="Ottelup&#246;yt&#228;kirjat\Kausi%2015-16%20-%204Div\174-O05-HirvHe-SekTa-01112015-Leaf.pdf" TargetMode="External"/><Relationship Id="rId208" Type="http://schemas.openxmlformats.org/officeDocument/2006/relationships/hyperlink" Target="Ottelup&#246;yt&#228;kirjat\Kausi%2016-17%20-%204Div\194-O05-SekTa-HirvHe-20112016-SBAreena.pdf" TargetMode="External"/><Relationship Id="rId261" Type="http://schemas.openxmlformats.org/officeDocument/2006/relationships/hyperlink" Target="Ottelup&#246;yt&#228;kirjat\Kausi%2019-20%20-%204Div\247-O01-Suomen-Cup-SekTa-KaPa65-Leaf-1754-2019-08-31.pdf" TargetMode="External"/><Relationship Id="rId14" Type="http://schemas.openxmlformats.org/officeDocument/2006/relationships/hyperlink" Target="Ottelup&#246;yt&#228;kirjat\Kausi%2023-24%20-%204Div\324-O14-721390-2024-01-27-1300-Leaf_Areena-SekTa-TVA2.pdf" TargetMode="External"/><Relationship Id="rId35" Type="http://schemas.openxmlformats.org/officeDocument/2006/relationships/hyperlink" Target="Ottelup&#246;yt&#228;kirjat\Kausi%2006-07%20-%205Div\011-O11-TuWe3-SekTa-06012007-R&#228;nt&#228;m&#228;ki.pdf" TargetMode="External"/><Relationship Id="rId56" Type="http://schemas.openxmlformats.org/officeDocument/2006/relationships/hyperlink" Target="Ottelup&#246;yt&#228;kirjat\Kausi%2007-08%20-%204Div\032-O11-SekTa-AFC_Campus_6-10022008-SB-Areena.pdf" TargetMode="External"/><Relationship Id="rId77" Type="http://schemas.openxmlformats.org/officeDocument/2006/relationships/hyperlink" Target="Ottelup&#246;yt&#228;kirjat\Kausi%2008-09%20-%205Div\054-O15-Py&#246;velit-SekTa-07032009-R&#228;nt&#228;m&#228;ki.pdf" TargetMode="External"/><Relationship Id="rId100" Type="http://schemas.openxmlformats.org/officeDocument/2006/relationships/hyperlink" Target="Ottelup&#246;yt&#228;kirjat\Kausi%2010-11%20-%204Div\077-O02-ElPantera-SekTa-19092010-Lietohalli.pdf" TargetMode="External"/><Relationship Id="rId282" Type="http://schemas.openxmlformats.org/officeDocument/2006/relationships/hyperlink" Target="Ottelup&#246;yt&#228;kirjat\Kausi%2021-22%20-%203Div\268-O01-3DIV-3577-SekTa-Flames-Orip&#228;&#228;-2021-09-25.pdf" TargetMode="External"/><Relationship Id="rId317" Type="http://schemas.openxmlformats.org/officeDocument/2006/relationships/hyperlink" Target="Ottelup&#246;yt&#228;kirjat\Kausi%2022-23%20-%204Div\303-O17-4DIV-FBCTurku3-SekTa-Leaf-2956-2023-02-12.pdf" TargetMode="External"/><Relationship Id="rId338" Type="http://schemas.openxmlformats.org/officeDocument/2006/relationships/hyperlink" Target="Ottelup&#246;yt&#228;kirjat\Kausi%2024-25%20-%203Div\348-O14-Phantoms-SekTa-4-6-Leaf-824443-20250118.pdf" TargetMode="External"/><Relationship Id="rId8" Type="http://schemas.openxmlformats.org/officeDocument/2006/relationships/hyperlink" Target="Ottelup&#246;yt&#228;kirjat\Kausi%2023-24%20-%204Div\318-O08-721428-2023-11-25-1400-Lietohalli-SekTa-SB_Somero.pdf" TargetMode="External"/><Relationship Id="rId98" Type="http://schemas.openxmlformats.org/officeDocument/2006/relationships/hyperlink" Target="Ottelup&#246;yt&#228;kirjat\Kausi%2009-10%20-%204Div\075-O18-SekTa-Team17-20032010-LeafAreena.pdf" TargetMode="External"/><Relationship Id="rId121" Type="http://schemas.openxmlformats.org/officeDocument/2006/relationships/hyperlink" Target="Ottelup&#246;yt&#228;kirjat\Kausi%2011-12%20-%204Div\098-O05-SekTa-AFCCampus4-22102011-KilosportTurku.pdf" TargetMode="External"/><Relationship Id="rId142" Type="http://schemas.openxmlformats.org/officeDocument/2006/relationships/hyperlink" Target="Ottelup&#246;yt&#228;kirjat\Kausi%2012-13%20-%205Div\119-O07-HIF-SekTa-25112012-LeafAreena.pdf" TargetMode="External"/><Relationship Id="rId163" Type="http://schemas.openxmlformats.org/officeDocument/2006/relationships/hyperlink" Target="Ottelup&#246;yt&#228;kirjat\Kausi%2013-14%20-%204Div\141-O11-TPS2-SekTa-25012014-PuntParainen.pdf" TargetMode="External"/><Relationship Id="rId184" Type="http://schemas.openxmlformats.org/officeDocument/2006/relationships/hyperlink" Target="Ottelup&#246;yt&#228;kirjat\Kausi%2014-15%20-%204Div\162-O14-SekTa-FBCTurku2-24012015-Leaf.pdf" TargetMode="External"/><Relationship Id="rId219" Type="http://schemas.openxmlformats.org/officeDocument/2006/relationships/hyperlink" Target="Ottelup&#246;yt&#228;kirjat\Kausi%2016-17%20-%204Div\205-O16-RKRangers-SekTa-18032017-SBAreena.pdf" TargetMode="External"/><Relationship Id="rId230" Type="http://schemas.openxmlformats.org/officeDocument/2006/relationships/hyperlink" Target="Ottelup&#246;yt&#228;kirjat\Kausi%2017-18%20-%204Div\216-O11-2018-01-27-Yrmyt-SekTa_11-4_Pohitullin-Palloiluhalli.jpg" TargetMode="External"/><Relationship Id="rId251" Type="http://schemas.openxmlformats.org/officeDocument/2006/relationships/hyperlink" Target="Ottelup&#246;yt&#228;kirjat\Kausi%2018-19%20-%204Div\237-O15-KIK-SekTa-SBAreena-522495-2024-08-30-10-48-35.pdf" TargetMode="External"/><Relationship Id="rId25" Type="http://schemas.openxmlformats.org/officeDocument/2006/relationships/hyperlink" Target="Ottelup&#246;yt&#228;kirjat\Kausi%2006-07%20-%205Div\001-O01-SekTa-FBCBlueRiver-01102006-R&#228;nt&#228;m&#228;ki.pdf" TargetMode="External"/><Relationship Id="rId46" Type="http://schemas.openxmlformats.org/officeDocument/2006/relationships/hyperlink" Target="Ottelup&#246;yt&#228;kirjat\Kausi%2007-08%20-%204Div\022-O01-AFC_Campus_6-SekTa-22092007-SB-Areena.pdf" TargetMode="External"/><Relationship Id="rId67" Type="http://schemas.openxmlformats.org/officeDocument/2006/relationships/hyperlink" Target="Ottelup&#246;yt&#228;kirjat\Kausi%2008-09%20-%205Div\044-O05-Ponteva-SekTa-30112008-SBAreena.pdf" TargetMode="External"/><Relationship Id="rId272" Type="http://schemas.openxmlformats.org/officeDocument/2006/relationships/hyperlink" Target="Ottelup&#246;yt&#228;kirjat\Kausi%2019-20%20-%204Div\258-O12-4DIV-SekTa-RKRangers-Maijam&#228;ki-7090-2020-01-05.pdf" TargetMode="External"/><Relationship Id="rId293" Type="http://schemas.openxmlformats.org/officeDocument/2006/relationships/hyperlink" Target="Ottelup&#246;yt&#228;kirjat\Kausi%2021-22%20-%203Div\279-O12-3DIV-3637-TVA-SekTa-SBAreena-2022-02-19.pdf" TargetMode="External"/><Relationship Id="rId307" Type="http://schemas.openxmlformats.org/officeDocument/2006/relationships/hyperlink" Target="Ottelup&#246;yt&#228;kirjat\Kausi%2022-23%20-%204Div\293-O07-4DIV-Flames-SekTa-Lietohalli-2913-2022-11-20.pdf" TargetMode="External"/><Relationship Id="rId328" Type="http://schemas.openxmlformats.org/officeDocument/2006/relationships/hyperlink" Target="Ottelup&#246;yt&#228;kirjat\Kausi%2024-25%20-%203Div\338-O04-SBHirvensalo-SekTa-1-8-Leaf-824496-20240927.pdf" TargetMode="External"/><Relationship Id="rId88" Type="http://schemas.openxmlformats.org/officeDocument/2006/relationships/hyperlink" Target="Ottelup&#246;yt&#228;kirjat\Kausi%2009-10%20-%204Div\065-O08-SekTa-SBSWirmo2-28112009-SportGarden.pdf" TargetMode="External"/><Relationship Id="rId111" Type="http://schemas.openxmlformats.org/officeDocument/2006/relationships/hyperlink" Target="Ottelup&#246;yt&#228;kirjat\Kausi%2010-11%20-%204Div\088-O13-KoKa-SekTa-19022011-KilosportPaimio.pdf" TargetMode="External"/><Relationship Id="rId132" Type="http://schemas.openxmlformats.org/officeDocument/2006/relationships/hyperlink" Target="Ottelup&#246;yt&#228;kirjat\Kausi%2011-12%20-%204Div\109-O16-Team17-SekTa-03032012-KilosportTurku.pdf" TargetMode="External"/><Relationship Id="rId153" Type="http://schemas.openxmlformats.org/officeDocument/2006/relationships/hyperlink" Target="Ottelup&#246;yt&#228;kirjat\Kausi%2012-13%20-%205Div\130-O18-SBSKes&#228;ter&#228;-SekTa-23032013-KilosportTurku.pdf" TargetMode="External"/><Relationship Id="rId174" Type="http://schemas.openxmlformats.org/officeDocument/2006/relationships/hyperlink" Target="Ottelup&#246;yt&#228;kirjat\Kausi%2014-15%20-%204Div\152-O04-SekTa-AFCCampus4-25102014-PuntParainen.pdf" TargetMode="External"/><Relationship Id="rId195" Type="http://schemas.openxmlformats.org/officeDocument/2006/relationships/hyperlink" Target="Ottelup&#246;yt&#228;kirjat\Kausi%2015-16%20-%204Div\175-O06-Yrmyt-SekTa-01112015-Leaf.pdf" TargetMode="External"/><Relationship Id="rId209" Type="http://schemas.openxmlformats.org/officeDocument/2006/relationships/hyperlink" Target="Ottelup&#246;yt&#228;kirjat\Kausi%2016-17%20-%204Div\195-O06-Py&#246;velit2-SekTa-20112016-SBAreena.pdf" TargetMode="External"/><Relationship Id="rId220" Type="http://schemas.openxmlformats.org/officeDocument/2006/relationships/hyperlink" Target="Ottelup&#246;yt&#228;kirjat\Kausi%2015-16%20-%204Div\173-O04-SekTa-PaPeNu-17102015-Taivassalo.pdf" TargetMode="External"/><Relationship Id="rId241" Type="http://schemas.openxmlformats.org/officeDocument/2006/relationships/hyperlink" Target="Ottelup&#246;yt&#228;kirjat\Kausi%2018-19%20-%204Div\227-O05-SekTa-PIF1-LeafAreena-522407-2024-08-30-10-40-44.pdf" TargetMode="External"/><Relationship Id="rId15" Type="http://schemas.openxmlformats.org/officeDocument/2006/relationships/hyperlink" Target="Ottelup&#246;yt&#228;kirjat\Kausi%2023-24%20-%204Div\325-O15-721382-2024-02-17-1000-Leaf_Areena-SekTa-Flames.pdf" TargetMode="External"/><Relationship Id="rId36" Type="http://schemas.openxmlformats.org/officeDocument/2006/relationships/hyperlink" Target="Ottelup&#246;yt&#228;kirjat\Kausi%2006-07%20-%205Div\012-O12-SekTa-SBB-06012007-R&#228;nt&#228;m&#228;ki.pdf" TargetMode="External"/><Relationship Id="rId57" Type="http://schemas.openxmlformats.org/officeDocument/2006/relationships/hyperlink" Target="Ottelup&#246;yt&#228;kirjat\Kausi%2007-08%20-%204Div\033-O12-SekTa-SBT_Shadows-10022008-SB-Areena.pdf" TargetMode="External"/><Relationship Id="rId262" Type="http://schemas.openxmlformats.org/officeDocument/2006/relationships/hyperlink" Target="Ottelup&#246;yt&#228;kirjat\Kausi%2019-20%20-%204Div\248-O02-Suomen-Cup-PRM-SekTa-Leaf-1756-2019-08-31.pdf" TargetMode="External"/><Relationship Id="rId283" Type="http://schemas.openxmlformats.org/officeDocument/2006/relationships/hyperlink" Target="Ottelup&#246;yt&#228;kirjat\Kausi%2021-22%20-%203Div\269-O02-3DIV-3579-SekTa-OU-Orip&#228;&#228;-2021-09-25.pdf" TargetMode="External"/><Relationship Id="rId318" Type="http://schemas.openxmlformats.org/officeDocument/2006/relationships/hyperlink" Target="Ottelup&#246;yt&#228;kirjat\Kausi%2022-23%20-%204Div\304-O18-4DIV-SekTa-TVA2-Leaf-2963-2023-02-12.pdf" TargetMode="External"/><Relationship Id="rId339" Type="http://schemas.openxmlformats.org/officeDocument/2006/relationships/hyperlink" Target="Ottelup&#246;yt&#228;kirjat\Kausi%2024-25%20-%203Div\349-O15-SekTa-SBHirvensalo-7-1-Leaf-824433-20250207.pdf" TargetMode="External"/><Relationship Id="rId78" Type="http://schemas.openxmlformats.org/officeDocument/2006/relationships/hyperlink" Target="Ottelup&#246;yt&#228;kirjat\Kausi%2008-09%20-%205Div\055-O16-SekTa-FBCParainen-14032009-KilosportPaimio.pdf" TargetMode="External"/><Relationship Id="rId99" Type="http://schemas.openxmlformats.org/officeDocument/2006/relationships/hyperlink" Target="Ottelup&#246;yt&#228;kirjat\Kausi%2010-11%20-%204Div\076-O01-SU-SekTa-19092010-Lietohalli.pdf" TargetMode="External"/><Relationship Id="rId101" Type="http://schemas.openxmlformats.org/officeDocument/2006/relationships/hyperlink" Target="Ottelup&#246;yt&#228;kirjat\Kausi%2010-11%20-%204Div\078-O03-SekTa-Ruoska3-23102010-LeafAreena.pdf" TargetMode="External"/><Relationship Id="rId122" Type="http://schemas.openxmlformats.org/officeDocument/2006/relationships/hyperlink" Target="Ottelup&#246;yt&#228;kirjat\Kausi%2011-12%20-%204Div\099-O06-GrimReapers-SekTa-12112011-LeafAreena.pdf" TargetMode="External"/><Relationship Id="rId143" Type="http://schemas.openxmlformats.org/officeDocument/2006/relationships/hyperlink" Target="Ottelup&#246;yt&#228;kirjat\Kausi%2012-13%20-%205Div\120-O08-HTV-SekTa-08122012-LeafAreena.pdf" TargetMode="External"/><Relationship Id="rId164" Type="http://schemas.openxmlformats.org/officeDocument/2006/relationships/hyperlink" Target="Ottelup&#246;yt&#228;kirjat\Kausi%2013-14%20-%204Div\142-O12-FBCTurku2-SekTa-25012014-PuntParainen.pdf" TargetMode="External"/><Relationship Id="rId185" Type="http://schemas.openxmlformats.org/officeDocument/2006/relationships/hyperlink" Target="Ottelup&#246;yt&#228;kirjat\Kausi%2014-15%20-%204Div\163-O15-SekTa-SBSWirmo3-14022015-Leaf.pdf" TargetMode="External"/><Relationship Id="rId9" Type="http://schemas.openxmlformats.org/officeDocument/2006/relationships/hyperlink" Target="Ottelup&#246;yt&#228;kirjat\Kausi%2023-24%20-%204Div\319-O09-721420-2023-12-17-1100-Leaf_Areena-Velehot-SekTa.pdf" TargetMode="External"/><Relationship Id="rId210" Type="http://schemas.openxmlformats.org/officeDocument/2006/relationships/hyperlink" Target="Ottelup&#246;yt&#228;kirjat\Kausi%2016-17%20-%204Div\196-O07-SekTa-RKRangers-18122016-SBAreena.pdf" TargetMode="External"/><Relationship Id="rId26" Type="http://schemas.openxmlformats.org/officeDocument/2006/relationships/hyperlink" Target="Ottelup&#246;yt&#228;kirjat\Kausi%2006-07%20-%205Div\002-O02-Bulls-SekTa-01102006-R&#228;nt&#228;m&#228;ki.pdf" TargetMode="External"/><Relationship Id="rId231" Type="http://schemas.openxmlformats.org/officeDocument/2006/relationships/hyperlink" Target="Ottelup&#246;yt&#228;kirjat\Kausi%2017-18%20-%204Div\217-O12-2018-01-27-SekTa-RK-Rangers_1-2_Pohitullin-Palloiluhalli.jpg" TargetMode="External"/><Relationship Id="rId252" Type="http://schemas.openxmlformats.org/officeDocument/2006/relationships/hyperlink" Target="Ottelup&#246;yt&#228;kirjat\Kausi%2018-19%20-%204Div\238-O16-SekTa-TA631-PuntParainen-522501-2024-08-30-10-49-50.pdf" TargetMode="External"/><Relationship Id="rId273" Type="http://schemas.openxmlformats.org/officeDocument/2006/relationships/hyperlink" Target="Ottelup&#246;yt&#228;kirjat\Kausi%2019-20%20-%204Div\259-O13-4DIV-SekTa-Phantoms-Maijam&#228;ki-7092-2020-01-05.pdf" TargetMode="External"/><Relationship Id="rId294" Type="http://schemas.openxmlformats.org/officeDocument/2006/relationships/hyperlink" Target="Ottelup&#246;yt&#228;kirjat\Kausi%2021-22%20-%203Div\280-O13-3DIV-3638-FoSu-Akatemia-SekTa-SBAreena-2022-02-26.pdf" TargetMode="External"/><Relationship Id="rId308" Type="http://schemas.openxmlformats.org/officeDocument/2006/relationships/hyperlink" Target="Ottelup&#246;yt&#228;kirjat\Kausi%2022-23%20-%204Div\294-O08-4DIV-SekTa-Ruoska4-Lietohalli-2916-2022-11-20.pdf" TargetMode="External"/><Relationship Id="rId329" Type="http://schemas.openxmlformats.org/officeDocument/2006/relationships/hyperlink" Target="Ottelup&#246;yt&#228;kirjat\Kausi%2024-25%20-%203Div\339-O05-FosuAkatemia-SekTa-3-8-JokioistenLeip&#228;Areena-824494-20241012.pdf" TargetMode="External"/><Relationship Id="rId47" Type="http://schemas.openxmlformats.org/officeDocument/2006/relationships/hyperlink" Target="Ottelup&#246;yt&#228;kirjat\Kausi%2007-08%20-%204Div\023-O02-SBT_Shadows-SekTa-13102007-Pohitulli.pdf" TargetMode="External"/><Relationship Id="rId68" Type="http://schemas.openxmlformats.org/officeDocument/2006/relationships/hyperlink" Target="Ottelup&#246;yt&#228;kirjat\Kausi%2008-09%20-%205Div\045-O06-SekTa-Py&#246;velit-30112008-SBAreena.pdf" TargetMode="External"/><Relationship Id="rId89" Type="http://schemas.openxmlformats.org/officeDocument/2006/relationships/hyperlink" Target="Ottelup&#246;yt&#228;kirjat\Kausi%2009-10%20-%204Div\066-O09-Team17-SekTa-13122009-LeafAreena.pdf" TargetMode="External"/><Relationship Id="rId112" Type="http://schemas.openxmlformats.org/officeDocument/2006/relationships/hyperlink" Target="Ottelup&#246;yt&#228;kirjat\Kausi%2010-11%20-%204Div\089-O14-SekTa-Ruoska2-19022011-KilosportPaimio.pdf" TargetMode="External"/><Relationship Id="rId133" Type="http://schemas.openxmlformats.org/officeDocument/2006/relationships/hyperlink" Target="Ottelup&#246;yt&#228;kirjat\Kausi%2011-12%20-%204Div\110-O17-SekTa-Musketeers-03032012-KilosportTurku.pdf" TargetMode="External"/><Relationship Id="rId154" Type="http://schemas.openxmlformats.org/officeDocument/2006/relationships/hyperlink" Target="Ottelup&#246;yt&#228;kirjat\Kausi%2013-14%20-%204Div\131-O01-SekTa-FBCTurku2-29092013-LeafAreena.pdf" TargetMode="External"/><Relationship Id="rId175" Type="http://schemas.openxmlformats.org/officeDocument/2006/relationships/hyperlink" Target="Ottelup&#246;yt&#228;kirjat\Kausi%2014-15%20-%204Div\153-O05-SBSWirmo3-SekTa-08112014-SBAreena.pdf" TargetMode="External"/><Relationship Id="rId340" Type="http://schemas.openxmlformats.org/officeDocument/2006/relationships/hyperlink" Target="Ottelup&#246;yt&#228;kirjat\Kausi%2024-25%20-%203Div\350-O16-SekTa-FoSuAkatemia-8-3-Orip&#228;&#228;nLH-824417-20250215.pdf" TargetMode="External"/><Relationship Id="rId196" Type="http://schemas.openxmlformats.org/officeDocument/2006/relationships/hyperlink" Target="Ottelup&#246;yt&#228;kirjat\Kausi%2015-16%20-%204Div\176-O07-SekTa-Py&#246;velit2-29112015-Leaf.pdf" TargetMode="External"/><Relationship Id="rId200" Type="http://schemas.openxmlformats.org/officeDocument/2006/relationships/hyperlink" Target="Ottelup&#246;yt&#228;kirjat\Kausi%2015-16%20-%204Div\182-O13-SBNaantali3-SekTa-30012016-SBAreena.pdf" TargetMode="External"/><Relationship Id="rId16" Type="http://schemas.openxmlformats.org/officeDocument/2006/relationships/hyperlink" Target="Ottelup&#246;yt&#228;kirjat\Kausi%2023-24%20-%204Div\326-O16-721379-2024-02-17-1300-Leaf_Areena-Mammutti-SekTa.pdf" TargetMode="External"/><Relationship Id="rId221" Type="http://schemas.openxmlformats.org/officeDocument/2006/relationships/hyperlink" Target="Ottelup&#246;yt&#228;kirjat\Kausi%2017-18%20-%204Div\206-O01-2017-10-14-SekTa-Py&#246;velit2_4-6_SB-Areena.jpg" TargetMode="External"/><Relationship Id="rId242" Type="http://schemas.openxmlformats.org/officeDocument/2006/relationships/hyperlink" Target="Ottelup&#246;yt&#228;kirjat\Kausi%2018-19%20-%204Div\228-O06-AFCCampus2-SekTa-LeafAreena-522415-2024-08-30-10-41-29.pdf" TargetMode="External"/><Relationship Id="rId263" Type="http://schemas.openxmlformats.org/officeDocument/2006/relationships/hyperlink" Target="Ottelup&#246;yt&#228;kirjat\Kausi%2019-20%20-%204Div\249-O03-Suomen-Cup-TPS3-SekTa-Leaf-1757-2019-08-31.pdf" TargetMode="External"/><Relationship Id="rId284" Type="http://schemas.openxmlformats.org/officeDocument/2006/relationships/hyperlink" Target="Ottelup&#246;yt&#228;kirjat\Kausi%2021-22%20-%203Div\270-O03-3DIV-3584-P&#246;U-SekTa-SBAreena-2021-10-16.pdf" TargetMode="External"/><Relationship Id="rId319" Type="http://schemas.openxmlformats.org/officeDocument/2006/relationships/hyperlink" Target="Ottelup&#246;yt&#228;kirjat\Kausi%2022-23%20-%204Div\305-O19-4DIV-Ahto-SekTa-Leaf-2970-2023-02-26.pdf" TargetMode="External"/><Relationship Id="rId37" Type="http://schemas.openxmlformats.org/officeDocument/2006/relationships/hyperlink" Target="Ottelup&#246;yt&#228;kirjat\Kausi%2006-07%20-%205Div\013-O13-PenaltyBoys2-SekTa-21012007-R&#228;nt&#228;m&#228;ki.pdf" TargetMode="External"/><Relationship Id="rId58" Type="http://schemas.openxmlformats.org/officeDocument/2006/relationships/hyperlink" Target="Ottelup&#246;yt&#228;kirjat\Kausi%2007-08%20-%204Div\034-O13-Phantoms-SekTa-24022008-SB-Areena.pdf" TargetMode="External"/><Relationship Id="rId79" Type="http://schemas.openxmlformats.org/officeDocument/2006/relationships/hyperlink" Target="Ottelup&#246;yt&#228;kirjat\Kausi%2008-09%20-%205Div\056-O17-Sheriffs-SekTa-29032009-SportGarden.pdf" TargetMode="External"/><Relationship Id="rId102" Type="http://schemas.openxmlformats.org/officeDocument/2006/relationships/hyperlink" Target="Ottelup&#246;yt&#228;kirjat\Kausi%2010-11%20-%204Div\079-O04-SBSLieto3-SekTa-23102010-LeafAreena.pdf" TargetMode="External"/><Relationship Id="rId123" Type="http://schemas.openxmlformats.org/officeDocument/2006/relationships/hyperlink" Target="Ottelup&#246;yt&#228;kirjat\Kausi%2011-12%20-%204Div\100-O07-Musketeers-SekTa-26112011-KilosportTurku.pdf" TargetMode="External"/><Relationship Id="rId144" Type="http://schemas.openxmlformats.org/officeDocument/2006/relationships/hyperlink" Target="Ottelup&#246;yt&#228;kirjat\Kausi%2012-13%20-%205Div\121-O09-SekTa-Musketeers2-08122012-LeafAreena.pdf" TargetMode="External"/><Relationship Id="rId330" Type="http://schemas.openxmlformats.org/officeDocument/2006/relationships/hyperlink" Target="Ottelup&#246;yt&#228;kirjat\Kausi%2024-25%20-%203Div\340-O06-SekTa-OU-4-7-JokioistenLeip&#228;Areena-824492-20241012.pdf" TargetMode="External"/><Relationship Id="rId90" Type="http://schemas.openxmlformats.org/officeDocument/2006/relationships/hyperlink" Target="Ottelup&#246;yt&#228;kirjat\Kausi%2009-10%20-%204Div\067-O10-AFCCampus6-SekTa-09012010-LeafAreena.pdf" TargetMode="External"/><Relationship Id="rId165" Type="http://schemas.openxmlformats.org/officeDocument/2006/relationships/hyperlink" Target="Ottelup&#246;yt&#228;kirjat\Kausi%2013-14%20-%204Div\143-O13-Gremlins-SekTa-09022014-Maijam&#228;ki.pdf" TargetMode="External"/><Relationship Id="rId186" Type="http://schemas.openxmlformats.org/officeDocument/2006/relationships/hyperlink" Target="Ottelup&#246;yt&#228;kirjat\Kausi%2014-15%20-%204Div\164-O16-SekTa-FBCFeelings-14022015-Leaf.pdf" TargetMode="External"/><Relationship Id="rId211" Type="http://schemas.openxmlformats.org/officeDocument/2006/relationships/hyperlink" Target="Ottelup&#246;yt&#228;kirjat\Kausi%2016-17%20-%204Div\197-O08-SekTa-Yrmyt-18122016-SBAreena.pdf" TargetMode="External"/><Relationship Id="rId232" Type="http://schemas.openxmlformats.org/officeDocument/2006/relationships/hyperlink" Target="Ottelup&#246;yt&#228;kirjat\Kausi%2017-18%20-%204Div\218-O13-2018-02-17-SekTa-SB-Naantali3_3-4_SB-Areena.jpg" TargetMode="External"/><Relationship Id="rId253" Type="http://schemas.openxmlformats.org/officeDocument/2006/relationships/hyperlink" Target="Ottelup&#246;yt&#228;kirjat\Kausi%2018-19%20-%204Div\239-O17-SekTa-P&#246;U-PuntParainen-522505-2024-08-30-10-50-35.pdf" TargetMode="External"/><Relationship Id="rId274" Type="http://schemas.openxmlformats.org/officeDocument/2006/relationships/hyperlink" Target="Ottelup&#246;yt&#228;kirjat\Kausi%2019-20%20-%204Div\260-O14-4DIV-SekTa-Wankers-Leaf-7098-2020-01-26.pdf" TargetMode="External"/><Relationship Id="rId295" Type="http://schemas.openxmlformats.org/officeDocument/2006/relationships/hyperlink" Target="Ottelup&#246;yt&#228;kirjat\Kausi%2021-22%20-%203Div\281-O14-3DIV-3641-SekTa-SalPa-SBAreena-2022-02-26.pdf" TargetMode="External"/><Relationship Id="rId309" Type="http://schemas.openxmlformats.org/officeDocument/2006/relationships/hyperlink" Target="Ottelup&#246;yt&#228;kirjat\Kausi%2022-23%20-%204Div\295-O09-4DIV-SekTa-FBCTurku3-NousteAreena-2923-2022-12-03.pdf" TargetMode="External"/><Relationship Id="rId27" Type="http://schemas.openxmlformats.org/officeDocument/2006/relationships/hyperlink" Target="Ottelup&#246;yt&#228;kirjat\Kausi%2006-07%20-%205Div\003-O03-SekTa-TuWe3-05112006-R&#228;nt&#228;m&#228;ki.pdf" TargetMode="External"/><Relationship Id="rId48" Type="http://schemas.openxmlformats.org/officeDocument/2006/relationships/hyperlink" Target="Ottelup&#246;yt&#228;kirjat\Kausi%2007-08%20-%204Div\024-O03-SekTa-Phantoms-28102007-SB-Areena.pdf" TargetMode="External"/><Relationship Id="rId69" Type="http://schemas.openxmlformats.org/officeDocument/2006/relationships/hyperlink" Target="Ottelup&#246;yt&#228;kirjat\Kausi%2008-09%20-%205Div\046-O07-FBCParainen-SekTa-14122008-SportGarden.pdf" TargetMode="External"/><Relationship Id="rId113" Type="http://schemas.openxmlformats.org/officeDocument/2006/relationships/hyperlink" Target="Ottelup&#246;yt&#228;kirjat\Kausi%2010-11%20-%204Div\090-O15-SekTa-ElPantera-12032011-Taalintehdas.pdf" TargetMode="External"/><Relationship Id="rId134" Type="http://schemas.openxmlformats.org/officeDocument/2006/relationships/hyperlink" Target="Ottelup&#246;yt&#228;kirjat\Kausi%2011-12%20-%204Div\111-O18-Bulls-SekTa-17032012-SportGarden.pdf" TargetMode="External"/><Relationship Id="rId320" Type="http://schemas.openxmlformats.org/officeDocument/2006/relationships/hyperlink" Target="Ottelup&#246;yt&#228;kirjat\Kausi%2022-23%20-%204Div\306-O20-4DIV-SekTa-FCKYPS-Leaf-2973-2023-02-26.pdf" TargetMode="External"/><Relationship Id="rId80" Type="http://schemas.openxmlformats.org/officeDocument/2006/relationships/hyperlink" Target="Ottelup&#246;yt&#228;kirjat\Kausi%2008-09%20-%205Div\057-O18-SekTa-Salamanders2-29032009-SportGarden.pdf" TargetMode="External"/><Relationship Id="rId155" Type="http://schemas.openxmlformats.org/officeDocument/2006/relationships/hyperlink" Target="Ottelup&#246;yt&#228;kirjat\Kausi%2013-14%20-%204Div\132-O02-TVA-SekTa-19102013-SBAreena.pdf" TargetMode="External"/><Relationship Id="rId176" Type="http://schemas.openxmlformats.org/officeDocument/2006/relationships/hyperlink" Target="Ottelup&#246;yt&#228;kirjat\Kausi%2014-15%20-%204Div\154-O06-SekTa-PaPeNu-08112014-SBAreena.pdf" TargetMode="External"/><Relationship Id="rId197" Type="http://schemas.openxmlformats.org/officeDocument/2006/relationships/hyperlink" Target="Ottelup&#246;yt&#228;kirjat\Kausi%2015-16%20-%204Div\178-O09-SekTa-AFCCampus4-20122015-Leaf.pdf" TargetMode="External"/><Relationship Id="rId341" Type="http://schemas.openxmlformats.org/officeDocument/2006/relationships/hyperlink" Target="Ottelup&#246;yt&#228;kirjat\Kausi%2024-25%20-%203Div\351-O17-OU-SekTa-7-6-Orip&#228;&#228;nLH-824415-20250215.pdf" TargetMode="External"/><Relationship Id="rId201" Type="http://schemas.openxmlformats.org/officeDocument/2006/relationships/hyperlink" Target="Ottelup&#246;yt&#228;kirjat\Kausi%2015-16%20-%204Div\183-O14-PaPeNu-SekTa-30012016-SBAreena.pdf" TargetMode="External"/><Relationship Id="rId222" Type="http://schemas.openxmlformats.org/officeDocument/2006/relationships/hyperlink" Target="Ottelup&#246;yt&#228;kirjat\Kausi%2017-18%20-%204Div\207-O02-2017-10-14-TBS-SekTa_10-4_SB-Areena.jpg" TargetMode="External"/><Relationship Id="rId243" Type="http://schemas.openxmlformats.org/officeDocument/2006/relationships/hyperlink" Target="Ottelup&#246;yt&#228;kirjat\Kausi%2018-19%20-%204Div\229-O07-SekTa-Gremlins-LeafAreena-522429-2024-08-30-10-42-23.pdf" TargetMode="External"/><Relationship Id="rId264" Type="http://schemas.openxmlformats.org/officeDocument/2006/relationships/hyperlink" Target="Ottelup&#246;yt&#228;kirjat\Kausi%2019-20%20-%204Div\250-O04-4DIV-SekTa-P&#246;U-Taivassalo-7054-2019-10-12.pdf" TargetMode="External"/><Relationship Id="rId285" Type="http://schemas.openxmlformats.org/officeDocument/2006/relationships/hyperlink" Target="Ottelup&#246;yt&#228;kirjat\Kausi%2021-22%20-%203Div\271-O04-3DIV-3586-SekTa-TBS-SBAreena-2021-10-16.pdf" TargetMode="External"/><Relationship Id="rId17" Type="http://schemas.openxmlformats.org/officeDocument/2006/relationships/hyperlink" Target="Ottelup&#246;yt&#228;kirjat\Kausi%2023-24%20-%204Div\327-O17-721373-2024-03-02-1300-Someron_MH-SekTa-FBC_Feelings.pdf" TargetMode="External"/><Relationship Id="rId38" Type="http://schemas.openxmlformats.org/officeDocument/2006/relationships/hyperlink" Target="Ottelup&#246;yt&#228;kirjat\Kausi%2006-07%20-%205Div\014-O14-SekTa-PaPeNu-21012007-R&#228;nt&#228;m&#228;ki.pdf" TargetMode="External"/><Relationship Id="rId59" Type="http://schemas.openxmlformats.org/officeDocument/2006/relationships/hyperlink" Target="Ottelup&#246;yt&#228;kirjat\Kausi%2007-08%20-%204Div\035-O14-TVA-SekTa-01032008-Maijam&#228;en-LH.pdf" TargetMode="External"/><Relationship Id="rId103" Type="http://schemas.openxmlformats.org/officeDocument/2006/relationships/hyperlink" Target="Ottelup&#246;yt&#228;kirjat\Kausi%2010-11%20-%204Div\080-O05-SekTa-KiU-20112010-KilosportPaimio.pdf" TargetMode="External"/><Relationship Id="rId124" Type="http://schemas.openxmlformats.org/officeDocument/2006/relationships/hyperlink" Target="Ottelup&#246;yt&#228;kirjat\Kausi%2011-12%20-%204Div\101-O08-SekTa-Team17-26112011-KilosportTurku.pdf" TargetMode="External"/><Relationship Id="rId310" Type="http://schemas.openxmlformats.org/officeDocument/2006/relationships/hyperlink" Target="Ottelup&#246;yt&#228;kirjat\Kausi%2022-23%20-%204Div\296-O10-4DIV-TVA2-SekTa-NousteAreena-2926-2022-12-03.pdf" TargetMode="External"/><Relationship Id="rId70" Type="http://schemas.openxmlformats.org/officeDocument/2006/relationships/hyperlink" Target="Ottelup&#246;yt&#228;kirjat\Kausi%2008-09%20-%205Div\047-O08-SekTa-Sheriffs3-10012009-R&#228;nt&#228;m&#228;ki.pdf" TargetMode="External"/><Relationship Id="rId91" Type="http://schemas.openxmlformats.org/officeDocument/2006/relationships/hyperlink" Target="Ottelup&#246;yt&#228;kirjat\Kausi%2009-10%20-%204Div\068-O11-SekTa-&#197;IK-09012010-LeafAreena.pdf" TargetMode="External"/><Relationship Id="rId145" Type="http://schemas.openxmlformats.org/officeDocument/2006/relationships/hyperlink" Target="Ottelup&#246;yt&#228;kirjat\Kausi%2012-13%20-%205Div\122-O10-SekTa-HIF-05012013-LeafAreena.pdf" TargetMode="External"/><Relationship Id="rId166" Type="http://schemas.openxmlformats.org/officeDocument/2006/relationships/hyperlink" Target="Ottelup&#246;yt&#228;kirjat\Kausi%2013-14%20-%204Div\144-O14-SekTa-PIF-22022014-LeafAreena.pdf" TargetMode="External"/><Relationship Id="rId187" Type="http://schemas.openxmlformats.org/officeDocument/2006/relationships/hyperlink" Target="Ottelup&#246;yt&#228;kirjat\Kausi%2014-15%20-%204Div\165-O17-SekTa-KIK-28022015-HaniHalliMyn&#228;m&#228;ki.pdf" TargetMode="External"/><Relationship Id="rId331" Type="http://schemas.openxmlformats.org/officeDocument/2006/relationships/hyperlink" Target="Ottelup&#246;yt&#228;kirjat\Kausi%2024-25%20-%203Div\341-O07-AjT-SekTa-5-3-Taivassalo-824477-20241109.pdf" TargetMode="External"/><Relationship Id="rId1" Type="http://schemas.openxmlformats.org/officeDocument/2006/relationships/hyperlink" Target="Ottelup&#246;yt&#228;kirjat\Kausi%2023-24%20-%204Div\311-O01-721458-2023-09-23-1200-P&#229;minne_Halli-SBS_Lieto2-SekTa.pdf" TargetMode="External"/><Relationship Id="rId212" Type="http://schemas.openxmlformats.org/officeDocument/2006/relationships/hyperlink" Target="Ottelup&#246;yt&#228;kirjat\Kausi%2016-17%20-%204Div\198-O09-SekTa-P&#246;U-07012017-Leaf.pdf" TargetMode="External"/><Relationship Id="rId233" Type="http://schemas.openxmlformats.org/officeDocument/2006/relationships/hyperlink" Target="Ottelup&#246;yt&#228;kirjat\Kausi%2017-18%20-%204Div\219-O14-2018-02-17-KaPa-65-SekTa_4-8_SB-Areena.jpg" TargetMode="External"/><Relationship Id="rId254" Type="http://schemas.openxmlformats.org/officeDocument/2006/relationships/hyperlink" Target="Ottelup&#246;yt&#228;kirjat\Kausi%2018-19%20-%204Div\240-O18-Phantoms-SekTa-LeafAreena-522515-2024-08-30-10-51-19.pdf" TargetMode="External"/><Relationship Id="rId28" Type="http://schemas.openxmlformats.org/officeDocument/2006/relationships/hyperlink" Target="Ottelup&#246;yt&#228;kirjat\Kausi%2006-07%20-%205Div\004-O04-SBTAakkerit-SekTa-05112006-R&#228;nt&#228;m&#228;ki.pdf" TargetMode="External"/><Relationship Id="rId49" Type="http://schemas.openxmlformats.org/officeDocument/2006/relationships/hyperlink" Target="Ottelup&#246;yt&#228;kirjat\Kausi%2007-08%20-%204Div\025-O04-SekTa-TuWe-28102007-SB-Areena.pdf" TargetMode="External"/><Relationship Id="rId114" Type="http://schemas.openxmlformats.org/officeDocument/2006/relationships/hyperlink" Target="Ottelup&#246;yt&#228;kirjat\Kausi%2010-11%20-%204Div\091-O16-KemKi-SekTa-12032011-Taalintehdas.pdf" TargetMode="External"/><Relationship Id="rId275" Type="http://schemas.openxmlformats.org/officeDocument/2006/relationships/hyperlink" Target="Ottelup&#246;yt&#228;kirjat\Kausi%2019-20%20-%204Div\261-O15-4DIV-P&#246;U-SekTa-Leaf-7107-2020-01-26.pdf" TargetMode="External"/><Relationship Id="rId296" Type="http://schemas.openxmlformats.org/officeDocument/2006/relationships/hyperlink" Target="Ottelup&#246;yt&#228;kirjat\Kausi%2021-22%20-%203Div\282-O15-3DIV-3618-Flames-SekTa-Orip&#228;&#228;-2022-03-12.pdf" TargetMode="External"/><Relationship Id="rId300" Type="http://schemas.openxmlformats.org/officeDocument/2006/relationships/hyperlink" Target="Ottelup&#246;yt&#228;kirjat\Kausi%2021-22%20-%203Div\286-O19-Karsinta-29662-SekTa-TVV-SportGarden-2022-04-23.pdf" TargetMode="External"/><Relationship Id="rId60" Type="http://schemas.openxmlformats.org/officeDocument/2006/relationships/hyperlink" Target="Ottelup&#246;yt&#228;kirjat\Kausi%2007-08%20-%204Div\036-O15-SekTa-TBM-16032008-R&#228;nt&#228;m&#228;en-LK.pdf" TargetMode="External"/><Relationship Id="rId81" Type="http://schemas.openxmlformats.org/officeDocument/2006/relationships/hyperlink" Target="Ottelup&#246;yt&#228;kirjat\Kausi%2009-10%20-%204Div\058-O01-&#197;IK-SekTa-26092009-LaurinKoulu.pdf" TargetMode="External"/><Relationship Id="rId135" Type="http://schemas.openxmlformats.org/officeDocument/2006/relationships/hyperlink" Target="Ottelup&#246;yt&#228;kirjat\Kausi%2012-13%20-%205Div\112-O01-SekTa-Musketeers2-30092012-KilosportTurku.pdf" TargetMode="External"/><Relationship Id="rId156" Type="http://schemas.openxmlformats.org/officeDocument/2006/relationships/hyperlink" Target="Ottelup&#246;yt&#228;kirjat\Kausi%2013-14%20-%204Div\134-O04-SekTa-Gremlins-02112013-SportGarden.pdf" TargetMode="External"/><Relationship Id="rId177" Type="http://schemas.openxmlformats.org/officeDocument/2006/relationships/hyperlink" Target="Ottelup&#246;yt&#228;kirjat\Kausi%2014-15%20-%204Div\155-O07-FBCTurku2-SekTa-29112014-SBAreena.pdf" TargetMode="External"/><Relationship Id="rId198" Type="http://schemas.openxmlformats.org/officeDocument/2006/relationships/hyperlink" Target="Ottelup&#246;yt&#228;kirjat\Kausi%2015-16%20-%204Div\180-O11-SekTa-HirvHe-10012016-SBAreena.pdf" TargetMode="External"/><Relationship Id="rId321" Type="http://schemas.openxmlformats.org/officeDocument/2006/relationships/hyperlink" Target="Ottelup&#246;yt&#228;kirjat\Kausi%2022-23%20-%204Div\307-O21-4DIV-SekTa-SBSLieto2-Kisariihi-2975-2023-03-18.pdf" TargetMode="External"/><Relationship Id="rId342" Type="http://schemas.openxmlformats.org/officeDocument/2006/relationships/hyperlink" Target="Ottelup&#246;yt&#228;kirjat\Kausi%2024-25%20-%203Div\352-O18-SekTa-AJT-1-3-Leaf-824409-20250301.pdf" TargetMode="External"/><Relationship Id="rId202" Type="http://schemas.openxmlformats.org/officeDocument/2006/relationships/hyperlink" Target="Ottelup&#246;yt&#228;kirjat\Kausi%2015-16%20-%204Div\186-O17-SekTa-TuTo-05032016-Taivassalo.pdf" TargetMode="External"/><Relationship Id="rId223" Type="http://schemas.openxmlformats.org/officeDocument/2006/relationships/hyperlink" Target="Ottelup&#246;yt&#228;kirjat\Kausi%2017-18%20-%204Div\208-O03-2017-11-04-RK-Rangers-SekTa_4-4_Pohitullin-Palloiluhalli.jpg" TargetMode="External"/><Relationship Id="rId244" Type="http://schemas.openxmlformats.org/officeDocument/2006/relationships/hyperlink" Target="Ottelup&#246;yt&#228;kirjat\Kausi%2018-19%20-%204Div\230-O08-SekTa-KIK-SBAreena-522434-2024-08-30-10-43-07.pdf" TargetMode="External"/><Relationship Id="rId18" Type="http://schemas.openxmlformats.org/officeDocument/2006/relationships/hyperlink" Target="Ottelup&#246;yt&#228;kirjat\Kausi%2023-24%20-%204Div\328-O18-721375-2024-03-02-1500-Someron_MH-SB_Somero-SekTa.pdf" TargetMode="External"/><Relationship Id="rId39" Type="http://schemas.openxmlformats.org/officeDocument/2006/relationships/hyperlink" Target="Ottelup&#246;yt&#228;kirjat\Kausi%2006-07%20-%205Div\015-O15-Bulls-SekTa-10022007-R&#228;nt&#228;m&#228;ki.pdf" TargetMode="External"/><Relationship Id="rId265" Type="http://schemas.openxmlformats.org/officeDocument/2006/relationships/hyperlink" Target="Ottelup&#246;yt&#228;kirjat\Kausi%2019-20%20-%204Div\251-O05-4DIV-RKRangers-SekTa-Taivassalo-7056-2019-10-12.pdf" TargetMode="External"/><Relationship Id="rId286" Type="http://schemas.openxmlformats.org/officeDocument/2006/relationships/hyperlink" Target="Ottelup&#246;yt&#228;kirjat\Kausi%2021-22%20-%203Div\272-O05-3DIV-3591-SalPa-SekTa-Salohalli-2021-11-13.pdf" TargetMode="External"/><Relationship Id="rId50" Type="http://schemas.openxmlformats.org/officeDocument/2006/relationships/hyperlink" Target="Ottelup&#246;yt&#228;kirjat\Kausi%2007-08%20-%204Div\026-O05-TBM-SekTa-11112007-Maijam&#228;en-LH.pdf" TargetMode="External"/><Relationship Id="rId104" Type="http://schemas.openxmlformats.org/officeDocument/2006/relationships/hyperlink" Target="Ottelup&#246;yt&#228;kirjat\Kausi%2010-11%20-%204Div\081-O06-SekTa-KemKi-20112010-KilosportPaimio.pdf" TargetMode="External"/><Relationship Id="rId125" Type="http://schemas.openxmlformats.org/officeDocument/2006/relationships/hyperlink" Target="Ottelup&#246;yt&#228;kirjat\Kausi%2011-12%20-%204Div\102-O09-SekTa-Bulls-11122011-LeafAreena.pdf" TargetMode="External"/><Relationship Id="rId146" Type="http://schemas.openxmlformats.org/officeDocument/2006/relationships/hyperlink" Target="Ottelup&#246;yt&#228;kirjat\Kausi%2012-13%20-%205Div\123-O11-FBTMarlins-SekTa-19012013-KilosportTurku.pdf" TargetMode="External"/><Relationship Id="rId167" Type="http://schemas.openxmlformats.org/officeDocument/2006/relationships/hyperlink" Target="Ottelup&#246;yt&#228;kirjat\Kausi%2013-14%20-%204Div\145-O15-FBCParainen-SekTa-22022014-LeafAreena.pdf" TargetMode="External"/><Relationship Id="rId188" Type="http://schemas.openxmlformats.org/officeDocument/2006/relationships/hyperlink" Target="Ottelup&#246;yt&#228;kirjat\Kausi%2014-15%20-%204Div\166-O18-TBS-SekTa-28022015-HaniHalliMyn&#228;m&#228;ki.pdf" TargetMode="External"/><Relationship Id="rId311" Type="http://schemas.openxmlformats.org/officeDocument/2006/relationships/hyperlink" Target="Ottelup&#246;yt&#228;kirjat\Kausi%2022-23%20-%204Div\297-O11-4DIV-SekTa-Ahto-SportGarden-2930-2022-12-18.pdf" TargetMode="External"/><Relationship Id="rId332" Type="http://schemas.openxmlformats.org/officeDocument/2006/relationships/hyperlink" Target="Ottelup&#246;yt&#228;kirjat\Kausi%2024-25%20-%203Div\342-O08-SekTa-TA631-3-4-Taivassalo-824475-20241109.pdf" TargetMode="External"/><Relationship Id="rId71" Type="http://schemas.openxmlformats.org/officeDocument/2006/relationships/hyperlink" Target="Ottelup&#246;yt&#228;kirjat\Kausi%2008-09%20-%205Div\048-O09-Salamanders2-SekTa-10012009-R&#228;nt&#228;m&#228;ki.pdf" TargetMode="External"/><Relationship Id="rId92" Type="http://schemas.openxmlformats.org/officeDocument/2006/relationships/hyperlink" Target="Ottelup&#246;yt&#228;kirjat\Kausi%2009-10%20-%204Div\069-O12-SBSMasku2-SekTa-27012010-LeafAreena.pdf" TargetMode="External"/><Relationship Id="rId213" Type="http://schemas.openxmlformats.org/officeDocument/2006/relationships/hyperlink" Target="Ottelup&#246;yt&#228;kirjat\Kausi%2016-17%20-%204Div\199-O10-RunU-SekTa-07012017-Leaf.pdf" TargetMode="External"/><Relationship Id="rId234" Type="http://schemas.openxmlformats.org/officeDocument/2006/relationships/hyperlink" Target="Ottelup&#246;yt&#228;kirjat\Kausi%2017-18%20-%204Div\220-O15-2018-03-10-SekTa-TA-631_4-1_Taivassalo.jpg" TargetMode="External"/><Relationship Id="rId2" Type="http://schemas.openxmlformats.org/officeDocument/2006/relationships/hyperlink" Target="Ottelup&#246;yt&#228;kirjat\Kausi%2023-24%20-%204Div\312-O02-721456-2023-09-23-1400-P&#229;minne_Halli-SekTa-KiKi.pdf" TargetMode="External"/><Relationship Id="rId29" Type="http://schemas.openxmlformats.org/officeDocument/2006/relationships/hyperlink" Target="Ottelup&#246;yt&#228;kirjat\Kausi%2006-07%20-%205Div\005-O05-SekTa-PenaltyBoys2-25112006-R&#228;nt&#228;m&#228;ki.pdf" TargetMode="External"/><Relationship Id="rId255" Type="http://schemas.openxmlformats.org/officeDocument/2006/relationships/hyperlink" Target="Ottelup&#246;yt&#228;kirjat\Kausi%2018-19%20-%204Div\241-O19-SekTa-Gremlins-LeafAreena-522519-2024-08-30-10-52-21.pdf" TargetMode="External"/><Relationship Id="rId276" Type="http://schemas.openxmlformats.org/officeDocument/2006/relationships/hyperlink" Target="Ottelup&#246;yt&#228;kirjat\Kausi%2019-20%20-%204Div\262-O16-4DIV-USB-SekTa-Pohitulli-7108-2020-02-15.pdf" TargetMode="External"/><Relationship Id="rId297" Type="http://schemas.openxmlformats.org/officeDocument/2006/relationships/hyperlink" Target="Ottelup&#246;yt&#228;kirjat\Kausi%2021-22%20-%203Div\283-O16-3DIV-3620-OU-SekTa-Orip&#228;&#228;-2022-03-12.pdf" TargetMode="External"/><Relationship Id="rId40" Type="http://schemas.openxmlformats.org/officeDocument/2006/relationships/hyperlink" Target="Ottelup&#246;yt&#228;kirjat\Kausi%2006-07%20-%205Div\016-O16-SekTa-FBCBlueRiver-10022007-R&#228;nt&#228;m&#228;ki.pdf" TargetMode="External"/><Relationship Id="rId115" Type="http://schemas.openxmlformats.org/officeDocument/2006/relationships/hyperlink" Target="Ottelup&#246;yt&#228;kirjat\Kausi%2010-11%20-%204Div\092-O17-SekTa-SoVo-02042011-KilosportPaimio.pdf" TargetMode="External"/><Relationship Id="rId136" Type="http://schemas.openxmlformats.org/officeDocument/2006/relationships/hyperlink" Target="Ottelup&#246;yt&#228;kirjat\Kausi%2012-13%20-%205Div\113-O02-FBTMarlins-SekTa-30092012-KilosportTurku.pdf" TargetMode="External"/><Relationship Id="rId157" Type="http://schemas.openxmlformats.org/officeDocument/2006/relationships/hyperlink" Target="Ottelup&#246;yt&#228;kirjat\Kausi%2013-14%20-%204Div\135-O05-SekTa-SBNaantali2-23112013-PuntParainen.pdf" TargetMode="External"/><Relationship Id="rId178" Type="http://schemas.openxmlformats.org/officeDocument/2006/relationships/hyperlink" Target="Ottelup&#246;yt&#228;kirjat\Kausi%2014-15%20-%204Div\156-O08-SekTa-TBS-29112014-SBAreena.pdf" TargetMode="External"/><Relationship Id="rId301" Type="http://schemas.openxmlformats.org/officeDocument/2006/relationships/hyperlink" Target="Ottelup&#246;yt&#228;kirjat\Kausi%2022-23%20-%204Div\287-O01-4DIV-SekTa-TVA2-Leaf-2889-2022-09-24.pdf" TargetMode="External"/><Relationship Id="rId322" Type="http://schemas.openxmlformats.org/officeDocument/2006/relationships/hyperlink" Target="Ottelup&#246;yt&#228;kirjat\Kausi%2022-23%20-%204Div\308-O22-4DIV-AFCCampus2-SekTa-Kisariihi-2978-2023-03-18.pdf" TargetMode="External"/><Relationship Id="rId343" Type="http://schemas.openxmlformats.org/officeDocument/2006/relationships/hyperlink" Target="Ottelup&#246;yt&#228;kirjat\Kausi%2024-25%20-%203Div\353-O19-TA631-SekTa-2-5-Leaf-824408-20250301.pdf" TargetMode="External"/><Relationship Id="rId61" Type="http://schemas.openxmlformats.org/officeDocument/2006/relationships/hyperlink" Target="Ottelup&#246;yt&#228;kirjat\Kausi%2007-08%20-%204Div\037-O16-SekTa-Wankers-16032008-R&#228;nt&#228;m&#228;en-LK.pdf" TargetMode="External"/><Relationship Id="rId82" Type="http://schemas.openxmlformats.org/officeDocument/2006/relationships/hyperlink" Target="Ottelup&#246;yt&#228;kirjat\Kausi%2009-10%20-%204Div\059-O02-SekTa-AFCCampus6-26092009-LaurinKoulu.pdf" TargetMode="External"/><Relationship Id="rId199" Type="http://schemas.openxmlformats.org/officeDocument/2006/relationships/hyperlink" Target="Ottelup&#246;yt&#228;kirjat\Kausi%2015-16%20-%204Div\181-O12-SekTa-TA631-10012016-SBAreena.pdf" TargetMode="External"/><Relationship Id="rId203" Type="http://schemas.openxmlformats.org/officeDocument/2006/relationships/hyperlink" Target="Ottelup&#246;yt&#228;kirjat\Kausi%2015-16%20-%204Div\188-O19-Py&#246;velit2-SekTa-13032016-Leaf.pdf" TargetMode="External"/><Relationship Id="rId19" Type="http://schemas.openxmlformats.org/officeDocument/2006/relationships/hyperlink" Target="Ottelup&#246;yt&#228;kirjat\Kausi%2023-24%20-%204Div\329-O19-721365-2024-03-23-1100-Leaf_Areena-PaPeNu-SekTa.pdf" TargetMode="External"/><Relationship Id="rId224" Type="http://schemas.openxmlformats.org/officeDocument/2006/relationships/hyperlink" Target="Ottelup&#246;yt&#228;kirjat\Kausi%2017-18%20-%204Div\209-O04-2017-11-04-SekTa-Yrmyt_7-1_Pohitullin-Palloiluhalli.jpg" TargetMode="External"/><Relationship Id="rId245" Type="http://schemas.openxmlformats.org/officeDocument/2006/relationships/hyperlink" Target="Ottelup&#246;yt&#228;kirjat\Kausi%2018-19%20-%204Div\231-O09-TA631-SekTa-SBAreena-522441-2024-08-30-10-43-50.pdf" TargetMode="External"/><Relationship Id="rId266" Type="http://schemas.openxmlformats.org/officeDocument/2006/relationships/hyperlink" Target="Ottelup&#246;yt&#228;kirjat\Kausi%2019-20%20-%204Div\252-O06-4DIV-SekTa-USB-Leaf-7063-2019-10-27.pdf" TargetMode="External"/><Relationship Id="rId287" Type="http://schemas.openxmlformats.org/officeDocument/2006/relationships/hyperlink" Target="Ottelup&#246;yt&#228;kirjat\Kausi%2021-22%20-%203Div\273-O06-3DIV-3593-SekTa-FoSu-Akatemia-Salohalli-2021-11-13.pdf" TargetMode="External"/><Relationship Id="rId30" Type="http://schemas.openxmlformats.org/officeDocument/2006/relationships/hyperlink" Target="Ottelup&#246;yt&#228;kirjat\Kausi%2006-07%20-%205Div\006-O06-SBB-SekTa-25112006-R&#228;nt&#228;m&#228;ki.pdf" TargetMode="External"/><Relationship Id="rId105" Type="http://schemas.openxmlformats.org/officeDocument/2006/relationships/hyperlink" Target="Ottelup&#246;yt&#228;kirjat\Kausi%2010-11%20-%204Div\082-O07-Ruoska2-SekTa-19122010-LeafAreena.pdf" TargetMode="External"/><Relationship Id="rId126" Type="http://schemas.openxmlformats.org/officeDocument/2006/relationships/hyperlink" Target="Ottelup&#246;yt&#228;kirjat\Kausi%2011-12%20-%204Div\103-O10-SekTa-TA631-07012012-LeafAreena.pdf" TargetMode="External"/><Relationship Id="rId147" Type="http://schemas.openxmlformats.org/officeDocument/2006/relationships/hyperlink" Target="Ottelup&#246;yt&#228;kirjat\Kausi%2012-13%20-%205Div\124-O12-SekTa-SBSKes&#228;ter&#228;-19012013-KilosportTurku.pdf" TargetMode="External"/><Relationship Id="rId168" Type="http://schemas.openxmlformats.org/officeDocument/2006/relationships/hyperlink" Target="Ottelup&#246;yt&#228;kirjat\Kausi%2013-14%20-%204Div\146-O16-SekTa-KIK-02032014-Maijam&#228;ki.pdf" TargetMode="External"/><Relationship Id="rId312" Type="http://schemas.openxmlformats.org/officeDocument/2006/relationships/hyperlink" Target="Ottelup&#246;yt&#228;kirjat\Kausi%2022-23%20-%204Div\298-O12-4DIV-FCKYPS-SekTa-SportGarden-2933-2022-12-18.pdf" TargetMode="External"/><Relationship Id="rId333" Type="http://schemas.openxmlformats.org/officeDocument/2006/relationships/hyperlink" Target="Ottelup&#246;yt&#228;kirjat\Kausi%2024-25%20-%203Div\343-O09-SalPa-SekTa-5-2-Taivassalo-824388-20241124.pdf" TargetMode="External"/><Relationship Id="rId51" Type="http://schemas.openxmlformats.org/officeDocument/2006/relationships/hyperlink" Target="Ottelup&#246;yt&#228;kirjat\Kausi%2007-08%20-%204Div\027-O06-Wankers-SekTa-25112007-SB-Areena.pdf" TargetMode="External"/><Relationship Id="rId72" Type="http://schemas.openxmlformats.org/officeDocument/2006/relationships/hyperlink" Target="Ottelup&#246;yt&#228;kirjat\Kausi%2008-09%20-%205Div\049-O10-Eligere-SekTa-24012009-KilosportPaimio.pdf" TargetMode="External"/><Relationship Id="rId93" Type="http://schemas.openxmlformats.org/officeDocument/2006/relationships/hyperlink" Target="Ottelup&#246;yt&#228;kirjat\Kausi%2009-10%20-%204Div\070-O13-LeVi-SekTa-06022010-SBAreena.pdf" TargetMode="External"/><Relationship Id="rId189" Type="http://schemas.openxmlformats.org/officeDocument/2006/relationships/hyperlink" Target="Ottelup&#246;yt&#228;kirjat\Kausi%2014-15%20-%204Div\167-O19-AFCCampus4-SekTa-21032015-SportGarden.pdf" TargetMode="External"/><Relationship Id="rId3" Type="http://schemas.openxmlformats.org/officeDocument/2006/relationships/hyperlink" Target="Ottelup&#246;yt&#228;kirjat\Kausi%2023-24%20-%204Div\313-O03-721447-2023-10-14-1100-Leaf_Areena-TVA2-SekTa.pdf" TargetMode="External"/><Relationship Id="rId214" Type="http://schemas.openxmlformats.org/officeDocument/2006/relationships/hyperlink" Target="Ottelup&#246;yt&#228;kirjat\Kausi%2016-17%20-%204Div\200-O11-SekTa-TVA-28012017-KisariihiP&#246;yty&#228;.pdf" TargetMode="External"/><Relationship Id="rId235" Type="http://schemas.openxmlformats.org/officeDocument/2006/relationships/hyperlink" Target="Ottelup&#246;yt&#228;kirjat\Kausi%2017-18%20-%204Div\221-O16-2018-03-10-SBT-Shadows-SekTa_4-5_Taivassalo.jpg" TargetMode="External"/><Relationship Id="rId256" Type="http://schemas.openxmlformats.org/officeDocument/2006/relationships/hyperlink" Target="Ottelup&#246;yt&#228;kirjat\Kausi%2018-19%20-%204Div\242-O20-SekTa-PIF1-Taivassalo-522535-2024-08-30-10-53-11.pdf" TargetMode="External"/><Relationship Id="rId277" Type="http://schemas.openxmlformats.org/officeDocument/2006/relationships/hyperlink" Target="Ottelup&#246;yt&#228;kirjat\Kausi%2019-20%20-%204Div\263-O17-4DIV-SekTa-SBNaantali3-Pohitulli-7110-2020-02-15.pdf" TargetMode="External"/><Relationship Id="rId298" Type="http://schemas.openxmlformats.org/officeDocument/2006/relationships/hyperlink" Target="Ottelup&#246;yt&#228;kirjat\Kausi%2021-22%20-%203Div\284-O17-3DIV-3655-SekTa-AFC-Campus-Leaf-2022-03-19.pdf" TargetMode="External"/><Relationship Id="rId116" Type="http://schemas.openxmlformats.org/officeDocument/2006/relationships/hyperlink" Target="Ottelup&#246;yt&#228;kirjat\Kausi%2010-11%20-%204Div\093-O18-KiU-SekTa-02042011-KilosportPaimio.pdf" TargetMode="External"/><Relationship Id="rId137" Type="http://schemas.openxmlformats.org/officeDocument/2006/relationships/hyperlink" Target="Ottelup&#246;yt&#228;kirjat\Kausi%2012-13%20-%205Div\114-O03-SekTa-SBSKes&#228;ter&#228;-20102012-LeafAreena.pdf" TargetMode="External"/><Relationship Id="rId158" Type="http://schemas.openxmlformats.org/officeDocument/2006/relationships/hyperlink" Target="Ottelup&#246;yt&#228;kirjat\Kausi%2013-14%20-%204Div\136-O06-KIK-SekTa-23112013-PuntParainen.pdf" TargetMode="External"/><Relationship Id="rId302" Type="http://schemas.openxmlformats.org/officeDocument/2006/relationships/hyperlink" Target="Ottelup&#246;yt&#228;kirjat\Kausi%2022-23%20-%204Div\288-O02-4DIV-FBCTurku3-SekTa-Leaf-2892-2022-09-24.pdf" TargetMode="External"/><Relationship Id="rId323" Type="http://schemas.openxmlformats.org/officeDocument/2006/relationships/hyperlink" Target="Ottelup&#246;yt&#228;kirjat\Kausi%2022-23%20-%204Div\309-O23-4DIV-SekTa-Ruoska4-SportGarden-2989-2023-04-01.pdf" TargetMode="External"/><Relationship Id="rId344" Type="http://schemas.openxmlformats.org/officeDocument/2006/relationships/hyperlink" Target="Ottelup&#246;yt&#228;kirjat\Kausi%2024-25%20-%203Div\354-O20-SekTa-TBS-6-3-Leaf-824394-20250309.pdf" TargetMode="External"/><Relationship Id="rId20" Type="http://schemas.openxmlformats.org/officeDocument/2006/relationships/hyperlink" Target="Ottelup&#246;yt&#228;kirjat\Kausi%2023-24%20-%204Div\330-O20-721362-2024-03-23-1400-Leaf_Areena-SekTa-Velehot.pdf" TargetMode="External"/><Relationship Id="rId41" Type="http://schemas.openxmlformats.org/officeDocument/2006/relationships/hyperlink" Target="Ottelup&#246;yt&#228;kirjat\Kausi%2006-07%20-%205Div\017-O17-SekTa-TuWe3-24022007-R&#228;nt&#228;m&#228;ki.pdf" TargetMode="External"/><Relationship Id="rId62" Type="http://schemas.openxmlformats.org/officeDocument/2006/relationships/hyperlink" Target="Ottelup&#246;yt&#228;kirjat\Kausi%2007-08%20-%204Div\038-O17-SB_Naantali-SekTa-29032008-Maijam&#228;en-LH.pdf" TargetMode="External"/><Relationship Id="rId83" Type="http://schemas.openxmlformats.org/officeDocument/2006/relationships/hyperlink" Target="Ottelup&#246;yt&#228;kirjat\Kausi%2009-10%20-%204Div\060-O03-SekTa-SBSMasku2-10102009-SBAreena.pdf" TargetMode="External"/><Relationship Id="rId179" Type="http://schemas.openxmlformats.org/officeDocument/2006/relationships/hyperlink" Target="Ottelup&#246;yt&#228;kirjat\Kausi%2014-15%20-%204Div\157-O09-KIK-SekTa-20122014-Leaf.pdf" TargetMode="External"/><Relationship Id="rId190" Type="http://schemas.openxmlformats.org/officeDocument/2006/relationships/hyperlink" Target="Ottelup&#246;yt&#228;kirjat\Kausi%2014-15%20-%204Div\168-O20-Yrmyt-SekTa-21032015-SportGarden.pdf" TargetMode="External"/><Relationship Id="rId204" Type="http://schemas.openxmlformats.org/officeDocument/2006/relationships/hyperlink" Target="Ottelup&#246;yt&#228;kirjat\Kausi%2016-17%20-%204Div\190-O01-P&#246;U-SekTa-09102016-SBAreena.pdf" TargetMode="External"/><Relationship Id="rId225" Type="http://schemas.openxmlformats.org/officeDocument/2006/relationships/hyperlink" Target="Ottelup&#246;yt&#228;kirjat\Kausi%2017-18%20-%204Div\210-O05-2017-11-26-SekTa-KaPa-65_6-3_Maijam&#228;en-Liikuntahalli.jpg" TargetMode="External"/><Relationship Id="rId246" Type="http://schemas.openxmlformats.org/officeDocument/2006/relationships/hyperlink" Target="Ottelup&#246;yt&#228;kirjat\Kausi%2018-19%20-%204Div\232-O10-P&#246;U-SekTa-KisariihiP&#246;yty&#228;-522447-2024-08-30-10-44-37.pdf" TargetMode="External"/><Relationship Id="rId267" Type="http://schemas.openxmlformats.org/officeDocument/2006/relationships/hyperlink" Target="Ottelup&#246;yt&#228;kirjat\Kausi%2019-20%20-%204Div\253-O07-4DIV-Wankers-SekTa-Leaf-7066-2019-10-27.pdf" TargetMode="External"/><Relationship Id="rId288" Type="http://schemas.openxmlformats.org/officeDocument/2006/relationships/hyperlink" Target="Ottelup&#246;yt&#228;kirjat\Kausi%2021-22%20-%203Div\274-O07-3DIV-3605-SC-Toivo-SekTa-Leaf-2021-12-19.pdf" TargetMode="External"/><Relationship Id="rId106" Type="http://schemas.openxmlformats.org/officeDocument/2006/relationships/hyperlink" Target="Ottelup&#246;yt&#228;kirjat\Kausi%2010-11%20-%204Div\083-O08-SekTa-KoKa-19122010-LeafAreena.pdf" TargetMode="External"/><Relationship Id="rId127" Type="http://schemas.openxmlformats.org/officeDocument/2006/relationships/hyperlink" Target="Ottelup&#246;yt&#228;kirjat\Kausi%2011-12%20-%204Div\104-O11-Ryhti-SekTa-21012012-SportGarden.pdf" TargetMode="External"/><Relationship Id="rId313" Type="http://schemas.openxmlformats.org/officeDocument/2006/relationships/hyperlink" Target="Ottelup&#246;yt&#228;kirjat\Kausi%2022-23%20-%204Div\299-O13-4DIV-SBSLieto2-SekTa-SportGarden-2941-2023-01-08.pdf" TargetMode="External"/><Relationship Id="rId10" Type="http://schemas.openxmlformats.org/officeDocument/2006/relationships/hyperlink" Target="Ottelup&#246;yt&#228;kirjat\Kausi%2023-24%20-%204Div\320-O10-721417-2023-12-17-1400-Leaf_Areena-SekTa-PaPeNu.pdf" TargetMode="External"/><Relationship Id="rId31" Type="http://schemas.openxmlformats.org/officeDocument/2006/relationships/hyperlink" Target="Ottelup&#246;yt&#228;kirjat\Kausi%2006-07%20-%205Div\007-O07-PaPeNu-SekTa-09122006-R&#228;nt&#228;m&#228;ki.pdf" TargetMode="External"/><Relationship Id="rId52" Type="http://schemas.openxmlformats.org/officeDocument/2006/relationships/hyperlink" Target="Ottelup&#246;yt&#228;kirjat\Kausi%2007-08%20-%204Div\028-O07-SekTa-TVA-15122007-R&#228;nt&#228;m&#228;en-LK.pdf" TargetMode="External"/><Relationship Id="rId73" Type="http://schemas.openxmlformats.org/officeDocument/2006/relationships/hyperlink" Target="Ottelup&#246;yt&#228;kirjat\Kausi%2008-09%20-%205Div\050-O11-FBCTurku3-SekTa-07022009-R&#228;nt&#228;m&#228;ki.pdf" TargetMode="External"/><Relationship Id="rId94" Type="http://schemas.openxmlformats.org/officeDocument/2006/relationships/hyperlink" Target="Ottelup&#246;yt&#228;kirjat\Kausi%2009-10%20-%204Div\071-O14-SekTa-SCToivo-06022010-SBAreena.pdf" TargetMode="External"/><Relationship Id="rId148" Type="http://schemas.openxmlformats.org/officeDocument/2006/relationships/hyperlink" Target="Ottelup&#246;yt&#228;kirjat\Kausi%2012-13%20-%205Div\125-O13-SekTa-HIF-02022013-LeafAreena.pdf" TargetMode="External"/><Relationship Id="rId169" Type="http://schemas.openxmlformats.org/officeDocument/2006/relationships/hyperlink" Target="Ottelup&#246;yt&#228;kirjat\Kausi%2013-14%20-%204Div\147-O17-SBNaantali2-SekTa-15032014-LeafAreena.pdf" TargetMode="External"/><Relationship Id="rId334" Type="http://schemas.openxmlformats.org/officeDocument/2006/relationships/hyperlink" Target="Ottelup&#246;yt&#228;kirjat\Kausi%2024-25%20-%203Div\344-O10-TBS-SekTa-4-5-Leaf-824469-20241130.pdf" TargetMode="External"/><Relationship Id="rId4" Type="http://schemas.openxmlformats.org/officeDocument/2006/relationships/hyperlink" Target="Ottelup&#246;yt&#228;kirjat\Kausi%2023-24%20-%204Div\314-O04-721445-2023-10-14-1300-Leaf_Areena-SekTa-TuTo.pdf" TargetMode="External"/><Relationship Id="rId180" Type="http://schemas.openxmlformats.org/officeDocument/2006/relationships/hyperlink" Target="Ottelup&#246;yt&#228;kirjat\Kausi%2014-15%20-%204Div\158-O10-SekTa-Yrmyt-20122014-Leaf.pdf" TargetMode="External"/><Relationship Id="rId215" Type="http://schemas.openxmlformats.org/officeDocument/2006/relationships/hyperlink" Target="Ottelup&#246;yt&#228;kirjat\Kausi%2016-17%20-%204Div\201-O12-SekTa-Gremlins-28012017-KisariihiP&#246;yty&#228;.pdf" TargetMode="External"/><Relationship Id="rId236" Type="http://schemas.openxmlformats.org/officeDocument/2006/relationships/hyperlink" Target="Ottelup&#246;yt&#228;kirjat\Kausi%2017-18%20-%204Div\222-O17-2018-04-07-SekTa-SB-NaantaliM2_4-3_SB-Areena-Karsintaottelu.jpg" TargetMode="External"/><Relationship Id="rId257" Type="http://schemas.openxmlformats.org/officeDocument/2006/relationships/hyperlink" Target="Ottelup&#246;yt&#228;kirjat\Kausi%2018-19%20-%204Div\243-O21-AFCCampus2-SekTa-Taivassalo-522543-2024-08-30-10-54-21.pdf" TargetMode="External"/><Relationship Id="rId278" Type="http://schemas.openxmlformats.org/officeDocument/2006/relationships/hyperlink" Target="Ottelup&#246;yt&#228;kirjat\Kausi%2019-20%20-%204Div\264-O18-4DIV-SekTa-TuTo-SBAreena-7119-2020-02-29.pdf" TargetMode="External"/><Relationship Id="rId303" Type="http://schemas.openxmlformats.org/officeDocument/2006/relationships/hyperlink" Target="Ottelup&#246;yt&#228;kirjat\Kausi%2022-23%20-%204Div\289-O03-4DIV-Ahto-SekTa-Leaf-2896-2022-10-16.pdf" TargetMode="External"/><Relationship Id="rId42" Type="http://schemas.openxmlformats.org/officeDocument/2006/relationships/hyperlink" Target="Ottelup&#246;yt&#228;kirjat\Kausi%2006-07%20-%205Div\018-O18-SBTAakkerit-SekTa-24022007-R&#228;nt&#228;m&#228;ki.pdf" TargetMode="External"/><Relationship Id="rId84" Type="http://schemas.openxmlformats.org/officeDocument/2006/relationships/hyperlink" Target="Ottelup&#246;yt&#228;kirjat\Kausi%2009-10%20-%204Div\061-O04-SCToivo-SekTa-25102009-HemminginKoulu.pdf" TargetMode="External"/><Relationship Id="rId138" Type="http://schemas.openxmlformats.org/officeDocument/2006/relationships/hyperlink" Target="Ottelup&#246;yt&#228;kirjat\Kausi%2012-13%20-%205Div\115-O04-HTV-SekTa-20102012-LeafAreena.pdf" TargetMode="External"/><Relationship Id="rId345" Type="http://schemas.openxmlformats.org/officeDocument/2006/relationships/hyperlink" Target="Ottelup&#246;yt&#228;kirjat\Kausi%2024-25%20-%203Div\355-O21-Velehot-SekTa-6-1-Leaf-824391-20250309.pdf" TargetMode="External"/><Relationship Id="rId191" Type="http://schemas.openxmlformats.org/officeDocument/2006/relationships/hyperlink" Target="Ottelup&#246;yt&#228;kirjat\Kausi%2015-16%20-%204Div\170-O01-TA631-SekTa-26092015-Leaf.pdf" TargetMode="External"/><Relationship Id="rId205" Type="http://schemas.openxmlformats.org/officeDocument/2006/relationships/hyperlink" Target="Ottelup&#246;yt&#228;kirjat\Kausi%2016-17%20-%204Div\191-O02-SekTa-RunU-09102016-SBAreena.pdf" TargetMode="External"/><Relationship Id="rId247" Type="http://schemas.openxmlformats.org/officeDocument/2006/relationships/hyperlink" Target="Ottelup&#246;yt&#228;kirjat\Kausi%2018-19%20-%204Div\233-O11-PIF1-SekTa-KisariihiP&#246;yty&#228;-522452-2024-08-30-10-45-23.pdf" TargetMode="External"/><Relationship Id="rId107" Type="http://schemas.openxmlformats.org/officeDocument/2006/relationships/hyperlink" Target="Ottelup&#246;yt&#228;kirjat\Kausi%2010-11%20-%204Div\084-O09-Ruoska3-SekTa-09012011-Lietohalli.pdf" TargetMode="External"/><Relationship Id="rId289" Type="http://schemas.openxmlformats.org/officeDocument/2006/relationships/hyperlink" Target="Ottelup&#246;yt&#228;kirjat\Kausi%2021-22%20-%203Div\275-O08-3DIV-3610-SekTa-TVA-Leaf-2021-12-19.pdf" TargetMode="External"/><Relationship Id="rId11" Type="http://schemas.openxmlformats.org/officeDocument/2006/relationships/hyperlink" Target="Ottelup&#246;yt&#228;kirjat\Kausi%2023-24%20-%204Div\321-O11-721403-2024-01-06-1200-Lietohalli-KiKi-SekTa.pdf" TargetMode="External"/><Relationship Id="rId53" Type="http://schemas.openxmlformats.org/officeDocument/2006/relationships/hyperlink" Target="Ottelup&#246;yt&#228;kirjat\Kausi%2007-08%20-%204Div\029-O08-SekTa-SB_Naantali-15122007-R&#228;nt&#228;m&#228;en-LK.pdf" TargetMode="External"/><Relationship Id="rId149" Type="http://schemas.openxmlformats.org/officeDocument/2006/relationships/hyperlink" Target="Ottelup&#246;yt&#228;kirjat\Kausi%2012-13%20-%205Div\126-O14-RiverRats-SekTa-02022013-LeafAreena.pdf" TargetMode="External"/><Relationship Id="rId314" Type="http://schemas.openxmlformats.org/officeDocument/2006/relationships/hyperlink" Target="Ottelup&#246;yt&#228;kirjat\Kausi%2022-23%20-%204Div\300-O14-4DIV-SekTa-AFCCampus2-SportGarden-2944-2023-01-08.pdf" TargetMode="External"/><Relationship Id="rId95" Type="http://schemas.openxmlformats.org/officeDocument/2006/relationships/hyperlink" Target="Ottelup&#246;yt&#228;kirjat\Kausi%2009-10%20-%204Div\072-O15-SekTa-Py&#246;velit-21022010-HemminginKoulu.pdf" TargetMode="External"/><Relationship Id="rId160" Type="http://schemas.openxmlformats.org/officeDocument/2006/relationships/hyperlink" Target="Ottelup&#246;yt&#228;kirjat\Kausi%2013-14%20-%204Div\138-O08-SekTa-FBCParainen-15122013-SBAreena.pdf" TargetMode="External"/><Relationship Id="rId216" Type="http://schemas.openxmlformats.org/officeDocument/2006/relationships/hyperlink" Target="Ottelup&#246;yt&#228;kirjat\Kausi%2016-17%20-%204Div\202-O13-HirvHe-SekTa-26022017-SBAreena.pdf" TargetMode="External"/><Relationship Id="rId258" Type="http://schemas.openxmlformats.org/officeDocument/2006/relationships/hyperlink" Target="Ottelup&#246;yt&#228;kirjat\Kausi%2018-19%20-%204Div\244-O22-Karsinta-TeamLSM-SekTa-MomentumPori-571604-2024-08-30-10-55-41.pdf" TargetMode="External"/><Relationship Id="rId22" Type="http://schemas.openxmlformats.org/officeDocument/2006/relationships/hyperlink" Target="Ottelup&#246;yt&#228;kirjat\Kausi%2023-24%20-%204Div\332-O22-810860-2024-04-07-1230-Punt_Parainen-SC_Wolves2-SekTa.pdf" TargetMode="External"/><Relationship Id="rId64" Type="http://schemas.openxmlformats.org/officeDocument/2006/relationships/hyperlink" Target="Ottelup&#246;yt&#228;kirjat\Kausi%2008-09%20-%205Div\041-O02-SekTa-FBCTurku3-01112008-Laurinkoulu.pdf" TargetMode="External"/><Relationship Id="rId118" Type="http://schemas.openxmlformats.org/officeDocument/2006/relationships/hyperlink" Target="Ottelup&#246;yt&#228;kirjat\Kausi%2011-12%20-%204Div\095-O02-TA631-SekTa-25092011-LeafAreena.pdf" TargetMode="External"/><Relationship Id="rId325" Type="http://schemas.openxmlformats.org/officeDocument/2006/relationships/hyperlink" Target="Ottelup&#246;yt&#228;kirjat\Kausi%2024-25%20-%203Div\335-O01-SBSWirmo2-SekTa-3-2-HaNiHalli-824514-20240907.pdf" TargetMode="External"/><Relationship Id="rId171" Type="http://schemas.openxmlformats.org/officeDocument/2006/relationships/hyperlink" Target="Ottelup&#246;yt&#228;kirjat\Kausi%2014-15%20-%204Div\149-O01-SekTa-SCWolves-04102014-Leaf.pdf" TargetMode="External"/><Relationship Id="rId227" Type="http://schemas.openxmlformats.org/officeDocument/2006/relationships/hyperlink" Target="Ottelup&#246;yt&#228;kirjat\Kausi%2017-18%20-%204Div\213-O08-2017-12-16-SekTa-SBT-Shadows_3-5_Leaf-Areena.jpg" TargetMode="External"/><Relationship Id="rId269" Type="http://schemas.openxmlformats.org/officeDocument/2006/relationships/hyperlink" Target="Ottelup&#246;yt&#228;kirjat\Kausi%2019-20%20-%204Div\255-O09-4DIV-TuTo-SekTa-Leaf-7072-2019-11-16.pdf" TargetMode="External"/><Relationship Id="rId33" Type="http://schemas.openxmlformats.org/officeDocument/2006/relationships/hyperlink" Target="Ottelup&#246;yt&#228;kirjat\Kausi%2006-07%20-%205Div\009-O09-FBCBlueRiver-SekTa-17122006-SB-Areena.pdf" TargetMode="External"/><Relationship Id="rId129" Type="http://schemas.openxmlformats.org/officeDocument/2006/relationships/hyperlink" Target="Ottelup&#246;yt&#228;kirjat\Kausi%2011-12%20-%204Div\106-O13-SekTa-FBCTSP-04022012-KilosportTurku.pdf" TargetMode="External"/><Relationship Id="rId280" Type="http://schemas.openxmlformats.org/officeDocument/2006/relationships/hyperlink" Target="Ottelup&#246;yt&#228;kirjat\Kausi%2020-21%20-%203Div\266-O01-3DIV-AFCCampus-SekTa-HaNihalli-5628-2020-10-11.pdf" TargetMode="External"/><Relationship Id="rId336" Type="http://schemas.openxmlformats.org/officeDocument/2006/relationships/hyperlink" Target="Ottelup&#246;yt&#228;kirjat\Kausi%2024-25%20-%203Div\346-O12-SekTa-TVV-3-6-Leaf-824456-20241213.pdf" TargetMode="External"/><Relationship Id="rId75" Type="http://schemas.openxmlformats.org/officeDocument/2006/relationships/hyperlink" Target="Ottelup&#246;yt&#228;kirjat\Kausi%2008-09%20-%205Div\052-O13-Yrmyt-SekTa-21022009-R&#228;nt&#228;m&#228;ki.pdf" TargetMode="External"/><Relationship Id="rId140" Type="http://schemas.openxmlformats.org/officeDocument/2006/relationships/hyperlink" Target="Ottelup&#246;yt&#228;kirjat\Kausi%2012-13%20-%205Div\117-Luovutus-AFCCampus5-SekTa-03112012-KilosportTurku.pdf" TargetMode="External"/><Relationship Id="rId182" Type="http://schemas.openxmlformats.org/officeDocument/2006/relationships/hyperlink" Target="Ottelup&#246;yt&#228;kirjat\Kausi%2014-15%20-%204Div\160-O12-FBCFeelings-SekTa-10012015-PuntParainen.pdf" TargetMode="External"/><Relationship Id="rId6" Type="http://schemas.openxmlformats.org/officeDocument/2006/relationships/hyperlink" Target="Ottelup&#246;yt&#228;kirjat\Kausi%2023-24%20-%204Div\316-O06-721434-2023-11-04-1400-Leaf_Areena-Flames-SekTa.pdf" TargetMode="External"/><Relationship Id="rId238" Type="http://schemas.openxmlformats.org/officeDocument/2006/relationships/hyperlink" Target="Ottelup&#246;yt&#228;kirjat\Kausi%2018-19%20-%204Div\224-O02-SekTa-TA631-KisariihiP&#246;yty&#228;-522379-2024-08-30-10-37-55.pdf" TargetMode="External"/><Relationship Id="rId291" Type="http://schemas.openxmlformats.org/officeDocument/2006/relationships/hyperlink" Target="Ottelup&#246;yt&#228;kirjat\Kausi%2021-22%20-%203Div\277-O10-3DIV-3629-AFC-Campus-SekTa-SBAreena-2022-02-05.pdf" TargetMode="External"/><Relationship Id="rId305" Type="http://schemas.openxmlformats.org/officeDocument/2006/relationships/hyperlink" Target="Ottelup&#246;yt&#228;kirjat\Kausi%2022-23%20-%204Div\291-O05-4DIV-SekTa-SBSLieto2-Kisariihi-2903-2022-10-29.pdf" TargetMode="External"/><Relationship Id="rId347" Type="http://schemas.openxmlformats.org/officeDocument/2006/relationships/printerSettings" Target="../printerSettings/printerSettings19.bin"/><Relationship Id="rId44" Type="http://schemas.openxmlformats.org/officeDocument/2006/relationships/hyperlink" Target="Ottelup&#246;yt&#228;kirjat\Kausi%2006-07%20-%205Div\020-O20-SBB-SekTa-17032007-R&#228;nt&#228;m&#228;ki.pdf" TargetMode="External"/><Relationship Id="rId86" Type="http://schemas.openxmlformats.org/officeDocument/2006/relationships/hyperlink" Target="Ottelup&#246;yt&#228;kirjat\Kausi%2009-10%20-%204Div\063-O06-Py&#246;velit-SekTa-15112009-SBAreena.pdf" TargetMode="External"/><Relationship Id="rId151" Type="http://schemas.openxmlformats.org/officeDocument/2006/relationships/hyperlink" Target="Ottelup&#246;yt&#228;kirjat\Kausi%2012-13%20-%205Div\128-O16-SekTa-HTV-17022013-LeafAreena.pdf" TargetMode="External"/><Relationship Id="rId193" Type="http://schemas.openxmlformats.org/officeDocument/2006/relationships/hyperlink" Target="Ottelup&#246;yt&#228;kirjat\Kausi%2015-16%20-%204Div\172-O03-SekTa-SBNaantali3-17102015-Taivassalo.pdf" TargetMode="External"/><Relationship Id="rId207" Type="http://schemas.openxmlformats.org/officeDocument/2006/relationships/hyperlink" Target="Ottelup&#246;yt&#228;kirjat\Kausi%2016-17%20-%204Div\193-O04-TVA-SekTa-29102016-SBAreena.pdf" TargetMode="External"/><Relationship Id="rId249" Type="http://schemas.openxmlformats.org/officeDocument/2006/relationships/hyperlink" Target="Ottelup&#246;yt&#228;kirjat\Kausi%2018-19%20-%204Div\235-O13-Gremlins-SekTa-PuntParainen-522472-2024-08-30-10-47-04.pdf" TargetMode="External"/><Relationship Id="rId13" Type="http://schemas.openxmlformats.org/officeDocument/2006/relationships/hyperlink" Target="Ottelup&#246;yt&#228;kirjat\Kausi%2023-24%20-%204Div\323-O13-721392-2024-01-27-1100-Leaf_Areena-TuTo-SekTa.pdf" TargetMode="External"/><Relationship Id="rId109" Type="http://schemas.openxmlformats.org/officeDocument/2006/relationships/hyperlink" Target="Ottelup&#246;yt&#228;kirjat\Kausi%2010-11%20-%204Div\086-O11-SekTa-SU-29012011-HalikonLH.pdf" TargetMode="External"/><Relationship Id="rId260" Type="http://schemas.openxmlformats.org/officeDocument/2006/relationships/hyperlink" Target="Ottelup&#246;yt&#228;kirjat\Kausi%2018-19%20-%204Div\246-O24-Karsinta-SekTa-SBHirvensalo2-LeafAreena-571764-2024-08-30-10-57-21.pdf" TargetMode="External"/><Relationship Id="rId316" Type="http://schemas.openxmlformats.org/officeDocument/2006/relationships/hyperlink" Target="Ottelup&#246;yt&#228;kirjat\Kausi%2022-23%20-%204Div\302-O16-4DIV-SekTa-Flames-NousteAreena-2950-2023-01-21.pdf" TargetMode="External"/><Relationship Id="rId55" Type="http://schemas.openxmlformats.org/officeDocument/2006/relationships/hyperlink" Target="Ottelup&#246;yt&#228;kirjat\Kausi%2007-08%20-%204Div\031-O10-TuWe-SekTa-20012008-SB-Areena.pdf" TargetMode="External"/><Relationship Id="rId97" Type="http://schemas.openxmlformats.org/officeDocument/2006/relationships/hyperlink" Target="Ottelup&#246;yt&#228;kirjat\Kausi%2009-10%20-%204Div\074-O17-UHWBulls-SekTa-07032010-LeafAreena.pdf" TargetMode="External"/><Relationship Id="rId120" Type="http://schemas.openxmlformats.org/officeDocument/2006/relationships/hyperlink" Target="Ottelup&#246;yt&#228;kirjat\Kausi%2011-12%20-%204Div\097-O04-FBCTSP-SekTa-22102011-KilosportTurku.pdf" TargetMode="External"/><Relationship Id="rId162" Type="http://schemas.openxmlformats.org/officeDocument/2006/relationships/hyperlink" Target="Ottelup&#246;yt&#228;kirjat\Kausi%2013-14%20-%204Div\140-O10-TVV-SekTa-11012014-SportGarden.pdf" TargetMode="External"/><Relationship Id="rId218" Type="http://schemas.openxmlformats.org/officeDocument/2006/relationships/hyperlink" Target="Ottelup&#246;yt&#228;kirjat\Kausi%2016-17%20-%204Div\204-O15-Yrmyt-SekTa-18032017-SBAreena-A.pdf" TargetMode="External"/><Relationship Id="rId271" Type="http://schemas.openxmlformats.org/officeDocument/2006/relationships/hyperlink" Target="Ottelup&#246;yt&#228;kirjat\Kausi%2019-20%20-%204Div\257-O11-4DIV-SekTa-SBKM-SportGarden-7084-2019-12-07.pdf" TargetMode="External"/><Relationship Id="rId24" Type="http://schemas.openxmlformats.org/officeDocument/2006/relationships/hyperlink" Target="Ottelup&#246;yt&#228;kirjat\Kausi%2023-24%20-%204Div\334-O24-814540-2024-04-14-1230-Leaf_Areena-SekTa-FC_KYPS.pdf" TargetMode="External"/><Relationship Id="rId66" Type="http://schemas.openxmlformats.org/officeDocument/2006/relationships/hyperlink" Target="Ottelup&#246;yt&#228;kirjat\Kausi%2008-09%20-%205Div\043-O04-SekTa-Yrmyt-15112008-SBAreena.pdf" TargetMode="External"/><Relationship Id="rId131" Type="http://schemas.openxmlformats.org/officeDocument/2006/relationships/hyperlink" Target="Ottelup&#246;yt&#228;kirjat\Kausi%2011-12%20-%204Div\108-O15-SekTa-GrimReapers-18022012-Hemminki.pdf" TargetMode="External"/><Relationship Id="rId327" Type="http://schemas.openxmlformats.org/officeDocument/2006/relationships/hyperlink" Target="Ottelup&#246;yt&#228;kirjat\Kausi%2024-25%20-%203Div\337-O03-SekTa-SalPa-2-1-Leaf-824506-20240920.pdf" TargetMode="External"/><Relationship Id="rId173" Type="http://schemas.openxmlformats.org/officeDocument/2006/relationships/hyperlink" Target="Ottelup&#246;yt&#228;kirjat\Kausi%2014-15%20-%204Div\151-O03-SCWolves-SekTa-25102014-PuntParainen.pdf" TargetMode="External"/><Relationship Id="rId229" Type="http://schemas.openxmlformats.org/officeDocument/2006/relationships/hyperlink" Target="Ottelup&#246;yt&#228;kirjat\Kausi%2017-18%20-%204Div\215-O10-2018-01-07-Py&#246;velit2-SekTa_6-3_Leaf-Areena.jpg" TargetMode="External"/><Relationship Id="rId240" Type="http://schemas.openxmlformats.org/officeDocument/2006/relationships/hyperlink" Target="Ottelup&#246;yt&#228;kirjat\Kausi%2018-19%20-%204Div\226-O04-SekTa-P&#246;U-PuntParainen-522399-2024-08-30-10-39-4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234"/>
  <sheetViews>
    <sheetView topLeftCell="A103" workbookViewId="0">
      <selection activeCell="U93" sqref="U93"/>
    </sheetView>
  </sheetViews>
  <sheetFormatPr defaultColWidth="9.109375" defaultRowHeight="14.4" x14ac:dyDescent="0.3"/>
  <cols>
    <col min="1" max="1" width="2.88671875" style="357" customWidth="1"/>
    <col min="2" max="2" width="25" customWidth="1"/>
    <col min="3" max="7" width="5.6640625" customWidth="1"/>
    <col min="8" max="8" width="7" customWidth="1"/>
    <col min="9" max="11" width="5.6640625" customWidth="1"/>
    <col min="12" max="12" width="8.33203125" customWidth="1"/>
    <col min="13" max="14" width="5.6640625" customWidth="1"/>
    <col min="15" max="15" width="8" customWidth="1"/>
    <col min="16" max="16" width="6" customWidth="1"/>
    <col min="17" max="29" width="9.109375" style="357"/>
  </cols>
  <sheetData>
    <row r="1" spans="2:16" s="357" customFormat="1" x14ac:dyDescent="0.3"/>
    <row r="2" spans="2:16" s="357" customFormat="1" ht="36.6" x14ac:dyDescent="0.85">
      <c r="B2" s="379" t="s">
        <v>0</v>
      </c>
      <c r="C2" s="377"/>
      <c r="D2" s="377"/>
      <c r="E2" s="377"/>
      <c r="F2" s="381" t="s">
        <v>2</v>
      </c>
    </row>
    <row r="3" spans="2:16" s="357" customFormat="1" ht="21" customHeight="1" x14ac:dyDescent="0.4">
      <c r="B3" s="381" t="s">
        <v>517</v>
      </c>
      <c r="C3" s="377"/>
      <c r="D3" s="377"/>
      <c r="E3" s="377"/>
    </row>
    <row r="4" spans="2:16" s="357" customFormat="1" ht="21" customHeight="1" x14ac:dyDescent="0.4">
      <c r="B4" s="381"/>
      <c r="C4" s="377"/>
      <c r="D4" s="377"/>
      <c r="E4" s="377"/>
    </row>
    <row r="5" spans="2:16" s="357" customFormat="1" ht="21" customHeight="1" x14ac:dyDescent="0.4">
      <c r="B5" s="381"/>
      <c r="C5" s="377"/>
      <c r="D5" s="377"/>
      <c r="E5" s="377"/>
    </row>
    <row r="6" spans="2:16" s="357" customFormat="1" ht="21" customHeight="1" x14ac:dyDescent="0.4">
      <c r="B6" s="381" t="s">
        <v>1914</v>
      </c>
      <c r="C6" s="475" t="s">
        <v>1946</v>
      </c>
      <c r="D6" s="381"/>
      <c r="E6" s="381"/>
      <c r="F6" s="381"/>
    </row>
    <row r="7" spans="2:16" s="357" customFormat="1" ht="7.5" customHeight="1" x14ac:dyDescent="0.3">
      <c r="B7" s="475"/>
    </row>
    <row r="8" spans="2:16" ht="15" customHeight="1" thickBot="1" x14ac:dyDescent="0.35">
      <c r="C8" s="480" t="s">
        <v>877</v>
      </c>
      <c r="D8" s="481" t="s">
        <v>533</v>
      </c>
      <c r="E8" s="481" t="s">
        <v>534</v>
      </c>
      <c r="F8" s="481" t="s">
        <v>610</v>
      </c>
      <c r="G8" s="481" t="s">
        <v>535</v>
      </c>
      <c r="H8" s="481" t="s">
        <v>878</v>
      </c>
      <c r="I8" s="481" t="s">
        <v>540</v>
      </c>
      <c r="J8" s="481" t="s">
        <v>545</v>
      </c>
      <c r="K8" s="481" t="s">
        <v>611</v>
      </c>
      <c r="L8" s="711" t="s">
        <v>879</v>
      </c>
      <c r="M8" s="481" t="s">
        <v>637</v>
      </c>
      <c r="N8" s="482" t="s">
        <v>693</v>
      </c>
      <c r="O8" s="482" t="s">
        <v>613</v>
      </c>
      <c r="P8" s="482" t="s">
        <v>139</v>
      </c>
    </row>
    <row r="9" spans="2:16" ht="15" customHeight="1" x14ac:dyDescent="0.3">
      <c r="B9" s="478" t="s">
        <v>1459</v>
      </c>
      <c r="C9" s="687">
        <v>15</v>
      </c>
      <c r="D9" s="687">
        <v>7</v>
      </c>
      <c r="E9" s="687">
        <v>2</v>
      </c>
      <c r="F9" s="687">
        <f>D9+E9</f>
        <v>9</v>
      </c>
      <c r="G9" s="687">
        <v>2</v>
      </c>
      <c r="H9" s="687">
        <v>1</v>
      </c>
      <c r="I9" s="687">
        <v>1</v>
      </c>
      <c r="J9" s="687" t="s">
        <v>107</v>
      </c>
      <c r="K9" s="687" t="s">
        <v>107</v>
      </c>
      <c r="L9" s="687" t="s">
        <v>107</v>
      </c>
      <c r="M9" s="687" t="s">
        <v>107</v>
      </c>
      <c r="N9" s="687" t="s">
        <v>107</v>
      </c>
      <c r="O9" s="687" t="s">
        <v>107</v>
      </c>
      <c r="P9" s="687" t="s">
        <v>107</v>
      </c>
    </row>
    <row r="10" spans="2:16" ht="15" customHeight="1" x14ac:dyDescent="0.3">
      <c r="B10" s="479" t="s">
        <v>1075</v>
      </c>
      <c r="C10" s="688">
        <v>21</v>
      </c>
      <c r="D10" s="688">
        <v>23</v>
      </c>
      <c r="E10" s="688">
        <v>14</v>
      </c>
      <c r="F10" s="688">
        <f t="shared" ref="F10:F22" si="0">D10+E10</f>
        <v>37</v>
      </c>
      <c r="G10" s="688">
        <v>8</v>
      </c>
      <c r="H10" s="688">
        <v>1</v>
      </c>
      <c r="I10" s="688">
        <v>2</v>
      </c>
      <c r="J10" s="688" t="s">
        <v>107</v>
      </c>
      <c r="K10" s="688" t="s">
        <v>107</v>
      </c>
      <c r="L10" s="688" t="s">
        <v>107</v>
      </c>
      <c r="M10" s="688" t="s">
        <v>107</v>
      </c>
      <c r="N10" s="688" t="s">
        <v>107</v>
      </c>
      <c r="O10" s="688">
        <v>3</v>
      </c>
      <c r="P10" s="688" t="s">
        <v>107</v>
      </c>
    </row>
    <row r="11" spans="2:16" ht="15" customHeight="1" x14ac:dyDescent="0.3">
      <c r="B11" s="478" t="s">
        <v>47</v>
      </c>
      <c r="C11" s="687">
        <v>16</v>
      </c>
      <c r="D11" s="687">
        <v>4</v>
      </c>
      <c r="E11" s="687">
        <v>2</v>
      </c>
      <c r="F11" s="687">
        <f t="shared" si="0"/>
        <v>6</v>
      </c>
      <c r="G11" s="687">
        <v>4</v>
      </c>
      <c r="H11" s="687" t="s">
        <v>107</v>
      </c>
      <c r="I11" s="687" t="s">
        <v>107</v>
      </c>
      <c r="J11" s="687" t="s">
        <v>107</v>
      </c>
      <c r="K11" s="687" t="s">
        <v>107</v>
      </c>
      <c r="L11" s="687" t="s">
        <v>107</v>
      </c>
      <c r="M11" s="687" t="s">
        <v>107</v>
      </c>
      <c r="N11" s="687" t="s">
        <v>107</v>
      </c>
      <c r="O11" s="687" t="s">
        <v>107</v>
      </c>
      <c r="P11" s="687" t="s">
        <v>107</v>
      </c>
    </row>
    <row r="12" spans="2:16" ht="15" customHeight="1" x14ac:dyDescent="0.3">
      <c r="B12" s="479" t="s">
        <v>53</v>
      </c>
      <c r="C12" s="688">
        <v>19</v>
      </c>
      <c r="D12" s="688">
        <v>6</v>
      </c>
      <c r="E12" s="688">
        <v>7</v>
      </c>
      <c r="F12" s="688">
        <f t="shared" si="0"/>
        <v>13</v>
      </c>
      <c r="G12" s="688">
        <v>2</v>
      </c>
      <c r="H12" s="688">
        <v>1</v>
      </c>
      <c r="I12" s="688">
        <v>1</v>
      </c>
      <c r="J12" s="688" t="s">
        <v>107</v>
      </c>
      <c r="K12" s="688" t="s">
        <v>107</v>
      </c>
      <c r="L12" s="688" t="s">
        <v>107</v>
      </c>
      <c r="M12" s="688" t="s">
        <v>107</v>
      </c>
      <c r="N12" s="688" t="s">
        <v>107</v>
      </c>
      <c r="O12" s="688" t="s">
        <v>107</v>
      </c>
      <c r="P12" s="688" t="s">
        <v>107</v>
      </c>
    </row>
    <row r="13" spans="2:16" ht="15" customHeight="1" x14ac:dyDescent="0.3">
      <c r="B13" s="478" t="s">
        <v>1379</v>
      </c>
      <c r="C13" s="687">
        <v>21</v>
      </c>
      <c r="D13" s="687">
        <v>16</v>
      </c>
      <c r="E13" s="687">
        <v>15</v>
      </c>
      <c r="F13" s="687">
        <f t="shared" si="0"/>
        <v>31</v>
      </c>
      <c r="G13" s="687">
        <v>4</v>
      </c>
      <c r="H13" s="687" t="s">
        <v>107</v>
      </c>
      <c r="I13" s="687">
        <v>1</v>
      </c>
      <c r="J13" s="687" t="s">
        <v>107</v>
      </c>
      <c r="K13" s="687" t="s">
        <v>107</v>
      </c>
      <c r="L13" s="687" t="s">
        <v>107</v>
      </c>
      <c r="M13" s="687" t="s">
        <v>107</v>
      </c>
      <c r="N13" s="687" t="s">
        <v>107</v>
      </c>
      <c r="O13" s="687">
        <v>1</v>
      </c>
      <c r="P13" s="687" t="s">
        <v>107</v>
      </c>
    </row>
    <row r="14" spans="2:16" ht="15" customHeight="1" x14ac:dyDescent="0.3">
      <c r="B14" s="479" t="s">
        <v>50</v>
      </c>
      <c r="C14" s="688">
        <v>18</v>
      </c>
      <c r="D14" s="688">
        <v>14</v>
      </c>
      <c r="E14" s="688">
        <v>10</v>
      </c>
      <c r="F14" s="688">
        <f t="shared" si="0"/>
        <v>24</v>
      </c>
      <c r="G14" s="688">
        <v>0</v>
      </c>
      <c r="H14" s="688">
        <v>2</v>
      </c>
      <c r="I14" s="688">
        <v>2</v>
      </c>
      <c r="J14" s="688" t="s">
        <v>107</v>
      </c>
      <c r="K14" s="688" t="s">
        <v>107</v>
      </c>
      <c r="L14" s="688" t="s">
        <v>107</v>
      </c>
      <c r="M14" s="688" t="s">
        <v>107</v>
      </c>
      <c r="N14" s="688">
        <v>1</v>
      </c>
      <c r="O14" s="688">
        <v>1</v>
      </c>
      <c r="P14" s="688" t="s">
        <v>107</v>
      </c>
    </row>
    <row r="15" spans="2:16" ht="15" customHeight="1" x14ac:dyDescent="0.3">
      <c r="B15" s="478" t="s">
        <v>1124</v>
      </c>
      <c r="C15" s="687">
        <v>21</v>
      </c>
      <c r="D15" s="687">
        <v>15</v>
      </c>
      <c r="E15" s="687">
        <v>18</v>
      </c>
      <c r="F15" s="687">
        <f t="shared" si="0"/>
        <v>33</v>
      </c>
      <c r="G15" s="687">
        <v>8</v>
      </c>
      <c r="H15" s="687">
        <v>4</v>
      </c>
      <c r="I15" s="687">
        <v>1</v>
      </c>
      <c r="J15" s="687" t="s">
        <v>107</v>
      </c>
      <c r="K15" s="687" t="s">
        <v>107</v>
      </c>
      <c r="L15" s="687" t="s">
        <v>107</v>
      </c>
      <c r="M15" s="687" t="s">
        <v>107</v>
      </c>
      <c r="N15" s="687" t="s">
        <v>107</v>
      </c>
      <c r="O15" s="687">
        <v>1</v>
      </c>
      <c r="P15" s="687" t="s">
        <v>107</v>
      </c>
    </row>
    <row r="16" spans="2:16" ht="15" customHeight="1" x14ac:dyDescent="0.3">
      <c r="B16" s="479" t="s">
        <v>1944</v>
      </c>
      <c r="C16" s="688">
        <v>15</v>
      </c>
      <c r="D16" s="688">
        <v>8</v>
      </c>
      <c r="E16" s="688">
        <v>4</v>
      </c>
      <c r="F16" s="688">
        <f t="shared" si="0"/>
        <v>12</v>
      </c>
      <c r="G16" s="688">
        <v>2</v>
      </c>
      <c r="H16" s="688">
        <v>1</v>
      </c>
      <c r="I16" s="688">
        <v>1</v>
      </c>
      <c r="J16" s="688" t="s">
        <v>107</v>
      </c>
      <c r="K16" s="688" t="s">
        <v>107</v>
      </c>
      <c r="L16" s="688" t="s">
        <v>107</v>
      </c>
      <c r="M16" s="688" t="s">
        <v>107</v>
      </c>
      <c r="N16" s="688" t="s">
        <v>107</v>
      </c>
      <c r="O16" s="688" t="s">
        <v>107</v>
      </c>
      <c r="P16" s="688">
        <v>1</v>
      </c>
    </row>
    <row r="17" spans="2:16" ht="15" customHeight="1" x14ac:dyDescent="0.3">
      <c r="B17" s="478" t="s">
        <v>680</v>
      </c>
      <c r="C17" s="687">
        <v>18</v>
      </c>
      <c r="D17" s="687">
        <v>1</v>
      </c>
      <c r="E17" s="687">
        <v>2</v>
      </c>
      <c r="F17" s="687">
        <f t="shared" si="0"/>
        <v>3</v>
      </c>
      <c r="G17" s="687">
        <v>2</v>
      </c>
      <c r="H17" s="687">
        <v>1</v>
      </c>
      <c r="I17" s="687" t="s">
        <v>107</v>
      </c>
      <c r="J17" s="687" t="s">
        <v>107</v>
      </c>
      <c r="K17" s="687" t="s">
        <v>107</v>
      </c>
      <c r="L17" s="687" t="s">
        <v>107</v>
      </c>
      <c r="M17" s="687" t="s">
        <v>107</v>
      </c>
      <c r="N17" s="687" t="s">
        <v>107</v>
      </c>
      <c r="O17" s="687" t="s">
        <v>107</v>
      </c>
      <c r="P17" s="687" t="s">
        <v>107</v>
      </c>
    </row>
    <row r="18" spans="2:16" ht="15" customHeight="1" x14ac:dyDescent="0.3">
      <c r="B18" s="479" t="s">
        <v>1076</v>
      </c>
      <c r="C18" s="688">
        <v>19</v>
      </c>
      <c r="D18" s="688">
        <v>10</v>
      </c>
      <c r="E18" s="688">
        <v>6</v>
      </c>
      <c r="F18" s="688">
        <f t="shared" si="0"/>
        <v>16</v>
      </c>
      <c r="G18" s="688">
        <v>4</v>
      </c>
      <c r="H18" s="688">
        <v>1</v>
      </c>
      <c r="I18" s="688" t="s">
        <v>107</v>
      </c>
      <c r="J18" s="688" t="s">
        <v>107</v>
      </c>
      <c r="K18" s="688" t="s">
        <v>107</v>
      </c>
      <c r="L18" s="688" t="s">
        <v>107</v>
      </c>
      <c r="M18" s="688" t="s">
        <v>107</v>
      </c>
      <c r="N18" s="688" t="s">
        <v>107</v>
      </c>
      <c r="O18" s="688" t="s">
        <v>107</v>
      </c>
      <c r="P18" s="688" t="s">
        <v>107</v>
      </c>
    </row>
    <row r="19" spans="2:16" ht="15" customHeight="1" x14ac:dyDescent="0.3">
      <c r="B19" s="478" t="s">
        <v>185</v>
      </c>
      <c r="C19" s="687">
        <v>21</v>
      </c>
      <c r="D19" s="687">
        <v>13</v>
      </c>
      <c r="E19" s="687">
        <v>31</v>
      </c>
      <c r="F19" s="687">
        <f t="shared" si="0"/>
        <v>44</v>
      </c>
      <c r="G19" s="687">
        <v>5</v>
      </c>
      <c r="H19" s="687">
        <v>3</v>
      </c>
      <c r="I19" s="687" t="s">
        <v>107</v>
      </c>
      <c r="J19" s="687" t="s">
        <v>107</v>
      </c>
      <c r="K19" s="687" t="s">
        <v>105</v>
      </c>
      <c r="L19" s="687" t="s">
        <v>107</v>
      </c>
      <c r="M19" s="687" t="s">
        <v>107</v>
      </c>
      <c r="N19" s="687" t="s">
        <v>107</v>
      </c>
      <c r="O19" s="687">
        <v>2</v>
      </c>
      <c r="P19" s="687" t="s">
        <v>107</v>
      </c>
    </row>
    <row r="20" spans="2:16" ht="15" customHeight="1" x14ac:dyDescent="0.3">
      <c r="B20" s="479" t="s">
        <v>1591</v>
      </c>
      <c r="C20" s="688">
        <v>14</v>
      </c>
      <c r="D20" s="688">
        <v>7</v>
      </c>
      <c r="E20" s="688">
        <v>3</v>
      </c>
      <c r="F20" s="688">
        <f t="shared" si="0"/>
        <v>10</v>
      </c>
      <c r="G20" s="688">
        <v>4</v>
      </c>
      <c r="H20" s="688">
        <v>3</v>
      </c>
      <c r="I20" s="688" t="s">
        <v>107</v>
      </c>
      <c r="J20" s="688" t="s">
        <v>107</v>
      </c>
      <c r="K20" s="688" t="s">
        <v>107</v>
      </c>
      <c r="L20" s="688" t="s">
        <v>107</v>
      </c>
      <c r="M20" s="688" t="s">
        <v>107</v>
      </c>
      <c r="N20" s="688" t="s">
        <v>107</v>
      </c>
      <c r="O20" s="688" t="s">
        <v>107</v>
      </c>
      <c r="P20" s="688" t="s">
        <v>107</v>
      </c>
    </row>
    <row r="21" spans="2:16" ht="15" customHeight="1" x14ac:dyDescent="0.3">
      <c r="B21" s="478" t="s">
        <v>55</v>
      </c>
      <c r="C21" s="687">
        <v>12</v>
      </c>
      <c r="D21" s="687">
        <v>1</v>
      </c>
      <c r="E21" s="687">
        <v>1</v>
      </c>
      <c r="F21" s="687">
        <f t="shared" si="0"/>
        <v>2</v>
      </c>
      <c r="G21" s="687">
        <v>0</v>
      </c>
      <c r="H21" s="687" t="s">
        <v>107</v>
      </c>
      <c r="I21" s="687" t="s">
        <v>107</v>
      </c>
      <c r="J21" s="687" t="s">
        <v>107</v>
      </c>
      <c r="K21" s="687" t="s">
        <v>107</v>
      </c>
      <c r="L21" s="687" t="s">
        <v>107</v>
      </c>
      <c r="M21" s="687" t="s">
        <v>107</v>
      </c>
      <c r="N21" s="687" t="s">
        <v>107</v>
      </c>
      <c r="O21" s="687" t="s">
        <v>107</v>
      </c>
      <c r="P21" s="687" t="s">
        <v>107</v>
      </c>
    </row>
    <row r="22" spans="2:16" ht="15" customHeight="1" x14ac:dyDescent="0.3">
      <c r="B22" s="479" t="s">
        <v>1945</v>
      </c>
      <c r="C22" s="688">
        <v>21</v>
      </c>
      <c r="D22" s="688">
        <v>0</v>
      </c>
      <c r="E22" s="688">
        <v>0</v>
      </c>
      <c r="F22" s="688">
        <f t="shared" si="0"/>
        <v>0</v>
      </c>
      <c r="G22" s="688">
        <v>2</v>
      </c>
      <c r="H22" s="688" t="s">
        <v>107</v>
      </c>
      <c r="I22" s="688" t="s">
        <v>107</v>
      </c>
      <c r="J22" s="688" t="s">
        <v>107</v>
      </c>
      <c r="K22" s="688" t="s">
        <v>107</v>
      </c>
      <c r="L22" s="688" t="s">
        <v>107</v>
      </c>
      <c r="M22" s="688" t="s">
        <v>107</v>
      </c>
      <c r="N22" s="688" t="s">
        <v>107</v>
      </c>
      <c r="O22" s="688" t="s">
        <v>107</v>
      </c>
      <c r="P22" s="688" t="s">
        <v>107</v>
      </c>
    </row>
    <row r="23" spans="2:16" s="357" customFormat="1" ht="21" customHeight="1" x14ac:dyDescent="0.4">
      <c r="B23" s="381"/>
      <c r="C23" s="377"/>
      <c r="D23" s="861">
        <f t="shared" ref="D23:P23" si="1">SUM(D9:D22)</f>
        <v>125</v>
      </c>
      <c r="E23" s="861">
        <f t="shared" si="1"/>
        <v>115</v>
      </c>
      <c r="F23" s="861">
        <f t="shared" si="1"/>
        <v>240</v>
      </c>
      <c r="G23" s="861">
        <f t="shared" si="1"/>
        <v>47</v>
      </c>
      <c r="H23" s="861">
        <f t="shared" si="1"/>
        <v>18</v>
      </c>
      <c r="I23" s="861">
        <f t="shared" si="1"/>
        <v>9</v>
      </c>
      <c r="J23" s="861">
        <f t="shared" si="1"/>
        <v>0</v>
      </c>
      <c r="K23" s="861">
        <f t="shared" si="1"/>
        <v>0</v>
      </c>
      <c r="L23" s="861">
        <f t="shared" si="1"/>
        <v>0</v>
      </c>
      <c r="M23" s="861">
        <f t="shared" si="1"/>
        <v>0</v>
      </c>
      <c r="N23" s="861">
        <f t="shared" si="1"/>
        <v>1</v>
      </c>
      <c r="O23" s="861">
        <f t="shared" si="1"/>
        <v>8</v>
      </c>
      <c r="P23" s="861">
        <f t="shared" si="1"/>
        <v>1</v>
      </c>
    </row>
    <row r="24" spans="2:16" s="357" customFormat="1" ht="21" customHeight="1" x14ac:dyDescent="0.4">
      <c r="B24" s="381"/>
      <c r="C24" s="377"/>
      <c r="D24" s="377"/>
      <c r="E24" s="377"/>
    </row>
    <row r="25" spans="2:16" s="357" customFormat="1" ht="21" customHeight="1" x14ac:dyDescent="0.4">
      <c r="B25" s="381" t="s">
        <v>1914</v>
      </c>
      <c r="C25" s="475" t="s">
        <v>1982</v>
      </c>
      <c r="D25" s="381"/>
      <c r="E25" s="381"/>
      <c r="F25" s="381"/>
    </row>
    <row r="26" spans="2:16" s="357" customFormat="1" ht="7.5" customHeight="1" x14ac:dyDescent="0.3">
      <c r="B26" s="475"/>
    </row>
    <row r="27" spans="2:16" ht="15" customHeight="1" thickBot="1" x14ac:dyDescent="0.35">
      <c r="C27" s="480" t="s">
        <v>877</v>
      </c>
      <c r="D27" s="481" t="s">
        <v>533</v>
      </c>
      <c r="E27" s="481" t="s">
        <v>534</v>
      </c>
      <c r="F27" s="481" t="s">
        <v>610</v>
      </c>
      <c r="G27" s="481" t="s">
        <v>535</v>
      </c>
      <c r="H27" s="481" t="s">
        <v>878</v>
      </c>
      <c r="I27" s="481" t="s">
        <v>540</v>
      </c>
      <c r="J27" s="481" t="s">
        <v>545</v>
      </c>
      <c r="K27" s="481" t="s">
        <v>611</v>
      </c>
      <c r="L27" s="711" t="s">
        <v>879</v>
      </c>
      <c r="M27" s="481" t="s">
        <v>637</v>
      </c>
      <c r="N27" s="482" t="s">
        <v>693</v>
      </c>
      <c r="O27" s="482" t="s">
        <v>613</v>
      </c>
      <c r="P27" s="482" t="s">
        <v>139</v>
      </c>
    </row>
    <row r="28" spans="2:16" ht="15" customHeight="1" x14ac:dyDescent="0.3">
      <c r="B28" s="478" t="s">
        <v>1459</v>
      </c>
      <c r="C28" s="687">
        <v>3</v>
      </c>
      <c r="D28" s="687">
        <v>3</v>
      </c>
      <c r="E28" s="687">
        <v>0</v>
      </c>
      <c r="F28" s="687">
        <f>D28+E28</f>
        <v>3</v>
      </c>
      <c r="G28" s="687">
        <v>0</v>
      </c>
      <c r="H28" s="687" t="s">
        <v>107</v>
      </c>
      <c r="I28" s="687" t="s">
        <v>107</v>
      </c>
      <c r="J28" s="687" t="s">
        <v>107</v>
      </c>
      <c r="K28" s="687" t="s">
        <v>107</v>
      </c>
      <c r="L28" s="687" t="s">
        <v>107</v>
      </c>
      <c r="M28" s="687" t="s">
        <v>107</v>
      </c>
      <c r="N28" s="687" t="s">
        <v>107</v>
      </c>
      <c r="O28" s="687">
        <v>1</v>
      </c>
      <c r="P28" s="687" t="s">
        <v>107</v>
      </c>
    </row>
    <row r="29" spans="2:16" ht="15" customHeight="1" x14ac:dyDescent="0.3">
      <c r="B29" s="479" t="s">
        <v>1075</v>
      </c>
      <c r="C29" s="688">
        <v>3</v>
      </c>
      <c r="D29" s="688">
        <v>2</v>
      </c>
      <c r="E29" s="688">
        <v>1</v>
      </c>
      <c r="F29" s="688">
        <f t="shared" ref="F29:F41" si="2">D29+E29</f>
        <v>3</v>
      </c>
      <c r="G29" s="688">
        <v>0</v>
      </c>
      <c r="H29" s="688">
        <v>1</v>
      </c>
      <c r="I29" s="688">
        <v>1</v>
      </c>
      <c r="J29" s="688" t="s">
        <v>107</v>
      </c>
      <c r="K29" s="688" t="s">
        <v>107</v>
      </c>
      <c r="L29" s="688" t="s">
        <v>107</v>
      </c>
      <c r="M29" s="688" t="s">
        <v>107</v>
      </c>
      <c r="N29" s="688" t="s">
        <v>107</v>
      </c>
      <c r="O29" s="688" t="s">
        <v>107</v>
      </c>
      <c r="P29" s="688" t="s">
        <v>107</v>
      </c>
    </row>
    <row r="30" spans="2:16" ht="15" customHeight="1" x14ac:dyDescent="0.3">
      <c r="B30" s="478" t="s">
        <v>47</v>
      </c>
      <c r="C30" s="687">
        <v>3</v>
      </c>
      <c r="D30" s="687">
        <v>0</v>
      </c>
      <c r="E30" s="687">
        <v>0</v>
      </c>
      <c r="F30" s="687">
        <f t="shared" si="2"/>
        <v>0</v>
      </c>
      <c r="G30" s="687">
        <v>0</v>
      </c>
      <c r="H30" s="687" t="s">
        <v>107</v>
      </c>
      <c r="I30" s="687" t="s">
        <v>107</v>
      </c>
      <c r="J30" s="687" t="s">
        <v>107</v>
      </c>
      <c r="K30" s="687" t="s">
        <v>107</v>
      </c>
      <c r="L30" s="687" t="s">
        <v>107</v>
      </c>
      <c r="M30" s="687" t="s">
        <v>107</v>
      </c>
      <c r="N30" s="687" t="s">
        <v>107</v>
      </c>
      <c r="O30" s="687" t="s">
        <v>107</v>
      </c>
      <c r="P30" s="687" t="s">
        <v>107</v>
      </c>
    </row>
    <row r="31" spans="2:16" ht="15" customHeight="1" x14ac:dyDescent="0.3">
      <c r="B31" s="479" t="s">
        <v>53</v>
      </c>
      <c r="C31" s="688">
        <v>3</v>
      </c>
      <c r="D31" s="688">
        <v>0</v>
      </c>
      <c r="E31" s="688">
        <v>0</v>
      </c>
      <c r="F31" s="688">
        <f t="shared" si="2"/>
        <v>0</v>
      </c>
      <c r="G31" s="688">
        <v>0</v>
      </c>
      <c r="H31" s="688" t="s">
        <v>107</v>
      </c>
      <c r="I31" s="688" t="s">
        <v>107</v>
      </c>
      <c r="J31" s="688" t="s">
        <v>107</v>
      </c>
      <c r="K31" s="688" t="s">
        <v>107</v>
      </c>
      <c r="L31" s="688" t="s">
        <v>107</v>
      </c>
      <c r="M31" s="688" t="s">
        <v>107</v>
      </c>
      <c r="N31" s="688" t="s">
        <v>107</v>
      </c>
      <c r="O31" s="688" t="s">
        <v>107</v>
      </c>
      <c r="P31" s="688" t="s">
        <v>107</v>
      </c>
    </row>
    <row r="32" spans="2:16" ht="15" customHeight="1" x14ac:dyDescent="0.3">
      <c r="B32" s="478" t="s">
        <v>1379</v>
      </c>
      <c r="C32" s="687">
        <v>3</v>
      </c>
      <c r="D32" s="687">
        <v>2</v>
      </c>
      <c r="E32" s="687">
        <v>0</v>
      </c>
      <c r="F32" s="687">
        <f t="shared" si="2"/>
        <v>2</v>
      </c>
      <c r="G32" s="687">
        <v>0</v>
      </c>
      <c r="H32" s="687" t="s">
        <v>107</v>
      </c>
      <c r="I32" s="687" t="s">
        <v>107</v>
      </c>
      <c r="J32" s="687" t="s">
        <v>107</v>
      </c>
      <c r="K32" s="687" t="s">
        <v>107</v>
      </c>
      <c r="L32" s="687" t="s">
        <v>107</v>
      </c>
      <c r="M32" s="687" t="s">
        <v>107</v>
      </c>
      <c r="N32" s="687" t="s">
        <v>107</v>
      </c>
      <c r="O32" s="687" t="s">
        <v>107</v>
      </c>
      <c r="P32" s="687" t="s">
        <v>107</v>
      </c>
    </row>
    <row r="33" spans="2:16" ht="15" customHeight="1" x14ac:dyDescent="0.3">
      <c r="B33" s="479" t="s">
        <v>50</v>
      </c>
      <c r="C33" s="688">
        <v>3</v>
      </c>
      <c r="D33" s="688">
        <v>3</v>
      </c>
      <c r="E33" s="688">
        <v>2</v>
      </c>
      <c r="F33" s="688">
        <f t="shared" si="2"/>
        <v>5</v>
      </c>
      <c r="G33" s="688">
        <v>0</v>
      </c>
      <c r="H33" s="688" t="s">
        <v>107</v>
      </c>
      <c r="I33" s="688">
        <v>2</v>
      </c>
      <c r="J33" s="688" t="s">
        <v>107</v>
      </c>
      <c r="K33" s="688" t="s">
        <v>107</v>
      </c>
      <c r="L33" s="688" t="s">
        <v>107</v>
      </c>
      <c r="M33" s="688" t="s">
        <v>107</v>
      </c>
      <c r="N33" s="688" t="s">
        <v>107</v>
      </c>
      <c r="O33" s="688" t="s">
        <v>107</v>
      </c>
      <c r="P33" s="688" t="s">
        <v>107</v>
      </c>
    </row>
    <row r="34" spans="2:16" ht="15" customHeight="1" x14ac:dyDescent="0.3">
      <c r="B34" s="478" t="s">
        <v>1124</v>
      </c>
      <c r="C34" s="687">
        <v>3</v>
      </c>
      <c r="D34" s="687">
        <v>0</v>
      </c>
      <c r="E34" s="687">
        <v>1</v>
      </c>
      <c r="F34" s="687">
        <f t="shared" si="2"/>
        <v>1</v>
      </c>
      <c r="G34" s="687">
        <v>0</v>
      </c>
      <c r="H34" s="687" t="s">
        <v>107</v>
      </c>
      <c r="I34" s="687" t="s">
        <v>107</v>
      </c>
      <c r="J34" s="687" t="s">
        <v>107</v>
      </c>
      <c r="K34" s="687" t="s">
        <v>107</v>
      </c>
      <c r="L34" s="687" t="s">
        <v>107</v>
      </c>
      <c r="M34" s="687" t="s">
        <v>107</v>
      </c>
      <c r="N34" s="687" t="s">
        <v>107</v>
      </c>
      <c r="O34" s="687" t="s">
        <v>107</v>
      </c>
      <c r="P34" s="687" t="s">
        <v>107</v>
      </c>
    </row>
    <row r="35" spans="2:16" ht="15" customHeight="1" x14ac:dyDescent="0.3">
      <c r="B35" s="479" t="s">
        <v>1944</v>
      </c>
      <c r="C35" s="688">
        <v>3</v>
      </c>
      <c r="D35" s="688">
        <v>0</v>
      </c>
      <c r="E35" s="688">
        <v>0</v>
      </c>
      <c r="F35" s="688">
        <f t="shared" si="2"/>
        <v>0</v>
      </c>
      <c r="G35" s="688">
        <v>4</v>
      </c>
      <c r="H35" s="688" t="s">
        <v>107</v>
      </c>
      <c r="I35" s="688" t="s">
        <v>107</v>
      </c>
      <c r="J35" s="688" t="s">
        <v>107</v>
      </c>
      <c r="K35" s="688" t="s">
        <v>107</v>
      </c>
      <c r="L35" s="688" t="s">
        <v>107</v>
      </c>
      <c r="M35" s="688" t="s">
        <v>107</v>
      </c>
      <c r="N35" s="688" t="s">
        <v>107</v>
      </c>
      <c r="O35" s="688" t="s">
        <v>107</v>
      </c>
      <c r="P35" s="688"/>
    </row>
    <row r="36" spans="2:16" ht="15" customHeight="1" x14ac:dyDescent="0.3">
      <c r="B36" s="478" t="s">
        <v>680</v>
      </c>
      <c r="C36" s="687">
        <v>3</v>
      </c>
      <c r="D36" s="687">
        <v>0</v>
      </c>
      <c r="E36" s="687">
        <v>1</v>
      </c>
      <c r="F36" s="687">
        <f t="shared" si="2"/>
        <v>1</v>
      </c>
      <c r="G36" s="687">
        <v>2</v>
      </c>
      <c r="H36" s="687" t="s">
        <v>107</v>
      </c>
      <c r="I36" s="687" t="s">
        <v>107</v>
      </c>
      <c r="J36" s="687" t="s">
        <v>107</v>
      </c>
      <c r="K36" s="687" t="s">
        <v>107</v>
      </c>
      <c r="L36" s="687" t="s">
        <v>107</v>
      </c>
      <c r="M36" s="687" t="s">
        <v>107</v>
      </c>
      <c r="N36" s="687" t="s">
        <v>107</v>
      </c>
      <c r="O36" s="687" t="s">
        <v>107</v>
      </c>
      <c r="P36" s="687" t="s">
        <v>107</v>
      </c>
    </row>
    <row r="37" spans="2:16" ht="15" customHeight="1" x14ac:dyDescent="0.3">
      <c r="B37" s="479" t="s">
        <v>1076</v>
      </c>
      <c r="C37" s="688">
        <v>3</v>
      </c>
      <c r="D37" s="688">
        <v>2</v>
      </c>
      <c r="E37" s="688">
        <v>0</v>
      </c>
      <c r="F37" s="688">
        <f t="shared" si="2"/>
        <v>2</v>
      </c>
      <c r="G37" s="688">
        <v>0</v>
      </c>
      <c r="H37" s="688" t="s">
        <v>107</v>
      </c>
      <c r="I37" s="688">
        <v>1</v>
      </c>
      <c r="J37" s="688" t="s">
        <v>107</v>
      </c>
      <c r="K37" s="688" t="s">
        <v>107</v>
      </c>
      <c r="L37" s="688" t="s">
        <v>107</v>
      </c>
      <c r="M37" s="688" t="s">
        <v>107</v>
      </c>
      <c r="N37" s="688" t="s">
        <v>107</v>
      </c>
      <c r="O37" s="688" t="s">
        <v>107</v>
      </c>
      <c r="P37" s="688" t="s">
        <v>107</v>
      </c>
    </row>
    <row r="38" spans="2:16" ht="15" customHeight="1" x14ac:dyDescent="0.3">
      <c r="B38" s="478" t="s">
        <v>185</v>
      </c>
      <c r="C38" s="687">
        <v>3</v>
      </c>
      <c r="D38" s="687">
        <v>0</v>
      </c>
      <c r="E38" s="687">
        <v>6</v>
      </c>
      <c r="F38" s="687">
        <f t="shared" si="2"/>
        <v>6</v>
      </c>
      <c r="G38" s="687">
        <v>16</v>
      </c>
      <c r="H38" s="687" t="s">
        <v>107</v>
      </c>
      <c r="I38" s="687" t="s">
        <v>107</v>
      </c>
      <c r="J38" s="687" t="s">
        <v>107</v>
      </c>
      <c r="K38" s="687"/>
      <c r="L38" s="687" t="s">
        <v>107</v>
      </c>
      <c r="M38" s="687" t="s">
        <v>107</v>
      </c>
      <c r="N38" s="687" t="s">
        <v>107</v>
      </c>
      <c r="O38" s="687"/>
      <c r="P38" s="687" t="s">
        <v>107</v>
      </c>
    </row>
    <row r="39" spans="2:16" ht="15" customHeight="1" x14ac:dyDescent="0.3">
      <c r="B39" s="479" t="s">
        <v>1591</v>
      </c>
      <c r="C39" s="688">
        <v>3</v>
      </c>
      <c r="D39" s="688">
        <v>0</v>
      </c>
      <c r="E39" s="688">
        <v>0</v>
      </c>
      <c r="F39" s="688">
        <f t="shared" si="2"/>
        <v>0</v>
      </c>
      <c r="G39" s="688">
        <v>0</v>
      </c>
      <c r="H39" s="688" t="s">
        <v>107</v>
      </c>
      <c r="I39" s="688" t="s">
        <v>107</v>
      </c>
      <c r="J39" s="688" t="s">
        <v>107</v>
      </c>
      <c r="K39" s="688" t="s">
        <v>107</v>
      </c>
      <c r="L39" s="688" t="s">
        <v>107</v>
      </c>
      <c r="M39" s="688" t="s">
        <v>107</v>
      </c>
      <c r="N39" s="688" t="s">
        <v>107</v>
      </c>
      <c r="O39" s="688" t="s">
        <v>107</v>
      </c>
      <c r="P39" s="688" t="s">
        <v>107</v>
      </c>
    </row>
    <row r="40" spans="2:16" ht="15" customHeight="1" x14ac:dyDescent="0.3">
      <c r="B40" s="478" t="s">
        <v>55</v>
      </c>
      <c r="C40" s="687">
        <v>3</v>
      </c>
      <c r="D40" s="687">
        <v>0</v>
      </c>
      <c r="E40" s="687">
        <v>1</v>
      </c>
      <c r="F40" s="687">
        <f t="shared" si="2"/>
        <v>1</v>
      </c>
      <c r="G40" s="687">
        <v>0</v>
      </c>
      <c r="H40" s="687" t="s">
        <v>107</v>
      </c>
      <c r="I40" s="687" t="s">
        <v>107</v>
      </c>
      <c r="J40" s="687" t="s">
        <v>107</v>
      </c>
      <c r="K40" s="687" t="s">
        <v>107</v>
      </c>
      <c r="L40" s="687" t="s">
        <v>107</v>
      </c>
      <c r="M40" s="687" t="s">
        <v>107</v>
      </c>
      <c r="N40" s="687" t="s">
        <v>107</v>
      </c>
      <c r="O40" s="687" t="s">
        <v>107</v>
      </c>
      <c r="P40" s="687" t="s">
        <v>107</v>
      </c>
    </row>
    <row r="41" spans="2:16" ht="15" customHeight="1" x14ac:dyDescent="0.3">
      <c r="B41" s="479" t="s">
        <v>1945</v>
      </c>
      <c r="C41" s="688">
        <v>3</v>
      </c>
      <c r="D41" s="688">
        <v>0</v>
      </c>
      <c r="E41" s="688">
        <v>0</v>
      </c>
      <c r="F41" s="688">
        <f t="shared" si="2"/>
        <v>0</v>
      </c>
      <c r="G41" s="688">
        <v>0</v>
      </c>
      <c r="H41" s="688" t="s">
        <v>107</v>
      </c>
      <c r="I41" s="688" t="s">
        <v>107</v>
      </c>
      <c r="J41" s="688" t="s">
        <v>107</v>
      </c>
      <c r="K41" s="688" t="s">
        <v>107</v>
      </c>
      <c r="L41" s="688" t="s">
        <v>107</v>
      </c>
      <c r="M41" s="688" t="s">
        <v>107</v>
      </c>
      <c r="N41" s="688" t="s">
        <v>107</v>
      </c>
      <c r="O41" s="688" t="s">
        <v>107</v>
      </c>
      <c r="P41" s="688" t="s">
        <v>107</v>
      </c>
    </row>
    <row r="42" spans="2:16" s="357" customFormat="1" ht="21" customHeight="1" x14ac:dyDescent="0.4">
      <c r="B42" s="381"/>
      <c r="C42" s="377"/>
      <c r="D42" s="861">
        <f t="shared" ref="D42:P42" si="3">SUM(D28:D41)</f>
        <v>12</v>
      </c>
      <c r="E42" s="861">
        <f t="shared" si="3"/>
        <v>12</v>
      </c>
      <c r="F42" s="861">
        <f t="shared" si="3"/>
        <v>24</v>
      </c>
      <c r="G42" s="861">
        <f t="shared" si="3"/>
        <v>22</v>
      </c>
      <c r="H42" s="861">
        <f t="shared" si="3"/>
        <v>1</v>
      </c>
      <c r="I42" s="861">
        <f t="shared" si="3"/>
        <v>4</v>
      </c>
      <c r="J42" s="861">
        <f t="shared" si="3"/>
        <v>0</v>
      </c>
      <c r="K42" s="861">
        <f t="shared" si="3"/>
        <v>0</v>
      </c>
      <c r="L42" s="861">
        <f t="shared" si="3"/>
        <v>0</v>
      </c>
      <c r="M42" s="861">
        <f t="shared" si="3"/>
        <v>0</v>
      </c>
      <c r="N42" s="861">
        <f t="shared" si="3"/>
        <v>0</v>
      </c>
      <c r="O42" s="861">
        <f t="shared" si="3"/>
        <v>1</v>
      </c>
      <c r="P42" s="861">
        <f t="shared" si="3"/>
        <v>0</v>
      </c>
    </row>
    <row r="43" spans="2:16" s="357" customFormat="1" ht="21" customHeight="1" x14ac:dyDescent="0.4">
      <c r="B43" s="381"/>
      <c r="C43" s="377"/>
      <c r="D43" s="377"/>
      <c r="E43" s="377"/>
    </row>
    <row r="44" spans="2:16" s="357" customFormat="1" ht="21" customHeight="1" x14ac:dyDescent="0.4">
      <c r="B44" s="381"/>
      <c r="C44" s="377"/>
      <c r="D44" s="377"/>
      <c r="E44" s="377"/>
    </row>
    <row r="45" spans="2:16" s="357" customFormat="1" ht="21" customHeight="1" x14ac:dyDescent="0.4">
      <c r="B45" s="381" t="s">
        <v>1664</v>
      </c>
      <c r="C45" s="475" t="s">
        <v>950</v>
      </c>
      <c r="D45" s="381"/>
      <c r="E45" s="381"/>
      <c r="F45" s="381"/>
    </row>
    <row r="46" spans="2:16" s="357" customFormat="1" ht="7.5" customHeight="1" x14ac:dyDescent="0.3">
      <c r="B46" s="475"/>
    </row>
    <row r="47" spans="2:16" ht="15" customHeight="1" thickBot="1" x14ac:dyDescent="0.35">
      <c r="C47" s="480" t="s">
        <v>877</v>
      </c>
      <c r="D47" s="481" t="s">
        <v>533</v>
      </c>
      <c r="E47" s="481" t="s">
        <v>534</v>
      </c>
      <c r="F47" s="481" t="s">
        <v>610</v>
      </c>
      <c r="G47" s="481" t="s">
        <v>535</v>
      </c>
      <c r="H47" s="481" t="s">
        <v>878</v>
      </c>
      <c r="I47" s="481" t="s">
        <v>540</v>
      </c>
      <c r="J47" s="481" t="s">
        <v>545</v>
      </c>
      <c r="K47" s="481" t="s">
        <v>611</v>
      </c>
      <c r="L47" s="711" t="s">
        <v>879</v>
      </c>
      <c r="M47" s="481" t="s">
        <v>637</v>
      </c>
      <c r="N47" s="482" t="s">
        <v>693</v>
      </c>
      <c r="O47" s="482" t="s">
        <v>613</v>
      </c>
      <c r="P47" s="482" t="s">
        <v>139</v>
      </c>
    </row>
    <row r="48" spans="2:16" ht="15" customHeight="1" x14ac:dyDescent="0.3">
      <c r="B48" s="478" t="str">
        <f>'17-18P'!C5</f>
        <v>Joni Vainio</v>
      </c>
      <c r="C48" s="687">
        <f>'17-18P'!D5</f>
        <v>17</v>
      </c>
      <c r="D48" s="687">
        <f>'17-18P'!E5</f>
        <v>7</v>
      </c>
      <c r="E48" s="687">
        <f>'17-18P'!F5</f>
        <v>2</v>
      </c>
      <c r="F48" s="687">
        <f>'17-18P'!G5</f>
        <v>9</v>
      </c>
      <c r="G48" s="687">
        <f>'17-18P'!H5</f>
        <v>1</v>
      </c>
      <c r="H48" s="687" t="str">
        <f>'17-18P'!I5</f>
        <v>-</v>
      </c>
      <c r="I48" s="687">
        <f>'17-18P'!J5</f>
        <v>1</v>
      </c>
      <c r="J48" s="687" t="str">
        <f>'17-18P'!K5</f>
        <v>-</v>
      </c>
      <c r="K48" s="687" t="str">
        <f>'17-18P'!L5</f>
        <v>-</v>
      </c>
      <c r="L48" s="687" t="str">
        <f>'17-18P'!N5</f>
        <v>-</v>
      </c>
      <c r="M48" s="687" t="str">
        <f>'17-18P'!O5</f>
        <v>-</v>
      </c>
      <c r="N48" s="687" t="str">
        <f>'17-18P'!P5</f>
        <v>-</v>
      </c>
      <c r="O48" s="687" t="str">
        <f>'17-18P'!Q5</f>
        <v>-</v>
      </c>
      <c r="P48" s="687" t="str">
        <f>'17-18P'!R5</f>
        <v>-</v>
      </c>
    </row>
    <row r="49" spans="2:16" ht="15" customHeight="1" x14ac:dyDescent="0.3">
      <c r="B49" s="479" t="str">
        <f>'17-18P'!C6</f>
        <v>Ville Koivisto</v>
      </c>
      <c r="C49" s="688">
        <f>'17-18P'!D6</f>
        <v>17</v>
      </c>
      <c r="D49" s="688">
        <f>'17-18P'!E6</f>
        <v>7</v>
      </c>
      <c r="E49" s="688">
        <f>'17-18P'!F6</f>
        <v>9</v>
      </c>
      <c r="F49" s="688">
        <f>'17-18P'!G6</f>
        <v>16</v>
      </c>
      <c r="G49" s="688">
        <f>'17-18P'!H6</f>
        <v>3</v>
      </c>
      <c r="H49" s="688" t="str">
        <f>'17-18P'!I6</f>
        <v>-</v>
      </c>
      <c r="I49" s="688" t="str">
        <f>'17-18P'!J6</f>
        <v>-</v>
      </c>
      <c r="J49" s="688" t="str">
        <f>'17-18P'!K6</f>
        <v>-</v>
      </c>
      <c r="K49" s="688" t="str">
        <f>'17-18P'!L6</f>
        <v>-</v>
      </c>
      <c r="L49" s="688" t="str">
        <f>'17-18P'!N6</f>
        <v>-</v>
      </c>
      <c r="M49" s="688">
        <f>'17-18P'!O6</f>
        <v>1</v>
      </c>
      <c r="N49" s="688" t="str">
        <f>'17-18P'!P6</f>
        <v>-</v>
      </c>
      <c r="O49" s="688">
        <f>'17-18P'!Q6</f>
        <v>1</v>
      </c>
      <c r="P49" s="688">
        <f>'17-18P'!R6</f>
        <v>1</v>
      </c>
    </row>
    <row r="50" spans="2:16" ht="15" customHeight="1" x14ac:dyDescent="0.3">
      <c r="B50" s="478" t="str">
        <f>'17-18P'!C7</f>
        <v>Matias Mäkilä</v>
      </c>
      <c r="C50" s="687">
        <f>'17-18P'!D7</f>
        <v>17</v>
      </c>
      <c r="D50" s="687">
        <f>'17-18P'!E7</f>
        <v>5</v>
      </c>
      <c r="E50" s="687">
        <f>'17-18P'!F7</f>
        <v>3</v>
      </c>
      <c r="F50" s="687">
        <f>'17-18P'!G7</f>
        <v>8</v>
      </c>
      <c r="G50" s="687">
        <f>'17-18P'!H7</f>
        <v>2</v>
      </c>
      <c r="H50" s="687">
        <f>'17-18P'!I7</f>
        <v>1</v>
      </c>
      <c r="I50" s="687">
        <f>'17-18P'!J7</f>
        <v>1</v>
      </c>
      <c r="J50" s="687" t="str">
        <f>'17-18P'!K7</f>
        <v>-</v>
      </c>
      <c r="K50" s="687" t="str">
        <f>'17-18P'!L7</f>
        <v>-</v>
      </c>
      <c r="L50" s="687" t="str">
        <f>'17-18P'!N7</f>
        <v>-</v>
      </c>
      <c r="M50" s="687" t="str">
        <f>'17-18P'!O7</f>
        <v>-</v>
      </c>
      <c r="N50" s="687" t="str">
        <f>'17-18P'!P7</f>
        <v>-</v>
      </c>
      <c r="O50" s="687" t="str">
        <f>'17-18P'!Q7</f>
        <v>-</v>
      </c>
      <c r="P50" s="687" t="str">
        <f>'17-18P'!R7</f>
        <v>-</v>
      </c>
    </row>
    <row r="51" spans="2:16" ht="15" customHeight="1" x14ac:dyDescent="0.3">
      <c r="B51" s="479" t="str">
        <f>'17-18P'!C8</f>
        <v>Mauri Kurri</v>
      </c>
      <c r="C51" s="688">
        <f>'17-18P'!D8</f>
        <v>17</v>
      </c>
      <c r="D51" s="688">
        <f>'17-18P'!E8</f>
        <v>3</v>
      </c>
      <c r="E51" s="688">
        <f>'17-18P'!F8</f>
        <v>4</v>
      </c>
      <c r="F51" s="688">
        <f>'17-18P'!G8</f>
        <v>7</v>
      </c>
      <c r="G51" s="688">
        <f>'17-18P'!H8</f>
        <v>1</v>
      </c>
      <c r="H51" s="688" t="str">
        <f>'17-18P'!I8</f>
        <v>-</v>
      </c>
      <c r="I51" s="688">
        <f>'17-18P'!J8</f>
        <v>1</v>
      </c>
      <c r="J51" s="688" t="str">
        <f>'17-18P'!K8</f>
        <v>-</v>
      </c>
      <c r="K51" s="688" t="str">
        <f>'17-18P'!L8</f>
        <v>-</v>
      </c>
      <c r="L51" s="688" t="str">
        <f>'17-18P'!N8</f>
        <v>-</v>
      </c>
      <c r="M51" s="688" t="str">
        <f>'17-18P'!O8</f>
        <v>-</v>
      </c>
      <c r="N51" s="688" t="str">
        <f>'17-18P'!P8</f>
        <v>-</v>
      </c>
      <c r="O51" s="688" t="str">
        <f>'17-18P'!Q8</f>
        <v>-</v>
      </c>
      <c r="P51" s="688" t="str">
        <f>'17-18P'!R8</f>
        <v>-</v>
      </c>
    </row>
    <row r="52" spans="2:16" ht="15" customHeight="1" x14ac:dyDescent="0.3">
      <c r="B52" s="478" t="str">
        <f>'17-18P'!C9</f>
        <v>Miika Oja-Nisula</v>
      </c>
      <c r="C52" s="687">
        <f>'17-18P'!D9</f>
        <v>17</v>
      </c>
      <c r="D52" s="687">
        <f>'17-18P'!E9</f>
        <v>0</v>
      </c>
      <c r="E52" s="687">
        <f>'17-18P'!F9</f>
        <v>1</v>
      </c>
      <c r="F52" s="687">
        <f>'17-18P'!G9</f>
        <v>1</v>
      </c>
      <c r="G52" s="687">
        <f>'17-18P'!H9</f>
        <v>0</v>
      </c>
      <c r="H52" s="687" t="str">
        <f>'17-18P'!I9</f>
        <v>-</v>
      </c>
      <c r="I52" s="687" t="str">
        <f>'17-18P'!J9</f>
        <v>-</v>
      </c>
      <c r="J52" s="687" t="str">
        <f>'17-18P'!K9</f>
        <v>-</v>
      </c>
      <c r="K52" s="687" t="str">
        <f>'17-18P'!L9</f>
        <v>-</v>
      </c>
      <c r="L52" s="687" t="str">
        <f>'17-18P'!N9</f>
        <v>-</v>
      </c>
      <c r="M52" s="687" t="str">
        <f>'17-18P'!O9</f>
        <v>-</v>
      </c>
      <c r="N52" s="687" t="str">
        <f>'17-18P'!P9</f>
        <v>-</v>
      </c>
      <c r="O52" s="687" t="str">
        <f>'17-18P'!Q9</f>
        <v>-</v>
      </c>
      <c r="P52" s="687" t="str">
        <f>'17-18P'!R9</f>
        <v>-</v>
      </c>
    </row>
    <row r="53" spans="2:16" ht="15" customHeight="1" x14ac:dyDescent="0.3">
      <c r="B53" s="479" t="str">
        <f>'17-18P'!C10</f>
        <v>Mika Aaltonen</v>
      </c>
      <c r="C53" s="688">
        <f>'17-18P'!D10</f>
        <v>17</v>
      </c>
      <c r="D53" s="688">
        <f>'17-18P'!E10</f>
        <v>12</v>
      </c>
      <c r="E53" s="688">
        <f>'17-18P'!F10</f>
        <v>8</v>
      </c>
      <c r="F53" s="688">
        <f>'17-18P'!G10</f>
        <v>20</v>
      </c>
      <c r="G53" s="688">
        <f>'17-18P'!H10</f>
        <v>1</v>
      </c>
      <c r="H53" s="688">
        <f>'17-18P'!I10</f>
        <v>2</v>
      </c>
      <c r="I53" s="688" t="str">
        <f>'17-18P'!J10</f>
        <v>-</v>
      </c>
      <c r="J53" s="688" t="str">
        <f>'17-18P'!K10</f>
        <v>-</v>
      </c>
      <c r="K53" s="688" t="str">
        <f>'17-18P'!L10</f>
        <v>-</v>
      </c>
      <c r="L53" s="688" t="str">
        <f>'17-18P'!N10</f>
        <v>-</v>
      </c>
      <c r="M53" s="688" t="str">
        <f>'17-18P'!O10</f>
        <v>-</v>
      </c>
      <c r="N53" s="688" t="str">
        <f>'17-18P'!P10</f>
        <v>-</v>
      </c>
      <c r="O53" s="688">
        <f>'17-18P'!Q10</f>
        <v>1</v>
      </c>
      <c r="P53" s="688" t="str">
        <f>'17-18P'!R10</f>
        <v>-</v>
      </c>
    </row>
    <row r="54" spans="2:16" ht="15" customHeight="1" x14ac:dyDescent="0.3">
      <c r="B54" s="478" t="str">
        <f>'17-18P'!C11</f>
        <v>Jarno Peltola</v>
      </c>
      <c r="C54" s="687">
        <f>'17-18P'!D11</f>
        <v>17</v>
      </c>
      <c r="D54" s="687">
        <f>'17-18P'!E11</f>
        <v>4</v>
      </c>
      <c r="E54" s="687">
        <f>'17-18P'!F11</f>
        <v>4</v>
      </c>
      <c r="F54" s="687">
        <f>'17-18P'!G11</f>
        <v>8</v>
      </c>
      <c r="G54" s="687">
        <f>'17-18P'!H11</f>
        <v>4</v>
      </c>
      <c r="H54" s="687" t="str">
        <f>'17-18P'!I11</f>
        <v>-</v>
      </c>
      <c r="I54" s="687" t="str">
        <f>'17-18P'!J11</f>
        <v>-</v>
      </c>
      <c r="J54" s="687" t="str">
        <f>'17-18P'!K11</f>
        <v>-</v>
      </c>
      <c r="K54" s="687" t="str">
        <f>'17-18P'!L11</f>
        <v>-</v>
      </c>
      <c r="L54" s="687" t="str">
        <f>'17-18P'!N11</f>
        <v>-</v>
      </c>
      <c r="M54" s="687" t="str">
        <f>'17-18P'!O11</f>
        <v>-</v>
      </c>
      <c r="N54" s="687" t="str">
        <f>'17-18P'!P11</f>
        <v>-</v>
      </c>
      <c r="O54" s="687" t="str">
        <f>'17-18P'!Q11</f>
        <v>-</v>
      </c>
      <c r="P54" s="687" t="str">
        <f>'17-18P'!R11</f>
        <v>-</v>
      </c>
    </row>
    <row r="55" spans="2:16" ht="15" customHeight="1" x14ac:dyDescent="0.3">
      <c r="B55" s="479" t="str">
        <f>'17-18P'!C12</f>
        <v>Ville Mettälä</v>
      </c>
      <c r="C55" s="688">
        <f>'17-18P'!D12</f>
        <v>17</v>
      </c>
      <c r="D55" s="688">
        <f>'17-18P'!E12</f>
        <v>0</v>
      </c>
      <c r="E55" s="688">
        <f>'17-18P'!F12</f>
        <v>0</v>
      </c>
      <c r="F55" s="688">
        <f>'17-18P'!G12</f>
        <v>0</v>
      </c>
      <c r="G55" s="688">
        <f>'17-18P'!H12</f>
        <v>0</v>
      </c>
      <c r="H55" s="688" t="str">
        <f>'17-18P'!I12</f>
        <v>-</v>
      </c>
      <c r="I55" s="688" t="str">
        <f>'17-18P'!J12</f>
        <v>-</v>
      </c>
      <c r="J55" s="688" t="str">
        <f>'17-18P'!K12</f>
        <v>-</v>
      </c>
      <c r="K55" s="688" t="str">
        <f>'17-18P'!L12</f>
        <v>-</v>
      </c>
      <c r="L55" s="688" t="str">
        <f>'17-18P'!N12</f>
        <v>-</v>
      </c>
      <c r="M55" s="688" t="str">
        <f>'17-18P'!O12</f>
        <v>-</v>
      </c>
      <c r="N55" s="688" t="str">
        <f>'17-18P'!P12</f>
        <v>-</v>
      </c>
      <c r="O55" s="688" t="str">
        <f>'17-18P'!Q12</f>
        <v>-</v>
      </c>
      <c r="P55" s="688" t="str">
        <f>'17-18P'!R12</f>
        <v>-</v>
      </c>
    </row>
    <row r="56" spans="2:16" ht="15" customHeight="1" x14ac:dyDescent="0.3">
      <c r="B56" s="478" t="str">
        <f>'17-18P'!C13</f>
        <v>Tuukka Mettälä</v>
      </c>
      <c r="C56" s="687">
        <f>'17-18P'!D13</f>
        <v>17</v>
      </c>
      <c r="D56" s="687">
        <f>'17-18P'!E13</f>
        <v>0</v>
      </c>
      <c r="E56" s="687">
        <f>'17-18P'!F13</f>
        <v>8</v>
      </c>
      <c r="F56" s="687">
        <f>'17-18P'!G13</f>
        <v>8</v>
      </c>
      <c r="G56" s="687">
        <f>'17-18P'!H13</f>
        <v>1</v>
      </c>
      <c r="H56" s="687" t="str">
        <f>'17-18P'!I13</f>
        <v>-</v>
      </c>
      <c r="I56" s="687" t="str">
        <f>'17-18P'!J13</f>
        <v>-</v>
      </c>
      <c r="J56" s="687" t="str">
        <f>'17-18P'!K13</f>
        <v>-</v>
      </c>
      <c r="K56" s="687" t="str">
        <f>'17-18P'!L13</f>
        <v>-</v>
      </c>
      <c r="L56" s="687" t="str">
        <f>'17-18P'!N13</f>
        <v>-</v>
      </c>
      <c r="M56" s="687" t="str">
        <f>'17-18P'!O13</f>
        <v>-</v>
      </c>
      <c r="N56" s="687" t="str">
        <f>'17-18P'!P13</f>
        <v>-</v>
      </c>
      <c r="O56" s="687" t="str">
        <f>'17-18P'!Q13</f>
        <v>-</v>
      </c>
      <c r="P56" s="687" t="str">
        <f>'17-18P'!R13</f>
        <v>-</v>
      </c>
    </row>
    <row r="57" spans="2:16" ht="15" customHeight="1" x14ac:dyDescent="0.3">
      <c r="B57" s="479" t="str">
        <f>'17-18P'!C14</f>
        <v>Henrik Lehtonen</v>
      </c>
      <c r="C57" s="688">
        <f>'17-18P'!D14</f>
        <v>17</v>
      </c>
      <c r="D57" s="688">
        <f>'17-18P'!E14</f>
        <v>2</v>
      </c>
      <c r="E57" s="688">
        <f>'17-18P'!F14</f>
        <v>2</v>
      </c>
      <c r="F57" s="688">
        <f>'17-18P'!G14</f>
        <v>4</v>
      </c>
      <c r="G57" s="688">
        <f>'17-18P'!H14</f>
        <v>1</v>
      </c>
      <c r="H57" s="688" t="str">
        <f>'17-18P'!I14</f>
        <v>-</v>
      </c>
      <c r="I57" s="688" t="str">
        <f>'17-18P'!J14</f>
        <v>-</v>
      </c>
      <c r="J57" s="688" t="str">
        <f>'17-18P'!K14</f>
        <v>-</v>
      </c>
      <c r="K57" s="688" t="str">
        <f>'17-18P'!L14</f>
        <v>-</v>
      </c>
      <c r="L57" s="688" t="str">
        <f>'17-18P'!N14</f>
        <v>-</v>
      </c>
      <c r="M57" s="688" t="str">
        <f>'17-18P'!O14</f>
        <v>-</v>
      </c>
      <c r="N57" s="688" t="str">
        <f>'17-18P'!P14</f>
        <v>-</v>
      </c>
      <c r="O57" s="688" t="str">
        <f>'17-18P'!Q14</f>
        <v>-</v>
      </c>
      <c r="P57" s="688" t="str">
        <f>'17-18P'!R14</f>
        <v>-</v>
      </c>
    </row>
    <row r="58" spans="2:16" ht="15" customHeight="1" x14ac:dyDescent="0.3">
      <c r="B58" s="478" t="str">
        <f>'17-18P'!C15</f>
        <v>Sami Pöllänen</v>
      </c>
      <c r="C58" s="687">
        <f>'17-18P'!D15</f>
        <v>17</v>
      </c>
      <c r="D58" s="687">
        <f>'17-18P'!E15</f>
        <v>7</v>
      </c>
      <c r="E58" s="687">
        <f>'17-18P'!F15</f>
        <v>5</v>
      </c>
      <c r="F58" s="687">
        <f>'17-18P'!G15</f>
        <v>12</v>
      </c>
      <c r="G58" s="687">
        <f>'17-18P'!H15</f>
        <v>1</v>
      </c>
      <c r="H58" s="687">
        <f>'17-18P'!I15</f>
        <v>1</v>
      </c>
      <c r="I58" s="687">
        <f>'17-18P'!J15</f>
        <v>1</v>
      </c>
      <c r="J58" s="687" t="str">
        <f>'17-18P'!K15</f>
        <v>-</v>
      </c>
      <c r="K58" s="687" t="str">
        <f>'17-18P'!L15</f>
        <v>-</v>
      </c>
      <c r="L58" s="687" t="str">
        <f>'17-18P'!N15</f>
        <v>-</v>
      </c>
      <c r="M58" s="687" t="str">
        <f>'17-18P'!O15</f>
        <v>-</v>
      </c>
      <c r="N58" s="687" t="str">
        <f>'17-18P'!P15</f>
        <v>-</v>
      </c>
      <c r="O58" s="687" t="str">
        <f>'17-18P'!Q15</f>
        <v>-</v>
      </c>
      <c r="P58" s="687" t="str">
        <f>'17-18P'!R15</f>
        <v>-</v>
      </c>
    </row>
    <row r="59" spans="2:16" ht="15" customHeight="1" x14ac:dyDescent="0.3">
      <c r="B59" s="479" t="str">
        <f>'17-18P'!C16</f>
        <v>Atte Nieminen</v>
      </c>
      <c r="C59" s="688">
        <f>'17-18P'!D16</f>
        <v>17</v>
      </c>
      <c r="D59" s="688">
        <f>'17-18P'!E16</f>
        <v>1</v>
      </c>
      <c r="E59" s="688">
        <f>'17-18P'!F16</f>
        <v>0</v>
      </c>
      <c r="F59" s="688">
        <f>'17-18P'!G16</f>
        <v>1</v>
      </c>
      <c r="G59" s="688">
        <f>'17-18P'!H16</f>
        <v>0</v>
      </c>
      <c r="H59" s="688" t="str">
        <f>'17-18P'!I16</f>
        <v>-</v>
      </c>
      <c r="I59" s="688" t="str">
        <f>'17-18P'!J16</f>
        <v>-</v>
      </c>
      <c r="J59" s="688" t="str">
        <f>'17-18P'!K16</f>
        <v>-</v>
      </c>
      <c r="K59" s="688" t="str">
        <f>'17-18P'!L16</f>
        <v>-</v>
      </c>
      <c r="L59" s="688" t="str">
        <f>'17-18P'!N16</f>
        <v>-</v>
      </c>
      <c r="M59" s="688" t="str">
        <f>'17-18P'!O16</f>
        <v>-</v>
      </c>
      <c r="N59" s="688" t="str">
        <f>'17-18P'!P16</f>
        <v>-</v>
      </c>
      <c r="O59" s="688" t="str">
        <f>'17-18P'!Q16</f>
        <v>-</v>
      </c>
      <c r="P59" s="688" t="str">
        <f>'17-18P'!R16</f>
        <v>-</v>
      </c>
    </row>
    <row r="60" spans="2:16" ht="15" customHeight="1" x14ac:dyDescent="0.3">
      <c r="B60" s="478" t="str">
        <f>'17-18P'!C17</f>
        <v>Kaj Engblom</v>
      </c>
      <c r="C60" s="687">
        <f>'17-18P'!D17</f>
        <v>17</v>
      </c>
      <c r="D60" s="687">
        <f>'17-18P'!E17</f>
        <v>7</v>
      </c>
      <c r="E60" s="687">
        <f>'17-18P'!F17</f>
        <v>9</v>
      </c>
      <c r="F60" s="687">
        <f>'17-18P'!G17</f>
        <v>16</v>
      </c>
      <c r="G60" s="687">
        <f>'17-18P'!H17</f>
        <v>2</v>
      </c>
      <c r="H60" s="687" t="str">
        <f>'17-18P'!I17</f>
        <v>-</v>
      </c>
      <c r="I60" s="687">
        <f>'17-18P'!J17</f>
        <v>1</v>
      </c>
      <c r="J60" s="687" t="str">
        <f>'17-18P'!K17</f>
        <v>-</v>
      </c>
      <c r="K60" s="687" t="str">
        <f>'17-18P'!L17</f>
        <v>-</v>
      </c>
      <c r="L60" s="687" t="str">
        <f>'17-18P'!N17</f>
        <v>-</v>
      </c>
      <c r="M60" s="687" t="str">
        <f>'17-18P'!O17</f>
        <v>-</v>
      </c>
      <c r="N60" s="687" t="str">
        <f>'17-18P'!P17</f>
        <v>-</v>
      </c>
      <c r="O60" s="687" t="str">
        <f>'17-18P'!Q17</f>
        <v>-</v>
      </c>
      <c r="P60" s="687" t="str">
        <f>'17-18P'!R17</f>
        <v>-</v>
      </c>
    </row>
    <row r="61" spans="2:16" ht="15" customHeight="1" x14ac:dyDescent="0.3">
      <c r="B61" s="479" t="str">
        <f>'17-18P'!C18</f>
        <v>(MV) Matias Virta</v>
      </c>
      <c r="C61" s="688">
        <f>'17-18P'!D18</f>
        <v>17</v>
      </c>
      <c r="D61" s="688">
        <f>'17-18P'!E18</f>
        <v>0</v>
      </c>
      <c r="E61" s="688">
        <f>'17-18P'!F18</f>
        <v>0</v>
      </c>
      <c r="F61" s="688">
        <f>'17-18P'!G18</f>
        <v>0</v>
      </c>
      <c r="G61" s="688">
        <f>'17-18P'!H18</f>
        <v>0</v>
      </c>
      <c r="H61" s="688" t="str">
        <f>'17-18P'!I18</f>
        <v>-</v>
      </c>
      <c r="I61" s="688" t="str">
        <f>'17-18P'!J18</f>
        <v>-</v>
      </c>
      <c r="J61" s="688" t="str">
        <f>'17-18P'!K18</f>
        <v>-</v>
      </c>
      <c r="K61" s="688" t="str">
        <f>'17-18P'!L18</f>
        <v>-</v>
      </c>
      <c r="L61" s="688" t="str">
        <f>'17-18P'!N18</f>
        <v>-</v>
      </c>
      <c r="M61" s="688" t="str">
        <f>'17-18P'!O18</f>
        <v>-</v>
      </c>
      <c r="N61" s="688" t="str">
        <f>'17-18P'!P18</f>
        <v>-</v>
      </c>
      <c r="O61" s="688" t="str">
        <f>'17-18P'!Q18</f>
        <v>-</v>
      </c>
      <c r="P61" s="688" t="str">
        <f>'17-18P'!R18</f>
        <v>-</v>
      </c>
    </row>
    <row r="62" spans="2:16" ht="15" customHeight="1" x14ac:dyDescent="0.3">
      <c r="B62" s="478" t="str">
        <f>'17-18P'!C19</f>
        <v>Jesse Höykinpuro</v>
      </c>
      <c r="C62" s="687">
        <f>'17-18P'!D19</f>
        <v>17</v>
      </c>
      <c r="D62" s="687">
        <f>'17-18P'!E19</f>
        <v>7</v>
      </c>
      <c r="E62" s="687">
        <f>'17-18P'!F19</f>
        <v>3</v>
      </c>
      <c r="F62" s="687">
        <f>'17-18P'!G19</f>
        <v>10</v>
      </c>
      <c r="G62" s="687">
        <f>'17-18P'!H19</f>
        <v>1</v>
      </c>
      <c r="H62" s="687">
        <f>'17-18P'!I19</f>
        <v>2</v>
      </c>
      <c r="I62" s="687">
        <f>'17-18P'!J19</f>
        <v>1</v>
      </c>
      <c r="J62" s="687" t="str">
        <f>'17-18P'!K19</f>
        <v>-</v>
      </c>
      <c r="K62" s="687" t="str">
        <f>'17-18P'!L19</f>
        <v>-</v>
      </c>
      <c r="L62" s="687" t="str">
        <f>'17-18P'!N19</f>
        <v>-</v>
      </c>
      <c r="M62" s="687" t="str">
        <f>'17-18P'!O19</f>
        <v>-</v>
      </c>
      <c r="N62" s="687" t="str">
        <f>'17-18P'!P19</f>
        <v>-</v>
      </c>
      <c r="O62" s="687" t="str">
        <f>'17-18P'!Q19</f>
        <v>-</v>
      </c>
      <c r="P62" s="687">
        <f>'17-18P'!R19</f>
        <v>1</v>
      </c>
    </row>
    <row r="63" spans="2:16" ht="15" customHeight="1" x14ac:dyDescent="0.3">
      <c r="B63" s="479" t="str">
        <f>'17-18P'!C20</f>
        <v>Robin Mattila</v>
      </c>
      <c r="C63" s="688">
        <f>'17-18P'!D20</f>
        <v>17</v>
      </c>
      <c r="D63" s="688">
        <f>'17-18P'!E20</f>
        <v>5</v>
      </c>
      <c r="E63" s="688">
        <f>'17-18P'!F20</f>
        <v>4</v>
      </c>
      <c r="F63" s="688">
        <f>'17-18P'!G20</f>
        <v>9</v>
      </c>
      <c r="G63" s="688">
        <f>'17-18P'!H20</f>
        <v>0</v>
      </c>
      <c r="H63" s="688" t="str">
        <f>'17-18P'!I20</f>
        <v>-</v>
      </c>
      <c r="I63" s="688" t="str">
        <f>'17-18P'!J20</f>
        <v>-</v>
      </c>
      <c r="J63" s="688" t="str">
        <f>'17-18P'!K20</f>
        <v>-</v>
      </c>
      <c r="K63" s="688" t="str">
        <f>'17-18P'!L20</f>
        <v>-</v>
      </c>
      <c r="L63" s="688" t="str">
        <f>'17-18P'!N20</f>
        <v>-</v>
      </c>
      <c r="M63" s="688" t="str">
        <f>'17-18P'!O20</f>
        <v>-</v>
      </c>
      <c r="N63" s="688" t="str">
        <f>'17-18P'!P20</f>
        <v>-</v>
      </c>
      <c r="O63" s="688" t="str">
        <f>'17-18P'!Q20</f>
        <v>-</v>
      </c>
      <c r="P63" s="688" t="str">
        <f>'17-18P'!R20</f>
        <v>-</v>
      </c>
    </row>
    <row r="64" spans="2:16" ht="15" customHeight="1" x14ac:dyDescent="0.3">
      <c r="B64" s="478" t="str">
        <f>'17-18P'!C21</f>
        <v>Lassi Liukkonen</v>
      </c>
      <c r="C64" s="687">
        <f>'17-18P'!D21</f>
        <v>17</v>
      </c>
      <c r="D64" s="687">
        <f>'17-18P'!E21</f>
        <v>0</v>
      </c>
      <c r="E64" s="687">
        <f>'17-18P'!F21</f>
        <v>0</v>
      </c>
      <c r="F64" s="687">
        <f>'17-18P'!G21</f>
        <v>0</v>
      </c>
      <c r="G64" s="687">
        <f>'17-18P'!H21</f>
        <v>0</v>
      </c>
      <c r="H64" s="687" t="str">
        <f>'17-18P'!I21</f>
        <v>-</v>
      </c>
      <c r="I64" s="687" t="str">
        <f>'17-18P'!J21</f>
        <v>-</v>
      </c>
      <c r="J64" s="687" t="str">
        <f>'17-18P'!K21</f>
        <v>-</v>
      </c>
      <c r="K64" s="687" t="str">
        <f>'17-18P'!L21</f>
        <v>-</v>
      </c>
      <c r="L64" s="687" t="str">
        <f>'17-18P'!N21</f>
        <v>-</v>
      </c>
      <c r="M64" s="687" t="str">
        <f>'17-18P'!O21</f>
        <v>-</v>
      </c>
      <c r="N64" s="687" t="str">
        <f>'17-18P'!P21</f>
        <v>-</v>
      </c>
      <c r="O64" s="687" t="str">
        <f>'17-18P'!Q21</f>
        <v>-</v>
      </c>
      <c r="P64" s="687" t="str">
        <f>'17-18P'!R21</f>
        <v>-</v>
      </c>
    </row>
    <row r="65" spans="2:16" s="357" customFormat="1" ht="21" customHeight="1" x14ac:dyDescent="0.4">
      <c r="B65" s="381"/>
      <c r="C65" s="377"/>
      <c r="D65" s="861">
        <f>SUM(D48:D64)</f>
        <v>67</v>
      </c>
      <c r="E65" s="861">
        <f t="shared" ref="E65:P65" si="4">SUM(E48:E64)</f>
        <v>62</v>
      </c>
      <c r="F65" s="861">
        <f t="shared" si="4"/>
        <v>129</v>
      </c>
      <c r="G65" s="861">
        <f t="shared" si="4"/>
        <v>18</v>
      </c>
      <c r="H65" s="861">
        <f t="shared" si="4"/>
        <v>6</v>
      </c>
      <c r="I65" s="861">
        <f t="shared" si="4"/>
        <v>6</v>
      </c>
      <c r="J65" s="861">
        <f t="shared" si="4"/>
        <v>0</v>
      </c>
      <c r="K65" s="861">
        <f t="shared" si="4"/>
        <v>0</v>
      </c>
      <c r="L65" s="861">
        <f t="shared" si="4"/>
        <v>0</v>
      </c>
      <c r="M65" s="861">
        <f t="shared" si="4"/>
        <v>1</v>
      </c>
      <c r="N65" s="861">
        <f t="shared" si="4"/>
        <v>0</v>
      </c>
      <c r="O65" s="861">
        <f t="shared" si="4"/>
        <v>2</v>
      </c>
      <c r="P65" s="861">
        <f t="shared" si="4"/>
        <v>2</v>
      </c>
    </row>
    <row r="66" spans="2:16" s="357" customFormat="1" ht="21" customHeight="1" x14ac:dyDescent="0.4">
      <c r="B66" s="381"/>
      <c r="C66" s="377"/>
      <c r="D66" s="377"/>
      <c r="E66" s="377"/>
    </row>
    <row r="67" spans="2:16" s="357" customFormat="1" ht="21" customHeight="1" x14ac:dyDescent="0.4">
      <c r="B67" s="381"/>
      <c r="C67" s="377"/>
      <c r="D67" s="377"/>
      <c r="E67" s="377"/>
    </row>
    <row r="68" spans="2:16" s="357" customFormat="1" ht="21" customHeight="1" x14ac:dyDescent="0.4">
      <c r="B68" s="381" t="s">
        <v>1499</v>
      </c>
      <c r="C68" s="475" t="s">
        <v>950</v>
      </c>
      <c r="D68" s="381"/>
      <c r="E68" s="381"/>
      <c r="F68" s="381"/>
    </row>
    <row r="69" spans="2:16" s="357" customFormat="1" ht="7.5" customHeight="1" x14ac:dyDescent="0.3">
      <c r="B69" s="475"/>
    </row>
    <row r="70" spans="2:16" ht="15" customHeight="1" thickBot="1" x14ac:dyDescent="0.35">
      <c r="C70" s="480" t="s">
        <v>877</v>
      </c>
      <c r="D70" s="481" t="s">
        <v>533</v>
      </c>
      <c r="E70" s="481" t="s">
        <v>534</v>
      </c>
      <c r="F70" s="481" t="s">
        <v>610</v>
      </c>
      <c r="G70" s="481" t="s">
        <v>535</v>
      </c>
      <c r="H70" s="481" t="s">
        <v>878</v>
      </c>
      <c r="I70" s="481" t="s">
        <v>540</v>
      </c>
      <c r="J70" s="481" t="s">
        <v>545</v>
      </c>
      <c r="K70" s="481" t="s">
        <v>611</v>
      </c>
      <c r="L70" s="481" t="s">
        <v>879</v>
      </c>
      <c r="M70" s="481" t="s">
        <v>637</v>
      </c>
      <c r="N70" s="482" t="s">
        <v>693</v>
      </c>
      <c r="O70" s="482" t="s">
        <v>613</v>
      </c>
      <c r="P70" s="482" t="s">
        <v>139</v>
      </c>
    </row>
    <row r="71" spans="2:16" ht="15" customHeight="1" x14ac:dyDescent="0.3">
      <c r="B71" s="478" t="str">
        <f>'16-17P'!C5</f>
        <v>Joni Vainio</v>
      </c>
      <c r="C71" s="687">
        <f>'16-17P'!D5</f>
        <v>16</v>
      </c>
      <c r="D71" s="687">
        <f>'16-17P'!E5</f>
        <v>7</v>
      </c>
      <c r="E71" s="687">
        <f>'16-17P'!F5</f>
        <v>1</v>
      </c>
      <c r="F71" s="687">
        <f>'16-17P'!G5</f>
        <v>8</v>
      </c>
      <c r="G71" s="687">
        <f>'16-17P'!H5</f>
        <v>0</v>
      </c>
      <c r="H71" s="687">
        <f>'16-17P'!I5</f>
        <v>1</v>
      </c>
      <c r="I71" s="687">
        <f>'16-17P'!J5</f>
        <v>1</v>
      </c>
      <c r="J71" s="687" t="str">
        <f>'16-17P'!K5</f>
        <v>-</v>
      </c>
      <c r="K71" s="687" t="str">
        <f>'16-17P'!L5</f>
        <v>-</v>
      </c>
      <c r="L71" s="687" t="str">
        <f>'16-17P'!M5</f>
        <v>-</v>
      </c>
      <c r="M71" s="687" t="str">
        <f>'16-17P'!N5</f>
        <v>-</v>
      </c>
      <c r="N71" s="687" t="str">
        <f>'16-17P'!O5</f>
        <v>-</v>
      </c>
      <c r="O71" s="687" t="str">
        <f>'16-17P'!P5</f>
        <v>-</v>
      </c>
      <c r="P71" s="687" t="str">
        <f>'16-17P'!Q5</f>
        <v>-</v>
      </c>
    </row>
    <row r="72" spans="2:16" ht="15" customHeight="1" x14ac:dyDescent="0.3">
      <c r="B72" s="479" t="str">
        <f>'16-17P'!C6</f>
        <v>Ville Koivisto</v>
      </c>
      <c r="C72" s="688">
        <f>'16-17P'!D6</f>
        <v>16</v>
      </c>
      <c r="D72" s="688">
        <f>'16-17P'!E6</f>
        <v>16</v>
      </c>
      <c r="E72" s="688">
        <f>'16-17P'!F6</f>
        <v>8</v>
      </c>
      <c r="F72" s="688">
        <f>'16-17P'!G6</f>
        <v>24</v>
      </c>
      <c r="G72" s="688">
        <f>'16-17P'!H6</f>
        <v>4</v>
      </c>
      <c r="H72" s="688">
        <f>'16-17P'!I6</f>
        <v>2</v>
      </c>
      <c r="I72" s="688">
        <f>'16-17P'!J6</f>
        <v>1</v>
      </c>
      <c r="J72" s="688" t="str">
        <f>'16-17P'!K6</f>
        <v>-</v>
      </c>
      <c r="K72" s="688" t="str">
        <f>'16-17P'!L6</f>
        <v>-</v>
      </c>
      <c r="L72" s="688" t="str">
        <f>'16-17P'!M6</f>
        <v>-</v>
      </c>
      <c r="M72" s="688" t="str">
        <f>'16-17P'!N6</f>
        <v>-</v>
      </c>
      <c r="N72" s="688" t="str">
        <f>'16-17P'!O6</f>
        <v>-</v>
      </c>
      <c r="O72" s="688">
        <f>'16-17P'!P6</f>
        <v>1</v>
      </c>
      <c r="P72" s="688" t="str">
        <f>'16-17P'!Q6</f>
        <v>-</v>
      </c>
    </row>
    <row r="73" spans="2:16" ht="15" customHeight="1" x14ac:dyDescent="0.3">
      <c r="B73" s="478" t="str">
        <f>'16-17P'!C7</f>
        <v>Matias Mäkilä</v>
      </c>
      <c r="C73" s="687">
        <f>'16-17P'!D7</f>
        <v>16</v>
      </c>
      <c r="D73" s="687">
        <f>'16-17P'!E7</f>
        <v>7</v>
      </c>
      <c r="E73" s="687">
        <f>'16-17P'!F7</f>
        <v>2</v>
      </c>
      <c r="F73" s="687">
        <f>'16-17P'!G7</f>
        <v>9</v>
      </c>
      <c r="G73" s="687">
        <f>'16-17P'!H7</f>
        <v>0</v>
      </c>
      <c r="H73" s="687">
        <f>'16-17P'!I7</f>
        <v>0</v>
      </c>
      <c r="I73" s="687">
        <f>'16-17P'!J7</f>
        <v>0</v>
      </c>
      <c r="J73" s="687" t="str">
        <f>'16-17P'!K7</f>
        <v>-</v>
      </c>
      <c r="K73" s="687" t="str">
        <f>'16-17P'!L7</f>
        <v>-</v>
      </c>
      <c r="L73" s="687" t="str">
        <f>'16-17P'!M7</f>
        <v>-</v>
      </c>
      <c r="M73" s="687" t="str">
        <f>'16-17P'!N7</f>
        <v>-</v>
      </c>
      <c r="N73" s="687" t="str">
        <f>'16-17P'!O7</f>
        <v>-</v>
      </c>
      <c r="O73" s="687">
        <f>'16-17P'!P7</f>
        <v>1</v>
      </c>
      <c r="P73" s="687">
        <f>'16-17P'!Q7</f>
        <v>1</v>
      </c>
    </row>
    <row r="74" spans="2:16" ht="15" customHeight="1" x14ac:dyDescent="0.3">
      <c r="B74" s="479" t="str">
        <f>'16-17P'!C8</f>
        <v>Mauri Kurri</v>
      </c>
      <c r="C74" s="688">
        <f>'16-17P'!D8</f>
        <v>16</v>
      </c>
      <c r="D74" s="688">
        <f>'16-17P'!E8</f>
        <v>2</v>
      </c>
      <c r="E74" s="688">
        <f>'16-17P'!F8</f>
        <v>1</v>
      </c>
      <c r="F74" s="688">
        <f>'16-17P'!G8</f>
        <v>3</v>
      </c>
      <c r="G74" s="688">
        <f>'16-17P'!H8</f>
        <v>1</v>
      </c>
      <c r="H74" s="688">
        <f>'16-17P'!I8</f>
        <v>0</v>
      </c>
      <c r="I74" s="688">
        <f>'16-17P'!J8</f>
        <v>1</v>
      </c>
      <c r="J74" s="688" t="str">
        <f>'16-17P'!K8</f>
        <v>-</v>
      </c>
      <c r="K74" s="688" t="str">
        <f>'16-17P'!L8</f>
        <v>-</v>
      </c>
      <c r="L74" s="688" t="str">
        <f>'16-17P'!M8</f>
        <v>-</v>
      </c>
      <c r="M74" s="688" t="str">
        <f>'16-17P'!N8</f>
        <v>-</v>
      </c>
      <c r="N74" s="688" t="str">
        <f>'16-17P'!O8</f>
        <v>-</v>
      </c>
      <c r="O74" s="688" t="str">
        <f>'16-17P'!P8</f>
        <v>-</v>
      </c>
      <c r="P74" s="688" t="str">
        <f>'16-17P'!Q8</f>
        <v>-</v>
      </c>
    </row>
    <row r="75" spans="2:16" ht="15" customHeight="1" x14ac:dyDescent="0.3">
      <c r="B75" s="478" t="str">
        <f>'16-17P'!C9</f>
        <v>Miika Oja-Nisula</v>
      </c>
      <c r="C75" s="687">
        <f>'16-17P'!D9</f>
        <v>16</v>
      </c>
      <c r="D75" s="687">
        <f>'16-17P'!E9</f>
        <v>8</v>
      </c>
      <c r="E75" s="687">
        <f>'16-17P'!F9</f>
        <v>6</v>
      </c>
      <c r="F75" s="687">
        <f>'16-17P'!G9</f>
        <v>14</v>
      </c>
      <c r="G75" s="687">
        <f>'16-17P'!H9</f>
        <v>2</v>
      </c>
      <c r="H75" s="687">
        <f>'16-17P'!I9</f>
        <v>0</v>
      </c>
      <c r="I75" s="687">
        <f>'16-17P'!J9</f>
        <v>0</v>
      </c>
      <c r="J75" s="687">
        <f>'16-17P'!K9</f>
        <v>1</v>
      </c>
      <c r="K75" s="687" t="str">
        <f>'16-17P'!L9</f>
        <v>-</v>
      </c>
      <c r="L75" s="687" t="str">
        <f>'16-17P'!M9</f>
        <v>-</v>
      </c>
      <c r="M75" s="687" t="str">
        <f>'16-17P'!N9</f>
        <v>-</v>
      </c>
      <c r="N75" s="687" t="str">
        <f>'16-17P'!O9</f>
        <v>-</v>
      </c>
      <c r="O75" s="687" t="str">
        <f>'16-17P'!P9</f>
        <v>-</v>
      </c>
      <c r="P75" s="687" t="str">
        <f>'16-17P'!Q9</f>
        <v>-</v>
      </c>
    </row>
    <row r="76" spans="2:16" ht="15" customHeight="1" x14ac:dyDescent="0.3">
      <c r="B76" s="479" t="str">
        <f>'16-17P'!C10</f>
        <v>Mika Aaltonen</v>
      </c>
      <c r="C76" s="688">
        <f>'16-17P'!D10</f>
        <v>16</v>
      </c>
      <c r="D76" s="688">
        <f>'16-17P'!E10</f>
        <v>9</v>
      </c>
      <c r="E76" s="688">
        <f>'16-17P'!F10</f>
        <v>4</v>
      </c>
      <c r="F76" s="688">
        <f>'16-17P'!G10</f>
        <v>13</v>
      </c>
      <c r="G76" s="688">
        <f>'16-17P'!H10</f>
        <v>1</v>
      </c>
      <c r="H76" s="688">
        <f>'16-17P'!I10</f>
        <v>0</v>
      </c>
      <c r="I76" s="688">
        <f>'16-17P'!J10</f>
        <v>2</v>
      </c>
      <c r="J76" s="688" t="str">
        <f>'16-17P'!K10</f>
        <v>-</v>
      </c>
      <c r="K76" s="688" t="str">
        <f>'16-17P'!L10</f>
        <v>-</v>
      </c>
      <c r="L76" s="688" t="str">
        <f>'16-17P'!M10</f>
        <v>-</v>
      </c>
      <c r="M76" s="688" t="str">
        <f>'16-17P'!N10</f>
        <v>-</v>
      </c>
      <c r="N76" s="688" t="str">
        <f>'16-17P'!O10</f>
        <v>-</v>
      </c>
      <c r="O76" s="688">
        <f>'16-17P'!P10</f>
        <v>1</v>
      </c>
      <c r="P76" s="688" t="str">
        <f>'16-17P'!Q10</f>
        <v>-</v>
      </c>
    </row>
    <row r="77" spans="2:16" ht="15" customHeight="1" x14ac:dyDescent="0.3">
      <c r="B77" s="478" t="str">
        <f>'16-17P'!C11</f>
        <v>Jarno Peltola</v>
      </c>
      <c r="C77" s="687">
        <f>'16-17P'!D11</f>
        <v>16</v>
      </c>
      <c r="D77" s="687">
        <f>'16-17P'!E11</f>
        <v>3</v>
      </c>
      <c r="E77" s="687">
        <f>'16-17P'!F11</f>
        <v>9</v>
      </c>
      <c r="F77" s="687">
        <f>'16-17P'!G11</f>
        <v>12</v>
      </c>
      <c r="G77" s="687">
        <f>'16-17P'!H11</f>
        <v>9</v>
      </c>
      <c r="H77" s="687">
        <f>'16-17P'!I11</f>
        <v>2</v>
      </c>
      <c r="I77" s="687">
        <f>'16-17P'!J11</f>
        <v>0</v>
      </c>
      <c r="J77" s="687" t="str">
        <f>'16-17P'!K11</f>
        <v>-</v>
      </c>
      <c r="K77" s="687" t="str">
        <f>'16-17P'!L11</f>
        <v>-</v>
      </c>
      <c r="L77" s="687" t="str">
        <f>'16-17P'!M11</f>
        <v>-</v>
      </c>
      <c r="M77" s="687" t="str">
        <f>'16-17P'!N11</f>
        <v>-</v>
      </c>
      <c r="N77" s="687" t="str">
        <f>'16-17P'!O11</f>
        <v>-</v>
      </c>
      <c r="O77" s="687" t="str">
        <f>'16-17P'!P11</f>
        <v>-</v>
      </c>
      <c r="P77" s="687" t="str">
        <f>'16-17P'!Q11</f>
        <v>-</v>
      </c>
    </row>
    <row r="78" spans="2:16" ht="15" customHeight="1" x14ac:dyDescent="0.3">
      <c r="B78" s="479" t="str">
        <f>'16-17P'!C12</f>
        <v>Ville Mettälä</v>
      </c>
      <c r="C78" s="688">
        <f>'16-17P'!D12</f>
        <v>16</v>
      </c>
      <c r="D78" s="688">
        <f>'16-17P'!E12</f>
        <v>3</v>
      </c>
      <c r="E78" s="688">
        <f>'16-17P'!F12</f>
        <v>2</v>
      </c>
      <c r="F78" s="688">
        <f>'16-17P'!G12</f>
        <v>5</v>
      </c>
      <c r="G78" s="688">
        <f>'16-17P'!H12</f>
        <v>0</v>
      </c>
      <c r="H78" s="688">
        <f>'16-17P'!I12</f>
        <v>0</v>
      </c>
      <c r="I78" s="688">
        <f>'16-17P'!J12</f>
        <v>0</v>
      </c>
      <c r="J78" s="688" t="str">
        <f>'16-17P'!K12</f>
        <v>-</v>
      </c>
      <c r="K78" s="688" t="str">
        <f>'16-17P'!L12</f>
        <v>-</v>
      </c>
      <c r="L78" s="688" t="str">
        <f>'16-17P'!M12</f>
        <v>-</v>
      </c>
      <c r="M78" s="688" t="str">
        <f>'16-17P'!N12</f>
        <v>-</v>
      </c>
      <c r="N78" s="688" t="str">
        <f>'16-17P'!O12</f>
        <v>-</v>
      </c>
      <c r="O78" s="688" t="str">
        <f>'16-17P'!P12</f>
        <v>-</v>
      </c>
      <c r="P78" s="688" t="str">
        <f>'16-17P'!Q12</f>
        <v>-</v>
      </c>
    </row>
    <row r="79" spans="2:16" ht="15" customHeight="1" x14ac:dyDescent="0.3">
      <c r="B79" s="478" t="str">
        <f>'16-17P'!C13</f>
        <v>Tuukka Mettälä</v>
      </c>
      <c r="C79" s="687">
        <f>'16-17P'!D13</f>
        <v>16</v>
      </c>
      <c r="D79" s="687">
        <f>'16-17P'!E13</f>
        <v>0</v>
      </c>
      <c r="E79" s="687">
        <f>'16-17P'!F13</f>
        <v>5</v>
      </c>
      <c r="F79" s="687">
        <f>'16-17P'!G13</f>
        <v>5</v>
      </c>
      <c r="G79" s="687">
        <f>'16-17P'!H13</f>
        <v>2</v>
      </c>
      <c r="H79" s="687">
        <f>'16-17P'!I13</f>
        <v>0</v>
      </c>
      <c r="I79" s="687">
        <f>'16-17P'!J13</f>
        <v>0</v>
      </c>
      <c r="J79" s="687" t="str">
        <f>'16-17P'!K13</f>
        <v>-</v>
      </c>
      <c r="K79" s="687" t="str">
        <f>'16-17P'!L13</f>
        <v>-</v>
      </c>
      <c r="L79" s="687" t="str">
        <f>'16-17P'!M13</f>
        <v>-</v>
      </c>
      <c r="M79" s="687" t="str">
        <f>'16-17P'!N13</f>
        <v>-</v>
      </c>
      <c r="N79" s="687" t="str">
        <f>'16-17P'!O13</f>
        <v>-</v>
      </c>
      <c r="O79" s="687" t="str">
        <f>'16-17P'!P13</f>
        <v>-</v>
      </c>
      <c r="P79" s="687" t="str">
        <f>'16-17P'!Q13</f>
        <v>-</v>
      </c>
    </row>
    <row r="80" spans="2:16" ht="15" customHeight="1" x14ac:dyDescent="0.3">
      <c r="B80" s="479" t="str">
        <f>'16-17P'!C14</f>
        <v>Henrik Lehtonen</v>
      </c>
      <c r="C80" s="688">
        <f>'16-17P'!D14</f>
        <v>16</v>
      </c>
      <c r="D80" s="688">
        <f>'16-17P'!E14</f>
        <v>2</v>
      </c>
      <c r="E80" s="688">
        <f>'16-17P'!F14</f>
        <v>2</v>
      </c>
      <c r="F80" s="688">
        <f>'16-17P'!G14</f>
        <v>4</v>
      </c>
      <c r="G80" s="688">
        <f>'16-17P'!H14</f>
        <v>0</v>
      </c>
      <c r="H80" s="688">
        <f>'16-17P'!I14</f>
        <v>0</v>
      </c>
      <c r="I80" s="688">
        <f>'16-17P'!J14</f>
        <v>0</v>
      </c>
      <c r="J80" s="688" t="str">
        <f>'16-17P'!K14</f>
        <v>-</v>
      </c>
      <c r="K80" s="688" t="str">
        <f>'16-17P'!L14</f>
        <v>-</v>
      </c>
      <c r="L80" s="688" t="str">
        <f>'16-17P'!M14</f>
        <v>-</v>
      </c>
      <c r="M80" s="688" t="str">
        <f>'16-17P'!N14</f>
        <v>-</v>
      </c>
      <c r="N80" s="688" t="str">
        <f>'16-17P'!O14</f>
        <v>-</v>
      </c>
      <c r="O80" s="688" t="str">
        <f>'16-17P'!P14</f>
        <v>-</v>
      </c>
      <c r="P80" s="688" t="str">
        <f>'16-17P'!Q14</f>
        <v>-</v>
      </c>
    </row>
    <row r="81" spans="2:16" ht="15" customHeight="1" x14ac:dyDescent="0.3">
      <c r="B81" s="478" t="str">
        <f>'16-17P'!C15</f>
        <v>Sami Pöllänen</v>
      </c>
      <c r="C81" s="687">
        <f>'16-17P'!D15</f>
        <v>16</v>
      </c>
      <c r="D81" s="687">
        <f>'16-17P'!E15</f>
        <v>2</v>
      </c>
      <c r="E81" s="687">
        <f>'16-17P'!F15</f>
        <v>7</v>
      </c>
      <c r="F81" s="687">
        <f>'16-17P'!G15</f>
        <v>9</v>
      </c>
      <c r="G81" s="687">
        <f>'16-17P'!H15</f>
        <v>3</v>
      </c>
      <c r="H81" s="687">
        <f>'16-17P'!I15</f>
        <v>0</v>
      </c>
      <c r="I81" s="687">
        <f>'16-17P'!J15</f>
        <v>1</v>
      </c>
      <c r="J81" s="687" t="str">
        <f>'16-17P'!K15</f>
        <v>-</v>
      </c>
      <c r="K81" s="687" t="str">
        <f>'16-17P'!L15</f>
        <v>-</v>
      </c>
      <c r="L81" s="687" t="str">
        <f>'16-17P'!M15</f>
        <v>-</v>
      </c>
      <c r="M81" s="687" t="str">
        <f>'16-17P'!N15</f>
        <v>-</v>
      </c>
      <c r="N81" s="687" t="str">
        <f>'16-17P'!O15</f>
        <v>-</v>
      </c>
      <c r="O81" s="687" t="str">
        <f>'16-17P'!P15</f>
        <v>-</v>
      </c>
      <c r="P81" s="687" t="str">
        <f>'16-17P'!Q15</f>
        <v>-</v>
      </c>
    </row>
    <row r="82" spans="2:16" ht="15" customHeight="1" x14ac:dyDescent="0.3">
      <c r="B82" s="479" t="str">
        <f>'16-17P'!C16</f>
        <v>Atte Nieminen</v>
      </c>
      <c r="C82" s="688">
        <f>'16-17P'!D16</f>
        <v>16</v>
      </c>
      <c r="D82" s="688">
        <f>'16-17P'!E16</f>
        <v>2</v>
      </c>
      <c r="E82" s="688">
        <f>'16-17P'!F16</f>
        <v>1</v>
      </c>
      <c r="F82" s="688">
        <f>'16-17P'!G16</f>
        <v>3</v>
      </c>
      <c r="G82" s="688">
        <f>'16-17P'!H16</f>
        <v>2</v>
      </c>
      <c r="H82" s="688">
        <f>'16-17P'!I16</f>
        <v>1</v>
      </c>
      <c r="I82" s="688">
        <f>'16-17P'!J16</f>
        <v>0</v>
      </c>
      <c r="J82" s="688" t="str">
        <f>'16-17P'!K16</f>
        <v>-</v>
      </c>
      <c r="K82" s="688" t="str">
        <f>'16-17P'!L16</f>
        <v>-</v>
      </c>
      <c r="L82" s="688" t="str">
        <f>'16-17P'!M16</f>
        <v>-</v>
      </c>
      <c r="M82" s="688" t="str">
        <f>'16-17P'!N16</f>
        <v>-</v>
      </c>
      <c r="N82" s="688" t="str">
        <f>'16-17P'!O16</f>
        <v>-</v>
      </c>
      <c r="O82" s="688" t="str">
        <f>'16-17P'!P16</f>
        <v>-</v>
      </c>
      <c r="P82" s="688" t="str">
        <f>'16-17P'!Q16</f>
        <v>-</v>
      </c>
    </row>
    <row r="83" spans="2:16" ht="15" customHeight="1" x14ac:dyDescent="0.3">
      <c r="B83" s="478" t="str">
        <f>'16-17P'!C17</f>
        <v>Kaj Engblom</v>
      </c>
      <c r="C83" s="687">
        <f>'16-17P'!D17</f>
        <v>16</v>
      </c>
      <c r="D83" s="687">
        <f>'16-17P'!E17</f>
        <v>4</v>
      </c>
      <c r="E83" s="687">
        <f>'16-17P'!F17</f>
        <v>9</v>
      </c>
      <c r="F83" s="687">
        <f>'16-17P'!G17</f>
        <v>13</v>
      </c>
      <c r="G83" s="687">
        <f>'16-17P'!H17</f>
        <v>3</v>
      </c>
      <c r="H83" s="687">
        <f>'16-17P'!I17</f>
        <v>0</v>
      </c>
      <c r="I83" s="687">
        <f>'16-17P'!J17</f>
        <v>0</v>
      </c>
      <c r="J83" s="687" t="str">
        <f>'16-17P'!K17</f>
        <v>-</v>
      </c>
      <c r="K83" s="687" t="str">
        <f>'16-17P'!L17</f>
        <v>-</v>
      </c>
      <c r="L83" s="687" t="str">
        <f>'16-17P'!M17</f>
        <v>-</v>
      </c>
      <c r="M83" s="687" t="str">
        <f>'16-17P'!N17</f>
        <v>-</v>
      </c>
      <c r="N83" s="687" t="str">
        <f>'16-17P'!O17</f>
        <v>-</v>
      </c>
      <c r="O83" s="687" t="str">
        <f>'16-17P'!P17</f>
        <v>-</v>
      </c>
      <c r="P83" s="687" t="str">
        <f>'16-17P'!Q17</f>
        <v>-</v>
      </c>
    </row>
    <row r="84" spans="2:16" ht="15" customHeight="1" x14ac:dyDescent="0.3">
      <c r="B84" s="479" t="str">
        <f>'16-17P'!C18</f>
        <v>(MV) Matias Virta</v>
      </c>
      <c r="C84" s="688">
        <f>'16-17P'!D18</f>
        <v>16</v>
      </c>
      <c r="D84" s="688">
        <f>'16-17P'!E18</f>
        <v>0</v>
      </c>
      <c r="E84" s="688">
        <f>'16-17P'!F18</f>
        <v>0</v>
      </c>
      <c r="F84" s="688">
        <f>'16-17P'!G18</f>
        <v>0</v>
      </c>
      <c r="G84" s="688">
        <f>'16-17P'!H18</f>
        <v>0</v>
      </c>
      <c r="H84" s="688">
        <f>'16-17P'!I18</f>
        <v>0</v>
      </c>
      <c r="I84" s="688">
        <f>'16-17P'!J18</f>
        <v>0</v>
      </c>
      <c r="J84" s="688" t="str">
        <f>'16-17P'!K18</f>
        <v>-</v>
      </c>
      <c r="K84" s="688" t="str">
        <f>'16-17P'!L18</f>
        <v>-</v>
      </c>
      <c r="L84" s="688" t="str">
        <f>'16-17P'!M18</f>
        <v>-</v>
      </c>
      <c r="M84" s="688" t="str">
        <f>'16-17P'!N18</f>
        <v>-</v>
      </c>
      <c r="N84" s="688" t="str">
        <f>'16-17P'!O18</f>
        <v>-</v>
      </c>
      <c r="O84" s="688" t="str">
        <f>'16-17P'!P18</f>
        <v>-</v>
      </c>
      <c r="P84" s="688" t="str">
        <f>'16-17P'!Q18</f>
        <v>-</v>
      </c>
    </row>
    <row r="85" spans="2:16" ht="15" customHeight="1" x14ac:dyDescent="0.3">
      <c r="B85" s="478" t="str">
        <f>'16-17P'!C19</f>
        <v>Jesse Höykinpuro</v>
      </c>
      <c r="C85" s="687">
        <f>'16-17P'!D19</f>
        <v>16</v>
      </c>
      <c r="D85" s="687">
        <f>'16-17P'!E19</f>
        <v>3</v>
      </c>
      <c r="E85" s="687">
        <f>'16-17P'!F19</f>
        <v>3</v>
      </c>
      <c r="F85" s="687">
        <f>'16-17P'!G19</f>
        <v>6</v>
      </c>
      <c r="G85" s="687">
        <f>'16-17P'!H19</f>
        <v>6</v>
      </c>
      <c r="H85" s="687">
        <f>'16-17P'!I19</f>
        <v>0</v>
      </c>
      <c r="I85" s="687">
        <f>'16-17P'!J19</f>
        <v>1</v>
      </c>
      <c r="J85" s="687" t="str">
        <f>'16-17P'!K19</f>
        <v>-</v>
      </c>
      <c r="K85" s="687" t="str">
        <f>'16-17P'!L19</f>
        <v>-</v>
      </c>
      <c r="L85" s="687" t="str">
        <f>'16-17P'!M19</f>
        <v>-</v>
      </c>
      <c r="M85" s="687" t="str">
        <f>'16-17P'!N19</f>
        <v>-</v>
      </c>
      <c r="N85" s="687" t="str">
        <f>'16-17P'!O19</f>
        <v>-</v>
      </c>
      <c r="O85" s="687" t="str">
        <f>'16-17P'!P19</f>
        <v>-</v>
      </c>
      <c r="P85" s="687" t="str">
        <f>'16-17P'!Q19</f>
        <v>-</v>
      </c>
    </row>
    <row r="86" spans="2:16" s="357" customFormat="1" ht="15" customHeight="1" x14ac:dyDescent="0.4">
      <c r="B86" s="381"/>
      <c r="C86" s="377"/>
      <c r="D86" s="377"/>
      <c r="E86" s="377"/>
    </row>
    <row r="87" spans="2:16" s="357" customFormat="1" ht="15" customHeight="1" x14ac:dyDescent="0.4">
      <c r="B87" s="381"/>
      <c r="C87" s="377"/>
      <c r="D87" s="377"/>
      <c r="E87" s="377"/>
    </row>
    <row r="88" spans="2:16" s="357" customFormat="1" ht="15" customHeight="1" x14ac:dyDescent="0.4">
      <c r="B88" s="381"/>
      <c r="C88" s="377"/>
      <c r="D88" s="377"/>
      <c r="E88" s="377"/>
    </row>
    <row r="89" spans="2:16" s="357" customFormat="1" ht="21" customHeight="1" x14ac:dyDescent="0.4">
      <c r="B89" s="381" t="s">
        <v>1412</v>
      </c>
      <c r="C89" s="475" t="s">
        <v>950</v>
      </c>
      <c r="D89" s="381"/>
      <c r="E89" s="381"/>
      <c r="F89" s="381"/>
    </row>
    <row r="90" spans="2:16" s="357" customFormat="1" ht="7.5" customHeight="1" x14ac:dyDescent="0.3">
      <c r="B90" s="475"/>
    </row>
    <row r="91" spans="2:16" ht="15" customHeight="1" thickBot="1" x14ac:dyDescent="0.35">
      <c r="B91" t="s">
        <v>2005</v>
      </c>
      <c r="C91" s="480" t="s">
        <v>877</v>
      </c>
      <c r="D91" s="481" t="s">
        <v>533</v>
      </c>
      <c r="E91" s="481" t="s">
        <v>534</v>
      </c>
      <c r="F91" s="481" t="s">
        <v>610</v>
      </c>
      <c r="G91" s="481" t="s">
        <v>535</v>
      </c>
      <c r="H91" s="481" t="s">
        <v>878</v>
      </c>
      <c r="I91" s="481" t="s">
        <v>540</v>
      </c>
      <c r="J91" s="481" t="s">
        <v>545</v>
      </c>
      <c r="K91" s="481" t="s">
        <v>611</v>
      </c>
      <c r="L91" s="481" t="s">
        <v>879</v>
      </c>
      <c r="M91" s="481" t="s">
        <v>637</v>
      </c>
      <c r="N91" s="482" t="s">
        <v>693</v>
      </c>
      <c r="O91" s="482" t="s">
        <v>613</v>
      </c>
      <c r="P91" s="481" t="s">
        <v>139</v>
      </c>
    </row>
    <row r="92" spans="2:16" ht="15" customHeight="1" x14ac:dyDescent="0.3">
      <c r="B92" s="479" t="str">
        <f>'15-16P'!C16</f>
        <v>Atte Nieminen</v>
      </c>
      <c r="C92" s="177">
        <f>'15-16P'!D16</f>
        <v>20</v>
      </c>
      <c r="D92" s="177">
        <f>'15-16P'!E16</f>
        <v>10</v>
      </c>
      <c r="E92" s="177">
        <f>'15-16P'!F16</f>
        <v>3</v>
      </c>
      <c r="F92" s="177">
        <f>'15-16P'!G16</f>
        <v>13</v>
      </c>
      <c r="G92" s="177">
        <f>'15-16P'!H16</f>
        <v>0</v>
      </c>
      <c r="H92" s="177">
        <f>'15-16P'!I16</f>
        <v>0</v>
      </c>
      <c r="I92" s="177">
        <f>'15-16P'!J16</f>
        <v>0</v>
      </c>
      <c r="J92" s="177" t="str">
        <f>'15-16P'!K16</f>
        <v>-</v>
      </c>
      <c r="K92" s="177" t="str">
        <f>'15-16P'!L16</f>
        <v>-</v>
      </c>
      <c r="L92" s="177" t="str">
        <f>'15-16P'!M16</f>
        <v>-</v>
      </c>
      <c r="M92" s="177" t="str">
        <f>'15-16P'!N16</f>
        <v>-</v>
      </c>
      <c r="N92" s="177" t="str">
        <f>'15-16P'!O16</f>
        <v>-</v>
      </c>
      <c r="O92" s="177">
        <f>'15-16P'!P16</f>
        <v>1</v>
      </c>
      <c r="P92" s="345" t="str">
        <f>'15-16P'!Q16</f>
        <v>-</v>
      </c>
    </row>
    <row r="93" spans="2:16" ht="15" customHeight="1" x14ac:dyDescent="0.3">
      <c r="B93" s="479" t="str">
        <f>'15-16P'!C18</f>
        <v>Esa Mäki</v>
      </c>
      <c r="C93" s="178">
        <f>'15-16P'!D18</f>
        <v>20</v>
      </c>
      <c r="D93" s="178">
        <f>'15-16P'!E18</f>
        <v>0</v>
      </c>
      <c r="E93" s="178">
        <f>'15-16P'!F18</f>
        <v>1</v>
      </c>
      <c r="F93" s="178">
        <f>'15-16P'!G18</f>
        <v>1</v>
      </c>
      <c r="G93" s="178">
        <f>'15-16P'!H18</f>
        <v>0</v>
      </c>
      <c r="H93" s="178">
        <f>'15-16P'!I18</f>
        <v>0</v>
      </c>
      <c r="I93" s="178">
        <f>'15-16P'!J18</f>
        <v>0</v>
      </c>
      <c r="J93" s="178" t="str">
        <f>'15-16P'!K18</f>
        <v>-</v>
      </c>
      <c r="K93" s="178" t="str">
        <f>'15-16P'!L18</f>
        <v>-</v>
      </c>
      <c r="L93" s="178" t="str">
        <f>'15-16P'!M18</f>
        <v>-</v>
      </c>
      <c r="M93" s="178" t="str">
        <f>'15-16P'!N18</f>
        <v>-</v>
      </c>
      <c r="N93" s="178" t="str">
        <f>'15-16P'!O18</f>
        <v>-</v>
      </c>
      <c r="O93" s="178" t="str">
        <f>'15-16P'!P18</f>
        <v>-</v>
      </c>
      <c r="P93" s="346" t="str">
        <f>'15-16P'!Q18</f>
        <v>-</v>
      </c>
    </row>
    <row r="94" spans="2:16" ht="15" customHeight="1" x14ac:dyDescent="0.3">
      <c r="B94" s="479" t="str">
        <f>'15-16P'!C14</f>
        <v>Henrik Lehtonen</v>
      </c>
      <c r="C94" s="178">
        <f>'15-16P'!D14</f>
        <v>20</v>
      </c>
      <c r="D94" s="178">
        <f>'15-16P'!E14</f>
        <v>2</v>
      </c>
      <c r="E94" s="178">
        <f>'15-16P'!F14</f>
        <v>4</v>
      </c>
      <c r="F94" s="178">
        <f>'15-16P'!G14</f>
        <v>6</v>
      </c>
      <c r="G94" s="178">
        <f>'15-16P'!H14</f>
        <v>1</v>
      </c>
      <c r="H94" s="178">
        <f>'15-16P'!I14</f>
        <v>0</v>
      </c>
      <c r="I94" s="178">
        <f>'15-16P'!J14</f>
        <v>0</v>
      </c>
      <c r="J94" s="178" t="str">
        <f>'15-16P'!K14</f>
        <v>-</v>
      </c>
      <c r="K94" s="178" t="str">
        <f>'15-16P'!L14</f>
        <v>-</v>
      </c>
      <c r="L94" s="178" t="str">
        <f>'15-16P'!M14</f>
        <v>-</v>
      </c>
      <c r="M94" s="178" t="str">
        <f>'15-16P'!N14</f>
        <v>-</v>
      </c>
      <c r="N94" s="178" t="str">
        <f>'15-16P'!O14</f>
        <v>-</v>
      </c>
      <c r="O94" s="178" t="str">
        <f>'15-16P'!P14</f>
        <v>-</v>
      </c>
      <c r="P94" s="346" t="str">
        <f>'15-16P'!Q14</f>
        <v>-</v>
      </c>
    </row>
    <row r="95" spans="2:16" ht="15" customHeight="1" x14ac:dyDescent="0.3">
      <c r="B95" s="478" t="str">
        <f>'15-16P'!C11</f>
        <v>Jarno Peltola</v>
      </c>
      <c r="C95" s="375">
        <f>'15-16P'!D11</f>
        <v>20</v>
      </c>
      <c r="D95" s="375">
        <f>'15-16P'!E11</f>
        <v>6</v>
      </c>
      <c r="E95" s="375">
        <f>'15-16P'!F11</f>
        <v>15</v>
      </c>
      <c r="F95" s="375">
        <f>'15-16P'!G11</f>
        <v>21</v>
      </c>
      <c r="G95" s="375">
        <f>'15-16P'!H11</f>
        <v>0</v>
      </c>
      <c r="H95" s="375">
        <f>'15-16P'!I11</f>
        <v>0</v>
      </c>
      <c r="I95" s="375">
        <f>'15-16P'!J11</f>
        <v>1</v>
      </c>
      <c r="J95" s="375" t="str">
        <f>'15-16P'!K11</f>
        <v>-</v>
      </c>
      <c r="K95" s="375" t="str">
        <f>'15-16P'!L11</f>
        <v>-</v>
      </c>
      <c r="L95" s="375" t="str">
        <f>'15-16P'!M11</f>
        <v>-</v>
      </c>
      <c r="M95" s="375" t="str">
        <f>'15-16P'!N11</f>
        <v>-</v>
      </c>
      <c r="N95" s="375" t="str">
        <f>'15-16P'!O11</f>
        <v>-</v>
      </c>
      <c r="O95" s="375" t="str">
        <f>'15-16P'!P11</f>
        <v>-</v>
      </c>
      <c r="P95" s="970" t="str">
        <f>'15-16P'!Q11</f>
        <v>-</v>
      </c>
    </row>
    <row r="96" spans="2:16" ht="15" customHeight="1" x14ac:dyDescent="0.3">
      <c r="B96" s="478" t="str">
        <f>'15-16P'!C5</f>
        <v>Joni Vainio</v>
      </c>
      <c r="C96" s="375">
        <f>'15-16P'!D5</f>
        <v>20</v>
      </c>
      <c r="D96" s="375">
        <f>'15-16P'!E5</f>
        <v>12</v>
      </c>
      <c r="E96" s="375">
        <f>'15-16P'!F5</f>
        <v>4</v>
      </c>
      <c r="F96" s="375">
        <f>'15-16P'!G5</f>
        <v>16</v>
      </c>
      <c r="G96" s="375">
        <f>'15-16P'!H5</f>
        <v>1</v>
      </c>
      <c r="H96" s="375">
        <f>'15-16P'!I5</f>
        <v>2</v>
      </c>
      <c r="I96" s="375">
        <f>'15-16P'!J5</f>
        <v>0</v>
      </c>
      <c r="J96" s="375" t="str">
        <f>'15-16P'!K5</f>
        <v>-</v>
      </c>
      <c r="K96" s="375" t="str">
        <f>'15-16P'!L5</f>
        <v>1/1</v>
      </c>
      <c r="L96" s="375" t="str">
        <f>'15-16P'!M5</f>
        <v>-</v>
      </c>
      <c r="M96" s="375" t="str">
        <f>'15-16P'!N5</f>
        <v>-</v>
      </c>
      <c r="N96" s="375" t="str">
        <f>'15-16P'!O5</f>
        <v>-</v>
      </c>
      <c r="O96" s="375">
        <f>'15-16P'!P5</f>
        <v>1</v>
      </c>
      <c r="P96" s="970" t="str">
        <f>'15-16P'!Q5</f>
        <v>-</v>
      </c>
    </row>
    <row r="97" spans="2:16" ht="15" customHeight="1" x14ac:dyDescent="0.3">
      <c r="B97" s="478" t="str">
        <f>'15-16P'!C19</f>
        <v>Jussi Vuoria</v>
      </c>
      <c r="C97" s="375">
        <f>'15-16P'!D19</f>
        <v>20</v>
      </c>
      <c r="D97" s="375">
        <f>'15-16P'!E19</f>
        <v>0</v>
      </c>
      <c r="E97" s="375">
        <f>'15-16P'!F19</f>
        <v>0</v>
      </c>
      <c r="F97" s="375">
        <f>'15-16P'!G19</f>
        <v>0</v>
      </c>
      <c r="G97" s="375">
        <f>'15-16P'!H19</f>
        <v>0</v>
      </c>
      <c r="H97" s="375">
        <f>'15-16P'!I19</f>
        <v>0</v>
      </c>
      <c r="I97" s="375">
        <f>'15-16P'!J19</f>
        <v>0</v>
      </c>
      <c r="J97" s="375" t="str">
        <f>'15-16P'!K19</f>
        <v>-</v>
      </c>
      <c r="K97" s="375" t="str">
        <f>'15-16P'!L19</f>
        <v>-</v>
      </c>
      <c r="L97" s="375" t="str">
        <f>'15-16P'!M19</f>
        <v>-</v>
      </c>
      <c r="M97" s="375" t="str">
        <f>'15-16P'!N19</f>
        <v>-</v>
      </c>
      <c r="N97" s="375" t="str">
        <f>'15-16P'!O19</f>
        <v>-</v>
      </c>
      <c r="O97" s="375" t="str">
        <f>'15-16P'!P19</f>
        <v>-</v>
      </c>
      <c r="P97" s="970" t="str">
        <f>'15-16P'!Q19</f>
        <v>-</v>
      </c>
    </row>
    <row r="98" spans="2:16" ht="15" customHeight="1" x14ac:dyDescent="0.3">
      <c r="B98" s="478" t="str">
        <f>'15-16P'!C17</f>
        <v>Kaj Engblom</v>
      </c>
      <c r="C98" s="375">
        <f>'15-16P'!D17</f>
        <v>20</v>
      </c>
      <c r="D98" s="375">
        <f>'15-16P'!E17</f>
        <v>6</v>
      </c>
      <c r="E98" s="375">
        <f>'15-16P'!F17</f>
        <v>7</v>
      </c>
      <c r="F98" s="375">
        <f>'15-16P'!G17</f>
        <v>13</v>
      </c>
      <c r="G98" s="375">
        <f>'15-16P'!H17</f>
        <v>2</v>
      </c>
      <c r="H98" s="375">
        <f>'15-16P'!I17</f>
        <v>0</v>
      </c>
      <c r="I98" s="375">
        <f>'15-16P'!J17</f>
        <v>0</v>
      </c>
      <c r="J98" s="375" t="str">
        <f>'15-16P'!K17</f>
        <v>-</v>
      </c>
      <c r="K98" s="375" t="str">
        <f>'15-16P'!L17</f>
        <v>0/1</v>
      </c>
      <c r="L98" s="375" t="str">
        <f>'15-16P'!M17</f>
        <v>-</v>
      </c>
      <c r="M98" s="375" t="str">
        <f>'15-16P'!N17</f>
        <v>-</v>
      </c>
      <c r="N98" s="375" t="str">
        <f>'15-16P'!O17</f>
        <v>-</v>
      </c>
      <c r="O98" s="375" t="str">
        <f>'15-16P'!P17</f>
        <v>-</v>
      </c>
      <c r="P98" s="970" t="str">
        <f>'15-16P'!Q17</f>
        <v>-</v>
      </c>
    </row>
    <row r="99" spans="2:16" ht="15" customHeight="1" x14ac:dyDescent="0.3">
      <c r="B99" s="478" t="str">
        <f>'15-16P'!C7</f>
        <v>Matias Mäkilä</v>
      </c>
      <c r="C99" s="375">
        <f>'15-16P'!D7</f>
        <v>20</v>
      </c>
      <c r="D99" s="375">
        <f>'15-16P'!E7</f>
        <v>8</v>
      </c>
      <c r="E99" s="375">
        <f>'15-16P'!F7</f>
        <v>2</v>
      </c>
      <c r="F99" s="375">
        <f>'15-16P'!G7</f>
        <v>10</v>
      </c>
      <c r="G99" s="375">
        <f>'15-16P'!H7</f>
        <v>0</v>
      </c>
      <c r="H99" s="375">
        <f>'15-16P'!I7</f>
        <v>0</v>
      </c>
      <c r="I99" s="375">
        <f>'15-16P'!J7</f>
        <v>0</v>
      </c>
      <c r="J99" s="375" t="str">
        <f>'15-16P'!K7</f>
        <v>-</v>
      </c>
      <c r="K99" s="375" t="str">
        <f>'15-16P'!L7</f>
        <v>0/1</v>
      </c>
      <c r="L99" s="375" t="str">
        <f>'15-16P'!M7</f>
        <v>-</v>
      </c>
      <c r="M99" s="375" t="str">
        <f>'15-16P'!N7</f>
        <v>-</v>
      </c>
      <c r="N99" s="375" t="str">
        <f>'15-16P'!O7</f>
        <v>-</v>
      </c>
      <c r="O99" s="375" t="str">
        <f>'15-16P'!P7</f>
        <v>-</v>
      </c>
      <c r="P99" s="970" t="str">
        <f>'15-16P'!Q7</f>
        <v>-</v>
      </c>
    </row>
    <row r="100" spans="2:16" ht="15" customHeight="1" x14ac:dyDescent="0.3">
      <c r="B100" s="479" t="str">
        <f>'15-16P'!C8</f>
        <v>Mauri Kurri</v>
      </c>
      <c r="C100" s="178">
        <f>'15-16P'!D8</f>
        <v>20</v>
      </c>
      <c r="D100" s="178">
        <f>'15-16P'!E8</f>
        <v>3</v>
      </c>
      <c r="E100" s="178">
        <f>'15-16P'!F8</f>
        <v>1</v>
      </c>
      <c r="F100" s="178">
        <f>'15-16P'!G8</f>
        <v>4</v>
      </c>
      <c r="G100" s="178">
        <f>'15-16P'!H8</f>
        <v>2</v>
      </c>
      <c r="H100" s="178">
        <f>'15-16P'!I8</f>
        <v>1</v>
      </c>
      <c r="I100" s="178">
        <f>'15-16P'!J8</f>
        <v>0</v>
      </c>
      <c r="J100" s="178" t="str">
        <f>'15-16P'!K8</f>
        <v>-</v>
      </c>
      <c r="K100" s="178" t="str">
        <f>'15-16P'!L8</f>
        <v>-</v>
      </c>
      <c r="L100" s="178" t="str">
        <f>'15-16P'!M8</f>
        <v>-</v>
      </c>
      <c r="M100" s="178" t="str">
        <f>'15-16P'!N8</f>
        <v>-</v>
      </c>
      <c r="N100" s="178" t="str">
        <f>'15-16P'!O8</f>
        <v>-</v>
      </c>
      <c r="O100" s="178" t="str">
        <f>'15-16P'!P8</f>
        <v>-</v>
      </c>
      <c r="P100" s="346" t="str">
        <f>'15-16P'!Q8</f>
        <v>-</v>
      </c>
    </row>
    <row r="101" spans="2:16" ht="15" customHeight="1" x14ac:dyDescent="0.3">
      <c r="B101" s="478" t="str">
        <f>'15-16P'!C9</f>
        <v>Miika Oja-Nisula</v>
      </c>
      <c r="C101" s="375">
        <f>'15-16P'!D9</f>
        <v>20</v>
      </c>
      <c r="D101" s="375">
        <f>'15-16P'!E9</f>
        <v>4</v>
      </c>
      <c r="E101" s="375">
        <f>'15-16P'!F9</f>
        <v>4</v>
      </c>
      <c r="F101" s="375">
        <f>'15-16P'!G9</f>
        <v>8</v>
      </c>
      <c r="G101" s="375">
        <f>'15-16P'!H9</f>
        <v>1</v>
      </c>
      <c r="H101" s="375">
        <f>'15-16P'!I9</f>
        <v>0</v>
      </c>
      <c r="I101" s="375">
        <f>'15-16P'!J9</f>
        <v>0</v>
      </c>
      <c r="J101" s="375" t="str">
        <f>'15-16P'!K9</f>
        <v>-</v>
      </c>
      <c r="K101" s="375" t="str">
        <f>'15-16P'!L9</f>
        <v>-</v>
      </c>
      <c r="L101" s="375" t="str">
        <f>'15-16P'!M9</f>
        <v>-</v>
      </c>
      <c r="M101" s="375" t="str">
        <f>'15-16P'!N9</f>
        <v>-</v>
      </c>
      <c r="N101" s="375" t="str">
        <f>'15-16P'!O9</f>
        <v>-</v>
      </c>
      <c r="O101" s="375" t="str">
        <f>'15-16P'!P9</f>
        <v>-</v>
      </c>
      <c r="P101" s="970" t="str">
        <f>'15-16P'!Q9</f>
        <v>-</v>
      </c>
    </row>
    <row r="102" spans="2:16" ht="15" customHeight="1" x14ac:dyDescent="0.3">
      <c r="B102" s="479" t="str">
        <f>'15-16P'!C10</f>
        <v>Mika Aaltonen</v>
      </c>
      <c r="C102" s="178">
        <f>'15-16P'!D10</f>
        <v>20</v>
      </c>
      <c r="D102" s="178">
        <f>'15-16P'!E10</f>
        <v>11</v>
      </c>
      <c r="E102" s="178">
        <f>'15-16P'!F10</f>
        <v>14</v>
      </c>
      <c r="F102" s="178">
        <f>'15-16P'!G10</f>
        <v>25</v>
      </c>
      <c r="G102" s="178">
        <f>'15-16P'!H10</f>
        <v>1</v>
      </c>
      <c r="H102" s="178">
        <f>'15-16P'!I10</f>
        <v>4</v>
      </c>
      <c r="I102" s="178">
        <f>'15-16P'!J10</f>
        <v>1</v>
      </c>
      <c r="J102" s="178" t="str">
        <f>'15-16P'!K10</f>
        <v>-</v>
      </c>
      <c r="K102" s="178" t="str">
        <f>'15-16P'!L10</f>
        <v>-</v>
      </c>
      <c r="L102" s="178" t="str">
        <f>'15-16P'!M10</f>
        <v>-</v>
      </c>
      <c r="M102" s="178" t="str">
        <f>'15-16P'!N10</f>
        <v>-</v>
      </c>
      <c r="N102" s="178" t="str">
        <f>'15-16P'!O10</f>
        <v>-</v>
      </c>
      <c r="O102" s="178" t="str">
        <f>'15-16P'!P10</f>
        <v>-</v>
      </c>
      <c r="P102" s="346" t="str">
        <f>'15-16P'!Q10</f>
        <v>-</v>
      </c>
    </row>
    <row r="103" spans="2:16" ht="15" customHeight="1" x14ac:dyDescent="0.3">
      <c r="B103" s="478" t="str">
        <f>'15-16P'!C15</f>
        <v>Sami Pöllänen</v>
      </c>
      <c r="C103" s="375">
        <f>'15-16P'!D15</f>
        <v>20</v>
      </c>
      <c r="D103" s="375">
        <f>'15-16P'!E15</f>
        <v>3</v>
      </c>
      <c r="E103" s="375">
        <f>'15-16P'!F15</f>
        <v>2</v>
      </c>
      <c r="F103" s="375">
        <f>'15-16P'!G15</f>
        <v>5</v>
      </c>
      <c r="G103" s="375">
        <f>'15-16P'!H15</f>
        <v>2</v>
      </c>
      <c r="H103" s="375">
        <f>'15-16P'!I15</f>
        <v>0</v>
      </c>
      <c r="I103" s="375">
        <f>'15-16P'!J15</f>
        <v>0</v>
      </c>
      <c r="J103" s="375" t="str">
        <f>'15-16P'!K15</f>
        <v>-</v>
      </c>
      <c r="K103" s="375" t="str">
        <f>'15-16P'!L15</f>
        <v>-</v>
      </c>
      <c r="L103" s="375" t="str">
        <f>'15-16P'!M15</f>
        <v>-</v>
      </c>
      <c r="M103" s="375" t="str">
        <f>'15-16P'!N15</f>
        <v>-</v>
      </c>
      <c r="N103" s="375" t="str">
        <f>'15-16P'!O15</f>
        <v>-</v>
      </c>
      <c r="O103" s="375" t="str">
        <f>'15-16P'!P15</f>
        <v>-</v>
      </c>
      <c r="P103" s="970" t="str">
        <f>'15-16P'!Q15</f>
        <v>-</v>
      </c>
    </row>
    <row r="104" spans="2:16" ht="15" customHeight="1" x14ac:dyDescent="0.3">
      <c r="B104" s="478" t="str">
        <f>'15-16P'!C13</f>
        <v>Tuukka Mettälä</v>
      </c>
      <c r="C104" s="375">
        <f>'15-16P'!D13</f>
        <v>20</v>
      </c>
      <c r="D104" s="375">
        <f>'15-16P'!E13</f>
        <v>3</v>
      </c>
      <c r="E104" s="375">
        <f>'15-16P'!F13</f>
        <v>4</v>
      </c>
      <c r="F104" s="375">
        <f>'15-16P'!G13</f>
        <v>7</v>
      </c>
      <c r="G104" s="375">
        <f>'15-16P'!H13</f>
        <v>0</v>
      </c>
      <c r="H104" s="375">
        <f>'15-16P'!I13</f>
        <v>0</v>
      </c>
      <c r="I104" s="375">
        <f>'15-16P'!J13</f>
        <v>0</v>
      </c>
      <c r="J104" s="375" t="str">
        <f>'15-16P'!K13</f>
        <v>-</v>
      </c>
      <c r="K104" s="375" t="str">
        <f>'15-16P'!L13</f>
        <v>-</v>
      </c>
      <c r="L104" s="375" t="str">
        <f>'15-16P'!M13</f>
        <v>-</v>
      </c>
      <c r="M104" s="375" t="str">
        <f>'15-16P'!N13</f>
        <v>-</v>
      </c>
      <c r="N104" s="375" t="str">
        <f>'15-16P'!O13</f>
        <v>-</v>
      </c>
      <c r="O104" s="375" t="str">
        <f>'15-16P'!P13</f>
        <v>-</v>
      </c>
      <c r="P104" s="970" t="str">
        <f>'15-16P'!Q13</f>
        <v>-</v>
      </c>
    </row>
    <row r="105" spans="2:16" ht="15" customHeight="1" x14ac:dyDescent="0.3">
      <c r="B105" s="479" t="str">
        <f>'15-16P'!C6</f>
        <v>Ville Koivisto</v>
      </c>
      <c r="C105" s="477">
        <f>'15-16P'!D6</f>
        <v>20</v>
      </c>
      <c r="D105" s="477">
        <f>'15-16P'!E6</f>
        <v>19</v>
      </c>
      <c r="E105" s="477">
        <f>'15-16P'!F6</f>
        <v>12</v>
      </c>
      <c r="F105" s="477">
        <f>'15-16P'!G6</f>
        <v>31</v>
      </c>
      <c r="G105" s="477">
        <f>'15-16P'!H6</f>
        <v>2</v>
      </c>
      <c r="H105" s="477">
        <f>'15-16P'!I6</f>
        <v>0</v>
      </c>
      <c r="I105" s="477">
        <f>'15-16P'!J6</f>
        <v>4</v>
      </c>
      <c r="J105" s="477" t="str">
        <f>'15-16P'!K6</f>
        <v>-</v>
      </c>
      <c r="K105" s="477" t="str">
        <f>'15-16P'!L6</f>
        <v>-</v>
      </c>
      <c r="L105" s="477" t="str">
        <f>'15-16P'!M6</f>
        <v>-</v>
      </c>
      <c r="M105" s="477" t="str">
        <f>'15-16P'!N6</f>
        <v>-</v>
      </c>
      <c r="N105" s="477" t="str">
        <f>'15-16P'!O6</f>
        <v>-</v>
      </c>
      <c r="O105" s="477">
        <f>'15-16P'!P6</f>
        <v>2</v>
      </c>
      <c r="P105" s="696" t="str">
        <f>'15-16P'!Q6</f>
        <v>-</v>
      </c>
    </row>
    <row r="106" spans="2:16" ht="15" customHeight="1" x14ac:dyDescent="0.3">
      <c r="B106" s="971" t="str">
        <f>'15-16P'!C12</f>
        <v>Ville Mettälä</v>
      </c>
      <c r="C106" s="281">
        <f>'15-16P'!D12</f>
        <v>20</v>
      </c>
      <c r="D106" s="281">
        <f>'15-16P'!E12</f>
        <v>0</v>
      </c>
      <c r="E106" s="281">
        <f>'15-16P'!F12</f>
        <v>5</v>
      </c>
      <c r="F106" s="281">
        <f>'15-16P'!G12</f>
        <v>5</v>
      </c>
      <c r="G106" s="281">
        <f>'15-16P'!H12</f>
        <v>0</v>
      </c>
      <c r="H106" s="281">
        <f>'15-16P'!I12</f>
        <v>0</v>
      </c>
      <c r="I106" s="281">
        <f>'15-16P'!J12</f>
        <v>0</v>
      </c>
      <c r="J106" s="281" t="str">
        <f>'15-16P'!K12</f>
        <v>-</v>
      </c>
      <c r="K106" s="281" t="str">
        <f>'15-16P'!L12</f>
        <v>-</v>
      </c>
      <c r="L106" s="281" t="str">
        <f>'15-16P'!M12</f>
        <v>-</v>
      </c>
      <c r="M106" s="281" t="str">
        <f>'15-16P'!N12</f>
        <v>-</v>
      </c>
      <c r="N106" s="281" t="str">
        <f>'15-16P'!O12</f>
        <v>-</v>
      </c>
      <c r="O106" s="281" t="str">
        <f>'15-16P'!P12</f>
        <v>-</v>
      </c>
      <c r="P106" s="347" t="str">
        <f>'15-16P'!Q12</f>
        <v>-</v>
      </c>
    </row>
    <row r="107" spans="2:16" s="357" customFormat="1" ht="15" customHeight="1" x14ac:dyDescent="0.3">
      <c r="B107" s="972">
        <f>'15-16P'!C20</f>
        <v>0</v>
      </c>
      <c r="C107" s="973">
        <f t="shared" ref="C107:I107" si="5">SUBTOTAL(109,C92:C106)</f>
        <v>300</v>
      </c>
      <c r="D107" s="973">
        <f t="shared" si="5"/>
        <v>87</v>
      </c>
      <c r="E107" s="973">
        <f t="shared" si="5"/>
        <v>78</v>
      </c>
      <c r="F107" s="973">
        <f t="shared" si="5"/>
        <v>165</v>
      </c>
      <c r="G107" s="973">
        <f t="shared" si="5"/>
        <v>12</v>
      </c>
      <c r="H107" s="973">
        <f t="shared" si="5"/>
        <v>7</v>
      </c>
      <c r="I107" s="973">
        <f t="shared" si="5"/>
        <v>6</v>
      </c>
      <c r="J107" s="973">
        <f>'15-16P'!K20</f>
        <v>0</v>
      </c>
      <c r="K107" s="973">
        <f>'15-16P'!L20</f>
        <v>0</v>
      </c>
      <c r="L107" s="973">
        <f>'15-16P'!M20</f>
        <v>0</v>
      </c>
      <c r="M107" s="973">
        <f>'15-16P'!N20</f>
        <v>0</v>
      </c>
      <c r="N107" s="973">
        <f>'15-16P'!O20</f>
        <v>0</v>
      </c>
      <c r="O107" s="973">
        <f>'15-16P'!P20</f>
        <v>0</v>
      </c>
      <c r="P107" s="974">
        <f>'15-16P'!Q20</f>
        <v>0</v>
      </c>
    </row>
    <row r="108" spans="2:16" s="357" customFormat="1" ht="15" customHeight="1" x14ac:dyDescent="0.4">
      <c r="B108" s="381"/>
      <c r="C108" s="377"/>
      <c r="D108" s="377"/>
      <c r="E108" s="377"/>
    </row>
    <row r="109" spans="2:16" s="357" customFormat="1" ht="15" customHeight="1" x14ac:dyDescent="0.4">
      <c r="B109" s="381"/>
      <c r="C109" s="377"/>
      <c r="D109" s="377"/>
      <c r="E109" s="377"/>
    </row>
    <row r="110" spans="2:16" s="357" customFormat="1" ht="21" customHeight="1" x14ac:dyDescent="0.4">
      <c r="B110" s="381" t="s">
        <v>1364</v>
      </c>
      <c r="C110" s="475" t="s">
        <v>950</v>
      </c>
      <c r="D110" s="381"/>
      <c r="E110" s="381"/>
      <c r="F110" s="381"/>
    </row>
    <row r="111" spans="2:16" s="357" customFormat="1" ht="7.5" customHeight="1" x14ac:dyDescent="0.3">
      <c r="B111" s="475"/>
    </row>
    <row r="112" spans="2:16" ht="15" customHeight="1" thickBot="1" x14ac:dyDescent="0.35">
      <c r="C112" s="206" t="s">
        <v>877</v>
      </c>
      <c r="D112" s="207" t="s">
        <v>533</v>
      </c>
      <c r="E112" s="207" t="s">
        <v>534</v>
      </c>
      <c r="F112" s="207" t="s">
        <v>610</v>
      </c>
      <c r="G112" s="207" t="s">
        <v>535</v>
      </c>
      <c r="H112" s="207" t="s">
        <v>878</v>
      </c>
      <c r="I112" s="207" t="s">
        <v>540</v>
      </c>
      <c r="J112" s="207" t="s">
        <v>545</v>
      </c>
      <c r="K112" s="207" t="s">
        <v>611</v>
      </c>
      <c r="L112" s="207" t="s">
        <v>879</v>
      </c>
      <c r="M112" s="207" t="s">
        <v>637</v>
      </c>
      <c r="N112" s="208" t="s">
        <v>693</v>
      </c>
      <c r="O112" s="208" t="s">
        <v>613</v>
      </c>
      <c r="P112" s="208" t="s">
        <v>139</v>
      </c>
    </row>
    <row r="113" spans="2:16" ht="15" customHeight="1" x14ac:dyDescent="0.3">
      <c r="B113" s="250" t="s">
        <v>54</v>
      </c>
      <c r="C113" s="253">
        <v>3</v>
      </c>
      <c r="D113" s="229">
        <v>0</v>
      </c>
      <c r="E113" s="229">
        <v>1</v>
      </c>
      <c r="F113" s="229">
        <f t="shared" ref="F113:F129" si="6">D113+E113</f>
        <v>1</v>
      </c>
      <c r="G113" s="229">
        <v>0</v>
      </c>
      <c r="H113" s="229" t="s">
        <v>107</v>
      </c>
      <c r="I113" s="229" t="s">
        <v>107</v>
      </c>
      <c r="J113" s="229" t="s">
        <v>107</v>
      </c>
      <c r="K113" s="229" t="s">
        <v>107</v>
      </c>
      <c r="L113" s="229" t="s">
        <v>107</v>
      </c>
      <c r="M113" s="229" t="s">
        <v>107</v>
      </c>
      <c r="N113" s="229" t="s">
        <v>107</v>
      </c>
      <c r="O113" s="229" t="s">
        <v>107</v>
      </c>
      <c r="P113" s="229" t="s">
        <v>107</v>
      </c>
    </row>
    <row r="114" spans="2:16" ht="15" customHeight="1" x14ac:dyDescent="0.3">
      <c r="B114" s="251" t="s">
        <v>530</v>
      </c>
      <c r="C114" s="168">
        <v>18</v>
      </c>
      <c r="D114" s="119">
        <v>2</v>
      </c>
      <c r="E114" s="119">
        <v>2</v>
      </c>
      <c r="F114" s="119">
        <f t="shared" si="6"/>
        <v>4</v>
      </c>
      <c r="G114" s="119">
        <v>0</v>
      </c>
      <c r="H114" s="227" t="s">
        <v>107</v>
      </c>
      <c r="I114" s="227" t="s">
        <v>107</v>
      </c>
      <c r="J114" s="227" t="s">
        <v>107</v>
      </c>
      <c r="K114" s="227" t="s">
        <v>107</v>
      </c>
      <c r="L114" s="227" t="s">
        <v>107</v>
      </c>
      <c r="M114" s="227" t="s">
        <v>107</v>
      </c>
      <c r="N114" s="227" t="s">
        <v>107</v>
      </c>
      <c r="O114" s="227" t="s">
        <v>107</v>
      </c>
      <c r="P114" s="227" t="s">
        <v>107</v>
      </c>
    </row>
    <row r="115" spans="2:16" ht="15" customHeight="1" x14ac:dyDescent="0.3">
      <c r="B115" s="251" t="s">
        <v>185</v>
      </c>
      <c r="C115" s="228">
        <v>18</v>
      </c>
      <c r="D115" s="229">
        <v>25</v>
      </c>
      <c r="E115" s="229">
        <v>20</v>
      </c>
      <c r="F115" s="229">
        <f t="shared" si="6"/>
        <v>45</v>
      </c>
      <c r="G115" s="229">
        <v>2</v>
      </c>
      <c r="H115" s="229">
        <v>2</v>
      </c>
      <c r="I115" s="230">
        <v>3</v>
      </c>
      <c r="J115" s="230" t="s">
        <v>107</v>
      </c>
      <c r="K115" s="254" t="s">
        <v>705</v>
      </c>
      <c r="L115" s="230" t="s">
        <v>107</v>
      </c>
      <c r="M115" s="230" t="s">
        <v>107</v>
      </c>
      <c r="N115" s="230" t="s">
        <v>107</v>
      </c>
      <c r="O115" s="230">
        <v>3</v>
      </c>
      <c r="P115" s="230" t="s">
        <v>107</v>
      </c>
    </row>
    <row r="116" spans="2:16" ht="15" customHeight="1" x14ac:dyDescent="0.3">
      <c r="B116" s="251" t="s">
        <v>1077</v>
      </c>
      <c r="C116" s="168">
        <v>16</v>
      </c>
      <c r="D116" s="119">
        <v>6</v>
      </c>
      <c r="E116" s="119">
        <v>4</v>
      </c>
      <c r="F116" s="119">
        <f t="shared" si="6"/>
        <v>10</v>
      </c>
      <c r="G116" s="119">
        <v>0</v>
      </c>
      <c r="H116" s="227">
        <v>1</v>
      </c>
      <c r="I116" s="227">
        <v>1</v>
      </c>
      <c r="J116" s="227" t="s">
        <v>107</v>
      </c>
      <c r="K116" s="227" t="s">
        <v>107</v>
      </c>
      <c r="L116" s="227" t="s">
        <v>107</v>
      </c>
      <c r="M116" s="119" t="s">
        <v>107</v>
      </c>
      <c r="N116" s="227" t="s">
        <v>107</v>
      </c>
      <c r="O116" s="119" t="s">
        <v>107</v>
      </c>
      <c r="P116" s="119" t="s">
        <v>107</v>
      </c>
    </row>
    <row r="117" spans="2:16" ht="15" customHeight="1" x14ac:dyDescent="0.3">
      <c r="B117" s="251" t="s">
        <v>1075</v>
      </c>
      <c r="C117" s="228">
        <v>18</v>
      </c>
      <c r="D117" s="229">
        <v>11</v>
      </c>
      <c r="E117" s="229">
        <v>7</v>
      </c>
      <c r="F117" s="229">
        <f t="shared" si="6"/>
        <v>18</v>
      </c>
      <c r="G117" s="229">
        <v>33</v>
      </c>
      <c r="H117" s="229">
        <v>2</v>
      </c>
      <c r="I117" s="230">
        <v>1</v>
      </c>
      <c r="J117" s="229" t="s">
        <v>107</v>
      </c>
      <c r="K117" s="230" t="s">
        <v>107</v>
      </c>
      <c r="L117" s="230" t="s">
        <v>107</v>
      </c>
      <c r="M117" s="230" t="s">
        <v>107</v>
      </c>
      <c r="N117" s="230" t="s">
        <v>107</v>
      </c>
      <c r="O117" s="229">
        <v>1</v>
      </c>
      <c r="P117" s="229" t="s">
        <v>107</v>
      </c>
    </row>
    <row r="118" spans="2:16" ht="15" customHeight="1" x14ac:dyDescent="0.3">
      <c r="B118" s="251" t="s">
        <v>53</v>
      </c>
      <c r="C118" s="168">
        <v>18</v>
      </c>
      <c r="D118" s="119">
        <v>2</v>
      </c>
      <c r="E118" s="119">
        <v>2</v>
      </c>
      <c r="F118" s="119">
        <f t="shared" si="6"/>
        <v>4</v>
      </c>
      <c r="G118" s="119">
        <v>2</v>
      </c>
      <c r="H118" s="119">
        <v>1</v>
      </c>
      <c r="I118" s="227" t="s">
        <v>107</v>
      </c>
      <c r="J118" s="227" t="s">
        <v>107</v>
      </c>
      <c r="K118" s="227" t="s">
        <v>107</v>
      </c>
      <c r="L118" s="227" t="s">
        <v>107</v>
      </c>
      <c r="M118" s="227" t="s">
        <v>107</v>
      </c>
      <c r="N118" s="227" t="s">
        <v>107</v>
      </c>
      <c r="O118" s="227" t="s">
        <v>107</v>
      </c>
      <c r="P118" s="227" t="s">
        <v>107</v>
      </c>
    </row>
    <row r="119" spans="2:16" ht="15" customHeight="1" x14ac:dyDescent="0.3">
      <c r="B119" s="251" t="s">
        <v>50</v>
      </c>
      <c r="C119" s="228">
        <v>16</v>
      </c>
      <c r="D119" s="229">
        <v>13</v>
      </c>
      <c r="E119" s="229">
        <v>8</v>
      </c>
      <c r="F119" s="229">
        <f t="shared" si="6"/>
        <v>21</v>
      </c>
      <c r="G119" s="229">
        <v>2</v>
      </c>
      <c r="H119" s="229" t="s">
        <v>107</v>
      </c>
      <c r="I119" s="229" t="s">
        <v>107</v>
      </c>
      <c r="J119" s="229" t="s">
        <v>107</v>
      </c>
      <c r="K119" s="230" t="s">
        <v>107</v>
      </c>
      <c r="L119" s="230" t="s">
        <v>107</v>
      </c>
      <c r="M119" s="230" t="s">
        <v>107</v>
      </c>
      <c r="N119" s="230">
        <v>1</v>
      </c>
      <c r="O119" s="229">
        <v>2</v>
      </c>
      <c r="P119" s="229" t="s">
        <v>107</v>
      </c>
    </row>
    <row r="120" spans="2:16" ht="15" customHeight="1" x14ac:dyDescent="0.3">
      <c r="B120" s="251" t="s">
        <v>1124</v>
      </c>
      <c r="C120" s="168">
        <v>18</v>
      </c>
      <c r="D120" s="119">
        <v>5</v>
      </c>
      <c r="E120" s="119">
        <v>11</v>
      </c>
      <c r="F120" s="119">
        <f t="shared" si="6"/>
        <v>16</v>
      </c>
      <c r="G120" s="119">
        <v>0</v>
      </c>
      <c r="H120" s="227" t="s">
        <v>107</v>
      </c>
      <c r="I120" s="227" t="s">
        <v>107</v>
      </c>
      <c r="J120" s="227" t="s">
        <v>107</v>
      </c>
      <c r="K120" s="227" t="s">
        <v>107</v>
      </c>
      <c r="L120" s="227" t="s">
        <v>107</v>
      </c>
      <c r="M120" s="227" t="s">
        <v>107</v>
      </c>
      <c r="N120" s="227" t="s">
        <v>107</v>
      </c>
      <c r="O120" s="227" t="s">
        <v>107</v>
      </c>
      <c r="P120" s="227">
        <v>1</v>
      </c>
    </row>
    <row r="121" spans="2:16" ht="15" customHeight="1" x14ac:dyDescent="0.3">
      <c r="B121" s="251" t="s">
        <v>59</v>
      </c>
      <c r="C121" s="228">
        <v>10</v>
      </c>
      <c r="D121" s="229">
        <v>0</v>
      </c>
      <c r="E121" s="229">
        <v>1</v>
      </c>
      <c r="F121" s="229">
        <f t="shared" si="6"/>
        <v>1</v>
      </c>
      <c r="G121" s="229">
        <v>0</v>
      </c>
      <c r="H121" s="230" t="s">
        <v>107</v>
      </c>
      <c r="I121" s="230" t="s">
        <v>107</v>
      </c>
      <c r="J121" s="230" t="s">
        <v>107</v>
      </c>
      <c r="K121" s="230" t="s">
        <v>107</v>
      </c>
      <c r="L121" s="230" t="s">
        <v>107</v>
      </c>
      <c r="M121" s="230" t="s">
        <v>107</v>
      </c>
      <c r="N121" s="230" t="s">
        <v>107</v>
      </c>
      <c r="O121" s="230" t="s">
        <v>107</v>
      </c>
      <c r="P121" s="230" t="s">
        <v>107</v>
      </c>
    </row>
    <row r="122" spans="2:16" ht="15" customHeight="1" x14ac:dyDescent="0.3">
      <c r="B122" s="251" t="s">
        <v>1076</v>
      </c>
      <c r="C122" s="168">
        <v>17</v>
      </c>
      <c r="D122" s="119">
        <v>5</v>
      </c>
      <c r="E122" s="119">
        <v>1</v>
      </c>
      <c r="F122" s="119">
        <f t="shared" si="6"/>
        <v>6</v>
      </c>
      <c r="G122" s="119">
        <v>2</v>
      </c>
      <c r="H122" s="119">
        <v>2</v>
      </c>
      <c r="I122" s="227" t="s">
        <v>107</v>
      </c>
      <c r="J122" s="227" t="s">
        <v>107</v>
      </c>
      <c r="K122" s="227" t="s">
        <v>107</v>
      </c>
      <c r="L122" s="227" t="s">
        <v>107</v>
      </c>
      <c r="M122" s="227" t="s">
        <v>107</v>
      </c>
      <c r="N122" s="227" t="s">
        <v>107</v>
      </c>
      <c r="O122" s="119" t="s">
        <v>107</v>
      </c>
      <c r="P122" s="119" t="s">
        <v>107</v>
      </c>
    </row>
    <row r="123" spans="2:16" ht="15" customHeight="1" x14ac:dyDescent="0.3">
      <c r="B123" s="251" t="s">
        <v>680</v>
      </c>
      <c r="C123" s="228">
        <v>15</v>
      </c>
      <c r="D123" s="229">
        <v>4</v>
      </c>
      <c r="E123" s="229">
        <v>8</v>
      </c>
      <c r="F123" s="229">
        <f t="shared" si="6"/>
        <v>12</v>
      </c>
      <c r="G123" s="229">
        <v>2</v>
      </c>
      <c r="H123" s="230" t="s">
        <v>107</v>
      </c>
      <c r="I123" s="230" t="s">
        <v>107</v>
      </c>
      <c r="J123" s="230" t="s">
        <v>107</v>
      </c>
      <c r="K123" s="230" t="s">
        <v>107</v>
      </c>
      <c r="L123" s="230" t="s">
        <v>107</v>
      </c>
      <c r="M123" s="230" t="s">
        <v>107</v>
      </c>
      <c r="N123" s="230" t="s">
        <v>107</v>
      </c>
      <c r="O123" s="230" t="s">
        <v>107</v>
      </c>
      <c r="P123" s="230" t="s">
        <v>107</v>
      </c>
    </row>
    <row r="124" spans="2:16" ht="15" customHeight="1" x14ac:dyDescent="0.3">
      <c r="B124" s="251" t="s">
        <v>1164</v>
      </c>
      <c r="C124" s="168">
        <v>14</v>
      </c>
      <c r="D124" s="119">
        <v>4</v>
      </c>
      <c r="E124" s="119">
        <v>3</v>
      </c>
      <c r="F124" s="119">
        <f t="shared" si="6"/>
        <v>7</v>
      </c>
      <c r="G124" s="119">
        <v>0</v>
      </c>
      <c r="H124" s="227">
        <v>1</v>
      </c>
      <c r="I124" s="119" t="s">
        <v>107</v>
      </c>
      <c r="J124" s="227" t="s">
        <v>107</v>
      </c>
      <c r="K124" s="227" t="s">
        <v>107</v>
      </c>
      <c r="L124" s="227" t="s">
        <v>107</v>
      </c>
      <c r="M124" s="227" t="s">
        <v>107</v>
      </c>
      <c r="N124" s="227" t="s">
        <v>107</v>
      </c>
      <c r="O124" s="227">
        <v>1</v>
      </c>
      <c r="P124" s="227" t="s">
        <v>107</v>
      </c>
    </row>
    <row r="125" spans="2:16" ht="15" customHeight="1" x14ac:dyDescent="0.3">
      <c r="B125" s="251" t="s">
        <v>942</v>
      </c>
      <c r="C125" s="228">
        <v>15</v>
      </c>
      <c r="D125" s="229">
        <v>1</v>
      </c>
      <c r="E125" s="229">
        <v>3</v>
      </c>
      <c r="F125" s="229">
        <f t="shared" si="6"/>
        <v>4</v>
      </c>
      <c r="G125" s="229">
        <v>2</v>
      </c>
      <c r="H125" s="229">
        <v>1</v>
      </c>
      <c r="I125" s="229" t="s">
        <v>107</v>
      </c>
      <c r="J125" s="230" t="s">
        <v>107</v>
      </c>
      <c r="K125" s="230" t="s">
        <v>107</v>
      </c>
      <c r="L125" s="230" t="s">
        <v>107</v>
      </c>
      <c r="M125" s="230" t="s">
        <v>107</v>
      </c>
      <c r="N125" s="230" t="s">
        <v>107</v>
      </c>
      <c r="O125" s="229" t="s">
        <v>107</v>
      </c>
      <c r="P125" s="229" t="s">
        <v>107</v>
      </c>
    </row>
    <row r="126" spans="2:16" ht="15" customHeight="1" x14ac:dyDescent="0.3">
      <c r="B126" s="251" t="s">
        <v>1379</v>
      </c>
      <c r="C126" s="168">
        <v>14</v>
      </c>
      <c r="D126" s="119">
        <v>5</v>
      </c>
      <c r="E126" s="119">
        <v>3</v>
      </c>
      <c r="F126" s="119">
        <f t="shared" si="6"/>
        <v>8</v>
      </c>
      <c r="G126" s="119">
        <v>0</v>
      </c>
      <c r="H126" s="227">
        <v>1</v>
      </c>
      <c r="I126" s="227" t="s">
        <v>107</v>
      </c>
      <c r="J126" s="227" t="s">
        <v>107</v>
      </c>
      <c r="K126" s="227" t="s">
        <v>107</v>
      </c>
      <c r="L126" s="227" t="s">
        <v>107</v>
      </c>
      <c r="M126" s="227" t="s">
        <v>107</v>
      </c>
      <c r="N126" s="227" t="s">
        <v>107</v>
      </c>
      <c r="O126" s="227">
        <v>1</v>
      </c>
      <c r="P126" s="227" t="s">
        <v>107</v>
      </c>
    </row>
    <row r="127" spans="2:16" ht="15" customHeight="1" x14ac:dyDescent="0.3">
      <c r="B127" s="251" t="s">
        <v>55</v>
      </c>
      <c r="C127" s="228">
        <v>9</v>
      </c>
      <c r="D127" s="229">
        <v>1</v>
      </c>
      <c r="E127" s="229">
        <v>2</v>
      </c>
      <c r="F127" s="229">
        <f t="shared" si="6"/>
        <v>3</v>
      </c>
      <c r="G127" s="229">
        <v>12</v>
      </c>
      <c r="H127" s="230" t="s">
        <v>107</v>
      </c>
      <c r="I127" s="230" t="s">
        <v>107</v>
      </c>
      <c r="J127" s="230" t="s">
        <v>107</v>
      </c>
      <c r="K127" s="230" t="s">
        <v>107</v>
      </c>
      <c r="L127" s="230" t="s">
        <v>107</v>
      </c>
      <c r="M127" s="230" t="s">
        <v>107</v>
      </c>
      <c r="N127" s="230" t="s">
        <v>107</v>
      </c>
      <c r="O127" s="230" t="s">
        <v>107</v>
      </c>
      <c r="P127" s="230" t="s">
        <v>107</v>
      </c>
    </row>
    <row r="128" spans="2:16" ht="15" customHeight="1" x14ac:dyDescent="0.3">
      <c r="B128" s="251" t="s">
        <v>1172</v>
      </c>
      <c r="C128" s="168">
        <v>16</v>
      </c>
      <c r="D128" s="119">
        <v>4</v>
      </c>
      <c r="E128" s="119">
        <v>5</v>
      </c>
      <c r="F128" s="119">
        <f t="shared" si="6"/>
        <v>9</v>
      </c>
      <c r="G128" s="119">
        <v>2</v>
      </c>
      <c r="H128" s="227" t="s">
        <v>107</v>
      </c>
      <c r="I128" s="227" t="s">
        <v>107</v>
      </c>
      <c r="J128" s="227" t="s">
        <v>107</v>
      </c>
      <c r="K128" s="227" t="s">
        <v>107</v>
      </c>
      <c r="L128" s="227" t="s">
        <v>107</v>
      </c>
      <c r="M128" s="227" t="s">
        <v>107</v>
      </c>
      <c r="N128" s="227" t="s">
        <v>107</v>
      </c>
      <c r="O128" s="227" t="s">
        <v>107</v>
      </c>
      <c r="P128" s="227">
        <v>1</v>
      </c>
    </row>
    <row r="129" spans="2:16" ht="15" customHeight="1" x14ac:dyDescent="0.3">
      <c r="B129" s="251" t="s">
        <v>47</v>
      </c>
      <c r="C129" s="228">
        <v>16</v>
      </c>
      <c r="D129" s="229">
        <v>6</v>
      </c>
      <c r="E129" s="229">
        <v>1</v>
      </c>
      <c r="F129" s="229">
        <f t="shared" si="6"/>
        <v>7</v>
      </c>
      <c r="G129" s="229">
        <v>0</v>
      </c>
      <c r="H129" s="230">
        <v>1</v>
      </c>
      <c r="I129" s="230" t="s">
        <v>107</v>
      </c>
      <c r="J129" s="230" t="s">
        <v>107</v>
      </c>
      <c r="K129" s="230" t="s">
        <v>107</v>
      </c>
      <c r="L129" s="230" t="s">
        <v>107</v>
      </c>
      <c r="M129" s="230">
        <v>1</v>
      </c>
      <c r="N129" s="230" t="s">
        <v>107</v>
      </c>
      <c r="O129" s="230" t="s">
        <v>107</v>
      </c>
      <c r="P129" s="230" t="s">
        <v>107</v>
      </c>
    </row>
    <row r="130" spans="2:16" ht="15" customHeight="1" x14ac:dyDescent="0.3">
      <c r="B130" s="252" t="s">
        <v>941</v>
      </c>
      <c r="C130" s="168">
        <v>18</v>
      </c>
      <c r="D130" s="119" t="s">
        <v>107</v>
      </c>
      <c r="E130" s="119">
        <v>0</v>
      </c>
      <c r="F130" s="119">
        <v>0</v>
      </c>
      <c r="G130" s="119">
        <v>0</v>
      </c>
      <c r="H130" s="227" t="s">
        <v>107</v>
      </c>
      <c r="I130" s="227" t="s">
        <v>107</v>
      </c>
      <c r="J130" s="227" t="s">
        <v>107</v>
      </c>
      <c r="K130" s="227" t="s">
        <v>107</v>
      </c>
      <c r="L130" s="119">
        <v>2</v>
      </c>
      <c r="M130" s="227" t="s">
        <v>107</v>
      </c>
      <c r="N130" s="227" t="s">
        <v>107</v>
      </c>
      <c r="O130" s="227" t="s">
        <v>107</v>
      </c>
      <c r="P130" s="227" t="s">
        <v>107</v>
      </c>
    </row>
    <row r="131" spans="2:16" s="357" customFormat="1" ht="15" customHeight="1" x14ac:dyDescent="0.4">
      <c r="B131" s="381"/>
      <c r="C131" s="357">
        <f>SUM(C113:C130)</f>
        <v>269</v>
      </c>
      <c r="D131" s="357">
        <f t="shared" ref="D131:P131" si="7">SUM(D113:D130)</f>
        <v>94</v>
      </c>
      <c r="E131" s="357">
        <f t="shared" si="7"/>
        <v>82</v>
      </c>
      <c r="F131" s="357">
        <f t="shared" si="7"/>
        <v>176</v>
      </c>
      <c r="G131" s="357">
        <f t="shared" si="7"/>
        <v>59</v>
      </c>
      <c r="H131" s="357">
        <f t="shared" si="7"/>
        <v>12</v>
      </c>
      <c r="I131" s="357">
        <f t="shared" si="7"/>
        <v>5</v>
      </c>
      <c r="J131" s="357">
        <f t="shared" si="7"/>
        <v>0</v>
      </c>
      <c r="K131" s="357">
        <f t="shared" si="7"/>
        <v>0</v>
      </c>
      <c r="L131" s="357">
        <f t="shared" si="7"/>
        <v>2</v>
      </c>
      <c r="M131" s="357">
        <f t="shared" si="7"/>
        <v>1</v>
      </c>
      <c r="N131" s="357">
        <f t="shared" si="7"/>
        <v>1</v>
      </c>
      <c r="O131" s="357">
        <f t="shared" si="7"/>
        <v>8</v>
      </c>
      <c r="P131" s="357">
        <f t="shared" si="7"/>
        <v>2</v>
      </c>
    </row>
    <row r="132" spans="2:16" s="357" customFormat="1" ht="15" customHeight="1" x14ac:dyDescent="0.4">
      <c r="B132" s="381"/>
      <c r="C132" s="377"/>
    </row>
    <row r="133" spans="2:16" s="357" customFormat="1" ht="15" customHeight="1" x14ac:dyDescent="0.85">
      <c r="B133" s="379"/>
      <c r="C133" s="377"/>
      <c r="D133" s="377"/>
      <c r="E133" s="377"/>
      <c r="F133" s="381"/>
    </row>
    <row r="134" spans="2:16" s="357" customFormat="1" ht="21" x14ac:dyDescent="0.4">
      <c r="B134" s="381" t="s">
        <v>1078</v>
      </c>
      <c r="C134" s="475" t="s">
        <v>950</v>
      </c>
      <c r="D134" s="381"/>
      <c r="E134" s="381"/>
      <c r="F134" s="381"/>
    </row>
    <row r="135" spans="2:16" s="357" customFormat="1" ht="7.5" customHeight="1" x14ac:dyDescent="0.3">
      <c r="B135" s="475"/>
    </row>
    <row r="136" spans="2:16" ht="15" thickBot="1" x14ac:dyDescent="0.35">
      <c r="C136" s="206" t="s">
        <v>877</v>
      </c>
      <c r="D136" s="207" t="s">
        <v>533</v>
      </c>
      <c r="E136" s="207" t="s">
        <v>534</v>
      </c>
      <c r="F136" s="207" t="s">
        <v>610</v>
      </c>
      <c r="G136" s="207" t="s">
        <v>535</v>
      </c>
      <c r="H136" s="207" t="s">
        <v>878</v>
      </c>
      <c r="I136" s="207" t="s">
        <v>540</v>
      </c>
      <c r="J136" s="207" t="s">
        <v>545</v>
      </c>
      <c r="K136" s="207" t="s">
        <v>611</v>
      </c>
      <c r="L136" s="207" t="s">
        <v>879</v>
      </c>
      <c r="M136" s="207" t="s">
        <v>637</v>
      </c>
      <c r="N136" s="208" t="s">
        <v>693</v>
      </c>
      <c r="O136" s="208" t="s">
        <v>613</v>
      </c>
      <c r="P136" s="208" t="s">
        <v>139</v>
      </c>
    </row>
    <row r="137" spans="2:16" x14ac:dyDescent="0.3">
      <c r="B137" s="250" t="s">
        <v>54</v>
      </c>
      <c r="C137" s="253">
        <v>2</v>
      </c>
      <c r="D137" s="229">
        <v>0</v>
      </c>
      <c r="E137" s="229">
        <v>0</v>
      </c>
      <c r="F137" s="229">
        <f t="shared" ref="F137:F151" si="8">D137+E137</f>
        <v>0</v>
      </c>
      <c r="G137" s="229">
        <v>0</v>
      </c>
      <c r="H137" s="229" t="s">
        <v>107</v>
      </c>
      <c r="I137" s="229" t="s">
        <v>107</v>
      </c>
      <c r="J137" s="229" t="s">
        <v>107</v>
      </c>
      <c r="K137" s="229" t="s">
        <v>107</v>
      </c>
      <c r="L137" s="229" t="s">
        <v>107</v>
      </c>
      <c r="M137" s="229" t="s">
        <v>107</v>
      </c>
      <c r="N137" s="229" t="s">
        <v>107</v>
      </c>
      <c r="O137" s="229" t="s">
        <v>107</v>
      </c>
      <c r="P137" s="229" t="s">
        <v>107</v>
      </c>
    </row>
    <row r="138" spans="2:16" x14ac:dyDescent="0.3">
      <c r="B138" s="251" t="s">
        <v>530</v>
      </c>
      <c r="C138" s="168">
        <v>10</v>
      </c>
      <c r="D138" s="119">
        <v>2</v>
      </c>
      <c r="E138" s="119">
        <v>5</v>
      </c>
      <c r="F138" s="119">
        <f t="shared" si="8"/>
        <v>7</v>
      </c>
      <c r="G138" s="119">
        <v>2</v>
      </c>
      <c r="H138" s="227" t="s">
        <v>107</v>
      </c>
      <c r="I138" s="227" t="s">
        <v>107</v>
      </c>
      <c r="J138" s="227" t="s">
        <v>107</v>
      </c>
      <c r="K138" s="227" t="s">
        <v>107</v>
      </c>
      <c r="L138" s="227" t="s">
        <v>107</v>
      </c>
      <c r="M138" s="227" t="s">
        <v>107</v>
      </c>
      <c r="N138" s="227" t="s">
        <v>107</v>
      </c>
      <c r="O138" s="227" t="s">
        <v>107</v>
      </c>
      <c r="P138" s="227" t="s">
        <v>107</v>
      </c>
    </row>
    <row r="139" spans="2:16" x14ac:dyDescent="0.3">
      <c r="B139" s="251" t="s">
        <v>185</v>
      </c>
      <c r="C139" s="228">
        <v>15</v>
      </c>
      <c r="D139" s="229">
        <v>16</v>
      </c>
      <c r="E139" s="229">
        <v>21</v>
      </c>
      <c r="F139" s="229">
        <f t="shared" si="8"/>
        <v>37</v>
      </c>
      <c r="G139" s="229">
        <v>2</v>
      </c>
      <c r="H139" s="229">
        <v>1</v>
      </c>
      <c r="I139" s="230" t="s">
        <v>107</v>
      </c>
      <c r="J139" s="230" t="s">
        <v>107</v>
      </c>
      <c r="K139" s="254" t="s">
        <v>984</v>
      </c>
      <c r="L139" s="230" t="s">
        <v>107</v>
      </c>
      <c r="M139" s="230">
        <v>1</v>
      </c>
      <c r="N139" s="230" t="s">
        <v>107</v>
      </c>
      <c r="O139" s="230">
        <v>1</v>
      </c>
      <c r="P139" s="230" t="s">
        <v>107</v>
      </c>
    </row>
    <row r="140" spans="2:16" x14ac:dyDescent="0.3">
      <c r="B140" s="251" t="s">
        <v>1077</v>
      </c>
      <c r="C140" s="168">
        <v>13</v>
      </c>
      <c r="D140" s="119">
        <v>10</v>
      </c>
      <c r="E140" s="119">
        <v>4</v>
      </c>
      <c r="F140" s="119">
        <f t="shared" si="8"/>
        <v>14</v>
      </c>
      <c r="G140" s="119">
        <v>8</v>
      </c>
      <c r="H140" s="227">
        <v>1</v>
      </c>
      <c r="I140" s="227" t="s">
        <v>107</v>
      </c>
      <c r="J140" s="227" t="s">
        <v>107</v>
      </c>
      <c r="K140" s="227" t="s">
        <v>107</v>
      </c>
      <c r="L140" s="227" t="s">
        <v>107</v>
      </c>
      <c r="M140" s="119"/>
      <c r="N140" s="227" t="s">
        <v>107</v>
      </c>
      <c r="O140" s="119">
        <v>1</v>
      </c>
      <c r="P140" s="119" t="s">
        <v>107</v>
      </c>
    </row>
    <row r="141" spans="2:16" x14ac:dyDescent="0.3">
      <c r="B141" s="251" t="s">
        <v>1075</v>
      </c>
      <c r="C141" s="228">
        <v>17</v>
      </c>
      <c r="D141" s="229">
        <v>18</v>
      </c>
      <c r="E141" s="229">
        <v>15</v>
      </c>
      <c r="F141" s="229">
        <f t="shared" si="8"/>
        <v>33</v>
      </c>
      <c r="G141" s="229">
        <v>12</v>
      </c>
      <c r="H141" s="229">
        <v>4</v>
      </c>
      <c r="I141" s="230">
        <v>3</v>
      </c>
      <c r="J141" s="229" t="s">
        <v>107</v>
      </c>
      <c r="K141" s="230" t="s">
        <v>107</v>
      </c>
      <c r="L141" s="230" t="s">
        <v>107</v>
      </c>
      <c r="M141" s="230" t="s">
        <v>107</v>
      </c>
      <c r="N141" s="230" t="s">
        <v>107</v>
      </c>
      <c r="O141" s="229">
        <v>2</v>
      </c>
      <c r="P141" s="229">
        <v>1</v>
      </c>
    </row>
    <row r="142" spans="2:16" x14ac:dyDescent="0.3">
      <c r="B142" s="251" t="s">
        <v>53</v>
      </c>
      <c r="C142" s="168">
        <v>8</v>
      </c>
      <c r="D142" s="119">
        <v>1</v>
      </c>
      <c r="E142" s="119">
        <v>3</v>
      </c>
      <c r="F142" s="119">
        <f t="shared" si="8"/>
        <v>4</v>
      </c>
      <c r="G142" s="119">
        <v>0</v>
      </c>
      <c r="H142" s="119" t="s">
        <v>107</v>
      </c>
      <c r="I142" s="227" t="s">
        <v>107</v>
      </c>
      <c r="J142" s="227" t="s">
        <v>107</v>
      </c>
      <c r="K142" s="227" t="s">
        <v>107</v>
      </c>
      <c r="L142" s="227" t="s">
        <v>107</v>
      </c>
      <c r="M142" s="227" t="s">
        <v>107</v>
      </c>
      <c r="N142" s="227" t="s">
        <v>107</v>
      </c>
      <c r="O142" s="227" t="s">
        <v>107</v>
      </c>
      <c r="P142" s="227" t="s">
        <v>107</v>
      </c>
    </row>
    <row r="143" spans="2:16" x14ac:dyDescent="0.3">
      <c r="B143" s="251" t="s">
        <v>50</v>
      </c>
      <c r="C143" s="228">
        <v>13</v>
      </c>
      <c r="D143" s="229">
        <v>16</v>
      </c>
      <c r="E143" s="229">
        <v>3</v>
      </c>
      <c r="F143" s="229">
        <f t="shared" si="8"/>
        <v>19</v>
      </c>
      <c r="G143" s="229">
        <v>6</v>
      </c>
      <c r="H143" s="229">
        <v>1</v>
      </c>
      <c r="I143" s="229">
        <v>2</v>
      </c>
      <c r="J143" s="229">
        <v>1</v>
      </c>
      <c r="K143" s="230" t="s">
        <v>107</v>
      </c>
      <c r="L143" s="230" t="s">
        <v>107</v>
      </c>
      <c r="M143" s="230">
        <v>1</v>
      </c>
      <c r="N143" s="230">
        <v>1</v>
      </c>
      <c r="O143" s="229">
        <v>1</v>
      </c>
      <c r="P143" s="229" t="s">
        <v>107</v>
      </c>
    </row>
    <row r="144" spans="2:16" x14ac:dyDescent="0.3">
      <c r="B144" s="251" t="s">
        <v>59</v>
      </c>
      <c r="C144" s="168">
        <v>5</v>
      </c>
      <c r="D144" s="119">
        <v>1</v>
      </c>
      <c r="E144" s="119">
        <v>2</v>
      </c>
      <c r="F144" s="119">
        <f t="shared" si="8"/>
        <v>3</v>
      </c>
      <c r="G144" s="119">
        <v>0</v>
      </c>
      <c r="H144" s="227" t="s">
        <v>107</v>
      </c>
      <c r="I144" s="227" t="s">
        <v>107</v>
      </c>
      <c r="J144" s="227" t="s">
        <v>107</v>
      </c>
      <c r="K144" s="227" t="s">
        <v>107</v>
      </c>
      <c r="L144" s="227" t="s">
        <v>107</v>
      </c>
      <c r="M144" s="227" t="s">
        <v>107</v>
      </c>
      <c r="N144" s="227" t="s">
        <v>107</v>
      </c>
      <c r="O144" s="227" t="s">
        <v>107</v>
      </c>
      <c r="P144" s="227" t="s">
        <v>107</v>
      </c>
    </row>
    <row r="145" spans="2:16" x14ac:dyDescent="0.3">
      <c r="B145" s="251" t="s">
        <v>1076</v>
      </c>
      <c r="C145" s="228">
        <v>10</v>
      </c>
      <c r="D145" s="229">
        <v>2</v>
      </c>
      <c r="E145" s="229">
        <v>3</v>
      </c>
      <c r="F145" s="229">
        <f t="shared" si="8"/>
        <v>5</v>
      </c>
      <c r="G145" s="229">
        <v>2</v>
      </c>
      <c r="H145" s="229">
        <v>2</v>
      </c>
      <c r="I145" s="230" t="s">
        <v>107</v>
      </c>
      <c r="J145" s="230" t="s">
        <v>107</v>
      </c>
      <c r="K145" s="230" t="s">
        <v>107</v>
      </c>
      <c r="L145" s="230" t="s">
        <v>107</v>
      </c>
      <c r="M145" s="230" t="s">
        <v>107</v>
      </c>
      <c r="N145" s="230" t="s">
        <v>107</v>
      </c>
      <c r="O145" s="229" t="s">
        <v>107</v>
      </c>
      <c r="P145" s="229" t="s">
        <v>107</v>
      </c>
    </row>
    <row r="146" spans="2:16" x14ac:dyDescent="0.3">
      <c r="B146" s="251" t="s">
        <v>680</v>
      </c>
      <c r="C146" s="168">
        <v>11</v>
      </c>
      <c r="D146" s="119">
        <v>3</v>
      </c>
      <c r="E146" s="119">
        <v>9</v>
      </c>
      <c r="F146" s="119">
        <f t="shared" si="8"/>
        <v>12</v>
      </c>
      <c r="G146" s="119">
        <v>2</v>
      </c>
      <c r="H146" s="227" t="s">
        <v>107</v>
      </c>
      <c r="I146" s="227" t="s">
        <v>107</v>
      </c>
      <c r="J146" s="227" t="s">
        <v>107</v>
      </c>
      <c r="K146" s="227" t="s">
        <v>107</v>
      </c>
      <c r="L146" s="227" t="s">
        <v>107</v>
      </c>
      <c r="M146" s="227" t="s">
        <v>107</v>
      </c>
      <c r="N146" s="227" t="s">
        <v>107</v>
      </c>
      <c r="O146" s="227" t="s">
        <v>107</v>
      </c>
      <c r="P146" s="227" t="s">
        <v>107</v>
      </c>
    </row>
    <row r="147" spans="2:16" x14ac:dyDescent="0.3">
      <c r="B147" s="251" t="s">
        <v>949</v>
      </c>
      <c r="C147" s="228">
        <v>2</v>
      </c>
      <c r="D147" s="229">
        <v>0</v>
      </c>
      <c r="E147" s="229">
        <v>0</v>
      </c>
      <c r="F147" s="229">
        <f t="shared" si="8"/>
        <v>0</v>
      </c>
      <c r="G147" s="229">
        <v>0</v>
      </c>
      <c r="H147" s="230" t="s">
        <v>107</v>
      </c>
      <c r="I147" s="229" t="s">
        <v>107</v>
      </c>
      <c r="J147" s="230" t="s">
        <v>107</v>
      </c>
      <c r="K147" s="230" t="s">
        <v>107</v>
      </c>
      <c r="L147" s="230" t="s">
        <v>107</v>
      </c>
      <c r="M147" s="230" t="s">
        <v>107</v>
      </c>
      <c r="N147" s="230" t="s">
        <v>107</v>
      </c>
      <c r="O147" s="230" t="s">
        <v>107</v>
      </c>
      <c r="P147" s="230" t="s">
        <v>107</v>
      </c>
    </row>
    <row r="148" spans="2:16" x14ac:dyDescent="0.3">
      <c r="B148" s="251" t="s">
        <v>942</v>
      </c>
      <c r="C148" s="168">
        <v>8</v>
      </c>
      <c r="D148" s="119">
        <v>9</v>
      </c>
      <c r="E148" s="119">
        <v>3</v>
      </c>
      <c r="F148" s="119">
        <f t="shared" si="8"/>
        <v>12</v>
      </c>
      <c r="G148" s="119">
        <v>0</v>
      </c>
      <c r="H148" s="119" t="s">
        <v>107</v>
      </c>
      <c r="I148" s="119">
        <v>1</v>
      </c>
      <c r="J148" s="227" t="s">
        <v>107</v>
      </c>
      <c r="K148" s="227" t="s">
        <v>107</v>
      </c>
      <c r="L148" s="227" t="s">
        <v>107</v>
      </c>
      <c r="M148" s="227" t="s">
        <v>107</v>
      </c>
      <c r="N148" s="227" t="s">
        <v>107</v>
      </c>
      <c r="O148" s="119" t="s">
        <v>107</v>
      </c>
      <c r="P148" s="119" t="s">
        <v>107</v>
      </c>
    </row>
    <row r="149" spans="2:16" x14ac:dyDescent="0.3">
      <c r="B149" s="251" t="s">
        <v>56</v>
      </c>
      <c r="C149" s="228">
        <v>3</v>
      </c>
      <c r="D149" s="229">
        <v>0</v>
      </c>
      <c r="E149" s="229">
        <v>0</v>
      </c>
      <c r="F149" s="229">
        <v>0</v>
      </c>
      <c r="G149" s="229">
        <v>0</v>
      </c>
      <c r="H149" s="230" t="s">
        <v>107</v>
      </c>
      <c r="I149" s="230" t="s">
        <v>107</v>
      </c>
      <c r="J149" s="230" t="s">
        <v>107</v>
      </c>
      <c r="K149" s="230" t="s">
        <v>107</v>
      </c>
      <c r="L149" s="230" t="s">
        <v>107</v>
      </c>
      <c r="M149" s="230" t="s">
        <v>107</v>
      </c>
      <c r="N149" s="230" t="s">
        <v>107</v>
      </c>
      <c r="O149" s="230" t="s">
        <v>107</v>
      </c>
      <c r="P149" s="230" t="s">
        <v>107</v>
      </c>
    </row>
    <row r="150" spans="2:16" x14ac:dyDescent="0.3">
      <c r="B150" s="251" t="s">
        <v>279</v>
      </c>
      <c r="C150" s="168">
        <v>4</v>
      </c>
      <c r="D150" s="119">
        <v>1</v>
      </c>
      <c r="E150" s="119">
        <v>1</v>
      </c>
      <c r="F150" s="119">
        <f t="shared" si="8"/>
        <v>2</v>
      </c>
      <c r="G150" s="119">
        <v>0</v>
      </c>
      <c r="H150" s="227" t="s">
        <v>107</v>
      </c>
      <c r="I150" s="227" t="s">
        <v>107</v>
      </c>
      <c r="J150" s="227" t="s">
        <v>107</v>
      </c>
      <c r="K150" s="227" t="s">
        <v>107</v>
      </c>
      <c r="L150" s="227" t="s">
        <v>107</v>
      </c>
      <c r="M150" s="227" t="s">
        <v>107</v>
      </c>
      <c r="N150" s="227" t="s">
        <v>107</v>
      </c>
      <c r="O150" s="227" t="s">
        <v>107</v>
      </c>
      <c r="P150" s="227" t="s">
        <v>107</v>
      </c>
    </row>
    <row r="151" spans="2:16" x14ac:dyDescent="0.3">
      <c r="B151" s="251" t="s">
        <v>47</v>
      </c>
      <c r="C151" s="228">
        <v>6</v>
      </c>
      <c r="D151" s="229">
        <v>1</v>
      </c>
      <c r="E151" s="229">
        <v>0</v>
      </c>
      <c r="F151" s="229">
        <f t="shared" si="8"/>
        <v>1</v>
      </c>
      <c r="G151" s="229">
        <v>4</v>
      </c>
      <c r="H151" s="230" t="s">
        <v>107</v>
      </c>
      <c r="I151" s="230" t="s">
        <v>107</v>
      </c>
      <c r="J151" s="230" t="s">
        <v>107</v>
      </c>
      <c r="K151" s="230" t="s">
        <v>107</v>
      </c>
      <c r="L151" s="230" t="s">
        <v>107</v>
      </c>
      <c r="M151" s="230" t="s">
        <v>107</v>
      </c>
      <c r="N151" s="230" t="s">
        <v>107</v>
      </c>
      <c r="O151" s="230" t="s">
        <v>107</v>
      </c>
      <c r="P151" s="230" t="s">
        <v>107</v>
      </c>
    </row>
    <row r="152" spans="2:16" x14ac:dyDescent="0.3">
      <c r="B152" s="252" t="s">
        <v>941</v>
      </c>
      <c r="C152" s="168">
        <v>18</v>
      </c>
      <c r="D152" s="119" t="s">
        <v>107</v>
      </c>
      <c r="E152" s="119">
        <v>0</v>
      </c>
      <c r="F152" s="119">
        <v>0</v>
      </c>
      <c r="G152" s="119">
        <v>0</v>
      </c>
      <c r="H152" s="227" t="s">
        <v>107</v>
      </c>
      <c r="I152" s="227" t="s">
        <v>107</v>
      </c>
      <c r="J152" s="227" t="s">
        <v>107</v>
      </c>
      <c r="K152" s="227" t="s">
        <v>107</v>
      </c>
      <c r="L152" s="119">
        <v>1</v>
      </c>
      <c r="M152" s="227" t="s">
        <v>107</v>
      </c>
      <c r="N152" s="227" t="s">
        <v>107</v>
      </c>
      <c r="O152" s="227" t="s">
        <v>107</v>
      </c>
      <c r="P152" s="227" t="s">
        <v>107</v>
      </c>
    </row>
    <row r="153" spans="2:16" s="357" customFormat="1" x14ac:dyDescent="0.3">
      <c r="C153" s="357">
        <f>SUM(C135:C152)</f>
        <v>145</v>
      </c>
      <c r="D153" s="357">
        <f t="shared" ref="D153:P153" si="9">SUM(D135:D152)</f>
        <v>80</v>
      </c>
      <c r="E153" s="357">
        <f t="shared" si="9"/>
        <v>69</v>
      </c>
      <c r="F153" s="357">
        <f t="shared" si="9"/>
        <v>149</v>
      </c>
      <c r="G153" s="357">
        <f t="shared" si="9"/>
        <v>38</v>
      </c>
      <c r="H153" s="357">
        <f t="shared" si="9"/>
        <v>9</v>
      </c>
      <c r="I153" s="357">
        <f t="shared" si="9"/>
        <v>6</v>
      </c>
      <c r="J153" s="357">
        <f t="shared" si="9"/>
        <v>1</v>
      </c>
      <c r="K153" s="357">
        <f t="shared" si="9"/>
        <v>0</v>
      </c>
      <c r="L153" s="357">
        <f t="shared" si="9"/>
        <v>1</v>
      </c>
      <c r="M153" s="357">
        <f t="shared" si="9"/>
        <v>2</v>
      </c>
      <c r="N153" s="357">
        <f t="shared" si="9"/>
        <v>1</v>
      </c>
      <c r="O153" s="357">
        <f t="shared" si="9"/>
        <v>5</v>
      </c>
      <c r="P153" s="357">
        <f t="shared" si="9"/>
        <v>1</v>
      </c>
    </row>
    <row r="154" spans="2:16" s="357" customFormat="1" x14ac:dyDescent="0.3"/>
    <row r="155" spans="2:16" s="357" customFormat="1" x14ac:dyDescent="0.3"/>
    <row r="156" spans="2:16" s="357" customFormat="1" ht="21" x14ac:dyDescent="0.4">
      <c r="B156" s="381" t="s">
        <v>951</v>
      </c>
      <c r="C156" s="475" t="s">
        <v>952</v>
      </c>
      <c r="D156" s="381"/>
      <c r="E156" s="381"/>
      <c r="F156" s="381"/>
    </row>
    <row r="157" spans="2:16" s="357" customFormat="1" ht="7.5" customHeight="1" x14ac:dyDescent="0.3">
      <c r="B157" s="475"/>
    </row>
    <row r="158" spans="2:16" ht="15" thickBot="1" x14ac:dyDescent="0.35">
      <c r="C158" s="206" t="s">
        <v>877</v>
      </c>
      <c r="D158" s="207" t="s">
        <v>533</v>
      </c>
      <c r="E158" s="207" t="s">
        <v>534</v>
      </c>
      <c r="F158" s="207" t="s">
        <v>610</v>
      </c>
      <c r="G158" s="207" t="s">
        <v>535</v>
      </c>
      <c r="H158" s="207" t="s">
        <v>878</v>
      </c>
      <c r="I158" s="207" t="s">
        <v>540</v>
      </c>
      <c r="J158" s="207" t="s">
        <v>545</v>
      </c>
      <c r="K158" s="207" t="s">
        <v>611</v>
      </c>
      <c r="L158" s="207" t="s">
        <v>879</v>
      </c>
      <c r="M158" s="207" t="s">
        <v>637</v>
      </c>
      <c r="N158" s="208" t="s">
        <v>693</v>
      </c>
      <c r="O158" s="208" t="s">
        <v>613</v>
      </c>
      <c r="P158" s="357"/>
    </row>
    <row r="159" spans="2:16" x14ac:dyDescent="0.3">
      <c r="B159" s="209" t="s">
        <v>48</v>
      </c>
      <c r="C159" s="167">
        <v>12</v>
      </c>
      <c r="D159" s="117">
        <v>5</v>
      </c>
      <c r="E159" s="117">
        <v>2</v>
      </c>
      <c r="F159" s="117">
        <f t="shared" ref="F159:F176" si="10">D159+E159</f>
        <v>7</v>
      </c>
      <c r="G159" s="117">
        <v>2</v>
      </c>
      <c r="H159" s="226">
        <v>2</v>
      </c>
      <c r="I159" s="226" t="s">
        <v>107</v>
      </c>
      <c r="J159" s="226" t="s">
        <v>107</v>
      </c>
      <c r="K159" s="226" t="s">
        <v>107</v>
      </c>
      <c r="L159" s="226" t="s">
        <v>107</v>
      </c>
      <c r="M159" s="226" t="s">
        <v>107</v>
      </c>
      <c r="N159" s="226" t="s">
        <v>107</v>
      </c>
      <c r="O159" s="226" t="s">
        <v>107</v>
      </c>
      <c r="P159" s="357"/>
    </row>
    <row r="160" spans="2:16" x14ac:dyDescent="0.3">
      <c r="B160" s="210" t="s">
        <v>54</v>
      </c>
      <c r="C160" s="228">
        <v>10</v>
      </c>
      <c r="D160" s="229">
        <v>2</v>
      </c>
      <c r="E160" s="229">
        <v>0</v>
      </c>
      <c r="F160" s="229">
        <f t="shared" si="10"/>
        <v>2</v>
      </c>
      <c r="G160" s="229">
        <v>0</v>
      </c>
      <c r="H160" s="229" t="s">
        <v>107</v>
      </c>
      <c r="I160" s="229" t="s">
        <v>107</v>
      </c>
      <c r="J160" s="229" t="s">
        <v>107</v>
      </c>
      <c r="K160" s="229" t="s">
        <v>107</v>
      </c>
      <c r="L160" s="229" t="s">
        <v>107</v>
      </c>
      <c r="M160" s="229" t="s">
        <v>107</v>
      </c>
      <c r="N160" s="229" t="s">
        <v>107</v>
      </c>
      <c r="O160" s="229" t="s">
        <v>107</v>
      </c>
      <c r="P160" s="357"/>
    </row>
    <row r="161" spans="2:16" x14ac:dyDescent="0.3">
      <c r="B161" s="210" t="s">
        <v>530</v>
      </c>
      <c r="C161" s="168">
        <v>17</v>
      </c>
      <c r="D161" s="119">
        <v>4</v>
      </c>
      <c r="E161" s="119">
        <v>6</v>
      </c>
      <c r="F161" s="119">
        <f t="shared" si="10"/>
        <v>10</v>
      </c>
      <c r="G161" s="119">
        <v>2</v>
      </c>
      <c r="H161" s="227" t="s">
        <v>107</v>
      </c>
      <c r="I161" s="227" t="s">
        <v>107</v>
      </c>
      <c r="J161" s="227" t="s">
        <v>107</v>
      </c>
      <c r="K161" s="227" t="s">
        <v>107</v>
      </c>
      <c r="L161" s="227" t="s">
        <v>107</v>
      </c>
      <c r="M161" s="227" t="s">
        <v>107</v>
      </c>
      <c r="N161" s="227" t="s">
        <v>107</v>
      </c>
      <c r="O161" s="227" t="s">
        <v>107</v>
      </c>
      <c r="P161" s="357"/>
    </row>
    <row r="162" spans="2:16" x14ac:dyDescent="0.3">
      <c r="B162" s="210" t="s">
        <v>945</v>
      </c>
      <c r="C162" s="228">
        <v>10</v>
      </c>
      <c r="D162" s="229">
        <v>5</v>
      </c>
      <c r="E162" s="229">
        <v>3</v>
      </c>
      <c r="F162" s="229">
        <f t="shared" si="10"/>
        <v>8</v>
      </c>
      <c r="G162" s="229">
        <v>2</v>
      </c>
      <c r="H162" s="230" t="s">
        <v>107</v>
      </c>
      <c r="I162" s="230" t="s">
        <v>107</v>
      </c>
      <c r="J162" s="230" t="s">
        <v>107</v>
      </c>
      <c r="K162" s="230" t="s">
        <v>107</v>
      </c>
      <c r="L162" s="230" t="s">
        <v>107</v>
      </c>
      <c r="M162" s="230" t="s">
        <v>107</v>
      </c>
      <c r="N162" s="230" t="s">
        <v>107</v>
      </c>
      <c r="O162" s="229">
        <v>1</v>
      </c>
      <c r="P162" s="357"/>
    </row>
    <row r="163" spans="2:16" x14ac:dyDescent="0.3">
      <c r="B163" s="210" t="s">
        <v>185</v>
      </c>
      <c r="C163" s="168">
        <v>11</v>
      </c>
      <c r="D163" s="119">
        <v>7</v>
      </c>
      <c r="E163" s="119">
        <v>27</v>
      </c>
      <c r="F163" s="119">
        <f t="shared" si="10"/>
        <v>34</v>
      </c>
      <c r="G163" s="119">
        <v>4</v>
      </c>
      <c r="H163" s="119">
        <v>1</v>
      </c>
      <c r="I163" s="227" t="s">
        <v>107</v>
      </c>
      <c r="J163" s="227" t="s">
        <v>107</v>
      </c>
      <c r="K163" s="123" t="s">
        <v>705</v>
      </c>
      <c r="L163" s="227" t="s">
        <v>107</v>
      </c>
      <c r="M163" s="227" t="s">
        <v>107</v>
      </c>
      <c r="N163" s="227" t="s">
        <v>107</v>
      </c>
      <c r="O163" s="227" t="s">
        <v>107</v>
      </c>
      <c r="P163" s="357"/>
    </row>
    <row r="164" spans="2:16" x14ac:dyDescent="0.3">
      <c r="B164" s="210" t="s">
        <v>677</v>
      </c>
      <c r="C164" s="228">
        <v>13</v>
      </c>
      <c r="D164" s="229">
        <v>5</v>
      </c>
      <c r="E164" s="229">
        <v>3</v>
      </c>
      <c r="F164" s="229">
        <f t="shared" si="10"/>
        <v>8</v>
      </c>
      <c r="G164" s="229">
        <v>4</v>
      </c>
      <c r="H164" s="230" t="s">
        <v>107</v>
      </c>
      <c r="I164" s="230" t="s">
        <v>107</v>
      </c>
      <c r="J164" s="230" t="s">
        <v>107</v>
      </c>
      <c r="K164" s="230" t="s">
        <v>107</v>
      </c>
      <c r="L164" s="230" t="s">
        <v>107</v>
      </c>
      <c r="M164" s="229">
        <v>1</v>
      </c>
      <c r="N164" s="230" t="s">
        <v>107</v>
      </c>
      <c r="O164" s="229">
        <v>1</v>
      </c>
      <c r="P164" s="357"/>
    </row>
    <row r="165" spans="2:16" x14ac:dyDescent="0.3">
      <c r="B165" s="210" t="s">
        <v>673</v>
      </c>
      <c r="C165" s="168">
        <v>15</v>
      </c>
      <c r="D165" s="119">
        <v>23</v>
      </c>
      <c r="E165" s="119">
        <v>5</v>
      </c>
      <c r="F165" s="119">
        <f t="shared" si="10"/>
        <v>28</v>
      </c>
      <c r="G165" s="119">
        <v>63</v>
      </c>
      <c r="H165" s="119">
        <v>3</v>
      </c>
      <c r="I165" s="227" t="s">
        <v>107</v>
      </c>
      <c r="J165" s="119">
        <v>1</v>
      </c>
      <c r="K165" s="227" t="s">
        <v>107</v>
      </c>
      <c r="L165" s="227" t="s">
        <v>107</v>
      </c>
      <c r="M165" s="227" t="s">
        <v>107</v>
      </c>
      <c r="N165" s="227">
        <v>1</v>
      </c>
      <c r="O165" s="119">
        <v>3</v>
      </c>
      <c r="P165" s="357"/>
    </row>
    <row r="166" spans="2:16" x14ac:dyDescent="0.3">
      <c r="B166" s="210" t="s">
        <v>53</v>
      </c>
      <c r="C166" s="228">
        <v>13</v>
      </c>
      <c r="D166" s="229">
        <v>2</v>
      </c>
      <c r="E166" s="229">
        <v>1</v>
      </c>
      <c r="F166" s="229">
        <f t="shared" si="10"/>
        <v>3</v>
      </c>
      <c r="G166" s="229">
        <v>6</v>
      </c>
      <c r="H166" s="229">
        <v>1</v>
      </c>
      <c r="I166" s="230" t="s">
        <v>107</v>
      </c>
      <c r="J166" s="230" t="s">
        <v>107</v>
      </c>
      <c r="K166" s="230" t="s">
        <v>107</v>
      </c>
      <c r="L166" s="230" t="s">
        <v>107</v>
      </c>
      <c r="M166" s="230" t="s">
        <v>107</v>
      </c>
      <c r="N166" s="230" t="s">
        <v>107</v>
      </c>
      <c r="O166" s="230" t="s">
        <v>107</v>
      </c>
      <c r="P166" s="357"/>
    </row>
    <row r="167" spans="2:16" x14ac:dyDescent="0.3">
      <c r="B167" s="210" t="s">
        <v>50</v>
      </c>
      <c r="C167" s="168">
        <v>12</v>
      </c>
      <c r="D167" s="119">
        <v>12</v>
      </c>
      <c r="E167" s="119">
        <v>3</v>
      </c>
      <c r="F167" s="119">
        <f t="shared" si="10"/>
        <v>15</v>
      </c>
      <c r="G167" s="119">
        <v>0</v>
      </c>
      <c r="H167" s="119">
        <v>2</v>
      </c>
      <c r="I167" s="119">
        <v>1</v>
      </c>
      <c r="J167" s="119">
        <v>1</v>
      </c>
      <c r="K167" s="227" t="s">
        <v>107</v>
      </c>
      <c r="L167" s="227" t="s">
        <v>107</v>
      </c>
      <c r="M167" s="227" t="s">
        <v>107</v>
      </c>
      <c r="N167" s="227" t="s">
        <v>107</v>
      </c>
      <c r="O167" s="119">
        <v>2</v>
      </c>
      <c r="P167" s="357"/>
    </row>
    <row r="168" spans="2:16" x14ac:dyDescent="0.3">
      <c r="B168" s="210" t="s">
        <v>59</v>
      </c>
      <c r="C168" s="228">
        <v>7</v>
      </c>
      <c r="D168" s="229">
        <v>0</v>
      </c>
      <c r="E168" s="229">
        <v>0</v>
      </c>
      <c r="F168" s="229">
        <f t="shared" si="10"/>
        <v>0</v>
      </c>
      <c r="G168" s="229">
        <v>2</v>
      </c>
      <c r="H168" s="230" t="s">
        <v>107</v>
      </c>
      <c r="I168" s="230" t="s">
        <v>107</v>
      </c>
      <c r="J168" s="230" t="s">
        <v>107</v>
      </c>
      <c r="K168" s="230" t="s">
        <v>107</v>
      </c>
      <c r="L168" s="230" t="s">
        <v>107</v>
      </c>
      <c r="M168" s="230" t="s">
        <v>107</v>
      </c>
      <c r="N168" s="230" t="s">
        <v>107</v>
      </c>
      <c r="O168" s="230" t="s">
        <v>107</v>
      </c>
      <c r="P168" s="357"/>
    </row>
    <row r="169" spans="2:16" x14ac:dyDescent="0.3">
      <c r="B169" s="210" t="s">
        <v>675</v>
      </c>
      <c r="C169" s="168">
        <v>17</v>
      </c>
      <c r="D169" s="119">
        <v>9</v>
      </c>
      <c r="E169" s="119">
        <v>15</v>
      </c>
      <c r="F169" s="119">
        <f t="shared" si="10"/>
        <v>24</v>
      </c>
      <c r="G169" s="119">
        <v>2</v>
      </c>
      <c r="H169" s="119">
        <v>1</v>
      </c>
      <c r="I169" s="227" t="s">
        <v>107</v>
      </c>
      <c r="J169" s="227" t="s">
        <v>107</v>
      </c>
      <c r="K169" s="227" t="s">
        <v>107</v>
      </c>
      <c r="L169" s="227" t="s">
        <v>107</v>
      </c>
      <c r="M169" s="227" t="s">
        <v>107</v>
      </c>
      <c r="N169" s="227" t="s">
        <v>107</v>
      </c>
      <c r="O169" s="119">
        <v>1</v>
      </c>
      <c r="P169" s="357"/>
    </row>
    <row r="170" spans="2:16" x14ac:dyDescent="0.3">
      <c r="B170" s="210" t="s">
        <v>278</v>
      </c>
      <c r="C170" s="228">
        <v>11</v>
      </c>
      <c r="D170" s="229">
        <v>1</v>
      </c>
      <c r="E170" s="229">
        <v>6</v>
      </c>
      <c r="F170" s="229">
        <f t="shared" si="10"/>
        <v>7</v>
      </c>
      <c r="G170" s="229">
        <v>2</v>
      </c>
      <c r="H170" s="230" t="s">
        <v>107</v>
      </c>
      <c r="I170" s="230" t="s">
        <v>107</v>
      </c>
      <c r="J170" s="230" t="s">
        <v>107</v>
      </c>
      <c r="K170" s="230" t="s">
        <v>107</v>
      </c>
      <c r="L170" s="230" t="s">
        <v>107</v>
      </c>
      <c r="M170" s="230" t="s">
        <v>107</v>
      </c>
      <c r="N170" s="230" t="s">
        <v>107</v>
      </c>
      <c r="O170" s="230" t="s">
        <v>107</v>
      </c>
      <c r="P170" s="357"/>
    </row>
    <row r="171" spans="2:16" x14ac:dyDescent="0.3">
      <c r="B171" s="210" t="s">
        <v>949</v>
      </c>
      <c r="C171" s="168">
        <v>7</v>
      </c>
      <c r="D171" s="119">
        <v>4</v>
      </c>
      <c r="E171" s="119">
        <v>2</v>
      </c>
      <c r="F171" s="119">
        <f t="shared" si="10"/>
        <v>6</v>
      </c>
      <c r="G171" s="119">
        <v>0</v>
      </c>
      <c r="H171" s="227" t="s">
        <v>107</v>
      </c>
      <c r="I171" s="119">
        <v>1</v>
      </c>
      <c r="J171" s="227" t="s">
        <v>107</v>
      </c>
      <c r="K171" s="227" t="s">
        <v>107</v>
      </c>
      <c r="L171" s="227" t="s">
        <v>107</v>
      </c>
      <c r="M171" s="227" t="s">
        <v>107</v>
      </c>
      <c r="N171" s="227" t="s">
        <v>107</v>
      </c>
      <c r="O171" s="227" t="s">
        <v>107</v>
      </c>
      <c r="P171" s="357"/>
    </row>
    <row r="172" spans="2:16" x14ac:dyDescent="0.3">
      <c r="B172" s="210" t="s">
        <v>942</v>
      </c>
      <c r="C172" s="228">
        <v>15</v>
      </c>
      <c r="D172" s="229">
        <v>8</v>
      </c>
      <c r="E172" s="229">
        <v>2</v>
      </c>
      <c r="F172" s="229">
        <f t="shared" si="10"/>
        <v>10</v>
      </c>
      <c r="G172" s="229">
        <v>0</v>
      </c>
      <c r="H172" s="229">
        <v>1</v>
      </c>
      <c r="I172" s="229">
        <v>2</v>
      </c>
      <c r="J172" s="230" t="s">
        <v>107</v>
      </c>
      <c r="K172" s="230" t="s">
        <v>107</v>
      </c>
      <c r="L172" s="230" t="s">
        <v>107</v>
      </c>
      <c r="M172" s="230" t="s">
        <v>107</v>
      </c>
      <c r="N172" s="230" t="s">
        <v>107</v>
      </c>
      <c r="O172" s="229">
        <v>1</v>
      </c>
      <c r="P172" s="357"/>
    </row>
    <row r="173" spans="2:16" x14ac:dyDescent="0.3">
      <c r="B173" s="210" t="s">
        <v>55</v>
      </c>
      <c r="C173" s="168">
        <v>15</v>
      </c>
      <c r="D173" s="119">
        <v>3</v>
      </c>
      <c r="E173" s="119">
        <v>6</v>
      </c>
      <c r="F173" s="119">
        <f t="shared" si="10"/>
        <v>9</v>
      </c>
      <c r="G173" s="119">
        <v>0</v>
      </c>
      <c r="H173" s="227" t="s">
        <v>107</v>
      </c>
      <c r="I173" s="227" t="s">
        <v>107</v>
      </c>
      <c r="J173" s="227" t="s">
        <v>107</v>
      </c>
      <c r="K173" s="227" t="s">
        <v>107</v>
      </c>
      <c r="L173" s="227" t="s">
        <v>107</v>
      </c>
      <c r="M173" s="227" t="s">
        <v>107</v>
      </c>
      <c r="N173" s="227" t="s">
        <v>107</v>
      </c>
      <c r="O173" s="227" t="s">
        <v>107</v>
      </c>
      <c r="P173" s="357"/>
    </row>
    <row r="174" spans="2:16" x14ac:dyDescent="0.3">
      <c r="B174" s="210" t="s">
        <v>279</v>
      </c>
      <c r="C174" s="228">
        <v>7</v>
      </c>
      <c r="D174" s="229">
        <v>4</v>
      </c>
      <c r="E174" s="229">
        <v>1</v>
      </c>
      <c r="F174" s="229">
        <f t="shared" si="10"/>
        <v>5</v>
      </c>
      <c r="G174" s="229">
        <v>0</v>
      </c>
      <c r="H174" s="230" t="s">
        <v>107</v>
      </c>
      <c r="I174" s="230" t="s">
        <v>107</v>
      </c>
      <c r="J174" s="230" t="s">
        <v>107</v>
      </c>
      <c r="K174" s="230" t="s">
        <v>107</v>
      </c>
      <c r="L174" s="230" t="s">
        <v>107</v>
      </c>
      <c r="M174" s="230" t="s">
        <v>107</v>
      </c>
      <c r="N174" s="230" t="s">
        <v>107</v>
      </c>
      <c r="O174" s="230" t="s">
        <v>107</v>
      </c>
      <c r="P174" s="357"/>
    </row>
    <row r="175" spans="2:16" x14ac:dyDescent="0.3">
      <c r="B175" s="210" t="s">
        <v>531</v>
      </c>
      <c r="C175" s="168">
        <v>14</v>
      </c>
      <c r="D175" s="119">
        <v>0</v>
      </c>
      <c r="E175" s="119">
        <v>0</v>
      </c>
      <c r="F175" s="119">
        <f t="shared" si="10"/>
        <v>0</v>
      </c>
      <c r="G175" s="119">
        <v>0</v>
      </c>
      <c r="H175" s="227" t="s">
        <v>107</v>
      </c>
      <c r="I175" s="227" t="s">
        <v>107</v>
      </c>
      <c r="J175" s="227" t="s">
        <v>107</v>
      </c>
      <c r="K175" s="227" t="s">
        <v>107</v>
      </c>
      <c r="L175" s="119">
        <v>1</v>
      </c>
      <c r="M175" s="227" t="s">
        <v>107</v>
      </c>
      <c r="N175" s="227" t="s">
        <v>107</v>
      </c>
      <c r="O175" s="227" t="s">
        <v>107</v>
      </c>
      <c r="P175" s="357"/>
    </row>
    <row r="176" spans="2:16" x14ac:dyDescent="0.3">
      <c r="B176" s="211" t="s">
        <v>941</v>
      </c>
      <c r="C176" s="228">
        <v>15</v>
      </c>
      <c r="D176" s="229">
        <v>0</v>
      </c>
      <c r="E176" s="229">
        <v>1</v>
      </c>
      <c r="F176" s="229">
        <f t="shared" si="10"/>
        <v>1</v>
      </c>
      <c r="G176" s="229">
        <v>0</v>
      </c>
      <c r="H176" s="230" t="s">
        <v>107</v>
      </c>
      <c r="I176" s="230" t="s">
        <v>107</v>
      </c>
      <c r="J176" s="230" t="s">
        <v>107</v>
      </c>
      <c r="K176" s="230" t="s">
        <v>107</v>
      </c>
      <c r="L176" s="229">
        <v>1</v>
      </c>
      <c r="M176" s="230" t="s">
        <v>107</v>
      </c>
      <c r="N176" s="230" t="s">
        <v>107</v>
      </c>
      <c r="O176" s="230" t="s">
        <v>107</v>
      </c>
      <c r="P176" s="357"/>
    </row>
    <row r="177" spans="2:16" s="357" customFormat="1" x14ac:dyDescent="0.3">
      <c r="C177" s="357">
        <f>SUM(C159:C176)</f>
        <v>221</v>
      </c>
      <c r="D177" s="357">
        <f t="shared" ref="D177:O177" si="11">SUM(D159:D176)</f>
        <v>94</v>
      </c>
      <c r="E177" s="357">
        <f t="shared" si="11"/>
        <v>83</v>
      </c>
      <c r="F177" s="357">
        <f t="shared" si="11"/>
        <v>177</v>
      </c>
      <c r="G177" s="357">
        <f t="shared" si="11"/>
        <v>89</v>
      </c>
      <c r="H177" s="357">
        <f t="shared" si="11"/>
        <v>11</v>
      </c>
      <c r="I177" s="357">
        <f t="shared" si="11"/>
        <v>4</v>
      </c>
      <c r="J177" s="357">
        <f t="shared" si="11"/>
        <v>2</v>
      </c>
      <c r="K177" s="357">
        <f t="shared" si="11"/>
        <v>0</v>
      </c>
      <c r="L177" s="357">
        <f t="shared" si="11"/>
        <v>2</v>
      </c>
      <c r="M177" s="357">
        <f t="shared" si="11"/>
        <v>1</v>
      </c>
      <c r="N177" s="357">
        <f t="shared" si="11"/>
        <v>1</v>
      </c>
      <c r="O177" s="357">
        <f t="shared" si="11"/>
        <v>9</v>
      </c>
    </row>
    <row r="178" spans="2:16" s="357" customFormat="1" x14ac:dyDescent="0.3"/>
    <row r="179" spans="2:16" s="357" customFormat="1" x14ac:dyDescent="0.3"/>
    <row r="180" spans="2:16" s="357" customFormat="1" ht="21" x14ac:dyDescent="0.4">
      <c r="B180" s="381" t="s">
        <v>846</v>
      </c>
      <c r="C180" s="475" t="s">
        <v>950</v>
      </c>
    </row>
    <row r="181" spans="2:16" s="357" customFormat="1" ht="7.5" customHeight="1" x14ac:dyDescent="0.3">
      <c r="B181" s="476"/>
      <c r="C181" s="476"/>
      <c r="D181" s="476"/>
      <c r="E181" s="476"/>
      <c r="F181" s="476"/>
      <c r="G181" s="476"/>
      <c r="H181" s="476"/>
      <c r="I181" s="476"/>
      <c r="J181" s="476"/>
      <c r="K181" s="476"/>
      <c r="L181" s="476"/>
      <c r="M181" s="476"/>
      <c r="N181" s="476"/>
      <c r="O181" s="476"/>
    </row>
    <row r="182" spans="2:16" ht="15" thickBot="1" x14ac:dyDescent="0.35">
      <c r="C182" s="206" t="s">
        <v>877</v>
      </c>
      <c r="D182" s="207" t="s">
        <v>533</v>
      </c>
      <c r="E182" s="207" t="s">
        <v>534</v>
      </c>
      <c r="F182" s="207" t="s">
        <v>610</v>
      </c>
      <c r="G182" s="207" t="s">
        <v>535</v>
      </c>
      <c r="H182" s="207" t="s">
        <v>878</v>
      </c>
      <c r="I182" s="207" t="s">
        <v>540</v>
      </c>
      <c r="J182" s="207" t="s">
        <v>545</v>
      </c>
      <c r="K182" s="207" t="s">
        <v>611</v>
      </c>
      <c r="L182" s="207" t="s">
        <v>879</v>
      </c>
      <c r="M182" s="207" t="s">
        <v>637</v>
      </c>
      <c r="N182" s="208" t="s">
        <v>693</v>
      </c>
      <c r="O182" s="208" t="s">
        <v>613</v>
      </c>
      <c r="P182" s="357"/>
    </row>
    <row r="183" spans="2:16" x14ac:dyDescent="0.3">
      <c r="B183" s="209" t="s">
        <v>48</v>
      </c>
      <c r="C183" s="167">
        <v>18</v>
      </c>
      <c r="D183" s="117">
        <v>2</v>
      </c>
      <c r="E183" s="117">
        <v>5</v>
      </c>
      <c r="F183" s="117">
        <f t="shared" ref="F183:F195" si="12">D183+E183</f>
        <v>7</v>
      </c>
      <c r="G183" s="117">
        <v>2</v>
      </c>
      <c r="H183" s="117">
        <v>1</v>
      </c>
      <c r="I183" s="117" t="s">
        <v>107</v>
      </c>
      <c r="J183" s="117" t="s">
        <v>107</v>
      </c>
      <c r="K183" s="117" t="s">
        <v>107</v>
      </c>
      <c r="L183" s="117" t="s">
        <v>107</v>
      </c>
      <c r="M183" s="117" t="s">
        <v>107</v>
      </c>
      <c r="N183" s="117" t="s">
        <v>107</v>
      </c>
      <c r="O183" s="117" t="s">
        <v>107</v>
      </c>
      <c r="P183" s="357"/>
    </row>
    <row r="184" spans="2:16" x14ac:dyDescent="0.3">
      <c r="B184" s="210" t="s">
        <v>181</v>
      </c>
      <c r="C184" s="212">
        <v>16</v>
      </c>
      <c r="D184" s="213">
        <v>5</v>
      </c>
      <c r="E184" s="213">
        <v>5</v>
      </c>
      <c r="F184" s="213">
        <f t="shared" si="12"/>
        <v>10</v>
      </c>
      <c r="G184" s="213">
        <v>0</v>
      </c>
      <c r="H184" s="213" t="s">
        <v>107</v>
      </c>
      <c r="I184" s="213" t="s">
        <v>107</v>
      </c>
      <c r="J184" s="213" t="s">
        <v>107</v>
      </c>
      <c r="K184" s="213" t="s">
        <v>107</v>
      </c>
      <c r="L184" s="213" t="s">
        <v>107</v>
      </c>
      <c r="M184" s="213" t="s">
        <v>107</v>
      </c>
      <c r="N184" s="213" t="s">
        <v>107</v>
      </c>
      <c r="O184" s="213" t="s">
        <v>107</v>
      </c>
      <c r="P184" s="357"/>
    </row>
    <row r="185" spans="2:16" x14ac:dyDescent="0.3">
      <c r="B185" s="210" t="s">
        <v>185</v>
      </c>
      <c r="C185" s="168">
        <v>17</v>
      </c>
      <c r="D185" s="119">
        <v>18</v>
      </c>
      <c r="E185" s="119">
        <v>16</v>
      </c>
      <c r="F185" s="119">
        <f t="shared" si="12"/>
        <v>34</v>
      </c>
      <c r="G185" s="119">
        <v>56</v>
      </c>
      <c r="H185" s="119">
        <v>1</v>
      </c>
      <c r="I185" s="119">
        <v>1</v>
      </c>
      <c r="J185" s="119">
        <v>2</v>
      </c>
      <c r="K185" s="123" t="s">
        <v>511</v>
      </c>
      <c r="L185" s="119" t="s">
        <v>107</v>
      </c>
      <c r="M185" s="119">
        <v>1</v>
      </c>
      <c r="N185" s="119">
        <v>1</v>
      </c>
      <c r="O185" s="119" t="s">
        <v>107</v>
      </c>
      <c r="P185" s="357"/>
    </row>
    <row r="186" spans="2:16" x14ac:dyDescent="0.3">
      <c r="B186" s="210" t="s">
        <v>52</v>
      </c>
      <c r="C186" s="212">
        <v>16</v>
      </c>
      <c r="D186" s="213">
        <v>2</v>
      </c>
      <c r="E186" s="213">
        <v>2</v>
      </c>
      <c r="F186" s="213">
        <f t="shared" si="12"/>
        <v>4</v>
      </c>
      <c r="G186" s="213">
        <v>2</v>
      </c>
      <c r="H186" s="213" t="s">
        <v>107</v>
      </c>
      <c r="I186" s="213" t="s">
        <v>107</v>
      </c>
      <c r="J186" s="213" t="s">
        <v>107</v>
      </c>
      <c r="K186" s="213" t="s">
        <v>107</v>
      </c>
      <c r="L186" s="213" t="s">
        <v>107</v>
      </c>
      <c r="M186" s="213" t="s">
        <v>107</v>
      </c>
      <c r="N186" s="213" t="s">
        <v>107</v>
      </c>
      <c r="O186" s="213" t="s">
        <v>107</v>
      </c>
      <c r="P186" s="357"/>
    </row>
    <row r="187" spans="2:16" x14ac:dyDescent="0.3">
      <c r="B187" s="210" t="s">
        <v>677</v>
      </c>
      <c r="C187" s="168">
        <v>16</v>
      </c>
      <c r="D187" s="119">
        <v>7</v>
      </c>
      <c r="E187" s="119">
        <v>5</v>
      </c>
      <c r="F187" s="119">
        <f t="shared" si="12"/>
        <v>12</v>
      </c>
      <c r="G187" s="119">
        <v>2</v>
      </c>
      <c r="H187" s="119">
        <v>1</v>
      </c>
      <c r="I187" s="119" t="s">
        <v>107</v>
      </c>
      <c r="J187" s="119" t="s">
        <v>107</v>
      </c>
      <c r="K187" s="119" t="s">
        <v>107</v>
      </c>
      <c r="L187" s="119" t="s">
        <v>107</v>
      </c>
      <c r="M187" s="119" t="s">
        <v>107</v>
      </c>
      <c r="N187" s="119" t="s">
        <v>107</v>
      </c>
      <c r="O187" s="119">
        <v>1</v>
      </c>
      <c r="P187" s="357"/>
    </row>
    <row r="188" spans="2:16" x14ac:dyDescent="0.3">
      <c r="B188" s="210" t="s">
        <v>673</v>
      </c>
      <c r="C188" s="212">
        <v>17</v>
      </c>
      <c r="D188" s="213">
        <v>3</v>
      </c>
      <c r="E188" s="213">
        <v>3</v>
      </c>
      <c r="F188" s="213">
        <f t="shared" si="12"/>
        <v>6</v>
      </c>
      <c r="G188" s="213">
        <v>41</v>
      </c>
      <c r="H188" s="213" t="s">
        <v>107</v>
      </c>
      <c r="I188" s="213">
        <v>1</v>
      </c>
      <c r="J188" s="213" t="s">
        <v>107</v>
      </c>
      <c r="K188" s="213" t="s">
        <v>107</v>
      </c>
      <c r="L188" s="213" t="s">
        <v>107</v>
      </c>
      <c r="M188" s="213" t="s">
        <v>107</v>
      </c>
      <c r="N188" s="213" t="s">
        <v>107</v>
      </c>
      <c r="O188" s="213" t="s">
        <v>107</v>
      </c>
      <c r="P188" s="357"/>
    </row>
    <row r="189" spans="2:16" x14ac:dyDescent="0.3">
      <c r="B189" s="210" t="s">
        <v>53</v>
      </c>
      <c r="C189" s="168">
        <v>17</v>
      </c>
      <c r="D189" s="119">
        <v>3</v>
      </c>
      <c r="E189" s="119">
        <v>5</v>
      </c>
      <c r="F189" s="119">
        <f t="shared" si="12"/>
        <v>8</v>
      </c>
      <c r="G189" s="119">
        <v>14</v>
      </c>
      <c r="H189" s="119" t="s">
        <v>107</v>
      </c>
      <c r="I189" s="119">
        <v>1</v>
      </c>
      <c r="J189" s="119" t="s">
        <v>107</v>
      </c>
      <c r="K189" s="119" t="s">
        <v>107</v>
      </c>
      <c r="L189" s="119" t="s">
        <v>107</v>
      </c>
      <c r="M189" s="119" t="s">
        <v>107</v>
      </c>
      <c r="N189" s="119" t="s">
        <v>107</v>
      </c>
      <c r="O189" s="119" t="s">
        <v>107</v>
      </c>
      <c r="P189" s="357"/>
    </row>
    <row r="190" spans="2:16" x14ac:dyDescent="0.3">
      <c r="B190" s="210" t="s">
        <v>50</v>
      </c>
      <c r="C190" s="212">
        <v>16</v>
      </c>
      <c r="D190" s="213">
        <v>11</v>
      </c>
      <c r="E190" s="213">
        <v>7</v>
      </c>
      <c r="F190" s="213">
        <f t="shared" si="12"/>
        <v>18</v>
      </c>
      <c r="G190" s="213">
        <v>2</v>
      </c>
      <c r="H190" s="213">
        <v>1</v>
      </c>
      <c r="I190" s="213" t="s">
        <v>107</v>
      </c>
      <c r="J190" s="213" t="s">
        <v>107</v>
      </c>
      <c r="K190" s="213" t="s">
        <v>107</v>
      </c>
      <c r="L190" s="213" t="s">
        <v>107</v>
      </c>
      <c r="M190" s="213" t="s">
        <v>107</v>
      </c>
      <c r="N190" s="213" t="s">
        <v>107</v>
      </c>
      <c r="O190" s="213" t="s">
        <v>107</v>
      </c>
      <c r="P190" s="357"/>
    </row>
    <row r="191" spans="2:16" x14ac:dyDescent="0.3">
      <c r="B191" s="210" t="s">
        <v>59</v>
      </c>
      <c r="C191" s="168">
        <v>14</v>
      </c>
      <c r="D191" s="119">
        <v>0</v>
      </c>
      <c r="E191" s="119">
        <v>4</v>
      </c>
      <c r="F191" s="119">
        <f t="shared" si="12"/>
        <v>4</v>
      </c>
      <c r="G191" s="119">
        <v>0</v>
      </c>
      <c r="H191" s="119" t="s">
        <v>107</v>
      </c>
      <c r="I191" s="119" t="s">
        <v>107</v>
      </c>
      <c r="J191" s="119" t="s">
        <v>107</v>
      </c>
      <c r="K191" s="119" t="s">
        <v>107</v>
      </c>
      <c r="L191" s="119" t="s">
        <v>107</v>
      </c>
      <c r="M191" s="119" t="s">
        <v>107</v>
      </c>
      <c r="N191" s="119" t="s">
        <v>107</v>
      </c>
      <c r="O191" s="119" t="s">
        <v>107</v>
      </c>
      <c r="P191" s="357"/>
    </row>
    <row r="192" spans="2:16" x14ac:dyDescent="0.3">
      <c r="B192" s="210" t="s">
        <v>675</v>
      </c>
      <c r="C192" s="212">
        <v>17</v>
      </c>
      <c r="D192" s="213">
        <v>8</v>
      </c>
      <c r="E192" s="213">
        <v>5</v>
      </c>
      <c r="F192" s="213">
        <f t="shared" si="12"/>
        <v>13</v>
      </c>
      <c r="G192" s="213">
        <v>6</v>
      </c>
      <c r="H192" s="213">
        <v>1</v>
      </c>
      <c r="I192" s="213" t="s">
        <v>107</v>
      </c>
      <c r="J192" s="213" t="s">
        <v>107</v>
      </c>
      <c r="K192" s="213" t="s">
        <v>107</v>
      </c>
      <c r="L192" s="213" t="s">
        <v>107</v>
      </c>
      <c r="M192" s="213">
        <v>1</v>
      </c>
      <c r="N192" s="213">
        <v>1</v>
      </c>
      <c r="O192" s="213" t="s">
        <v>107</v>
      </c>
      <c r="P192" s="357"/>
    </row>
    <row r="193" spans="2:16" x14ac:dyDescent="0.3">
      <c r="B193" s="210" t="s">
        <v>278</v>
      </c>
      <c r="C193" s="168">
        <v>13</v>
      </c>
      <c r="D193" s="119">
        <v>2</v>
      </c>
      <c r="E193" s="119">
        <v>2</v>
      </c>
      <c r="F193" s="119">
        <f t="shared" si="12"/>
        <v>4</v>
      </c>
      <c r="G193" s="119">
        <v>33</v>
      </c>
      <c r="H193" s="119">
        <v>1</v>
      </c>
      <c r="I193" s="119" t="s">
        <v>107</v>
      </c>
      <c r="J193" s="119" t="s">
        <v>107</v>
      </c>
      <c r="K193" s="119" t="s">
        <v>107</v>
      </c>
      <c r="L193" s="119" t="s">
        <v>107</v>
      </c>
      <c r="M193" s="119" t="s">
        <v>107</v>
      </c>
      <c r="N193" s="119" t="s">
        <v>107</v>
      </c>
      <c r="O193" s="119" t="s">
        <v>107</v>
      </c>
      <c r="P193" s="357"/>
    </row>
    <row r="194" spans="2:16" x14ac:dyDescent="0.3">
      <c r="B194" s="210" t="s">
        <v>279</v>
      </c>
      <c r="C194" s="212">
        <v>18</v>
      </c>
      <c r="D194" s="213">
        <v>9</v>
      </c>
      <c r="E194" s="213">
        <v>2</v>
      </c>
      <c r="F194" s="213">
        <f t="shared" si="12"/>
        <v>11</v>
      </c>
      <c r="G194" s="213">
        <v>2</v>
      </c>
      <c r="H194" s="213">
        <v>1</v>
      </c>
      <c r="I194" s="213">
        <v>2</v>
      </c>
      <c r="J194" s="213" t="s">
        <v>107</v>
      </c>
      <c r="K194" s="213" t="s">
        <v>107</v>
      </c>
      <c r="L194" s="213" t="s">
        <v>107</v>
      </c>
      <c r="M194" s="213" t="s">
        <v>107</v>
      </c>
      <c r="N194" s="213" t="s">
        <v>107</v>
      </c>
      <c r="O194" s="213" t="s">
        <v>107</v>
      </c>
      <c r="P194" s="357"/>
    </row>
    <row r="195" spans="2:16" x14ac:dyDescent="0.3">
      <c r="B195" s="210" t="s">
        <v>532</v>
      </c>
      <c r="C195" s="168">
        <v>14</v>
      </c>
      <c r="D195" s="119">
        <v>0</v>
      </c>
      <c r="E195" s="119">
        <v>0</v>
      </c>
      <c r="F195" s="119">
        <f t="shared" si="12"/>
        <v>0</v>
      </c>
      <c r="G195" s="119">
        <v>0</v>
      </c>
      <c r="H195" s="119" t="s">
        <v>107</v>
      </c>
      <c r="I195" s="119" t="s">
        <v>107</v>
      </c>
      <c r="J195" s="119" t="s">
        <v>107</v>
      </c>
      <c r="K195" s="119" t="s">
        <v>107</v>
      </c>
      <c r="L195" s="119" t="s">
        <v>107</v>
      </c>
      <c r="M195" s="119" t="s">
        <v>107</v>
      </c>
      <c r="N195" s="119" t="s">
        <v>107</v>
      </c>
      <c r="O195" s="119" t="s">
        <v>107</v>
      </c>
      <c r="P195" s="357"/>
    </row>
    <row r="196" spans="2:16" x14ac:dyDescent="0.3">
      <c r="B196" s="210" t="s">
        <v>531</v>
      </c>
      <c r="C196" s="212">
        <v>16</v>
      </c>
      <c r="D196" s="213">
        <v>0</v>
      </c>
      <c r="E196" s="213">
        <v>0</v>
      </c>
      <c r="F196" s="213">
        <v>0</v>
      </c>
      <c r="G196" s="213">
        <v>0</v>
      </c>
      <c r="H196" s="213" t="s">
        <v>107</v>
      </c>
      <c r="I196" s="213" t="s">
        <v>107</v>
      </c>
      <c r="J196" s="213" t="s">
        <v>107</v>
      </c>
      <c r="K196" s="213" t="s">
        <v>881</v>
      </c>
      <c r="L196" s="213">
        <v>1</v>
      </c>
      <c r="M196" s="213" t="s">
        <v>107</v>
      </c>
      <c r="N196" s="213" t="s">
        <v>107</v>
      </c>
      <c r="O196" s="213" t="s">
        <v>107</v>
      </c>
      <c r="P196" s="357"/>
    </row>
    <row r="197" spans="2:16" x14ac:dyDescent="0.3">
      <c r="B197" s="211" t="s">
        <v>880</v>
      </c>
      <c r="C197" s="168">
        <v>4</v>
      </c>
      <c r="D197" s="119">
        <v>0</v>
      </c>
      <c r="E197" s="119">
        <v>0</v>
      </c>
      <c r="F197" s="178">
        <v>0</v>
      </c>
      <c r="G197" s="119">
        <v>0</v>
      </c>
      <c r="H197" s="119" t="s">
        <v>107</v>
      </c>
      <c r="I197" s="119" t="s">
        <v>107</v>
      </c>
      <c r="J197" s="119" t="s">
        <v>107</v>
      </c>
      <c r="K197" s="119" t="s">
        <v>107</v>
      </c>
      <c r="L197" s="119" t="s">
        <v>107</v>
      </c>
      <c r="M197" s="119" t="s">
        <v>107</v>
      </c>
      <c r="N197" s="119" t="s">
        <v>107</v>
      </c>
      <c r="O197" s="119" t="s">
        <v>107</v>
      </c>
      <c r="P197" s="357"/>
    </row>
    <row r="198" spans="2:16" s="357" customFormat="1" x14ac:dyDescent="0.3">
      <c r="C198" s="357">
        <f>SUM(C180:C197)</f>
        <v>229</v>
      </c>
      <c r="D198" s="357">
        <f t="shared" ref="D198:O198" si="13">SUM(D180:D197)</f>
        <v>70</v>
      </c>
      <c r="E198" s="357">
        <f t="shared" si="13"/>
        <v>61</v>
      </c>
      <c r="F198" s="357">
        <f t="shared" si="13"/>
        <v>131</v>
      </c>
      <c r="G198" s="357">
        <f t="shared" si="13"/>
        <v>160</v>
      </c>
      <c r="H198" s="357">
        <f t="shared" si="13"/>
        <v>7</v>
      </c>
      <c r="I198" s="357">
        <f t="shared" si="13"/>
        <v>5</v>
      </c>
      <c r="J198" s="357">
        <f t="shared" si="13"/>
        <v>2</v>
      </c>
      <c r="K198" s="357">
        <f t="shared" si="13"/>
        <v>0</v>
      </c>
      <c r="L198" s="357">
        <f t="shared" si="13"/>
        <v>1</v>
      </c>
      <c r="M198" s="357">
        <f t="shared" si="13"/>
        <v>2</v>
      </c>
      <c r="N198" s="357">
        <f t="shared" si="13"/>
        <v>2</v>
      </c>
      <c r="O198" s="357">
        <f t="shared" si="13"/>
        <v>1</v>
      </c>
    </row>
    <row r="199" spans="2:16" s="357" customFormat="1" x14ac:dyDescent="0.3"/>
    <row r="200" spans="2:16" s="357" customFormat="1" x14ac:dyDescent="0.3"/>
    <row r="201" spans="2:16" s="357" customFormat="1" x14ac:dyDescent="0.3"/>
    <row r="202" spans="2:16" s="357" customFormat="1" x14ac:dyDescent="0.3"/>
    <row r="203" spans="2:16" s="357" customFormat="1" x14ac:dyDescent="0.3"/>
    <row r="204" spans="2:16" s="357" customFormat="1" x14ac:dyDescent="0.3"/>
    <row r="205" spans="2:16" s="357" customFormat="1" x14ac:dyDescent="0.3"/>
    <row r="206" spans="2:16" s="357" customFormat="1" x14ac:dyDescent="0.3"/>
    <row r="207" spans="2:16" s="357" customFormat="1" x14ac:dyDescent="0.3"/>
    <row r="208" spans="2:16" s="357" customFormat="1" x14ac:dyDescent="0.3"/>
    <row r="209" s="357" customFormat="1" x14ac:dyDescent="0.3"/>
    <row r="210" s="357" customFormat="1" x14ac:dyDescent="0.3"/>
    <row r="211" s="357" customFormat="1" x14ac:dyDescent="0.3"/>
    <row r="212" s="357" customFormat="1" x14ac:dyDescent="0.3"/>
    <row r="213" s="357" customFormat="1" x14ac:dyDescent="0.3"/>
    <row r="214" s="357" customFormat="1" x14ac:dyDescent="0.3"/>
    <row r="215" s="357" customFormat="1" x14ac:dyDescent="0.3"/>
    <row r="216" s="357" customFormat="1" x14ac:dyDescent="0.3"/>
    <row r="217" s="357" customFormat="1" x14ac:dyDescent="0.3"/>
    <row r="218" s="357" customFormat="1" x14ac:dyDescent="0.3"/>
    <row r="219" s="357" customFormat="1" x14ac:dyDescent="0.3"/>
    <row r="220" s="357" customFormat="1" x14ac:dyDescent="0.3"/>
    <row r="221" s="357" customFormat="1" x14ac:dyDescent="0.3"/>
    <row r="222" s="357" customFormat="1" x14ac:dyDescent="0.3"/>
    <row r="223" s="357" customFormat="1" x14ac:dyDescent="0.3"/>
    <row r="224" s="357" customFormat="1" x14ac:dyDescent="0.3"/>
    <row r="225" s="357" customFormat="1" x14ac:dyDescent="0.3"/>
    <row r="226" s="357" customFormat="1" x14ac:dyDescent="0.3"/>
    <row r="227" s="357" customFormat="1" x14ac:dyDescent="0.3"/>
    <row r="228" s="357" customFormat="1" x14ac:dyDescent="0.3"/>
    <row r="229" s="357" customFormat="1" x14ac:dyDescent="0.3"/>
    <row r="230" s="357" customFormat="1" x14ac:dyDescent="0.3"/>
    <row r="231" s="357" customFormat="1" x14ac:dyDescent="0.3"/>
    <row r="232" s="357" customFormat="1" x14ac:dyDescent="0.3"/>
    <row r="233" s="357" customFormat="1" x14ac:dyDescent="0.3"/>
    <row r="234" s="357" customFormat="1" x14ac:dyDescent="0.3"/>
  </sheetData>
  <pageMargins left="0.25" right="0.25" top="0.75" bottom="0.75" header="0.3" footer="0.3"/>
  <pageSetup paperSize="9" scale="23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4"/>
  <sheetViews>
    <sheetView zoomScale="80" zoomScaleNormal="80" workbookViewId="0">
      <pane ySplit="4" topLeftCell="A14" activePane="bottomLeft" state="frozen"/>
      <selection pane="bottomLeft" activeCell="G40" sqref="G40"/>
    </sheetView>
  </sheetViews>
  <sheetFormatPr defaultColWidth="9.109375" defaultRowHeight="14.4" x14ac:dyDescent="0.3"/>
  <cols>
    <col min="1" max="1" width="2.88671875" customWidth="1"/>
    <col min="2" max="3" width="17.8867187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8" customWidth="1"/>
    <col min="21" max="25" width="8" style="8" hidden="1" customWidth="1"/>
    <col min="26" max="28" width="8" customWidth="1"/>
  </cols>
  <sheetData>
    <row r="1" spans="1:26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  <c r="Z1" s="357"/>
    </row>
    <row r="2" spans="1:26" x14ac:dyDescent="0.3">
      <c r="A2" s="357"/>
      <c r="B2" s="608" t="s">
        <v>1511</v>
      </c>
      <c r="C2" s="640" t="s">
        <v>754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/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  <c r="Z2" s="357"/>
    </row>
    <row r="3" spans="1:26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  <c r="Z3" s="357"/>
    </row>
    <row r="4" spans="1:26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  <c r="Z4" s="644"/>
    </row>
    <row r="5" spans="1:26" s="617" customFormat="1" ht="7.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  <c r="Z5" s="644"/>
    </row>
    <row r="6" spans="1:26" s="140" customFormat="1" ht="10.199999999999999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2</v>
      </c>
      <c r="G6" s="642">
        <v>4</v>
      </c>
      <c r="H6" s="620">
        <f>SUM(E6:G6)</f>
        <v>6</v>
      </c>
      <c r="I6" s="621" t="str">
        <f>IF(H6&gt;H7,"Voitto",IF(H6=H7,"Tasapeli","Häviö"))</f>
        <v>Voitto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6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  <c r="Z6" s="519"/>
    </row>
    <row r="7" spans="1:26" s="140" customFormat="1" ht="10.199999999999999" x14ac:dyDescent="0.2">
      <c r="A7" s="519"/>
      <c r="B7" s="643" t="s">
        <v>1435</v>
      </c>
      <c r="C7" s="643" t="s">
        <v>1515</v>
      </c>
      <c r="D7" s="643" t="s">
        <v>1574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  <c r="Z7" s="519"/>
    </row>
    <row r="8" spans="1:26" s="519" customFormat="1" ht="3.75" customHeight="1" x14ac:dyDescent="0.2">
      <c r="E8" s="624"/>
      <c r="F8" s="624"/>
      <c r="G8" s="624"/>
      <c r="H8" s="625"/>
      <c r="I8" s="625"/>
      <c r="J8" s="624"/>
      <c r="K8" s="624"/>
      <c r="L8" s="624"/>
      <c r="M8" s="624"/>
      <c r="N8" s="624"/>
      <c r="O8" s="624"/>
      <c r="P8" s="624"/>
      <c r="Q8" s="624"/>
      <c r="R8" s="624"/>
      <c r="S8" s="624"/>
      <c r="U8" s="624"/>
      <c r="V8" s="624"/>
      <c r="W8" s="624"/>
      <c r="X8" s="624"/>
      <c r="Y8" s="624"/>
    </row>
    <row r="9" spans="1:26" s="140" customFormat="1" ht="10.199999999999999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2</v>
      </c>
      <c r="G9" s="642">
        <v>2</v>
      </c>
      <c r="H9" s="620">
        <f>SUM(E9:G9)</f>
        <v>4</v>
      </c>
      <c r="I9" s="621" t="str">
        <f>IF(H9&gt;H10,"Voitto",IF(H9=H10,"Tasapeli","Häviö"))</f>
        <v>Voitto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4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  <c r="Z9" s="519"/>
    </row>
    <row r="10" spans="1:26" s="140" customFormat="1" ht="10.199999999999999" x14ac:dyDescent="0.2">
      <c r="A10" s="519"/>
      <c r="B10" s="643" t="s">
        <v>1435</v>
      </c>
      <c r="C10" s="643" t="s">
        <v>1515</v>
      </c>
      <c r="D10" s="643" t="s">
        <v>1575</v>
      </c>
      <c r="E10" s="642">
        <v>1</v>
      </c>
      <c r="F10" s="642">
        <v>0</v>
      </c>
      <c r="G10" s="642">
        <v>2</v>
      </c>
      <c r="H10" s="622">
        <f>SUM(E10:G10)</f>
        <v>3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3</v>
      </c>
      <c r="W10" s="624"/>
      <c r="X10" s="624"/>
      <c r="Y10" s="624"/>
      <c r="Z10" s="519"/>
    </row>
    <row r="11" spans="1:26" s="519" customFormat="1" ht="3.75" customHeight="1" x14ac:dyDescent="0.2">
      <c r="E11" s="624"/>
      <c r="F11" s="624"/>
      <c r="G11" s="624"/>
      <c r="H11" s="625"/>
      <c r="I11" s="625"/>
      <c r="J11" s="624"/>
      <c r="K11" s="624"/>
      <c r="L11" s="624"/>
      <c r="M11" s="624"/>
      <c r="N11" s="624"/>
      <c r="O11" s="624"/>
      <c r="P11" s="624"/>
      <c r="Q11" s="624"/>
      <c r="R11" s="624"/>
      <c r="S11" s="624"/>
      <c r="U11" s="624"/>
      <c r="V11" s="624"/>
      <c r="W11" s="624"/>
      <c r="X11" s="624"/>
      <c r="Y11" s="624"/>
    </row>
    <row r="12" spans="1:26" s="140" customFormat="1" ht="10.199999999999999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1</v>
      </c>
      <c r="G12" s="642">
        <v>5</v>
      </c>
      <c r="H12" s="620">
        <f>SUM(E12:G12)</f>
        <v>6</v>
      </c>
      <c r="I12" s="621" t="str">
        <f>IF(H12&gt;H13,"Voitto",IF(H12=H13,"Tasapeli","Häviö"))</f>
        <v>Voitto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6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  <c r="Z12" s="519"/>
    </row>
    <row r="13" spans="1:26" s="140" customFormat="1" ht="10.199999999999999" x14ac:dyDescent="0.2">
      <c r="A13" s="519"/>
      <c r="B13" s="643" t="s">
        <v>1435</v>
      </c>
      <c r="C13" s="643" t="s">
        <v>1514</v>
      </c>
      <c r="D13" s="643" t="s">
        <v>1576</v>
      </c>
      <c r="E13" s="642">
        <v>1</v>
      </c>
      <c r="F13" s="642">
        <v>1</v>
      </c>
      <c r="G13" s="642">
        <v>0</v>
      </c>
      <c r="H13" s="622">
        <f>SUM(E13:G13)</f>
        <v>2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2</v>
      </c>
      <c r="W13" s="624"/>
      <c r="X13" s="624"/>
      <c r="Y13" s="624"/>
      <c r="Z13" s="519"/>
    </row>
    <row r="14" spans="1:26" s="519" customFormat="1" ht="3.75" customHeight="1" x14ac:dyDescent="0.2">
      <c r="E14" s="624"/>
      <c r="F14" s="624"/>
      <c r="G14" s="624"/>
      <c r="H14" s="625"/>
      <c r="I14" s="625"/>
      <c r="J14" s="624"/>
      <c r="K14" s="624"/>
      <c r="L14" s="624"/>
      <c r="M14" s="624"/>
      <c r="N14" s="624"/>
      <c r="O14" s="624"/>
      <c r="P14" s="624"/>
      <c r="Q14" s="624"/>
      <c r="R14" s="624"/>
      <c r="S14" s="624"/>
      <c r="U14" s="624"/>
      <c r="V14" s="624"/>
      <c r="W14" s="624"/>
      <c r="X14" s="624"/>
      <c r="Y14" s="624"/>
    </row>
    <row r="15" spans="1:26" s="140" customFormat="1" ht="10.199999999999999" x14ac:dyDescent="0.2">
      <c r="A15" s="519"/>
      <c r="B15" s="618" t="s">
        <v>1539</v>
      </c>
      <c r="C15" s="643" t="s">
        <v>44</v>
      </c>
      <c r="D15" s="619" t="s">
        <v>0</v>
      </c>
      <c r="E15" s="642">
        <v>2</v>
      </c>
      <c r="F15" s="642">
        <v>1</v>
      </c>
      <c r="G15" s="642">
        <v>0</v>
      </c>
      <c r="H15" s="620">
        <f>SUM(E15:G15)</f>
        <v>3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3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  <c r="Z15" s="519"/>
    </row>
    <row r="16" spans="1:26" s="140" customFormat="1" ht="10.199999999999999" x14ac:dyDescent="0.2">
      <c r="A16" s="519"/>
      <c r="B16" s="643" t="s">
        <v>1435</v>
      </c>
      <c r="C16" s="643" t="s">
        <v>1515</v>
      </c>
      <c r="D16" s="643" t="s">
        <v>1577</v>
      </c>
      <c r="E16" s="642">
        <v>2</v>
      </c>
      <c r="F16" s="642">
        <v>0</v>
      </c>
      <c r="G16" s="642">
        <v>1</v>
      </c>
      <c r="H16" s="622">
        <f>SUM(E16:G16)</f>
        <v>3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3</v>
      </c>
      <c r="W16" s="624"/>
      <c r="X16" s="624"/>
      <c r="Y16" s="624"/>
      <c r="Z16" s="519"/>
    </row>
    <row r="17" spans="1:26" s="519" customFormat="1" ht="3.75" customHeight="1" x14ac:dyDescent="0.2">
      <c r="E17" s="624"/>
      <c r="F17" s="624"/>
      <c r="G17" s="624"/>
      <c r="H17" s="625"/>
      <c r="I17" s="625"/>
      <c r="J17" s="624"/>
      <c r="K17" s="624"/>
      <c r="L17" s="624"/>
      <c r="M17" s="624"/>
      <c r="N17" s="624"/>
      <c r="O17" s="624"/>
      <c r="P17" s="624"/>
      <c r="Q17" s="624"/>
      <c r="R17" s="624"/>
      <c r="S17" s="624"/>
      <c r="U17" s="624"/>
      <c r="V17" s="624"/>
      <c r="W17" s="624"/>
      <c r="X17" s="624"/>
      <c r="Y17" s="624"/>
    </row>
    <row r="18" spans="1:26" s="140" customFormat="1" ht="10.199999999999999" x14ac:dyDescent="0.2">
      <c r="A18" s="519"/>
      <c r="B18" s="618" t="s">
        <v>1540</v>
      </c>
      <c r="C18" s="643" t="s">
        <v>44</v>
      </c>
      <c r="D18" s="619" t="s">
        <v>0</v>
      </c>
      <c r="E18" s="642">
        <v>6</v>
      </c>
      <c r="F18" s="642">
        <v>3</v>
      </c>
      <c r="G18" s="642">
        <v>4</v>
      </c>
      <c r="H18" s="620">
        <f>SUM(E18:G18)</f>
        <v>13</v>
      </c>
      <c r="I18" s="621" t="str">
        <f>IF(H18&gt;H19,"Voitto",IF(H18=H19,"Tasapeli","Häviö"))</f>
        <v>Voitto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13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  <c r="Z18" s="519"/>
    </row>
    <row r="19" spans="1:26" s="140" customFormat="1" ht="10.199999999999999" x14ac:dyDescent="0.2">
      <c r="A19" s="519"/>
      <c r="B19" s="643" t="s">
        <v>1435</v>
      </c>
      <c r="C19" s="643" t="s">
        <v>1514</v>
      </c>
      <c r="D19" s="643" t="s">
        <v>1578</v>
      </c>
      <c r="E19" s="642">
        <v>1</v>
      </c>
      <c r="F19" s="642">
        <v>2</v>
      </c>
      <c r="G19" s="642">
        <v>1</v>
      </c>
      <c r="H19" s="622">
        <f>SUM(E19:G19)</f>
        <v>4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4</v>
      </c>
      <c r="W19" s="624"/>
      <c r="X19" s="624"/>
      <c r="Y19" s="624"/>
      <c r="Z19" s="519"/>
    </row>
    <row r="20" spans="1:26" s="519" customFormat="1" ht="3.75" customHeight="1" x14ac:dyDescent="0.2">
      <c r="E20" s="624"/>
      <c r="F20" s="624"/>
      <c r="G20" s="624"/>
      <c r="H20" s="625"/>
      <c r="I20" s="625"/>
      <c r="J20" s="624"/>
      <c r="K20" s="624"/>
      <c r="L20" s="624"/>
      <c r="M20" s="624"/>
      <c r="N20" s="624"/>
      <c r="O20" s="624"/>
      <c r="P20" s="624"/>
      <c r="Q20" s="624"/>
      <c r="R20" s="624"/>
      <c r="S20" s="624"/>
      <c r="U20" s="624"/>
      <c r="V20" s="624"/>
      <c r="W20" s="624"/>
      <c r="X20" s="624"/>
      <c r="Y20" s="624"/>
    </row>
    <row r="21" spans="1:26" s="140" customFormat="1" ht="10.199999999999999" x14ac:dyDescent="0.2">
      <c r="A21" s="519"/>
      <c r="B21" s="618" t="s">
        <v>1541</v>
      </c>
      <c r="C21" s="643" t="s">
        <v>44</v>
      </c>
      <c r="D21" s="619" t="s">
        <v>0</v>
      </c>
      <c r="E21" s="642">
        <v>0</v>
      </c>
      <c r="F21" s="642">
        <v>1</v>
      </c>
      <c r="G21" s="642">
        <v>0</v>
      </c>
      <c r="H21" s="620">
        <f>SUM(E21:G21)</f>
        <v>1</v>
      </c>
      <c r="I21" s="621" t="str">
        <f>IF(H21&gt;H22,"Voitto",IF(H21=H22,"Tasapeli","Häviö"))</f>
        <v>Häviö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1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  <c r="Z21" s="519"/>
    </row>
    <row r="22" spans="1:26" s="140" customFormat="1" ht="10.199999999999999" x14ac:dyDescent="0.2">
      <c r="A22" s="519"/>
      <c r="B22" s="643" t="s">
        <v>1435</v>
      </c>
      <c r="C22" s="643" t="s">
        <v>1514</v>
      </c>
      <c r="D22" s="643" t="s">
        <v>1579</v>
      </c>
      <c r="E22" s="642">
        <v>1</v>
      </c>
      <c r="F22" s="642">
        <v>3</v>
      </c>
      <c r="G22" s="642">
        <v>2</v>
      </c>
      <c r="H22" s="622">
        <f>SUM(E22:G22)</f>
        <v>6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6</v>
      </c>
      <c r="W22" s="624"/>
      <c r="X22" s="624"/>
      <c r="Y22" s="624"/>
      <c r="Z22" s="519"/>
    </row>
    <row r="23" spans="1:26" s="519" customFormat="1" ht="3.75" customHeight="1" x14ac:dyDescent="0.2">
      <c r="E23" s="624"/>
      <c r="F23" s="624"/>
      <c r="G23" s="624"/>
      <c r="H23" s="625"/>
      <c r="I23" s="625"/>
      <c r="J23" s="624"/>
      <c r="K23" s="624"/>
      <c r="L23" s="624"/>
      <c r="M23" s="624"/>
      <c r="N23" s="624"/>
      <c r="O23" s="624"/>
      <c r="P23" s="624"/>
      <c r="Q23" s="624"/>
      <c r="R23" s="624"/>
      <c r="S23" s="624"/>
      <c r="U23" s="624"/>
      <c r="V23" s="624"/>
      <c r="W23" s="624"/>
      <c r="X23" s="624"/>
      <c r="Y23" s="624"/>
    </row>
    <row r="24" spans="1:26" s="140" customFormat="1" ht="10.199999999999999" x14ac:dyDescent="0.2">
      <c r="A24" s="519"/>
      <c r="B24" s="618" t="s">
        <v>1542</v>
      </c>
      <c r="C24" s="643" t="s">
        <v>44</v>
      </c>
      <c r="D24" s="619" t="s">
        <v>0</v>
      </c>
      <c r="E24" s="642">
        <v>1</v>
      </c>
      <c r="F24" s="642">
        <v>1</v>
      </c>
      <c r="G24" s="642">
        <v>1</v>
      </c>
      <c r="H24" s="620">
        <f>SUM(E24:G24)</f>
        <v>3</v>
      </c>
      <c r="I24" s="621" t="str">
        <f>IF(H24&gt;H25,"Voitto",IF(H24=H25,"Tasapeli","Häviö"))</f>
        <v>Häviö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3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  <c r="Z24" s="519"/>
    </row>
    <row r="25" spans="1:26" s="140" customFormat="1" ht="10.199999999999999" x14ac:dyDescent="0.2">
      <c r="A25" s="519"/>
      <c r="B25" s="643" t="s">
        <v>1435</v>
      </c>
      <c r="C25" s="643" t="s">
        <v>1515</v>
      </c>
      <c r="D25" s="643" t="s">
        <v>1580</v>
      </c>
      <c r="E25" s="642">
        <v>1</v>
      </c>
      <c r="F25" s="642">
        <v>1</v>
      </c>
      <c r="G25" s="642">
        <v>2</v>
      </c>
      <c r="H25" s="622">
        <f>SUM(E25:G25)</f>
        <v>4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4</v>
      </c>
      <c r="W25" s="624"/>
      <c r="X25" s="624"/>
      <c r="Y25" s="624"/>
      <c r="Z25" s="519"/>
    </row>
    <row r="26" spans="1:26" s="519" customFormat="1" ht="3.75" customHeight="1" x14ac:dyDescent="0.2">
      <c r="E26" s="624"/>
      <c r="F26" s="624"/>
      <c r="G26" s="624"/>
      <c r="H26" s="625"/>
      <c r="I26" s="625"/>
      <c r="J26" s="624"/>
      <c r="K26" s="624"/>
      <c r="L26" s="624"/>
      <c r="M26" s="624"/>
      <c r="N26" s="624"/>
      <c r="O26" s="624"/>
      <c r="P26" s="624"/>
      <c r="Q26" s="624"/>
      <c r="R26" s="624"/>
      <c r="S26" s="624"/>
      <c r="U26" s="624"/>
      <c r="V26" s="624"/>
      <c r="W26" s="624"/>
      <c r="X26" s="624"/>
      <c r="Y26" s="624"/>
    </row>
    <row r="27" spans="1:26" s="140" customFormat="1" ht="10.199999999999999" x14ac:dyDescent="0.2">
      <c r="A27" s="519"/>
      <c r="B27" s="618" t="s">
        <v>1543</v>
      </c>
      <c r="C27" s="643" t="s">
        <v>44</v>
      </c>
      <c r="D27" s="619" t="s">
        <v>0</v>
      </c>
      <c r="E27" s="642">
        <v>3</v>
      </c>
      <c r="F27" s="642">
        <v>3</v>
      </c>
      <c r="G27" s="642">
        <v>2</v>
      </c>
      <c r="H27" s="620">
        <f>SUM(E27:G27)</f>
        <v>8</v>
      </c>
      <c r="I27" s="621" t="str">
        <f>IF(H27&gt;H28,"Voitto",IF(H27=H28,"Tasapeli","Häviö"))</f>
        <v>Voitto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8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  <c r="Z27" s="519"/>
    </row>
    <row r="28" spans="1:26" s="140" customFormat="1" ht="10.199999999999999" x14ac:dyDescent="0.2">
      <c r="A28" s="519"/>
      <c r="B28" s="643" t="s">
        <v>1435</v>
      </c>
      <c r="C28" s="643" t="s">
        <v>1514</v>
      </c>
      <c r="D28" s="643" t="s">
        <v>1581</v>
      </c>
      <c r="E28" s="642">
        <v>2</v>
      </c>
      <c r="F28" s="642">
        <v>1</v>
      </c>
      <c r="G28" s="642">
        <v>0</v>
      </c>
      <c r="H28" s="622">
        <f>SUM(E28:G28)</f>
        <v>3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3</v>
      </c>
      <c r="W28" s="624"/>
      <c r="X28" s="624"/>
      <c r="Y28" s="624"/>
      <c r="Z28" s="519"/>
    </row>
    <row r="29" spans="1:26" s="519" customFormat="1" ht="3.75" customHeight="1" x14ac:dyDescent="0.2">
      <c r="E29" s="624"/>
      <c r="F29" s="624"/>
      <c r="G29" s="624"/>
      <c r="H29" s="625"/>
      <c r="I29" s="625"/>
      <c r="J29" s="624"/>
      <c r="K29" s="624"/>
      <c r="L29" s="624"/>
      <c r="M29" s="624"/>
      <c r="N29" s="624"/>
      <c r="O29" s="624"/>
      <c r="P29" s="624"/>
      <c r="Q29" s="624"/>
      <c r="R29" s="624"/>
      <c r="S29" s="624"/>
      <c r="U29" s="624"/>
      <c r="V29" s="624"/>
      <c r="W29" s="624"/>
      <c r="X29" s="624"/>
      <c r="Y29" s="624"/>
    </row>
    <row r="30" spans="1:26" s="140" customFormat="1" ht="10.199999999999999" x14ac:dyDescent="0.2">
      <c r="A30" s="519"/>
      <c r="B30" s="618" t="s">
        <v>1544</v>
      </c>
      <c r="C30" s="643" t="s">
        <v>44</v>
      </c>
      <c r="D30" s="619" t="s">
        <v>0</v>
      </c>
      <c r="E30" s="642">
        <v>2</v>
      </c>
      <c r="F30" s="642">
        <v>2</v>
      </c>
      <c r="G30" s="642">
        <v>2</v>
      </c>
      <c r="H30" s="620">
        <f>SUM(E30:G30)</f>
        <v>6</v>
      </c>
      <c r="I30" s="621" t="str">
        <f>IF(H30&gt;H31,"Voitto",IF(H30=H31,"Tasapeli","Häviö"))</f>
        <v>Voitto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6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  <c r="Z30" s="519"/>
    </row>
    <row r="31" spans="1:26" s="140" customFormat="1" ht="10.199999999999999" x14ac:dyDescent="0.2">
      <c r="A31" s="519"/>
      <c r="B31" s="643" t="s">
        <v>1435</v>
      </c>
      <c r="C31" s="643" t="s">
        <v>1515</v>
      </c>
      <c r="D31" s="643" t="s">
        <v>1576</v>
      </c>
      <c r="E31" s="642">
        <v>0</v>
      </c>
      <c r="F31" s="642">
        <v>2</v>
      </c>
      <c r="G31" s="642">
        <v>3</v>
      </c>
      <c r="H31" s="622">
        <f>SUM(E31:G31)</f>
        <v>5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5</v>
      </c>
      <c r="W31" s="624"/>
      <c r="X31" s="624"/>
      <c r="Y31" s="624"/>
      <c r="Z31" s="519"/>
    </row>
    <row r="32" spans="1:26" s="519" customFormat="1" ht="3.75" customHeight="1" x14ac:dyDescent="0.2">
      <c r="E32" s="624"/>
      <c r="F32" s="624"/>
      <c r="G32" s="624"/>
      <c r="H32" s="625"/>
      <c r="I32" s="625"/>
      <c r="J32" s="624"/>
      <c r="K32" s="624"/>
      <c r="L32" s="624"/>
      <c r="M32" s="624"/>
      <c r="N32" s="624"/>
      <c r="O32" s="624"/>
      <c r="P32" s="624"/>
      <c r="Q32" s="624"/>
      <c r="R32" s="624"/>
      <c r="S32" s="624"/>
      <c r="U32" s="624"/>
      <c r="V32" s="624"/>
      <c r="W32" s="624"/>
      <c r="X32" s="624"/>
      <c r="Y32" s="624"/>
    </row>
    <row r="33" spans="1:26" s="140" customFormat="1" ht="10.199999999999999" x14ac:dyDescent="0.2">
      <c r="A33" s="519"/>
      <c r="B33" s="618" t="s">
        <v>1545</v>
      </c>
      <c r="C33" s="643" t="s">
        <v>44</v>
      </c>
      <c r="D33" s="619" t="s">
        <v>0</v>
      </c>
      <c r="E33" s="642">
        <v>1</v>
      </c>
      <c r="F33" s="642">
        <v>2</v>
      </c>
      <c r="G33" s="642">
        <v>1</v>
      </c>
      <c r="H33" s="620">
        <f>SUM(E33:G33)</f>
        <v>4</v>
      </c>
      <c r="I33" s="621" t="str">
        <f>IF(H33&gt;H34,"Voitto",IF(H33=H34,"Tasapeli","Häviö"))</f>
        <v>Häviö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4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  <c r="Z33" s="519"/>
    </row>
    <row r="34" spans="1:26" s="140" customFormat="1" ht="10.199999999999999" x14ac:dyDescent="0.2">
      <c r="A34" s="519"/>
      <c r="B34" s="643" t="s">
        <v>1435</v>
      </c>
      <c r="C34" s="643" t="s">
        <v>1514</v>
      </c>
      <c r="D34" s="643" t="s">
        <v>1577</v>
      </c>
      <c r="E34" s="642">
        <v>1</v>
      </c>
      <c r="F34" s="642">
        <v>2</v>
      </c>
      <c r="G34" s="642">
        <v>3</v>
      </c>
      <c r="H34" s="622">
        <f>SUM(E34:G34)</f>
        <v>6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6</v>
      </c>
      <c r="W34" s="624"/>
      <c r="X34" s="624"/>
      <c r="Y34" s="624"/>
      <c r="Z34" s="519"/>
    </row>
    <row r="35" spans="1:26" s="519" customFormat="1" ht="3.75" customHeight="1" x14ac:dyDescent="0.2">
      <c r="E35" s="624"/>
      <c r="F35" s="624"/>
      <c r="G35" s="624"/>
      <c r="H35" s="625"/>
      <c r="I35" s="625"/>
      <c r="J35" s="624"/>
      <c r="K35" s="624"/>
      <c r="L35" s="624"/>
      <c r="M35" s="624"/>
      <c r="N35" s="624"/>
      <c r="O35" s="624"/>
      <c r="P35" s="624"/>
      <c r="Q35" s="624"/>
      <c r="R35" s="624"/>
      <c r="S35" s="624"/>
      <c r="U35" s="624"/>
      <c r="V35" s="624"/>
      <c r="W35" s="624"/>
      <c r="X35" s="624"/>
      <c r="Y35" s="624"/>
    </row>
    <row r="36" spans="1:26" s="140" customFormat="1" ht="10.199999999999999" x14ac:dyDescent="0.2">
      <c r="A36" s="519"/>
      <c r="B36" s="618" t="s">
        <v>1546</v>
      </c>
      <c r="C36" s="643" t="s">
        <v>44</v>
      </c>
      <c r="D36" s="619" t="s">
        <v>0</v>
      </c>
      <c r="E36" s="642">
        <v>1</v>
      </c>
      <c r="F36" s="642">
        <v>1</v>
      </c>
      <c r="G36" s="642">
        <v>2</v>
      </c>
      <c r="H36" s="620">
        <f>SUM(E36:G36)</f>
        <v>4</v>
      </c>
      <c r="I36" s="621" t="str">
        <f>IF(H36&gt;H37,"Voitto",IF(H36=H37,"Tasapeli","Häviö"))</f>
        <v>Voitto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4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  <c r="Z36" s="519"/>
    </row>
    <row r="37" spans="1:26" s="140" customFormat="1" ht="10.199999999999999" x14ac:dyDescent="0.2">
      <c r="A37" s="519"/>
      <c r="B37" s="643" t="s">
        <v>1435</v>
      </c>
      <c r="C37" s="643" t="s">
        <v>1514</v>
      </c>
      <c r="D37" s="643" t="s">
        <v>1574</v>
      </c>
      <c r="E37" s="642">
        <v>1</v>
      </c>
      <c r="F37" s="642">
        <v>0</v>
      </c>
      <c r="G37" s="642">
        <v>1</v>
      </c>
      <c r="H37" s="622">
        <f>SUM(E37:G37)</f>
        <v>2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2</v>
      </c>
      <c r="W37" s="624"/>
      <c r="X37" s="624"/>
      <c r="Y37" s="624"/>
      <c r="Z37" s="519"/>
    </row>
    <row r="38" spans="1:26" s="519" customFormat="1" ht="3.75" customHeight="1" x14ac:dyDescent="0.2">
      <c r="E38" s="624"/>
      <c r="F38" s="624"/>
      <c r="G38" s="624"/>
      <c r="H38" s="625"/>
      <c r="I38" s="625"/>
      <c r="J38" s="624"/>
      <c r="K38" s="624"/>
      <c r="L38" s="624"/>
      <c r="M38" s="624"/>
      <c r="N38" s="624"/>
      <c r="O38" s="624"/>
      <c r="P38" s="624"/>
      <c r="Q38" s="624"/>
      <c r="R38" s="624"/>
      <c r="S38" s="624"/>
      <c r="U38" s="624"/>
      <c r="V38" s="624"/>
      <c r="W38" s="624"/>
      <c r="X38" s="624"/>
      <c r="Y38" s="624"/>
    </row>
    <row r="39" spans="1:26" s="140" customFormat="1" ht="10.199999999999999" x14ac:dyDescent="0.2">
      <c r="A39" s="519"/>
      <c r="B39" s="618" t="s">
        <v>1547</v>
      </c>
      <c r="C39" s="643" t="s">
        <v>44</v>
      </c>
      <c r="D39" s="619" t="s">
        <v>0</v>
      </c>
      <c r="E39" s="642">
        <v>2</v>
      </c>
      <c r="F39" s="642">
        <v>3</v>
      </c>
      <c r="G39" s="642">
        <v>1</v>
      </c>
      <c r="H39" s="620">
        <f>SUM(E39:G39)</f>
        <v>6</v>
      </c>
      <c r="I39" s="621" t="str">
        <f>IF(H39&gt;H40,"Voitto",IF(H39=H40,"Tasapeli","Häviö"))</f>
        <v>Voitto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6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  <c r="Z39" s="519"/>
    </row>
    <row r="40" spans="1:26" s="140" customFormat="1" ht="10.199999999999999" x14ac:dyDescent="0.2">
      <c r="A40" s="519"/>
      <c r="B40" s="643" t="s">
        <v>1435</v>
      </c>
      <c r="C40" s="643" t="s">
        <v>1515</v>
      </c>
      <c r="D40" s="643" t="s">
        <v>1582</v>
      </c>
      <c r="E40" s="642">
        <v>1</v>
      </c>
      <c r="F40" s="642">
        <v>0</v>
      </c>
      <c r="G40" s="642">
        <v>1</v>
      </c>
      <c r="H40" s="622">
        <f>SUM(E40:G40)</f>
        <v>2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2</v>
      </c>
      <c r="W40" s="624"/>
      <c r="X40" s="624"/>
      <c r="Y40" s="624"/>
      <c r="Z40" s="519"/>
    </row>
    <row r="41" spans="1:26" s="519" customFormat="1" ht="3.75" customHeight="1" x14ac:dyDescent="0.2">
      <c r="E41" s="624"/>
      <c r="F41" s="624"/>
      <c r="G41" s="624"/>
      <c r="H41" s="625"/>
      <c r="I41" s="625"/>
      <c r="J41" s="624"/>
      <c r="K41" s="624"/>
      <c r="L41" s="624"/>
      <c r="M41" s="624"/>
      <c r="N41" s="624"/>
      <c r="O41" s="624"/>
      <c r="P41" s="624"/>
      <c r="Q41" s="624"/>
      <c r="R41" s="624"/>
      <c r="S41" s="624"/>
      <c r="U41" s="624"/>
      <c r="V41" s="624"/>
      <c r="W41" s="624"/>
      <c r="X41" s="624"/>
      <c r="Y41" s="624"/>
    </row>
    <row r="42" spans="1:26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2</v>
      </c>
      <c r="G42" s="642">
        <v>1</v>
      </c>
      <c r="H42" s="620">
        <f>SUM(E42:G42)</f>
        <v>3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3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  <c r="Z42" s="519"/>
    </row>
    <row r="43" spans="1:26" s="140" customFormat="1" ht="10.199999999999999" x14ac:dyDescent="0.2">
      <c r="A43" s="519"/>
      <c r="B43" s="643" t="s">
        <v>1435</v>
      </c>
      <c r="C43" s="643" t="s">
        <v>1515</v>
      </c>
      <c r="D43" s="643" t="s">
        <v>1581</v>
      </c>
      <c r="E43" s="642">
        <v>1</v>
      </c>
      <c r="F43" s="642">
        <v>1</v>
      </c>
      <c r="G43" s="642">
        <v>1</v>
      </c>
      <c r="H43" s="622">
        <f>SUM(E43:G43)</f>
        <v>3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3</v>
      </c>
      <c r="W43" s="624"/>
      <c r="X43" s="624"/>
      <c r="Y43" s="624"/>
      <c r="Z43" s="519"/>
    </row>
    <row r="44" spans="1:26" s="519" customFormat="1" ht="3.75" customHeight="1" x14ac:dyDescent="0.2">
      <c r="E44" s="624"/>
      <c r="F44" s="624"/>
      <c r="G44" s="624"/>
      <c r="H44" s="625"/>
      <c r="I44" s="625"/>
      <c r="J44" s="624"/>
      <c r="K44" s="624"/>
      <c r="L44" s="624"/>
      <c r="M44" s="624"/>
      <c r="N44" s="624"/>
      <c r="O44" s="624"/>
      <c r="P44" s="624"/>
      <c r="Q44" s="624"/>
      <c r="R44" s="624"/>
      <c r="S44" s="624"/>
      <c r="U44" s="624"/>
      <c r="V44" s="624"/>
      <c r="W44" s="624"/>
      <c r="X44" s="624"/>
      <c r="Y44" s="624"/>
    </row>
    <row r="45" spans="1:26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4</v>
      </c>
      <c r="F45" s="642">
        <v>0</v>
      </c>
      <c r="G45" s="642">
        <v>1</v>
      </c>
      <c r="H45" s="620">
        <f>SUM(E45:G45)</f>
        <v>5</v>
      </c>
      <c r="I45" s="621" t="str">
        <f>IF(H45&gt;H46,"Voitto",IF(H45=H46,"Tasapeli","Häviö"))</f>
        <v>Voitto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5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  <c r="Z45" s="519"/>
    </row>
    <row r="46" spans="1:26" s="140" customFormat="1" ht="10.199999999999999" x14ac:dyDescent="0.2">
      <c r="A46" s="519"/>
      <c r="B46" s="643" t="s">
        <v>1435</v>
      </c>
      <c r="C46" s="643" t="s">
        <v>1514</v>
      </c>
      <c r="D46" s="643" t="s">
        <v>1580</v>
      </c>
      <c r="E46" s="642">
        <v>1</v>
      </c>
      <c r="F46" s="642">
        <v>0</v>
      </c>
      <c r="G46" s="642">
        <v>3</v>
      </c>
      <c r="H46" s="622">
        <f>SUM(E46:G46)</f>
        <v>4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4</v>
      </c>
      <c r="W46" s="624"/>
      <c r="X46" s="624"/>
      <c r="Y46" s="624"/>
      <c r="Z46" s="519"/>
    </row>
    <row r="47" spans="1:26" s="519" customFormat="1" ht="3.75" customHeight="1" x14ac:dyDescent="0.2">
      <c r="E47" s="624"/>
      <c r="F47" s="624"/>
      <c r="G47" s="624"/>
      <c r="H47" s="625"/>
      <c r="I47" s="625"/>
      <c r="J47" s="624"/>
      <c r="K47" s="624"/>
      <c r="L47" s="624"/>
      <c r="M47" s="624"/>
      <c r="N47" s="624"/>
      <c r="O47" s="624"/>
      <c r="P47" s="624"/>
      <c r="Q47" s="624"/>
      <c r="R47" s="624"/>
      <c r="S47" s="624"/>
      <c r="U47" s="624"/>
      <c r="V47" s="624"/>
      <c r="W47" s="624"/>
      <c r="X47" s="624"/>
      <c r="Y47" s="624"/>
    </row>
    <row r="48" spans="1:26" s="140" customFormat="1" ht="10.199999999999999" x14ac:dyDescent="0.2">
      <c r="A48" s="519"/>
      <c r="B48" s="618" t="s">
        <v>1550</v>
      </c>
      <c r="C48" s="643" t="s">
        <v>44</v>
      </c>
      <c r="D48" s="619" t="s">
        <v>0</v>
      </c>
      <c r="E48" s="642">
        <v>1</v>
      </c>
      <c r="F48" s="642">
        <v>1</v>
      </c>
      <c r="G48" s="642">
        <v>3</v>
      </c>
      <c r="H48" s="620">
        <f>SUM(E48:G48)</f>
        <v>5</v>
      </c>
      <c r="I48" s="621" t="str">
        <f>IF(H48&gt;H49,"Voitto",IF(H48=H49,"Tasapeli","Häviö"))</f>
        <v>Voitto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5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  <c r="Z48" s="519"/>
    </row>
    <row r="49" spans="1:26" s="140" customFormat="1" ht="10.199999999999999" x14ac:dyDescent="0.2">
      <c r="A49" s="519"/>
      <c r="B49" s="643" t="s">
        <v>1435</v>
      </c>
      <c r="C49" s="643" t="s">
        <v>1514</v>
      </c>
      <c r="D49" s="643" t="s">
        <v>1575</v>
      </c>
      <c r="E49" s="642">
        <v>1</v>
      </c>
      <c r="F49" s="642">
        <v>1</v>
      </c>
      <c r="G49" s="642">
        <v>2</v>
      </c>
      <c r="H49" s="622">
        <f>SUM(E49:G49)</f>
        <v>4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4</v>
      </c>
      <c r="W49" s="624"/>
      <c r="X49" s="624"/>
      <c r="Y49" s="624"/>
      <c r="Z49" s="519"/>
    </row>
    <row r="50" spans="1:26" s="519" customFormat="1" ht="3.75" customHeight="1" x14ac:dyDescent="0.2">
      <c r="E50" s="624"/>
      <c r="F50" s="624"/>
      <c r="G50" s="624"/>
      <c r="H50" s="625"/>
      <c r="I50" s="625"/>
      <c r="J50" s="624"/>
      <c r="K50" s="624"/>
      <c r="L50" s="624"/>
      <c r="M50" s="624"/>
      <c r="N50" s="624"/>
      <c r="O50" s="624"/>
      <c r="P50" s="624"/>
      <c r="Q50" s="624"/>
      <c r="R50" s="624"/>
      <c r="S50" s="624"/>
      <c r="U50" s="624"/>
      <c r="V50" s="624"/>
      <c r="W50" s="624"/>
      <c r="X50" s="624"/>
      <c r="Y50" s="624"/>
    </row>
    <row r="51" spans="1:26" s="140" customFormat="1" ht="10.199999999999999" x14ac:dyDescent="0.2">
      <c r="A51" s="519"/>
      <c r="B51" s="618" t="s">
        <v>1551</v>
      </c>
      <c r="C51" s="643" t="s">
        <v>44</v>
      </c>
      <c r="D51" s="619" t="s">
        <v>0</v>
      </c>
      <c r="E51" s="642">
        <v>1</v>
      </c>
      <c r="F51" s="642">
        <v>1</v>
      </c>
      <c r="G51" s="642">
        <v>1</v>
      </c>
      <c r="H51" s="620">
        <f>SUM(E51:G51)</f>
        <v>3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3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  <c r="Z51" s="519"/>
    </row>
    <row r="52" spans="1:26" s="140" customFormat="1" ht="10.199999999999999" x14ac:dyDescent="0.2">
      <c r="A52" s="519"/>
      <c r="B52" s="643" t="s">
        <v>1435</v>
      </c>
      <c r="C52" s="643" t="s">
        <v>1515</v>
      </c>
      <c r="D52" s="643" t="s">
        <v>1579</v>
      </c>
      <c r="E52" s="642">
        <v>0</v>
      </c>
      <c r="F52" s="642">
        <v>1</v>
      </c>
      <c r="G52" s="642">
        <v>2</v>
      </c>
      <c r="H52" s="622">
        <f>SUM(E52:G52)</f>
        <v>3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3</v>
      </c>
      <c r="W52" s="624"/>
      <c r="X52" s="624"/>
      <c r="Y52" s="624"/>
      <c r="Z52" s="519"/>
    </row>
    <row r="53" spans="1:26" s="519" customFormat="1" ht="3.75" customHeight="1" x14ac:dyDescent="0.2">
      <c r="E53" s="624"/>
      <c r="F53" s="624"/>
      <c r="G53" s="624"/>
      <c r="H53" s="625"/>
      <c r="I53" s="625"/>
      <c r="J53" s="624"/>
      <c r="K53" s="624"/>
      <c r="L53" s="624"/>
      <c r="M53" s="624"/>
      <c r="N53" s="624"/>
      <c r="O53" s="624"/>
      <c r="P53" s="624"/>
      <c r="Q53" s="624"/>
      <c r="R53" s="624"/>
      <c r="S53" s="624"/>
      <c r="U53" s="624"/>
      <c r="V53" s="624"/>
      <c r="W53" s="624"/>
      <c r="X53" s="624"/>
      <c r="Y53" s="624"/>
    </row>
    <row r="54" spans="1:26" s="140" customFormat="1" ht="10.199999999999999" x14ac:dyDescent="0.2">
      <c r="A54" s="519"/>
      <c r="B54" s="618" t="s">
        <v>1552</v>
      </c>
      <c r="C54" s="643" t="s">
        <v>44</v>
      </c>
      <c r="D54" s="619" t="s">
        <v>0</v>
      </c>
      <c r="E54" s="642">
        <v>2</v>
      </c>
      <c r="F54" s="642">
        <v>1</v>
      </c>
      <c r="G54" s="642">
        <v>2</v>
      </c>
      <c r="H54" s="620">
        <f>SUM(E54:G54)</f>
        <v>5</v>
      </c>
      <c r="I54" s="621" t="str">
        <f>IF(H54&gt;H55,"Voitto",IF(H54=H55,"Tasapeli","Häviö"))</f>
        <v>Häviö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5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  <c r="Z54" s="519"/>
    </row>
    <row r="55" spans="1:26" s="140" customFormat="1" ht="10.199999999999999" x14ac:dyDescent="0.2">
      <c r="A55" s="519"/>
      <c r="B55" s="643" t="s">
        <v>1435</v>
      </c>
      <c r="C55" s="643" t="s">
        <v>1514</v>
      </c>
      <c r="D55" s="643" t="s">
        <v>1582</v>
      </c>
      <c r="E55" s="642">
        <v>4</v>
      </c>
      <c r="F55" s="642">
        <v>3</v>
      </c>
      <c r="G55" s="642">
        <v>3</v>
      </c>
      <c r="H55" s="622">
        <f>SUM(E55:G55)</f>
        <v>10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10</v>
      </c>
      <c r="W55" s="624"/>
      <c r="X55" s="624"/>
      <c r="Y55" s="624"/>
      <c r="Z55" s="519"/>
    </row>
    <row r="56" spans="1:26" s="519" customFormat="1" ht="3.75" customHeight="1" x14ac:dyDescent="0.2">
      <c r="E56" s="624"/>
      <c r="F56" s="624"/>
      <c r="G56" s="624"/>
      <c r="H56" s="625"/>
      <c r="I56" s="625"/>
      <c r="J56" s="624"/>
      <c r="K56" s="624"/>
      <c r="L56" s="624"/>
      <c r="M56" s="624"/>
      <c r="N56" s="624"/>
      <c r="O56" s="624"/>
      <c r="P56" s="624"/>
      <c r="Q56" s="624"/>
      <c r="R56" s="624"/>
      <c r="S56" s="624"/>
      <c r="U56" s="624"/>
      <c r="V56" s="624"/>
      <c r="W56" s="624"/>
      <c r="X56" s="624"/>
      <c r="Y56" s="624"/>
    </row>
    <row r="57" spans="1:26" s="140" customFormat="1" ht="10.199999999999999" x14ac:dyDescent="0.2">
      <c r="A57" s="519"/>
      <c r="B57" s="618" t="s">
        <v>1553</v>
      </c>
      <c r="C57" s="643" t="s">
        <v>44</v>
      </c>
      <c r="D57" s="619" t="s">
        <v>0</v>
      </c>
      <c r="E57" s="642">
        <v>1</v>
      </c>
      <c r="F57" s="642">
        <v>0</v>
      </c>
      <c r="G57" s="642">
        <v>1</v>
      </c>
      <c r="H57" s="620">
        <f>SUM(E57:G57)</f>
        <v>2</v>
      </c>
      <c r="I57" s="621" t="str">
        <f>IF(H57&gt;H58,"Voitto",IF(H57=H58,"Tasapeli","Häviö"))</f>
        <v>Häviö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2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  <c r="Z57" s="519"/>
    </row>
    <row r="58" spans="1:26" s="140" customFormat="1" ht="10.199999999999999" x14ac:dyDescent="0.2">
      <c r="A58" s="519"/>
      <c r="B58" s="643" t="s">
        <v>1435</v>
      </c>
      <c r="C58" s="643" t="s">
        <v>1515</v>
      </c>
      <c r="D58" s="643" t="s">
        <v>1578</v>
      </c>
      <c r="E58" s="642">
        <v>2</v>
      </c>
      <c r="F58" s="642">
        <v>2</v>
      </c>
      <c r="G58" s="642">
        <v>6</v>
      </c>
      <c r="H58" s="622">
        <f>SUM(E58:G58)</f>
        <v>10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10</v>
      </c>
      <c r="W58" s="624"/>
      <c r="X58" s="624"/>
      <c r="Y58" s="624"/>
      <c r="Z58" s="519"/>
    </row>
    <row r="59" spans="1:26" s="519" customFormat="1" ht="7.5" customHeight="1" thickBot="1" x14ac:dyDescent="0.25">
      <c r="E59" s="624"/>
      <c r="F59" s="624"/>
      <c r="G59" s="624"/>
      <c r="H59" s="625"/>
      <c r="I59" s="625"/>
      <c r="J59" s="624"/>
      <c r="K59" s="624"/>
      <c r="L59" s="624"/>
      <c r="M59" s="624"/>
      <c r="N59" s="624"/>
      <c r="O59" s="624"/>
      <c r="P59" s="624"/>
      <c r="Q59" s="624"/>
      <c r="R59" s="624"/>
      <c r="S59" s="624"/>
      <c r="U59" s="624"/>
      <c r="V59" s="624"/>
      <c r="W59" s="624"/>
      <c r="X59" s="624"/>
      <c r="Y59" s="624"/>
    </row>
    <row r="60" spans="1:26" x14ac:dyDescent="0.3">
      <c r="A60" s="357"/>
      <c r="B60" s="357"/>
      <c r="C60" s="357"/>
      <c r="D60" s="668"/>
      <c r="E60" s="627"/>
      <c r="F60" s="669"/>
      <c r="G60" s="669"/>
      <c r="H60" s="669"/>
      <c r="I60" s="670"/>
      <c r="J60" s="669"/>
      <c r="K60" s="669"/>
      <c r="L60" s="669"/>
      <c r="M60" s="669"/>
      <c r="N60" s="669"/>
      <c r="O60" s="669"/>
      <c r="P60" s="669"/>
      <c r="Q60" s="669"/>
      <c r="R60" s="669"/>
      <c r="S60" s="628"/>
      <c r="T60" s="357"/>
      <c r="U60" s="358"/>
      <c r="V60" s="358"/>
      <c r="W60" s="358"/>
      <c r="X60" s="358"/>
      <c r="Y60" s="358"/>
      <c r="Z60" s="357"/>
    </row>
    <row r="61" spans="1:26" x14ac:dyDescent="0.3">
      <c r="A61" s="357"/>
      <c r="B61" s="357"/>
      <c r="C61" s="357"/>
      <c r="D61" s="665" t="str">
        <f>C2</f>
        <v>2010-2011</v>
      </c>
      <c r="E61" s="630"/>
      <c r="F61" s="666"/>
      <c r="G61" s="655" t="s">
        <v>0</v>
      </c>
      <c r="H61" s="611">
        <f>SUM(H6,H9,H12,H15,H18,H21,H24,H27,H30,H33,H36,H39,H42,H45,H48,H51,H54,H57)</f>
        <v>87</v>
      </c>
      <c r="I61" s="671"/>
      <c r="J61" s="656">
        <f t="shared" ref="J61:M62" si="30">SUM(J6,J9,J12,J15,J18,J21,J24,J27,J30,J33,J36,J39,J42,J45,J48,J51,J54,J57)</f>
        <v>0</v>
      </c>
      <c r="K61" s="613">
        <f t="shared" si="30"/>
        <v>0</v>
      </c>
      <c r="L61" s="613">
        <f t="shared" si="30"/>
        <v>0</v>
      </c>
      <c r="M61" s="613">
        <f t="shared" si="30"/>
        <v>0</v>
      </c>
      <c r="N61" s="667" t="s">
        <v>1567</v>
      </c>
      <c r="O61" s="613">
        <f t="shared" ref="O61:R62" si="31">SUM(O6,O9,O12,O15,O18,O21,O24,O27,O30,O33,O36,O39,O42,O45,O48,O51,O54,O57)</f>
        <v>0</v>
      </c>
      <c r="P61" s="613">
        <f t="shared" si="31"/>
        <v>0</v>
      </c>
      <c r="Q61" s="613">
        <f t="shared" si="31"/>
        <v>0</v>
      </c>
      <c r="R61" s="613">
        <f t="shared" si="31"/>
        <v>0</v>
      </c>
      <c r="S61" s="632"/>
      <c r="T61" s="357"/>
      <c r="U61" s="358"/>
      <c r="V61" s="358"/>
      <c r="W61" s="358"/>
      <c r="X61" s="358"/>
      <c r="Y61" s="358"/>
      <c r="Z61" s="357"/>
    </row>
    <row r="62" spans="1:26" x14ac:dyDescent="0.3">
      <c r="A62" s="357"/>
      <c r="B62" s="357"/>
      <c r="C62" s="357"/>
      <c r="D62" s="629"/>
      <c r="E62" s="630"/>
      <c r="F62" s="518"/>
      <c r="G62" s="657" t="s">
        <v>1436</v>
      </c>
      <c r="H62" s="658">
        <f>SUM(H7,H10,H13,H16,H19,H22,H25,H28,H31,H34,H37,H40,H43,H46,H49,H52,H55,H58)</f>
        <v>74</v>
      </c>
      <c r="I62" s="671"/>
      <c r="J62" s="647">
        <f t="shared" si="30"/>
        <v>0</v>
      </c>
      <c r="K62" s="659">
        <f t="shared" si="30"/>
        <v>0</v>
      </c>
      <c r="L62" s="659">
        <f t="shared" si="30"/>
        <v>0</v>
      </c>
      <c r="M62" s="659">
        <f t="shared" si="30"/>
        <v>0</v>
      </c>
      <c r="N62" s="660" t="s">
        <v>1567</v>
      </c>
      <c r="O62" s="659">
        <f t="shared" si="31"/>
        <v>0</v>
      </c>
      <c r="P62" s="659">
        <f t="shared" si="31"/>
        <v>0</v>
      </c>
      <c r="Q62" s="659">
        <f t="shared" si="31"/>
        <v>0</v>
      </c>
      <c r="R62" s="659">
        <f t="shared" si="31"/>
        <v>0</v>
      </c>
      <c r="S62" s="632"/>
      <c r="T62" s="357"/>
      <c r="U62" s="358"/>
      <c r="V62" s="358"/>
      <c r="W62" s="358"/>
      <c r="X62" s="358"/>
      <c r="Y62" s="358"/>
      <c r="Z62" s="357"/>
    </row>
    <row r="63" spans="1:26" x14ac:dyDescent="0.3">
      <c r="A63" s="357"/>
      <c r="B63" s="357"/>
      <c r="C63" s="357"/>
      <c r="D63" s="629"/>
      <c r="E63" s="631"/>
      <c r="F63" s="631"/>
      <c r="G63" s="631"/>
      <c r="H63" s="631"/>
      <c r="I63" s="631"/>
      <c r="J63" s="613" t="s">
        <v>1557</v>
      </c>
      <c r="K63" s="613" t="s">
        <v>1556</v>
      </c>
      <c r="L63" s="613" t="s">
        <v>1419</v>
      </c>
      <c r="M63" s="613" t="s">
        <v>1420</v>
      </c>
      <c r="N63" s="659" t="s">
        <v>1424</v>
      </c>
      <c r="O63" s="613" t="s">
        <v>1425</v>
      </c>
      <c r="P63" s="613" t="s">
        <v>1535</v>
      </c>
      <c r="Q63" s="613" t="s">
        <v>1536</v>
      </c>
      <c r="R63" s="613" t="s">
        <v>1559</v>
      </c>
      <c r="S63" s="632"/>
      <c r="T63" s="357"/>
      <c r="U63" s="358"/>
      <c r="V63" s="358"/>
      <c r="W63" s="358"/>
      <c r="X63" s="358"/>
      <c r="Y63" s="358"/>
      <c r="Z63" s="357"/>
    </row>
    <row r="64" spans="1:26" x14ac:dyDescent="0.3">
      <c r="A64" s="357"/>
      <c r="B64" s="357"/>
      <c r="C64" s="357"/>
      <c r="D64" s="629"/>
      <c r="E64" s="631"/>
      <c r="F64" s="645"/>
      <c r="G64" s="646" t="s">
        <v>1558</v>
      </c>
      <c r="H64" s="647">
        <f>H61-H62</f>
        <v>13</v>
      </c>
      <c r="I64" s="631"/>
      <c r="J64" s="631"/>
      <c r="K64" s="631"/>
      <c r="L64" s="631"/>
      <c r="M64" s="631"/>
      <c r="N64" s="631"/>
      <c r="O64" s="631"/>
      <c r="P64" s="631"/>
      <c r="Q64" s="631"/>
      <c r="R64" s="631"/>
      <c r="S64" s="632"/>
      <c r="T64" s="357"/>
      <c r="U64" s="358"/>
      <c r="V64" s="358"/>
      <c r="W64" s="358"/>
      <c r="X64" s="358"/>
      <c r="Y64" s="358"/>
      <c r="Z64" s="357"/>
    </row>
    <row r="65" spans="1:26" x14ac:dyDescent="0.3">
      <c r="A65" s="357"/>
      <c r="B65" s="357"/>
      <c r="C65" s="357"/>
      <c r="D65" s="629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631"/>
      <c r="Q65" s="631"/>
      <c r="R65" s="631"/>
      <c r="S65" s="632"/>
      <c r="T65" s="357"/>
      <c r="U65" s="358"/>
      <c r="V65" s="358"/>
      <c r="W65" s="358"/>
      <c r="X65" s="358"/>
      <c r="Y65" s="358"/>
      <c r="Z65" s="357"/>
    </row>
    <row r="66" spans="1:26" x14ac:dyDescent="0.3">
      <c r="A66" s="357"/>
      <c r="B66" s="357"/>
      <c r="C66" s="357"/>
      <c r="D66" s="629"/>
      <c r="E66" s="631"/>
      <c r="F66" s="648"/>
      <c r="G66" s="649" t="s">
        <v>135</v>
      </c>
      <c r="H66" s="650">
        <f>COUNTIF(I6:I58,"Voitto")</f>
        <v>10</v>
      </c>
      <c r="I66" s="631"/>
      <c r="J66" s="648">
        <f>COUNTIF(W6:W58,"1")</f>
        <v>18</v>
      </c>
      <c r="K66" s="661" t="s">
        <v>696</v>
      </c>
      <c r="L66" s="610"/>
      <c r="M66" s="610"/>
      <c r="N66" s="610"/>
      <c r="O66" s="650"/>
      <c r="P66" s="631"/>
      <c r="Q66" s="631"/>
      <c r="R66" s="631"/>
      <c r="S66" s="632"/>
      <c r="T66" s="357"/>
      <c r="U66" s="358"/>
      <c r="V66" s="358"/>
      <c r="W66" s="358"/>
      <c r="X66" s="358"/>
      <c r="Y66" s="358"/>
      <c r="Z66" s="357"/>
    </row>
    <row r="67" spans="1:26" x14ac:dyDescent="0.3">
      <c r="A67" s="357"/>
      <c r="B67" s="357"/>
      <c r="C67" s="357"/>
      <c r="D67" s="629"/>
      <c r="E67" s="631"/>
      <c r="F67" s="651"/>
      <c r="G67" s="652" t="s">
        <v>137</v>
      </c>
      <c r="H67" s="653">
        <f>COUNTIF(I6:I58,"Tasapeli")</f>
        <v>3</v>
      </c>
      <c r="I67" s="631"/>
      <c r="J67" s="651">
        <f>COUNTIF(X6:X58,"1")</f>
        <v>0</v>
      </c>
      <c r="K67" s="318" t="s">
        <v>1561</v>
      </c>
      <c r="L67" s="324"/>
      <c r="M67" s="324"/>
      <c r="N67" s="324"/>
      <c r="O67" s="653"/>
      <c r="P67" s="631"/>
      <c r="Q67" s="631"/>
      <c r="R67" s="631"/>
      <c r="S67" s="632"/>
      <c r="T67" s="357"/>
      <c r="U67" s="358"/>
      <c r="V67" s="358"/>
      <c r="W67" s="358"/>
      <c r="X67" s="358"/>
      <c r="Y67" s="358"/>
      <c r="Z67" s="357"/>
    </row>
    <row r="68" spans="1:26" x14ac:dyDescent="0.3">
      <c r="A68" s="357"/>
      <c r="B68" s="357"/>
      <c r="C68" s="357"/>
      <c r="D68" s="629"/>
      <c r="E68" s="631"/>
      <c r="F68" s="654"/>
      <c r="G68" s="655" t="s">
        <v>136</v>
      </c>
      <c r="H68" s="656">
        <f>COUNTIF(I6:I58,"Häviö")</f>
        <v>5</v>
      </c>
      <c r="I68" s="631"/>
      <c r="J68" s="654">
        <f>COUNTIF(Y6:Y58,"1")</f>
        <v>0</v>
      </c>
      <c r="K68" s="662" t="s">
        <v>1562</v>
      </c>
      <c r="L68" s="611"/>
      <c r="M68" s="611"/>
      <c r="N68" s="611"/>
      <c r="O68" s="656"/>
      <c r="P68" s="631"/>
      <c r="Q68" s="631"/>
      <c r="R68" s="631"/>
      <c r="S68" s="632"/>
      <c r="T68" s="357"/>
      <c r="U68" s="358"/>
      <c r="V68" s="358"/>
      <c r="W68" s="358"/>
      <c r="X68" s="358"/>
      <c r="Y68" s="358"/>
      <c r="Z68" s="357"/>
    </row>
    <row r="69" spans="1:26" x14ac:dyDescent="0.3">
      <c r="A69" s="357"/>
      <c r="B69" s="357"/>
      <c r="C69" s="357"/>
      <c r="D69" s="629"/>
      <c r="E69" s="631"/>
      <c r="F69" s="631"/>
      <c r="G69" s="631"/>
      <c r="H69" s="631"/>
      <c r="I69" s="631"/>
      <c r="J69" s="631"/>
      <c r="K69" s="631"/>
      <c r="L69" s="631"/>
      <c r="M69" s="631"/>
      <c r="N69" s="631"/>
      <c r="O69" s="631"/>
      <c r="P69" s="631"/>
      <c r="Q69" s="631"/>
      <c r="R69" s="631"/>
      <c r="S69" s="632"/>
      <c r="T69" s="357"/>
      <c r="U69" s="358"/>
      <c r="V69" s="358"/>
      <c r="W69" s="358"/>
      <c r="X69" s="358"/>
      <c r="Y69" s="358"/>
      <c r="Z69" s="357"/>
    </row>
    <row r="70" spans="1:26" x14ac:dyDescent="0.3">
      <c r="A70" s="357"/>
      <c r="B70" s="357"/>
      <c r="C70" s="357"/>
      <c r="D70" s="629"/>
      <c r="E70" s="631"/>
      <c r="F70" s="648" t="s">
        <v>1560</v>
      </c>
      <c r="G70" s="610" t="s">
        <v>0</v>
      </c>
      <c r="H70" s="650">
        <f>COUNTIF(U6:U58,"0")</f>
        <v>0</v>
      </c>
      <c r="I70" s="631"/>
      <c r="J70" s="648">
        <f>MIN(S6,S9,S12,S15,S18,S21,S24,S27,S30,S33,S36,S39,S42,S45,S48,S51,S54,S57)</f>
        <v>0</v>
      </c>
      <c r="K70" s="661" t="s">
        <v>1564</v>
      </c>
      <c r="L70" s="610"/>
      <c r="M70" s="610"/>
      <c r="N70" s="610"/>
      <c r="O70" s="650"/>
      <c r="P70" s="631"/>
      <c r="Q70" s="631"/>
      <c r="R70" s="631"/>
      <c r="S70" s="632"/>
      <c r="T70" s="357"/>
      <c r="U70" s="358"/>
      <c r="V70" s="358"/>
      <c r="W70" s="358"/>
      <c r="X70" s="358"/>
      <c r="Y70" s="358"/>
      <c r="Z70" s="357"/>
    </row>
    <row r="71" spans="1:26" x14ac:dyDescent="0.3">
      <c r="A71" s="357"/>
      <c r="B71" s="357"/>
      <c r="C71" s="357"/>
      <c r="D71" s="629"/>
      <c r="E71" s="631"/>
      <c r="F71" s="654"/>
      <c r="G71" s="611" t="s">
        <v>543</v>
      </c>
      <c r="H71" s="656">
        <f>COUNTIF(V6:V58,"0")</f>
        <v>1</v>
      </c>
      <c r="I71" s="631"/>
      <c r="J71" s="654">
        <f>MAX(S6,S9,S12,S15,S18,S21,S24,S27,S30,S33,S36,S39,S42,S45,S48,S51,S54,S57)</f>
        <v>0</v>
      </c>
      <c r="K71" s="662" t="s">
        <v>1563</v>
      </c>
      <c r="L71" s="435"/>
      <c r="M71" s="435"/>
      <c r="N71" s="611"/>
      <c r="O71" s="656"/>
      <c r="P71" s="631"/>
      <c r="Q71" s="631"/>
      <c r="R71" s="631"/>
      <c r="S71" s="632"/>
      <c r="T71" s="357"/>
      <c r="U71" s="358"/>
      <c r="V71" s="358"/>
      <c r="W71" s="358"/>
      <c r="X71" s="358"/>
      <c r="Y71" s="358"/>
      <c r="Z71" s="357"/>
    </row>
    <row r="72" spans="1:26" x14ac:dyDescent="0.3">
      <c r="A72" s="357"/>
      <c r="B72" s="357"/>
      <c r="C72" s="357"/>
      <c r="D72" s="629"/>
      <c r="E72" s="631"/>
      <c r="F72" s="631"/>
      <c r="G72" s="631"/>
      <c r="H72" s="631"/>
      <c r="I72" s="631"/>
      <c r="J72" s="274"/>
      <c r="K72" s="633"/>
      <c r="L72" s="274"/>
      <c r="M72" s="274"/>
      <c r="N72" s="631"/>
      <c r="O72" s="631"/>
      <c r="P72" s="631"/>
      <c r="Q72" s="631"/>
      <c r="R72" s="631"/>
      <c r="S72" s="632"/>
      <c r="T72" s="357"/>
      <c r="U72" s="358"/>
      <c r="V72" s="358"/>
      <c r="W72" s="358"/>
      <c r="X72" s="358"/>
      <c r="Y72" s="358"/>
      <c r="Z72" s="357"/>
    </row>
    <row r="73" spans="1:26" x14ac:dyDescent="0.3">
      <c r="A73" s="357"/>
      <c r="B73" s="357"/>
      <c r="C73" s="357"/>
      <c r="D73" s="634"/>
      <c r="E73" s="274"/>
      <c r="F73" s="274"/>
      <c r="G73" s="274"/>
      <c r="H73" s="631"/>
      <c r="I73" s="631"/>
      <c r="J73" s="648">
        <f>MAX(S7,S10,S13,S16,S19,S22,S25,S28,S31,S34,S37,S40,S43,S46,S49,S52,S55,S58)</f>
        <v>0</v>
      </c>
      <c r="K73" s="661" t="s">
        <v>1565</v>
      </c>
      <c r="L73" s="430"/>
      <c r="M73" s="430"/>
      <c r="N73" s="430"/>
      <c r="O73" s="663"/>
      <c r="P73" s="274"/>
      <c r="Q73" s="274"/>
      <c r="R73" s="274"/>
      <c r="S73" s="635"/>
      <c r="T73" s="357"/>
      <c r="U73" s="358"/>
      <c r="V73" s="358"/>
      <c r="W73" s="358"/>
      <c r="X73" s="358"/>
      <c r="Y73" s="358"/>
      <c r="Z73" s="357"/>
    </row>
    <row r="74" spans="1:26" x14ac:dyDescent="0.3">
      <c r="A74" s="357"/>
      <c r="B74" s="357"/>
      <c r="C74" s="357"/>
      <c r="D74" s="634"/>
      <c r="E74" s="274"/>
      <c r="F74" s="274"/>
      <c r="G74" s="274"/>
      <c r="H74" s="631"/>
      <c r="I74" s="631"/>
      <c r="J74" s="654">
        <f>MIN(S7,S10,S13,S16,S19,S22,S25,S28,S31,S34,S37,S40,S43,S46,S49,S52,S55,S58)</f>
        <v>0</v>
      </c>
      <c r="K74" s="662" t="s">
        <v>1566</v>
      </c>
      <c r="L74" s="611"/>
      <c r="M74" s="611"/>
      <c r="N74" s="435"/>
      <c r="O74" s="664"/>
      <c r="P74" s="274"/>
      <c r="Q74" s="274"/>
      <c r="R74" s="274"/>
      <c r="S74" s="635"/>
      <c r="T74" s="357"/>
      <c r="U74" s="358"/>
      <c r="V74" s="358"/>
      <c r="W74" s="358"/>
      <c r="X74" s="358"/>
      <c r="Y74" s="358"/>
      <c r="Z74" s="357"/>
    </row>
    <row r="75" spans="1:26" ht="15" thickBot="1" x14ac:dyDescent="0.35">
      <c r="A75" s="357"/>
      <c r="B75" s="357"/>
      <c r="C75" s="357"/>
      <c r="D75" s="636"/>
      <c r="E75" s="637"/>
      <c r="F75" s="637"/>
      <c r="G75" s="637"/>
      <c r="H75" s="638"/>
      <c r="I75" s="638"/>
      <c r="J75" s="637"/>
      <c r="K75" s="637"/>
      <c r="L75" s="637"/>
      <c r="M75" s="637"/>
      <c r="N75" s="637"/>
      <c r="O75" s="637"/>
      <c r="P75" s="637"/>
      <c r="Q75" s="637"/>
      <c r="R75" s="637"/>
      <c r="S75" s="639"/>
      <c r="T75" s="357"/>
      <c r="U75" s="358"/>
      <c r="V75" s="358"/>
      <c r="W75" s="358"/>
      <c r="X75" s="358"/>
      <c r="Y75" s="358"/>
      <c r="Z75" s="357"/>
    </row>
    <row r="76" spans="1:26" x14ac:dyDescent="0.3">
      <c r="A76" s="357"/>
      <c r="B76" s="357"/>
      <c r="C76" s="357"/>
      <c r="D76" s="357"/>
      <c r="E76" s="358"/>
      <c r="F76" s="358"/>
      <c r="G76" s="358"/>
      <c r="H76" s="359"/>
      <c r="I76" s="359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7"/>
      <c r="U76" s="358"/>
      <c r="V76" s="358"/>
      <c r="W76" s="358"/>
      <c r="X76" s="358"/>
      <c r="Y76" s="358"/>
      <c r="Z76" s="357"/>
    </row>
    <row r="77" spans="1:26" x14ac:dyDescent="0.3">
      <c r="A77" s="357"/>
      <c r="B77" s="357"/>
      <c r="C77" s="357"/>
      <c r="D77" s="357"/>
      <c r="E77" s="358"/>
      <c r="F77" s="358"/>
      <c r="G77" s="358"/>
      <c r="H77" s="359"/>
      <c r="I77" s="359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7"/>
      <c r="U77" s="358"/>
      <c r="V77" s="358"/>
      <c r="W77" s="358"/>
      <c r="X77" s="358"/>
      <c r="Y77" s="358"/>
      <c r="Z77" s="357"/>
    </row>
    <row r="78" spans="1:26" x14ac:dyDescent="0.3">
      <c r="A78" s="357"/>
      <c r="B78" s="357"/>
      <c r="C78" s="357"/>
      <c r="D78" s="357"/>
      <c r="E78" s="358"/>
      <c r="F78" s="358"/>
      <c r="G78" s="358"/>
      <c r="H78" s="359"/>
      <c r="I78" s="359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7"/>
      <c r="U78" s="358"/>
      <c r="V78" s="358"/>
      <c r="W78" s="358"/>
      <c r="X78" s="358"/>
      <c r="Y78" s="358"/>
      <c r="Z78" s="357"/>
    </row>
    <row r="79" spans="1:26" x14ac:dyDescent="0.3">
      <c r="A79" s="357"/>
      <c r="B79" s="357"/>
      <c r="C79" s="357"/>
      <c r="D79" s="357"/>
      <c r="E79" s="358"/>
      <c r="F79" s="358"/>
      <c r="G79" s="358"/>
      <c r="H79" s="359"/>
      <c r="I79" s="359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7"/>
      <c r="U79" s="358"/>
      <c r="V79" s="358"/>
      <c r="W79" s="358"/>
      <c r="X79" s="358"/>
      <c r="Y79" s="358"/>
      <c r="Z79" s="357"/>
    </row>
    <row r="80" spans="1:26" x14ac:dyDescent="0.3">
      <c r="A80" s="357"/>
      <c r="B80" s="357"/>
      <c r="C80" s="357"/>
      <c r="D80" s="357"/>
      <c r="E80" s="358"/>
      <c r="F80" s="358"/>
      <c r="G80" s="358"/>
      <c r="H80" s="359"/>
      <c r="I80" s="359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7"/>
      <c r="U80" s="358"/>
      <c r="V80" s="358"/>
      <c r="W80" s="358"/>
      <c r="X80" s="358"/>
      <c r="Y80" s="358"/>
      <c r="Z80" s="357"/>
    </row>
    <row r="81" spans="1:26" x14ac:dyDescent="0.3">
      <c r="A81" s="357"/>
      <c r="B81" s="357"/>
      <c r="C81" s="357"/>
      <c r="D81" s="357"/>
      <c r="E81" s="358"/>
      <c r="F81" s="358"/>
      <c r="G81" s="358"/>
      <c r="H81" s="359"/>
      <c r="I81" s="359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7"/>
      <c r="U81" s="358"/>
      <c r="V81" s="358"/>
      <c r="W81" s="358"/>
      <c r="X81" s="358"/>
      <c r="Y81" s="358"/>
      <c r="Z81" s="357"/>
    </row>
    <row r="82" spans="1:26" x14ac:dyDescent="0.3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  <c r="Z82" s="357"/>
    </row>
    <row r="83" spans="1:26" x14ac:dyDescent="0.3">
      <c r="A83" s="357"/>
      <c r="B83" s="357"/>
      <c r="C83" s="357"/>
      <c r="D83" s="357"/>
      <c r="E83" s="358"/>
      <c r="F83" s="358"/>
      <c r="G83" s="358"/>
      <c r="H83" s="359"/>
      <c r="I83" s="359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7"/>
      <c r="U83" s="358"/>
      <c r="V83" s="358"/>
      <c r="W83" s="358"/>
      <c r="X83" s="358"/>
      <c r="Y83" s="358"/>
      <c r="Z83" s="357"/>
    </row>
    <row r="84" spans="1:26" x14ac:dyDescent="0.3">
      <c r="A84" s="357"/>
      <c r="B84" s="357"/>
      <c r="C84" s="357"/>
      <c r="D84" s="357"/>
      <c r="E84" s="358"/>
      <c r="F84" s="358"/>
      <c r="G84" s="358"/>
      <c r="H84" s="359"/>
      <c r="I84" s="359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7"/>
      <c r="U84" s="358"/>
      <c r="V84" s="358"/>
      <c r="W84" s="358"/>
      <c r="X84" s="358"/>
      <c r="Y84" s="358"/>
      <c r="Z84" s="357"/>
    </row>
    <row r="85" spans="1:26" x14ac:dyDescent="0.3">
      <c r="A85" s="357"/>
      <c r="B85" s="357"/>
      <c r="C85" s="357"/>
      <c r="D85" s="357"/>
      <c r="E85" s="358"/>
      <c r="F85" s="358"/>
      <c r="G85" s="358"/>
      <c r="H85" s="359"/>
      <c r="I85" s="359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7"/>
      <c r="U85" s="358"/>
      <c r="V85" s="358"/>
      <c r="W85" s="358"/>
      <c r="X85" s="358"/>
      <c r="Y85" s="358"/>
      <c r="Z85" s="357"/>
    </row>
    <row r="86" spans="1:26" x14ac:dyDescent="0.3">
      <c r="A86" s="357"/>
      <c r="B86" s="357"/>
      <c r="C86" s="357"/>
      <c r="D86" s="357"/>
      <c r="E86" s="358"/>
      <c r="F86" s="358"/>
      <c r="G86" s="358"/>
      <c r="H86" s="359"/>
      <c r="I86" s="359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7"/>
      <c r="U86" s="358"/>
      <c r="V86" s="358"/>
      <c r="W86" s="358"/>
      <c r="X86" s="358"/>
      <c r="Y86" s="358"/>
      <c r="Z86" s="357"/>
    </row>
    <row r="87" spans="1:26" x14ac:dyDescent="0.3">
      <c r="A87" s="357"/>
      <c r="B87" s="357"/>
      <c r="C87" s="357"/>
      <c r="D87" s="357"/>
      <c r="E87" s="358"/>
      <c r="F87" s="358"/>
      <c r="G87" s="358"/>
      <c r="H87" s="359"/>
      <c r="I87" s="359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7"/>
      <c r="U87" s="358"/>
      <c r="V87" s="358"/>
      <c r="W87" s="358"/>
      <c r="X87" s="358"/>
      <c r="Y87" s="358"/>
      <c r="Z87" s="357"/>
    </row>
    <row r="88" spans="1:26" x14ac:dyDescent="0.3">
      <c r="A88" s="357"/>
      <c r="B88" s="357"/>
      <c r="C88" s="357"/>
      <c r="D88" s="357"/>
      <c r="E88" s="358"/>
      <c r="F88" s="358"/>
      <c r="G88" s="358"/>
      <c r="H88" s="359"/>
      <c r="I88" s="359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7"/>
      <c r="U88" s="358"/>
      <c r="V88" s="358"/>
      <c r="W88" s="358"/>
      <c r="X88" s="358"/>
      <c r="Y88" s="358"/>
      <c r="Z88" s="357"/>
    </row>
    <row r="89" spans="1:26" x14ac:dyDescent="0.3">
      <c r="A89" s="357"/>
      <c r="B89" s="357"/>
      <c r="C89" s="357"/>
      <c r="D89" s="357"/>
      <c r="E89" s="358"/>
      <c r="F89" s="358"/>
      <c r="G89" s="358"/>
      <c r="H89" s="359"/>
      <c r="I89" s="359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7"/>
      <c r="U89" s="358"/>
      <c r="V89" s="358"/>
      <c r="W89" s="358"/>
      <c r="X89" s="358"/>
      <c r="Y89" s="358"/>
      <c r="Z89" s="357"/>
    </row>
    <row r="90" spans="1:26" x14ac:dyDescent="0.3">
      <c r="A90" s="357"/>
      <c r="B90" s="357"/>
      <c r="C90" s="357"/>
      <c r="D90" s="357"/>
      <c r="E90" s="358"/>
      <c r="F90" s="358"/>
      <c r="G90" s="358"/>
      <c r="H90" s="359"/>
      <c r="I90" s="359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7"/>
      <c r="U90" s="358"/>
      <c r="V90" s="358"/>
      <c r="W90" s="358"/>
      <c r="X90" s="358"/>
      <c r="Y90" s="358"/>
      <c r="Z90" s="357"/>
    </row>
    <row r="91" spans="1:26" x14ac:dyDescent="0.3">
      <c r="A91" s="357"/>
      <c r="B91" s="357"/>
      <c r="C91" s="357"/>
      <c r="D91" s="357"/>
      <c r="E91" s="358"/>
      <c r="F91" s="358"/>
      <c r="G91" s="358"/>
      <c r="H91" s="359"/>
      <c r="I91" s="359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7"/>
      <c r="U91" s="358"/>
      <c r="V91" s="358"/>
      <c r="W91" s="358"/>
      <c r="X91" s="358"/>
      <c r="Y91" s="358"/>
      <c r="Z91" s="357"/>
    </row>
    <row r="92" spans="1:26" x14ac:dyDescent="0.3">
      <c r="A92" s="357"/>
      <c r="B92" s="357"/>
      <c r="C92" s="357"/>
      <c r="D92" s="357"/>
      <c r="E92" s="358"/>
      <c r="F92" s="358"/>
      <c r="G92" s="358"/>
      <c r="H92" s="359"/>
      <c r="I92" s="359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7"/>
      <c r="U92" s="358"/>
      <c r="V92" s="358"/>
      <c r="W92" s="358"/>
      <c r="X92" s="358"/>
      <c r="Y92" s="358"/>
      <c r="Z92" s="357"/>
    </row>
    <row r="93" spans="1:26" x14ac:dyDescent="0.3">
      <c r="A93" s="357"/>
      <c r="B93" s="357"/>
      <c r="C93" s="357"/>
      <c r="D93" s="357"/>
      <c r="E93" s="358"/>
      <c r="F93" s="358"/>
      <c r="G93" s="358"/>
      <c r="H93" s="359"/>
      <c r="I93" s="359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7"/>
      <c r="U93" s="358"/>
      <c r="V93" s="358"/>
      <c r="W93" s="358"/>
      <c r="X93" s="358"/>
      <c r="Y93" s="358"/>
      <c r="Z93" s="357"/>
    </row>
    <row r="94" spans="1:26" x14ac:dyDescent="0.3">
      <c r="A94" s="357"/>
      <c r="B94" s="357"/>
      <c r="C94" s="357"/>
      <c r="D94" s="357"/>
      <c r="E94" s="358"/>
      <c r="F94" s="358"/>
      <c r="G94" s="358"/>
      <c r="H94" s="359"/>
      <c r="I94" s="359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7"/>
      <c r="U94" s="358"/>
      <c r="V94" s="358"/>
      <c r="W94" s="358"/>
      <c r="X94" s="358"/>
      <c r="Y94" s="358"/>
      <c r="Z94" s="357"/>
    </row>
  </sheetData>
  <sheetProtection sheet="1" objects="1" scenarios="1"/>
  <dataValidations count="22">
    <dataValidation type="list" allowBlank="1" showInputMessage="1" showErrorMessage="1" sqref="D58" xr:uid="{00000000-0002-0000-0100-000000000000}">
      <formula1>INDIRECT(VLOOKUP(C2,KausiVlookup,2,TRUE))</formula1>
    </dataValidation>
    <dataValidation type="list" allowBlank="1" showInputMessage="1" showErrorMessage="1" sqref="D55" xr:uid="{00000000-0002-0000-0100-000001000000}">
      <formula1>INDIRECT(VLOOKUP(C2,KausiVlookup,2,TRUE))</formula1>
    </dataValidation>
    <dataValidation type="list" allowBlank="1" showInputMessage="1" showErrorMessage="1" sqref="D52" xr:uid="{00000000-0002-0000-0100-000002000000}">
      <formula1>INDIRECT(VLOOKUP(C2,KausiVlookup,2,TRUE))</formula1>
    </dataValidation>
    <dataValidation type="list" allowBlank="1" showInputMessage="1" showErrorMessage="1" sqref="D49" xr:uid="{00000000-0002-0000-0100-000003000000}">
      <formula1>INDIRECT(VLOOKUP(C2,KausiVlookup,2,TRUE))</formula1>
    </dataValidation>
    <dataValidation type="list" allowBlank="1" showInputMessage="1" showErrorMessage="1" sqref="D46" xr:uid="{00000000-0002-0000-0100-000004000000}">
      <formula1>INDIRECT(VLOOKUP(C2,KausiVlookup,2,TRUE))</formula1>
    </dataValidation>
    <dataValidation type="list" allowBlank="1" showInputMessage="1" showErrorMessage="1" sqref="D43" xr:uid="{00000000-0002-0000-0100-000005000000}">
      <formula1>INDIRECT(VLOOKUP(C2,KausiVlookup,2,TRUE))</formula1>
    </dataValidation>
    <dataValidation type="list" allowBlank="1" showInputMessage="1" showErrorMessage="1" sqref="D40" xr:uid="{00000000-0002-0000-0100-000006000000}">
      <formula1>INDIRECT(VLOOKUP(C2,KausiVlookup,2,TRUE))</formula1>
    </dataValidation>
    <dataValidation type="list" allowBlank="1" showInputMessage="1" showErrorMessage="1" sqref="D37" xr:uid="{00000000-0002-0000-0100-000007000000}">
      <formula1>INDIRECT(VLOOKUP(C2,KausiVlookup,2,TRUE))</formula1>
    </dataValidation>
    <dataValidation type="list" allowBlank="1" showInputMessage="1" showErrorMessage="1" sqref="D34" xr:uid="{00000000-0002-0000-0100-000008000000}">
      <formula1>INDIRECT(VLOOKUP(C2,KausiVlookup,2,TRUE))</formula1>
    </dataValidation>
    <dataValidation type="list" allowBlank="1" showInputMessage="1" showErrorMessage="1" sqref="D31" xr:uid="{00000000-0002-0000-0100-000009000000}">
      <formula1>INDIRECT(VLOOKUP(C2,KausiVlookup,2,TRUE))</formula1>
    </dataValidation>
    <dataValidation type="list" allowBlank="1" showInputMessage="1" showErrorMessage="1" sqref="D28" xr:uid="{00000000-0002-0000-0100-00000A000000}">
      <formula1>INDIRECT(VLOOKUP(C2,KausiVlookup,2,TRUE))</formula1>
    </dataValidation>
    <dataValidation type="list" allowBlank="1" showInputMessage="1" showErrorMessage="1" sqref="D25" xr:uid="{00000000-0002-0000-0100-00000B000000}">
      <formula1>INDIRECT(VLOOKUP(C2,KausiVlookup,2,TRUE))</formula1>
    </dataValidation>
    <dataValidation type="list" allowBlank="1" showInputMessage="1" showErrorMessage="1" sqref="D22" xr:uid="{00000000-0002-0000-0100-00000C000000}">
      <formula1>INDIRECT(VLOOKUP(C2,KausiVlookup,2,TRUE))</formula1>
    </dataValidation>
    <dataValidation type="list" allowBlank="1" showInputMessage="1" showErrorMessage="1" sqref="D19" xr:uid="{00000000-0002-0000-0100-00000D000000}">
      <formula1>INDIRECT(VLOOKUP(C2,KausiVlookup,2,TRUE))</formula1>
    </dataValidation>
    <dataValidation type="list" allowBlank="1" showInputMessage="1" showErrorMessage="1" sqref="D16" xr:uid="{00000000-0002-0000-0100-00000E000000}">
      <formula1>INDIRECT(VLOOKUP(C2,KausiVlookup,2,TRUE))</formula1>
    </dataValidation>
    <dataValidation type="list" allowBlank="1" showInputMessage="1" showErrorMessage="1" sqref="D13" xr:uid="{00000000-0002-0000-0100-00000F000000}">
      <formula1>INDIRECT(VLOOKUP(C2,KausiVlookup,2,TRUE))</formula1>
    </dataValidation>
    <dataValidation type="list" allowBlank="1" showInputMessage="1" showErrorMessage="1" sqref="D10" xr:uid="{00000000-0002-0000-0100-000010000000}">
      <formula1>INDIRECT(VLOOKUP(C2,KausiVlookup,2,TRUE))</formula1>
    </dataValidation>
    <dataValidation type="list" allowBlank="1" showInputMessage="1" showErrorMessage="1" sqref="D7" xr:uid="{00000000-0002-0000-0100-000011000000}">
      <formula1>INDIRECT(VLOOKUP(C2,KausiVlookup,2,TRUE))</formula1>
    </dataValidation>
    <dataValidation type="list" allowBlank="1" showInputMessage="1" showErrorMessage="1" sqref="C7 C10 C13 C16 C19 C22 C25 C28 C31 C34 C37 C40 C43 C46 C49 C52 C55 C58" xr:uid="{00000000-0002-0000-0100-000012000000}">
      <formula1>Koti</formula1>
    </dataValidation>
    <dataValidation type="list" allowBlank="1" showInputMessage="1" showErrorMessage="1" sqref="C6 C9 C12 C15 C18 C21 C24 C27 C30 C33 C36 C39 C42 C45 C48 C51 C54 C57" xr:uid="{00000000-0002-0000-0100-000013000000}">
      <formula1>Hallit</formula1>
    </dataValidation>
    <dataValidation type="list" allowBlank="1" showInputMessage="1" showErrorMessage="1" sqref="C2" xr:uid="{00000000-0002-0000-0100-000014000000}">
      <formula1>Kaudet</formula1>
    </dataValidation>
    <dataValidation type="list" allowBlank="1" showInputMessage="1" showErrorMessage="1" sqref="E2" xr:uid="{00000000-0002-0000-0100-000015000000}">
      <formula1>Sarjat</formula1>
    </dataValidation>
  </dataValidation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2:Q66"/>
  <sheetViews>
    <sheetView zoomScale="70" zoomScaleNormal="70" workbookViewId="0">
      <pane ySplit="2" topLeftCell="A3" activePane="bottomLeft" state="frozen"/>
      <selection pane="bottomLeft" activeCell="D73" sqref="D73"/>
    </sheetView>
  </sheetViews>
  <sheetFormatPr defaultRowHeight="14.4" x14ac:dyDescent="0.3"/>
  <cols>
    <col min="1" max="1" width="2.88671875" customWidth="1"/>
    <col min="2" max="2" width="17.88671875" customWidth="1"/>
    <col min="3" max="3" width="16.33203125" customWidth="1"/>
    <col min="4" max="6" width="8" style="8" customWidth="1"/>
    <col min="7" max="8" width="8" style="265" customWidth="1"/>
    <col min="9" max="17" width="8" style="8" customWidth="1"/>
    <col min="18" max="26" width="8" customWidth="1"/>
  </cols>
  <sheetData>
    <row r="2" spans="1:17" s="205" customFormat="1" ht="15" thickBot="1" x14ac:dyDescent="0.35">
      <c r="D2" s="265" t="s">
        <v>1416</v>
      </c>
      <c r="E2" s="265" t="s">
        <v>1417</v>
      </c>
      <c r="F2" s="265" t="s">
        <v>1418</v>
      </c>
      <c r="G2" s="265" t="s">
        <v>1408</v>
      </c>
      <c r="H2" s="265"/>
      <c r="I2" s="265"/>
      <c r="J2" s="265" t="s">
        <v>1415</v>
      </c>
      <c r="K2" s="265" t="s">
        <v>1419</v>
      </c>
      <c r="L2" s="265" t="s">
        <v>1420</v>
      </c>
      <c r="M2" s="265" t="s">
        <v>1424</v>
      </c>
      <c r="N2" s="265" t="s">
        <v>1425</v>
      </c>
      <c r="O2" s="265"/>
      <c r="P2" s="265"/>
      <c r="Q2" s="265"/>
    </row>
    <row r="3" spans="1:17" s="354" customFormat="1" ht="3.75" customHeight="1" thickBot="1" x14ac:dyDescent="0.35">
      <c r="A3" s="353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</row>
    <row r="4" spans="1:17" s="205" customFormat="1" ht="15" customHeight="1" x14ac:dyDescent="0.3">
      <c r="D4" s="265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</row>
    <row r="5" spans="1:17" x14ac:dyDescent="0.3">
      <c r="B5" s="291" t="s">
        <v>1435</v>
      </c>
      <c r="C5" s="292" t="s">
        <v>0</v>
      </c>
      <c r="D5" s="307"/>
      <c r="E5" s="307"/>
      <c r="F5" s="307">
        <v>5</v>
      </c>
      <c r="G5" s="360">
        <f>SUM(D5:F5)</f>
        <v>5</v>
      </c>
      <c r="H5" s="361" t="s">
        <v>1410</v>
      </c>
      <c r="I5" s="307"/>
      <c r="J5" s="307"/>
      <c r="K5" s="307"/>
      <c r="L5" s="307"/>
      <c r="M5" s="307"/>
      <c r="N5" s="307"/>
      <c r="O5" s="307"/>
      <c r="P5" s="307"/>
      <c r="Q5" s="362"/>
    </row>
    <row r="6" spans="1:17" x14ac:dyDescent="0.3">
      <c r="B6" s="295"/>
      <c r="C6" s="296" t="s">
        <v>1394</v>
      </c>
      <c r="D6" s="363"/>
      <c r="E6" s="363"/>
      <c r="F6" s="363">
        <v>5</v>
      </c>
      <c r="G6" s="364">
        <f>SUM(D6:F6)</f>
        <v>5</v>
      </c>
      <c r="H6" s="364"/>
      <c r="I6" s="363"/>
      <c r="J6" s="363"/>
      <c r="K6" s="363"/>
      <c r="L6" s="363"/>
      <c r="M6" s="363"/>
      <c r="N6" s="363"/>
      <c r="O6" s="363"/>
      <c r="P6" s="363"/>
      <c r="Q6" s="365"/>
    </row>
    <row r="7" spans="1:17" s="357" customFormat="1" ht="3.75" customHeight="1" x14ac:dyDescent="0.3">
      <c r="D7" s="358"/>
      <c r="E7" s="358"/>
      <c r="F7" s="358"/>
      <c r="G7" s="359"/>
      <c r="H7" s="359"/>
      <c r="I7" s="358"/>
      <c r="J7" s="358"/>
      <c r="K7" s="358"/>
      <c r="L7" s="358"/>
      <c r="M7" s="358"/>
      <c r="N7" s="358"/>
      <c r="O7" s="358"/>
      <c r="P7" s="358"/>
      <c r="Q7" s="358"/>
    </row>
    <row r="8" spans="1:17" x14ac:dyDescent="0.3">
      <c r="B8" s="291" t="s">
        <v>1435</v>
      </c>
      <c r="C8" s="292" t="s">
        <v>0</v>
      </c>
      <c r="D8" s="307"/>
      <c r="E8" s="307"/>
      <c r="F8" s="307">
        <v>7</v>
      </c>
      <c r="G8" s="360">
        <f>SUM(D8:F8)</f>
        <v>7</v>
      </c>
      <c r="H8" s="361" t="s">
        <v>1410</v>
      </c>
      <c r="I8" s="307"/>
      <c r="J8" s="307"/>
      <c r="K8" s="307"/>
      <c r="L8" s="307"/>
      <c r="M8" s="307"/>
      <c r="N8" s="307"/>
      <c r="O8" s="307"/>
      <c r="P8" s="307"/>
      <c r="Q8" s="362"/>
    </row>
    <row r="9" spans="1:17" x14ac:dyDescent="0.3">
      <c r="B9" s="295"/>
      <c r="C9" s="296" t="s">
        <v>1395</v>
      </c>
      <c r="D9" s="363"/>
      <c r="E9" s="363"/>
      <c r="F9" s="363">
        <v>7</v>
      </c>
      <c r="G9" s="364">
        <f>SUM(D9:F9)</f>
        <v>7</v>
      </c>
      <c r="H9" s="364"/>
      <c r="I9" s="363"/>
      <c r="J9" s="363"/>
      <c r="K9" s="363"/>
      <c r="L9" s="363"/>
      <c r="M9" s="363"/>
      <c r="N9" s="363"/>
      <c r="O9" s="363"/>
      <c r="P9" s="363"/>
      <c r="Q9" s="365"/>
    </row>
    <row r="10" spans="1:17" s="357" customFormat="1" ht="3.75" customHeight="1" x14ac:dyDescent="0.3">
      <c r="D10" s="358"/>
      <c r="E10" s="358"/>
      <c r="F10" s="358"/>
      <c r="G10" s="359"/>
      <c r="H10" s="359"/>
      <c r="I10" s="358"/>
      <c r="J10" s="358"/>
      <c r="K10" s="358"/>
      <c r="L10" s="358"/>
      <c r="M10" s="358"/>
      <c r="N10" s="358"/>
      <c r="O10" s="358"/>
      <c r="P10" s="358"/>
      <c r="Q10" s="358"/>
    </row>
    <row r="11" spans="1:17" x14ac:dyDescent="0.3">
      <c r="B11" s="366">
        <v>42294</v>
      </c>
      <c r="C11" s="292" t="s">
        <v>0</v>
      </c>
      <c r="D11" s="307">
        <v>4</v>
      </c>
      <c r="E11" s="307">
        <v>1</v>
      </c>
      <c r="F11" s="307">
        <v>3</v>
      </c>
      <c r="G11" s="360">
        <f>SUM(D11:F11)</f>
        <v>8</v>
      </c>
      <c r="H11" s="361" t="s">
        <v>1409</v>
      </c>
      <c r="I11" s="307"/>
      <c r="J11" s="307">
        <v>0</v>
      </c>
      <c r="K11" s="307"/>
      <c r="L11" s="307"/>
      <c r="M11" s="307"/>
      <c r="N11" s="307"/>
      <c r="O11" s="307"/>
      <c r="P11" s="307"/>
      <c r="Q11" s="362"/>
    </row>
    <row r="12" spans="1:17" x14ac:dyDescent="0.3">
      <c r="B12" s="295"/>
      <c r="C12" s="296" t="s">
        <v>1396</v>
      </c>
      <c r="D12" s="363">
        <v>3</v>
      </c>
      <c r="E12" s="363">
        <v>1</v>
      </c>
      <c r="F12" s="363">
        <v>1</v>
      </c>
      <c r="G12" s="364">
        <f>SUM(D12:F12)</f>
        <v>5</v>
      </c>
      <c r="H12" s="364"/>
      <c r="I12" s="363"/>
      <c r="J12" s="363">
        <v>1</v>
      </c>
      <c r="K12" s="363"/>
      <c r="L12" s="363"/>
      <c r="M12" s="363"/>
      <c r="N12" s="363"/>
      <c r="O12" s="363"/>
      <c r="P12" s="363"/>
      <c r="Q12" s="365"/>
    </row>
    <row r="13" spans="1:17" s="357" customFormat="1" ht="3.75" customHeight="1" x14ac:dyDescent="0.3">
      <c r="D13" s="358"/>
      <c r="E13" s="358"/>
      <c r="F13" s="358"/>
      <c r="G13" s="359"/>
      <c r="H13" s="359"/>
      <c r="I13" s="358"/>
      <c r="J13" s="358"/>
      <c r="K13" s="358"/>
      <c r="L13" s="358"/>
      <c r="M13" s="358"/>
      <c r="N13" s="358"/>
      <c r="O13" s="358"/>
      <c r="P13" s="358"/>
      <c r="Q13" s="358"/>
    </row>
    <row r="14" spans="1:17" x14ac:dyDescent="0.3">
      <c r="B14" s="366">
        <v>42294</v>
      </c>
      <c r="C14" s="292" t="s">
        <v>0</v>
      </c>
      <c r="D14" s="307">
        <v>4</v>
      </c>
      <c r="E14" s="307">
        <v>1</v>
      </c>
      <c r="F14" s="307">
        <v>5</v>
      </c>
      <c r="G14" s="360">
        <f>SUM(D14:F14)</f>
        <v>10</v>
      </c>
      <c r="H14" s="361" t="s">
        <v>1409</v>
      </c>
      <c r="I14" s="307"/>
      <c r="J14" s="307">
        <v>1</v>
      </c>
      <c r="K14" s="307">
        <v>1</v>
      </c>
      <c r="L14" s="307"/>
      <c r="M14" s="307"/>
      <c r="N14" s="307"/>
      <c r="O14" s="307"/>
      <c r="P14" s="307"/>
      <c r="Q14" s="362"/>
    </row>
    <row r="15" spans="1:17" x14ac:dyDescent="0.3">
      <c r="B15" s="295"/>
      <c r="C15" s="296" t="s">
        <v>1195</v>
      </c>
      <c r="D15" s="363">
        <v>4</v>
      </c>
      <c r="E15" s="363">
        <v>4</v>
      </c>
      <c r="F15" s="363">
        <v>1</v>
      </c>
      <c r="G15" s="364">
        <f>SUM(D15:F15)</f>
        <v>9</v>
      </c>
      <c r="H15" s="364"/>
      <c r="I15" s="363"/>
      <c r="J15" s="363">
        <v>1</v>
      </c>
      <c r="K15" s="363">
        <v>1</v>
      </c>
      <c r="L15" s="363">
        <v>1</v>
      </c>
      <c r="M15" s="363"/>
      <c r="N15" s="363"/>
      <c r="O15" s="363"/>
      <c r="P15" s="363"/>
      <c r="Q15" s="365"/>
    </row>
    <row r="16" spans="1:17" s="357" customFormat="1" ht="3.75" customHeight="1" x14ac:dyDescent="0.3">
      <c r="D16" s="358"/>
      <c r="E16" s="358"/>
      <c r="F16" s="358"/>
      <c r="G16" s="359"/>
      <c r="H16" s="359"/>
      <c r="I16" s="358"/>
      <c r="J16" s="358"/>
      <c r="K16" s="358"/>
      <c r="L16" s="358"/>
      <c r="M16" s="358"/>
      <c r="N16" s="358"/>
      <c r="O16" s="358"/>
      <c r="P16" s="358"/>
      <c r="Q16" s="358"/>
    </row>
    <row r="17" spans="2:17" x14ac:dyDescent="0.3">
      <c r="B17" s="366">
        <v>42309</v>
      </c>
      <c r="C17" s="292" t="s">
        <v>0</v>
      </c>
      <c r="D17" s="307">
        <v>0</v>
      </c>
      <c r="E17" s="307">
        <v>0</v>
      </c>
      <c r="F17" s="307">
        <v>1</v>
      </c>
      <c r="G17" s="360">
        <f>SUM(D17:F17)</f>
        <v>1</v>
      </c>
      <c r="H17" s="361" t="s">
        <v>1411</v>
      </c>
      <c r="I17" s="307"/>
      <c r="J17" s="307">
        <v>1</v>
      </c>
      <c r="K17" s="307">
        <v>1</v>
      </c>
      <c r="L17" s="307"/>
      <c r="M17" s="307"/>
      <c r="N17" s="307" t="s">
        <v>1421</v>
      </c>
      <c r="O17" s="307"/>
      <c r="P17" s="307"/>
      <c r="Q17" s="362"/>
    </row>
    <row r="18" spans="2:17" x14ac:dyDescent="0.3">
      <c r="B18" s="295"/>
      <c r="C18" s="296" t="s">
        <v>1402</v>
      </c>
      <c r="D18" s="363">
        <v>3</v>
      </c>
      <c r="E18" s="363">
        <v>0</v>
      </c>
      <c r="F18" s="363">
        <v>3</v>
      </c>
      <c r="G18" s="364">
        <f>SUM(D18:F18)</f>
        <v>6</v>
      </c>
      <c r="H18" s="364"/>
      <c r="I18" s="363"/>
      <c r="J18" s="363">
        <v>1</v>
      </c>
      <c r="K18" s="363"/>
      <c r="L18" s="363"/>
      <c r="M18" s="363"/>
      <c r="N18" s="363"/>
      <c r="O18" s="363"/>
      <c r="P18" s="363"/>
      <c r="Q18" s="365"/>
    </row>
    <row r="19" spans="2:17" s="357" customFormat="1" ht="3.75" customHeight="1" x14ac:dyDescent="0.3">
      <c r="D19" s="358"/>
      <c r="E19" s="358"/>
      <c r="F19" s="358"/>
      <c r="G19" s="359"/>
      <c r="H19" s="359"/>
      <c r="I19" s="358"/>
      <c r="J19" s="358"/>
      <c r="K19" s="358"/>
      <c r="L19" s="358"/>
      <c r="M19" s="358"/>
      <c r="N19" s="358"/>
      <c r="O19" s="358"/>
      <c r="P19" s="358"/>
      <c r="Q19" s="358"/>
    </row>
    <row r="20" spans="2:17" x14ac:dyDescent="0.3">
      <c r="B20" s="366">
        <v>42309</v>
      </c>
      <c r="C20" s="292" t="s">
        <v>0</v>
      </c>
      <c r="D20" s="307">
        <v>1</v>
      </c>
      <c r="E20" s="307">
        <v>4</v>
      </c>
      <c r="F20" s="307">
        <v>2</v>
      </c>
      <c r="G20" s="360">
        <f>SUM(D20:F20)</f>
        <v>7</v>
      </c>
      <c r="H20" s="361" t="s">
        <v>1410</v>
      </c>
      <c r="I20" s="307"/>
      <c r="J20" s="307">
        <v>0</v>
      </c>
      <c r="K20" s="307"/>
      <c r="L20" s="307"/>
      <c r="M20" s="307"/>
      <c r="N20" s="307"/>
      <c r="O20" s="307"/>
      <c r="P20" s="307"/>
      <c r="Q20" s="362"/>
    </row>
    <row r="21" spans="2:17" x14ac:dyDescent="0.3">
      <c r="B21" s="295"/>
      <c r="C21" s="296" t="s">
        <v>1245</v>
      </c>
      <c r="D21" s="363">
        <v>0</v>
      </c>
      <c r="E21" s="363">
        <v>4</v>
      </c>
      <c r="F21" s="363">
        <v>3</v>
      </c>
      <c r="G21" s="364">
        <f>SUM(D21:F21)</f>
        <v>7</v>
      </c>
      <c r="H21" s="364"/>
      <c r="I21" s="363"/>
      <c r="J21" s="363">
        <v>0</v>
      </c>
      <c r="K21" s="363"/>
      <c r="L21" s="363"/>
      <c r="M21" s="363"/>
      <c r="N21" s="367" t="s">
        <v>1422</v>
      </c>
      <c r="O21" s="363"/>
      <c r="P21" s="363"/>
      <c r="Q21" s="365"/>
    </row>
    <row r="22" spans="2:17" s="357" customFormat="1" ht="3.75" customHeight="1" x14ac:dyDescent="0.3">
      <c r="D22" s="358"/>
      <c r="E22" s="358"/>
      <c r="F22" s="358"/>
      <c r="G22" s="359"/>
      <c r="H22" s="359"/>
      <c r="I22" s="358"/>
      <c r="J22" s="358"/>
      <c r="K22" s="358"/>
      <c r="L22" s="358"/>
      <c r="M22" s="358"/>
      <c r="N22" s="358"/>
      <c r="O22" s="358"/>
      <c r="P22" s="358"/>
      <c r="Q22" s="358"/>
    </row>
    <row r="23" spans="2:17" x14ac:dyDescent="0.3">
      <c r="B23" s="366">
        <v>42337</v>
      </c>
      <c r="C23" s="292" t="s">
        <v>0</v>
      </c>
      <c r="D23" s="307">
        <v>1</v>
      </c>
      <c r="E23" s="307">
        <v>1</v>
      </c>
      <c r="F23" s="307">
        <v>1</v>
      </c>
      <c r="G23" s="360">
        <f>SUM(D23:F23)</f>
        <v>3</v>
      </c>
      <c r="H23" s="361" t="s">
        <v>1411</v>
      </c>
      <c r="I23" s="307"/>
      <c r="J23" s="307">
        <v>0</v>
      </c>
      <c r="K23" s="307"/>
      <c r="L23" s="307"/>
      <c r="M23" s="307"/>
      <c r="N23" s="307" t="s">
        <v>1423</v>
      </c>
      <c r="O23" s="307"/>
      <c r="P23" s="307"/>
      <c r="Q23" s="362"/>
    </row>
    <row r="24" spans="2:17" x14ac:dyDescent="0.3">
      <c r="B24" s="295"/>
      <c r="C24" s="296" t="s">
        <v>1403</v>
      </c>
      <c r="D24" s="363">
        <v>3</v>
      </c>
      <c r="E24" s="363">
        <v>4</v>
      </c>
      <c r="F24" s="363">
        <v>1</v>
      </c>
      <c r="G24" s="364">
        <f>SUM(D24:F24)</f>
        <v>8</v>
      </c>
      <c r="H24" s="364"/>
      <c r="I24" s="363"/>
      <c r="J24" s="363">
        <v>1</v>
      </c>
      <c r="K24" s="363"/>
      <c r="L24" s="363"/>
      <c r="M24" s="363"/>
      <c r="N24" s="363"/>
      <c r="O24" s="363"/>
      <c r="P24" s="363"/>
      <c r="Q24" s="365"/>
    </row>
    <row r="25" spans="2:17" s="357" customFormat="1" ht="3.75" customHeight="1" x14ac:dyDescent="0.3">
      <c r="D25" s="358"/>
      <c r="E25" s="358"/>
      <c r="F25" s="358"/>
      <c r="G25" s="359"/>
      <c r="H25" s="359"/>
      <c r="I25" s="358"/>
      <c r="J25" s="358"/>
      <c r="K25" s="358"/>
      <c r="L25" s="358"/>
      <c r="M25" s="358"/>
      <c r="N25" s="358"/>
      <c r="O25" s="358"/>
      <c r="P25" s="358"/>
      <c r="Q25" s="358"/>
    </row>
    <row r="26" spans="2:17" x14ac:dyDescent="0.3">
      <c r="B26" s="366">
        <v>42337</v>
      </c>
      <c r="C26" s="292" t="s">
        <v>0</v>
      </c>
      <c r="D26" s="307">
        <v>0</v>
      </c>
      <c r="E26" s="307">
        <v>1</v>
      </c>
      <c r="F26" s="307">
        <v>1</v>
      </c>
      <c r="G26" s="360">
        <f>SUM(D26:F26)</f>
        <v>2</v>
      </c>
      <c r="H26" s="361" t="s">
        <v>1411</v>
      </c>
      <c r="I26" s="307"/>
      <c r="J26" s="307">
        <v>2</v>
      </c>
      <c r="K26" s="307">
        <v>0</v>
      </c>
      <c r="L26" s="307"/>
      <c r="M26" s="307"/>
      <c r="N26" s="307"/>
      <c r="O26" s="307"/>
      <c r="P26" s="307"/>
      <c r="Q26" s="362"/>
    </row>
    <row r="27" spans="2:17" x14ac:dyDescent="0.3">
      <c r="B27" s="295"/>
      <c r="C27" s="296" t="s">
        <v>1220</v>
      </c>
      <c r="D27" s="363">
        <v>1</v>
      </c>
      <c r="E27" s="363">
        <v>2</v>
      </c>
      <c r="F27" s="363">
        <v>0</v>
      </c>
      <c r="G27" s="364">
        <f>SUM(D27:F27)</f>
        <v>3</v>
      </c>
      <c r="H27" s="364"/>
      <c r="I27" s="363"/>
      <c r="J27" s="363">
        <v>2</v>
      </c>
      <c r="K27" s="363">
        <v>2</v>
      </c>
      <c r="L27" s="363"/>
      <c r="M27" s="363" t="s">
        <v>105</v>
      </c>
      <c r="N27" s="363"/>
      <c r="O27" s="363"/>
      <c r="P27" s="363"/>
      <c r="Q27" s="365"/>
    </row>
    <row r="28" spans="2:17" s="357" customFormat="1" ht="3.75" customHeight="1" x14ac:dyDescent="0.3">
      <c r="D28" s="358"/>
      <c r="E28" s="358"/>
      <c r="F28" s="358"/>
      <c r="G28" s="359"/>
      <c r="H28" s="359"/>
      <c r="I28" s="358"/>
      <c r="J28" s="358"/>
      <c r="K28" s="358"/>
      <c r="L28" s="358"/>
      <c r="M28" s="358"/>
      <c r="N28" s="358"/>
      <c r="O28" s="358"/>
      <c r="P28" s="358"/>
      <c r="Q28" s="358"/>
    </row>
    <row r="29" spans="2:17" x14ac:dyDescent="0.3">
      <c r="B29" s="366">
        <v>42358</v>
      </c>
      <c r="C29" s="292" t="s">
        <v>0</v>
      </c>
      <c r="D29" s="307">
        <v>3</v>
      </c>
      <c r="E29" s="307">
        <v>2</v>
      </c>
      <c r="F29" s="307">
        <v>2</v>
      </c>
      <c r="G29" s="360">
        <f>SUM(D29:F29)</f>
        <v>7</v>
      </c>
      <c r="H29" s="361" t="s">
        <v>1409</v>
      </c>
      <c r="I29" s="307"/>
      <c r="J29" s="307">
        <v>1</v>
      </c>
      <c r="K29" s="307">
        <v>0</v>
      </c>
      <c r="L29" s="307"/>
      <c r="M29" s="307"/>
      <c r="N29" s="307"/>
      <c r="O29" s="307"/>
      <c r="P29" s="307"/>
      <c r="Q29" s="362"/>
    </row>
    <row r="30" spans="2:17" x14ac:dyDescent="0.3">
      <c r="B30" s="295"/>
      <c r="C30" s="296" t="s">
        <v>1395</v>
      </c>
      <c r="D30" s="363">
        <v>1</v>
      </c>
      <c r="E30" s="363">
        <v>0</v>
      </c>
      <c r="F30" s="363">
        <v>3</v>
      </c>
      <c r="G30" s="364">
        <f>SUM(D30:F30)</f>
        <v>4</v>
      </c>
      <c r="H30" s="364"/>
      <c r="I30" s="363"/>
      <c r="J30" s="363">
        <v>0</v>
      </c>
      <c r="K30" s="363"/>
      <c r="L30" s="363"/>
      <c r="M30" s="363"/>
      <c r="N30" s="363"/>
      <c r="O30" s="363"/>
      <c r="P30" s="363"/>
      <c r="Q30" s="365"/>
    </row>
    <row r="31" spans="2:17" s="357" customFormat="1" ht="3.75" customHeight="1" x14ac:dyDescent="0.3">
      <c r="D31" s="358"/>
      <c r="E31" s="358"/>
      <c r="F31" s="358"/>
      <c r="G31" s="359"/>
      <c r="H31" s="359"/>
      <c r="I31" s="358"/>
      <c r="J31" s="358"/>
      <c r="K31" s="358"/>
      <c r="L31" s="358"/>
      <c r="M31" s="358"/>
      <c r="N31" s="358"/>
      <c r="O31" s="358"/>
      <c r="P31" s="358"/>
      <c r="Q31" s="358"/>
    </row>
    <row r="32" spans="2:17" x14ac:dyDescent="0.3">
      <c r="B32" s="366">
        <v>42358</v>
      </c>
      <c r="C32" s="292" t="s">
        <v>0</v>
      </c>
      <c r="D32" s="307">
        <v>0</v>
      </c>
      <c r="E32" s="307">
        <v>1</v>
      </c>
      <c r="F32" s="307">
        <v>2</v>
      </c>
      <c r="G32" s="360">
        <f>SUM(D32:F32)</f>
        <v>3</v>
      </c>
      <c r="H32" s="361" t="s">
        <v>1411</v>
      </c>
      <c r="I32" s="307"/>
      <c r="J32" s="307">
        <v>1</v>
      </c>
      <c r="K32" s="307">
        <v>2</v>
      </c>
      <c r="L32" s="307"/>
      <c r="M32" s="307"/>
      <c r="N32" s="307">
        <v>0</v>
      </c>
      <c r="O32" s="307"/>
      <c r="P32" s="368" t="s">
        <v>1427</v>
      </c>
      <c r="Q32" s="362"/>
    </row>
    <row r="33" spans="2:17" x14ac:dyDescent="0.3">
      <c r="B33" s="295"/>
      <c r="C33" s="296" t="s">
        <v>1404</v>
      </c>
      <c r="D33" s="363">
        <v>1</v>
      </c>
      <c r="E33" s="363">
        <v>3</v>
      </c>
      <c r="F33" s="363">
        <v>0</v>
      </c>
      <c r="G33" s="364">
        <f>SUM(D33:F33)</f>
        <v>4</v>
      </c>
      <c r="H33" s="364"/>
      <c r="I33" s="363"/>
      <c r="J33" s="363">
        <v>4</v>
      </c>
      <c r="K33" s="363"/>
      <c r="L33" s="363"/>
      <c r="M33" s="363"/>
      <c r="N33" s="363">
        <v>1</v>
      </c>
      <c r="O33" s="363"/>
      <c r="P33" s="369" t="s">
        <v>1426</v>
      </c>
      <c r="Q33" s="365"/>
    </row>
    <row r="34" spans="2:17" s="357" customFormat="1" ht="3.75" customHeight="1" x14ac:dyDescent="0.3">
      <c r="D34" s="358"/>
      <c r="E34" s="358"/>
      <c r="F34" s="358"/>
      <c r="G34" s="359"/>
      <c r="H34" s="359"/>
      <c r="I34" s="358"/>
      <c r="J34" s="358"/>
      <c r="K34" s="358"/>
      <c r="L34" s="358"/>
      <c r="M34" s="358"/>
      <c r="N34" s="358"/>
      <c r="O34" s="358"/>
      <c r="P34" s="358"/>
      <c r="Q34" s="358"/>
    </row>
    <row r="35" spans="2:17" x14ac:dyDescent="0.3">
      <c r="B35" s="366">
        <v>42379</v>
      </c>
      <c r="C35" s="292" t="s">
        <v>0</v>
      </c>
      <c r="D35" s="307">
        <v>0</v>
      </c>
      <c r="E35" s="307">
        <v>2</v>
      </c>
      <c r="F35" s="307">
        <v>3</v>
      </c>
      <c r="G35" s="360">
        <f>SUM(D35:F35)</f>
        <v>5</v>
      </c>
      <c r="H35" s="361" t="s">
        <v>1410</v>
      </c>
      <c r="I35" s="307"/>
      <c r="J35" s="307">
        <v>1</v>
      </c>
      <c r="K35" s="307">
        <v>0</v>
      </c>
      <c r="L35" s="307"/>
      <c r="M35" s="307"/>
      <c r="N35" s="307"/>
      <c r="O35" s="307"/>
      <c r="P35" s="307"/>
      <c r="Q35" s="362"/>
    </row>
    <row r="36" spans="2:17" x14ac:dyDescent="0.3">
      <c r="B36" s="295"/>
      <c r="C36" s="296" t="s">
        <v>1402</v>
      </c>
      <c r="D36" s="363">
        <v>4</v>
      </c>
      <c r="E36" s="363">
        <v>0</v>
      </c>
      <c r="F36" s="363">
        <v>1</v>
      </c>
      <c r="G36" s="364">
        <f>SUM(D36:F36)</f>
        <v>5</v>
      </c>
      <c r="H36" s="364"/>
      <c r="I36" s="363"/>
      <c r="J36" s="363">
        <v>0</v>
      </c>
      <c r="K36" s="363">
        <v>1</v>
      </c>
      <c r="L36" s="363"/>
      <c r="M36" s="363"/>
      <c r="N36" s="363"/>
      <c r="O36" s="363"/>
      <c r="P36" s="363"/>
      <c r="Q36" s="365"/>
    </row>
    <row r="37" spans="2:17" s="357" customFormat="1" ht="3.75" customHeight="1" x14ac:dyDescent="0.3">
      <c r="D37" s="358"/>
      <c r="E37" s="358"/>
      <c r="F37" s="358"/>
      <c r="G37" s="359"/>
      <c r="H37" s="359"/>
      <c r="I37" s="358"/>
      <c r="J37" s="358"/>
      <c r="K37" s="358"/>
      <c r="L37" s="358"/>
      <c r="M37" s="358"/>
      <c r="N37" s="358"/>
      <c r="O37" s="358"/>
      <c r="P37" s="358"/>
      <c r="Q37" s="358"/>
    </row>
    <row r="38" spans="2:17" x14ac:dyDescent="0.3">
      <c r="B38" s="366">
        <v>42379</v>
      </c>
      <c r="C38" s="292" t="s">
        <v>0</v>
      </c>
      <c r="D38" s="307">
        <v>2</v>
      </c>
      <c r="E38" s="307">
        <v>0</v>
      </c>
      <c r="F38" s="307">
        <v>3</v>
      </c>
      <c r="G38" s="360">
        <f>SUM(D38:F38)</f>
        <v>5</v>
      </c>
      <c r="H38" s="361" t="s">
        <v>1411</v>
      </c>
      <c r="I38" s="307"/>
      <c r="J38" s="307">
        <v>1</v>
      </c>
      <c r="K38" s="307"/>
      <c r="L38" s="307"/>
      <c r="M38" s="307"/>
      <c r="N38" s="307"/>
      <c r="O38" s="307"/>
      <c r="P38" s="307" t="s">
        <v>1428</v>
      </c>
      <c r="Q38" s="362"/>
    </row>
    <row r="39" spans="2:17" x14ac:dyDescent="0.3">
      <c r="B39" s="295"/>
      <c r="C39" s="296" t="s">
        <v>1394</v>
      </c>
      <c r="D39" s="363">
        <v>2</v>
      </c>
      <c r="E39" s="363">
        <v>1</v>
      </c>
      <c r="F39" s="363">
        <v>4</v>
      </c>
      <c r="G39" s="364">
        <f>SUM(D39:F39)</f>
        <v>7</v>
      </c>
      <c r="H39" s="364"/>
      <c r="I39" s="363"/>
      <c r="J39" s="363">
        <v>0</v>
      </c>
      <c r="K39" s="363"/>
      <c r="L39" s="363"/>
      <c r="M39" s="363" t="s">
        <v>105</v>
      </c>
      <c r="N39" s="363"/>
      <c r="O39" s="363"/>
      <c r="P39" s="363"/>
      <c r="Q39" s="365"/>
    </row>
    <row r="40" spans="2:17" s="357" customFormat="1" ht="3.75" customHeight="1" x14ac:dyDescent="0.3">
      <c r="D40" s="358"/>
      <c r="E40" s="358"/>
      <c r="F40" s="358"/>
      <c r="G40" s="359"/>
      <c r="H40" s="359"/>
      <c r="I40" s="358"/>
      <c r="J40" s="358"/>
      <c r="K40" s="358"/>
      <c r="L40" s="358"/>
      <c r="M40" s="358"/>
      <c r="N40" s="358"/>
      <c r="O40" s="358"/>
      <c r="P40" s="358"/>
      <c r="Q40" s="358"/>
    </row>
    <row r="41" spans="2:17" x14ac:dyDescent="0.3">
      <c r="B41" s="366">
        <v>42399</v>
      </c>
      <c r="C41" s="292" t="s">
        <v>0</v>
      </c>
      <c r="D41" s="307">
        <v>4</v>
      </c>
      <c r="E41" s="307">
        <v>4</v>
      </c>
      <c r="F41" s="307">
        <v>2</v>
      </c>
      <c r="G41" s="360">
        <f>SUM(D41:F41)</f>
        <v>10</v>
      </c>
      <c r="H41" s="361" t="s">
        <v>1409</v>
      </c>
      <c r="I41" s="307"/>
      <c r="J41" s="307">
        <v>1</v>
      </c>
      <c r="K41" s="307">
        <v>1</v>
      </c>
      <c r="L41" s="307"/>
      <c r="M41" s="307"/>
      <c r="N41" s="307"/>
      <c r="O41" s="307"/>
      <c r="P41" s="307" t="s">
        <v>1430</v>
      </c>
      <c r="Q41" s="362"/>
    </row>
    <row r="42" spans="2:17" x14ac:dyDescent="0.3">
      <c r="B42" s="295"/>
      <c r="C42" s="296" t="s">
        <v>1396</v>
      </c>
      <c r="D42" s="363">
        <v>0</v>
      </c>
      <c r="E42" s="363">
        <v>0</v>
      </c>
      <c r="F42" s="363">
        <v>3</v>
      </c>
      <c r="G42" s="364">
        <f>SUM(D42:F42)</f>
        <v>3</v>
      </c>
      <c r="H42" s="364"/>
      <c r="I42" s="363"/>
      <c r="J42" s="363">
        <v>2</v>
      </c>
      <c r="K42" s="363">
        <v>0</v>
      </c>
      <c r="L42" s="363"/>
      <c r="M42" s="363"/>
      <c r="N42" s="363"/>
      <c r="O42" s="363"/>
      <c r="P42" s="363" t="s">
        <v>1429</v>
      </c>
      <c r="Q42" s="365"/>
    </row>
    <row r="43" spans="2:17" s="357" customFormat="1" ht="3.75" customHeight="1" x14ac:dyDescent="0.3">
      <c r="D43" s="358"/>
      <c r="E43" s="358"/>
      <c r="F43" s="358"/>
      <c r="G43" s="359"/>
      <c r="H43" s="359"/>
      <c r="I43" s="358"/>
      <c r="J43" s="358"/>
      <c r="K43" s="358"/>
      <c r="L43" s="358"/>
      <c r="M43" s="358"/>
      <c r="N43" s="358"/>
      <c r="O43" s="358"/>
      <c r="P43" s="358"/>
      <c r="Q43" s="358"/>
    </row>
    <row r="44" spans="2:17" x14ac:dyDescent="0.3">
      <c r="B44" s="366">
        <v>42399</v>
      </c>
      <c r="C44" s="292" t="s">
        <v>0</v>
      </c>
      <c r="D44" s="307">
        <v>2</v>
      </c>
      <c r="E44" s="307">
        <v>0</v>
      </c>
      <c r="F44" s="307">
        <v>0</v>
      </c>
      <c r="G44" s="360">
        <f>SUM(D44:F44)</f>
        <v>2</v>
      </c>
      <c r="H44" s="361" t="s">
        <v>1411</v>
      </c>
      <c r="I44" s="307"/>
      <c r="J44" s="307">
        <v>0</v>
      </c>
      <c r="K44" s="307">
        <v>0</v>
      </c>
      <c r="L44" s="307"/>
      <c r="M44" s="307" t="s">
        <v>105</v>
      </c>
      <c r="N44" s="307"/>
      <c r="O44" s="307"/>
      <c r="P44" s="307"/>
      <c r="Q44" s="362"/>
    </row>
    <row r="45" spans="2:17" x14ac:dyDescent="0.3">
      <c r="B45" s="295"/>
      <c r="C45" s="296" t="s">
        <v>1195</v>
      </c>
      <c r="D45" s="363">
        <v>1</v>
      </c>
      <c r="E45" s="363">
        <v>1</v>
      </c>
      <c r="F45" s="363">
        <v>1</v>
      </c>
      <c r="G45" s="364">
        <f>SUM(D45:F45)</f>
        <v>3</v>
      </c>
      <c r="H45" s="364"/>
      <c r="I45" s="363"/>
      <c r="J45" s="363">
        <v>2</v>
      </c>
      <c r="K45" s="363">
        <v>0</v>
      </c>
      <c r="L45" s="363"/>
      <c r="M45" s="363"/>
      <c r="N45" s="363"/>
      <c r="O45" s="363"/>
      <c r="P45" s="363"/>
      <c r="Q45" s="365"/>
    </row>
    <row r="46" spans="2:17" s="357" customFormat="1" ht="3.75" customHeight="1" x14ac:dyDescent="0.3">
      <c r="D46" s="358"/>
      <c r="E46" s="358"/>
      <c r="F46" s="358"/>
      <c r="G46" s="359"/>
      <c r="H46" s="359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2:17" x14ac:dyDescent="0.3">
      <c r="B47" s="366">
        <v>42414</v>
      </c>
      <c r="C47" s="292" t="s">
        <v>0</v>
      </c>
      <c r="D47" s="307">
        <v>0</v>
      </c>
      <c r="E47" s="307">
        <v>2</v>
      </c>
      <c r="F47" s="307">
        <v>1</v>
      </c>
      <c r="G47" s="360">
        <f>SUM(D47:F47)</f>
        <v>3</v>
      </c>
      <c r="H47" s="361" t="s">
        <v>1410</v>
      </c>
      <c r="I47" s="307"/>
      <c r="J47" s="307">
        <v>0</v>
      </c>
      <c r="K47" s="307">
        <v>1</v>
      </c>
      <c r="L47" s="307"/>
      <c r="M47" s="307"/>
      <c r="N47" s="307"/>
      <c r="O47" s="307"/>
      <c r="P47" s="307"/>
      <c r="Q47" s="362"/>
    </row>
    <row r="48" spans="2:17" x14ac:dyDescent="0.3">
      <c r="B48" s="295"/>
      <c r="C48" s="296" t="s">
        <v>1405</v>
      </c>
      <c r="D48" s="363">
        <v>0</v>
      </c>
      <c r="E48" s="363">
        <v>1</v>
      </c>
      <c r="F48" s="363">
        <v>2</v>
      </c>
      <c r="G48" s="364">
        <f>SUM(D48:F48)</f>
        <v>3</v>
      </c>
      <c r="H48" s="364"/>
      <c r="I48" s="363"/>
      <c r="J48" s="363">
        <v>3</v>
      </c>
      <c r="K48" s="363">
        <v>0</v>
      </c>
      <c r="L48" s="363"/>
      <c r="M48" s="363"/>
      <c r="N48" s="363"/>
      <c r="O48" s="363"/>
      <c r="P48" s="363"/>
      <c r="Q48" s="365"/>
    </row>
    <row r="49" spans="2:17" s="357" customFormat="1" ht="3.75" customHeight="1" x14ac:dyDescent="0.3">
      <c r="D49" s="358"/>
      <c r="E49" s="358"/>
      <c r="F49" s="358"/>
      <c r="G49" s="359"/>
      <c r="H49" s="359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2:17" x14ac:dyDescent="0.3">
      <c r="B50" s="366">
        <v>42414</v>
      </c>
      <c r="C50" s="292" t="s">
        <v>0</v>
      </c>
      <c r="D50" s="307">
        <v>1</v>
      </c>
      <c r="E50" s="307">
        <v>1</v>
      </c>
      <c r="F50" s="307">
        <v>0</v>
      </c>
      <c r="G50" s="360">
        <f>SUM(D50:F50)</f>
        <v>2</v>
      </c>
      <c r="H50" s="361" t="s">
        <v>1411</v>
      </c>
      <c r="I50" s="307"/>
      <c r="J50" s="307">
        <v>0</v>
      </c>
      <c r="K50" s="307"/>
      <c r="L50" s="307"/>
      <c r="M50" s="307"/>
      <c r="N50" s="307"/>
      <c r="O50" s="307"/>
      <c r="P50" s="307" t="s">
        <v>1431</v>
      </c>
      <c r="Q50" s="362"/>
    </row>
    <row r="51" spans="2:17" x14ac:dyDescent="0.3">
      <c r="B51" s="295"/>
      <c r="C51" s="296" t="s">
        <v>1404</v>
      </c>
      <c r="D51" s="363">
        <v>4</v>
      </c>
      <c r="E51" s="363">
        <v>1</v>
      </c>
      <c r="F51" s="363">
        <v>1</v>
      </c>
      <c r="G51" s="364">
        <f>SUM(D51:F51)</f>
        <v>6</v>
      </c>
      <c r="H51" s="364"/>
      <c r="I51" s="363"/>
      <c r="J51" s="363">
        <v>1</v>
      </c>
      <c r="K51" s="363"/>
      <c r="L51" s="363"/>
      <c r="M51" s="363"/>
      <c r="N51" s="363"/>
      <c r="O51" s="363"/>
      <c r="P51" s="363" t="s">
        <v>1432</v>
      </c>
      <c r="Q51" s="365"/>
    </row>
    <row r="52" spans="2:17" s="357" customFormat="1" ht="3.75" customHeight="1" x14ac:dyDescent="0.3">
      <c r="D52" s="358"/>
      <c r="E52" s="358"/>
      <c r="F52" s="358"/>
      <c r="G52" s="359"/>
      <c r="H52" s="359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2:17" x14ac:dyDescent="0.3">
      <c r="B53" s="366">
        <v>42434</v>
      </c>
      <c r="C53" s="292" t="s">
        <v>0</v>
      </c>
      <c r="D53" s="307">
        <v>1</v>
      </c>
      <c r="E53" s="307">
        <v>2</v>
      </c>
      <c r="F53" s="307">
        <v>3</v>
      </c>
      <c r="G53" s="360">
        <f>SUM(D53:F53)</f>
        <v>6</v>
      </c>
      <c r="H53" s="361" t="s">
        <v>1409</v>
      </c>
      <c r="I53" s="307"/>
      <c r="J53" s="307">
        <v>0</v>
      </c>
      <c r="K53" s="307"/>
      <c r="L53" s="307"/>
      <c r="M53" s="307"/>
      <c r="N53" s="307"/>
      <c r="O53" s="307"/>
      <c r="P53" s="307"/>
      <c r="Q53" s="362"/>
    </row>
    <row r="54" spans="2:17" x14ac:dyDescent="0.3">
      <c r="B54" s="295"/>
      <c r="C54" s="296" t="s">
        <v>1405</v>
      </c>
      <c r="D54" s="363">
        <v>1</v>
      </c>
      <c r="E54" s="363">
        <v>0</v>
      </c>
      <c r="F54" s="363">
        <v>1</v>
      </c>
      <c r="G54" s="364">
        <f>SUM(D54:F54)</f>
        <v>2</v>
      </c>
      <c r="H54" s="364"/>
      <c r="I54" s="363"/>
      <c r="J54" s="363">
        <v>0</v>
      </c>
      <c r="K54" s="363"/>
      <c r="L54" s="363">
        <v>1</v>
      </c>
      <c r="M54" s="363"/>
      <c r="N54" s="363"/>
      <c r="O54" s="363"/>
      <c r="P54" s="363"/>
      <c r="Q54" s="365"/>
    </row>
    <row r="55" spans="2:17" s="357" customFormat="1" ht="3.75" customHeight="1" x14ac:dyDescent="0.3">
      <c r="D55" s="358"/>
      <c r="E55" s="358"/>
      <c r="F55" s="358"/>
      <c r="G55" s="359"/>
      <c r="H55" s="359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2:17" x14ac:dyDescent="0.3">
      <c r="B56" s="366">
        <v>42434</v>
      </c>
      <c r="C56" s="292" t="s">
        <v>0</v>
      </c>
      <c r="D56" s="307">
        <v>3</v>
      </c>
      <c r="E56" s="307">
        <v>3</v>
      </c>
      <c r="F56" s="307">
        <v>3</v>
      </c>
      <c r="G56" s="360">
        <f>SUM(D56:F56)</f>
        <v>9</v>
      </c>
      <c r="H56" s="361" t="s">
        <v>1409</v>
      </c>
      <c r="I56" s="307"/>
      <c r="J56" s="307">
        <v>2</v>
      </c>
      <c r="K56" s="307">
        <v>1</v>
      </c>
      <c r="L56" s="307"/>
      <c r="M56" s="368" t="s">
        <v>1433</v>
      </c>
      <c r="N56" s="307"/>
      <c r="O56" s="307"/>
      <c r="P56" s="307"/>
      <c r="Q56" s="362"/>
    </row>
    <row r="57" spans="2:17" x14ac:dyDescent="0.3">
      <c r="B57" s="295"/>
      <c r="C57" s="296" t="s">
        <v>1245</v>
      </c>
      <c r="D57" s="363">
        <v>2</v>
      </c>
      <c r="E57" s="363">
        <v>0</v>
      </c>
      <c r="F57" s="363">
        <v>0</v>
      </c>
      <c r="G57" s="364">
        <f>SUM(D57:F57)</f>
        <v>2</v>
      </c>
      <c r="H57" s="364"/>
      <c r="I57" s="363"/>
      <c r="J57" s="363">
        <v>1</v>
      </c>
      <c r="K57" s="363">
        <v>0</v>
      </c>
      <c r="L57" s="363"/>
      <c r="M57" s="363"/>
      <c r="N57" s="363"/>
      <c r="O57" s="363"/>
      <c r="P57" s="363"/>
      <c r="Q57" s="365"/>
    </row>
    <row r="58" spans="2:17" s="357" customFormat="1" ht="3.75" customHeight="1" x14ac:dyDescent="0.3">
      <c r="D58" s="358"/>
      <c r="E58" s="358"/>
      <c r="F58" s="358"/>
      <c r="G58" s="359"/>
      <c r="H58" s="359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2:17" x14ac:dyDescent="0.3">
      <c r="B59" s="366">
        <v>42442</v>
      </c>
      <c r="C59" s="292" t="s">
        <v>0</v>
      </c>
      <c r="D59" s="307">
        <v>2</v>
      </c>
      <c r="E59" s="307">
        <v>2</v>
      </c>
      <c r="F59" s="307">
        <v>1</v>
      </c>
      <c r="G59" s="360">
        <f>SUM(D59:F59)</f>
        <v>5</v>
      </c>
      <c r="H59" s="361" t="s">
        <v>1409</v>
      </c>
      <c r="I59" s="307"/>
      <c r="J59" s="307">
        <v>0</v>
      </c>
      <c r="K59" s="307"/>
      <c r="L59" s="307"/>
      <c r="M59" s="307"/>
      <c r="N59" s="307"/>
      <c r="O59" s="307"/>
      <c r="P59" s="307"/>
      <c r="Q59" s="362"/>
    </row>
    <row r="60" spans="2:17" x14ac:dyDescent="0.3">
      <c r="B60" s="295"/>
      <c r="C60" s="296" t="s">
        <v>1403</v>
      </c>
      <c r="D60" s="363">
        <v>0</v>
      </c>
      <c r="E60" s="363">
        <v>2</v>
      </c>
      <c r="F60" s="363">
        <v>1</v>
      </c>
      <c r="G60" s="364">
        <f>SUM(D60:F60)</f>
        <v>3</v>
      </c>
      <c r="H60" s="364"/>
      <c r="I60" s="363"/>
      <c r="J60" s="363">
        <v>0</v>
      </c>
      <c r="K60" s="363"/>
      <c r="L60" s="363"/>
      <c r="M60" s="363"/>
      <c r="N60" s="363"/>
      <c r="O60" s="363"/>
      <c r="P60" s="363"/>
      <c r="Q60" s="365"/>
    </row>
    <row r="61" spans="2:17" s="357" customFormat="1" ht="3.75" customHeight="1" x14ac:dyDescent="0.3">
      <c r="D61" s="358"/>
      <c r="E61" s="358"/>
      <c r="F61" s="358"/>
      <c r="G61" s="359"/>
      <c r="H61" s="359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2:17" x14ac:dyDescent="0.3">
      <c r="B62" s="366">
        <v>42442</v>
      </c>
      <c r="C62" s="292" t="s">
        <v>0</v>
      </c>
      <c r="D62" s="307">
        <v>0</v>
      </c>
      <c r="E62" s="307">
        <v>0</v>
      </c>
      <c r="F62" s="307">
        <v>1</v>
      </c>
      <c r="G62" s="360">
        <f>SUM(D62:F62)</f>
        <v>1</v>
      </c>
      <c r="H62" s="361" t="s">
        <v>1411</v>
      </c>
      <c r="I62" s="307"/>
      <c r="J62" s="307">
        <v>2</v>
      </c>
      <c r="K62" s="307"/>
      <c r="L62" s="307"/>
      <c r="M62" s="307"/>
      <c r="N62" s="307"/>
      <c r="O62" s="307"/>
      <c r="P62" s="307" t="s">
        <v>1434</v>
      </c>
      <c r="Q62" s="362"/>
    </row>
    <row r="63" spans="2:17" x14ac:dyDescent="0.3">
      <c r="B63" s="295"/>
      <c r="C63" s="296" t="s">
        <v>1220</v>
      </c>
      <c r="D63" s="363">
        <v>0</v>
      </c>
      <c r="E63" s="363">
        <v>3</v>
      </c>
      <c r="F63" s="363">
        <v>3</v>
      </c>
      <c r="G63" s="364">
        <f>SUM(D63:F63)</f>
        <v>6</v>
      </c>
      <c r="H63" s="364"/>
      <c r="I63" s="363"/>
      <c r="J63" s="363">
        <v>2</v>
      </c>
      <c r="K63" s="363">
        <v>1</v>
      </c>
      <c r="L63" s="363"/>
      <c r="M63" s="363"/>
      <c r="N63" s="363"/>
      <c r="O63" s="363"/>
      <c r="P63" s="363"/>
      <c r="Q63" s="365"/>
    </row>
    <row r="64" spans="2:17" s="357" customFormat="1" ht="3.75" customHeight="1" x14ac:dyDescent="0.3">
      <c r="D64" s="358"/>
      <c r="E64" s="358"/>
      <c r="F64" s="358"/>
      <c r="G64" s="359"/>
      <c r="H64" s="359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6:14" customFormat="1" x14ac:dyDescent="0.3">
      <c r="F65" s="356" t="s">
        <v>0</v>
      </c>
      <c r="G65" s="8">
        <f t="shared" ref="G65" si="0">SUM(G5,G8,G11,G14,G17,G20,G23,G26,G29,G32,G35,G38,G41,G44,G47,G50,G53,G56,G59,G62)</f>
        <v>101</v>
      </c>
      <c r="H65" s="8"/>
      <c r="I65" s="8"/>
      <c r="J65" s="8">
        <f>SUM(J5,J8,J11,J14,J17,J20,J23,J26,J29,J32,J35,J38,J41,J44,J47,J50,J53,J56,J59,J62)</f>
        <v>13</v>
      </c>
      <c r="K65" s="8">
        <f t="shared" ref="K65:N66" si="1">SUM(K5,K8,K11,K14,K17,K20,K23,K26,K29,K32,K35,K38,K41,K44,K47,K50,K53,K56,K59,K62)</f>
        <v>7</v>
      </c>
      <c r="L65" s="8">
        <f t="shared" si="1"/>
        <v>0</v>
      </c>
      <c r="M65" s="8" t="s">
        <v>1437</v>
      </c>
      <c r="N65" s="8">
        <f t="shared" si="1"/>
        <v>0</v>
      </c>
    </row>
    <row r="66" spans="6:14" customFormat="1" x14ac:dyDescent="0.3">
      <c r="F66" s="356" t="s">
        <v>1436</v>
      </c>
      <c r="G66" s="8">
        <f t="shared" ref="G66" si="2">SUM(G6,G9,G12,G15,G18,G21,G24,G27,G30,G33,G36,G39,G42,G45,G48,G51,G54,G57,G60,G63)</f>
        <v>98</v>
      </c>
      <c r="H66" s="8"/>
      <c r="I66" s="8"/>
      <c r="J66" s="8">
        <f>SUM(J6,J9,J12,J15,J18,J21,J24,J27,J30,J33,J36,J39,J42,J45,J48,J51,J54,J57,J60,J63)</f>
        <v>21</v>
      </c>
      <c r="K66" s="8">
        <f t="shared" si="1"/>
        <v>5</v>
      </c>
      <c r="L66" s="8">
        <f t="shared" si="1"/>
        <v>2</v>
      </c>
      <c r="M66" s="8" t="s">
        <v>1438</v>
      </c>
      <c r="N66" s="8">
        <f t="shared" si="1"/>
        <v>1</v>
      </c>
    </row>
  </sheetData>
  <dataValidations count="1">
    <dataValidation type="list" allowBlank="1" showInputMessage="1" showErrorMessage="1" sqref="H5 H8 H11 H14 H17 H20 H23 H26 H29 H32 H35 H47 H38 H41 H44 H50 H53 H56 H59 H62" xr:uid="{00000000-0002-0000-0200-000000000000}">
      <formula1>Tulos</formula1>
    </dataValidation>
  </dataValidations>
  <pageMargins left="0.70866141732283472" right="0.70866141732283472" top="0.74803149606299213" bottom="0.74803149606299213" header="0.31496062992125984" footer="0.31496062992125984"/>
  <pageSetup paperSize="9" scale="66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BH52"/>
  <sheetViews>
    <sheetView zoomScale="70" zoomScaleNormal="70" workbookViewId="0">
      <selection activeCell="O49" sqref="O49"/>
    </sheetView>
  </sheetViews>
  <sheetFormatPr defaultRowHeight="14.4" x14ac:dyDescent="0.3"/>
  <cols>
    <col min="1" max="1" width="2.88671875" customWidth="1"/>
    <col min="2" max="2" width="7.33203125" customWidth="1"/>
    <col min="3" max="3" width="23.44140625" customWidth="1"/>
    <col min="4" max="6" width="3.6640625" customWidth="1"/>
    <col min="7" max="61" width="3.5546875" customWidth="1"/>
  </cols>
  <sheetData>
    <row r="2" spans="2:17" x14ac:dyDescent="0.3">
      <c r="C2" s="205" t="s">
        <v>1412</v>
      </c>
      <c r="D2" s="205" t="s">
        <v>740</v>
      </c>
    </row>
    <row r="4" spans="2:17" ht="15" thickBot="1" x14ac:dyDescent="0.35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3">
      <c r="B5" s="601" t="str">
        <f>B27</f>
        <v>#13</v>
      </c>
      <c r="C5" s="602" t="str">
        <f>C27</f>
        <v>Joni Vainio</v>
      </c>
      <c r="D5" s="253">
        <v>20</v>
      </c>
      <c r="E5" s="229">
        <f>COUNTIF(D27:BI27,"M")</f>
        <v>12</v>
      </c>
      <c r="F5" s="229">
        <f>COUNTIF(D27:BI27,"S")</f>
        <v>4</v>
      </c>
      <c r="G5" s="229">
        <f t="shared" ref="G5:G19" si="0">E5+F5</f>
        <v>16</v>
      </c>
      <c r="H5" s="229">
        <f>COUNTIF(D27:BI27,"J")</f>
        <v>1</v>
      </c>
      <c r="I5" s="229">
        <f>COUNTIF(D27:BI27,"RM")</f>
        <v>2</v>
      </c>
      <c r="J5" s="229">
        <f>COUNTIF(D27:BI27,"YV")</f>
        <v>0</v>
      </c>
      <c r="K5" s="229" t="s">
        <v>107</v>
      </c>
      <c r="L5" s="254" t="s">
        <v>984</v>
      </c>
      <c r="M5" s="229" t="s">
        <v>107</v>
      </c>
      <c r="N5" s="229" t="s">
        <v>107</v>
      </c>
      <c r="O5" s="229" t="s">
        <v>107</v>
      </c>
      <c r="P5" s="229">
        <v>1</v>
      </c>
      <c r="Q5" s="229" t="s">
        <v>107</v>
      </c>
    </row>
    <row r="6" spans="2:17" x14ac:dyDescent="0.3">
      <c r="B6" s="601" t="str">
        <f t="shared" ref="B6:B22" si="1">B28</f>
        <v>#14</v>
      </c>
      <c r="C6" s="602" t="str">
        <f t="shared" ref="C6:C22" si="2">C28</f>
        <v>Ville Koivisto</v>
      </c>
      <c r="D6" s="168">
        <v>20</v>
      </c>
      <c r="E6" s="119">
        <f t="shared" ref="E6:E19" si="3">COUNTIF(D28:BI28,"M")</f>
        <v>19</v>
      </c>
      <c r="F6" s="119">
        <f t="shared" ref="F6:F19" si="4">COUNTIF(D28:BI28,"S")</f>
        <v>12</v>
      </c>
      <c r="G6" s="119">
        <f t="shared" si="0"/>
        <v>31</v>
      </c>
      <c r="H6" s="119">
        <f t="shared" ref="H6:H18" si="5">COUNTIF(D28:BI28,"J")</f>
        <v>2</v>
      </c>
      <c r="I6" s="119">
        <f t="shared" ref="I6:I18" si="6">COUNTIF(D28:BI28,"RM")</f>
        <v>0</v>
      </c>
      <c r="J6" s="119">
        <f t="shared" ref="J6:J18" si="7">COUNTIF(D28:BI28,"YV")</f>
        <v>4</v>
      </c>
      <c r="K6" s="227" t="s">
        <v>107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>
        <v>2</v>
      </c>
      <c r="Q6" s="227" t="s">
        <v>107</v>
      </c>
    </row>
    <row r="7" spans="2:17" x14ac:dyDescent="0.3">
      <c r="B7" s="601" t="str">
        <f t="shared" si="1"/>
        <v>#82</v>
      </c>
      <c r="C7" s="602" t="str">
        <f t="shared" si="2"/>
        <v>Matias Mäkilä</v>
      </c>
      <c r="D7" s="228">
        <v>20</v>
      </c>
      <c r="E7" s="229">
        <f t="shared" si="3"/>
        <v>8</v>
      </c>
      <c r="F7" s="229">
        <f t="shared" si="4"/>
        <v>2</v>
      </c>
      <c r="G7" s="229">
        <f t="shared" si="0"/>
        <v>10</v>
      </c>
      <c r="H7" s="229">
        <f t="shared" si="5"/>
        <v>0</v>
      </c>
      <c r="I7" s="229">
        <f t="shared" si="6"/>
        <v>0</v>
      </c>
      <c r="J7" s="229">
        <f t="shared" si="7"/>
        <v>0</v>
      </c>
      <c r="K7" s="230" t="s">
        <v>107</v>
      </c>
      <c r="L7" s="254" t="s">
        <v>706</v>
      </c>
      <c r="M7" s="230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</row>
    <row r="8" spans="2:17" x14ac:dyDescent="0.3">
      <c r="B8" s="601" t="str">
        <f t="shared" si="1"/>
        <v>#17</v>
      </c>
      <c r="C8" s="602" t="str">
        <f t="shared" si="2"/>
        <v>Mauri Kurri</v>
      </c>
      <c r="D8" s="168">
        <v>20</v>
      </c>
      <c r="E8" s="119">
        <f t="shared" si="3"/>
        <v>3</v>
      </c>
      <c r="F8" s="119">
        <f t="shared" si="4"/>
        <v>1</v>
      </c>
      <c r="G8" s="119">
        <f t="shared" si="0"/>
        <v>4</v>
      </c>
      <c r="H8" s="119">
        <f t="shared" si="5"/>
        <v>2</v>
      </c>
      <c r="I8" s="119">
        <f t="shared" si="6"/>
        <v>1</v>
      </c>
      <c r="J8" s="119">
        <f t="shared" si="7"/>
        <v>0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3">
      <c r="B9" s="601" t="str">
        <f t="shared" si="1"/>
        <v>#66</v>
      </c>
      <c r="C9" s="602" t="str">
        <f t="shared" si="2"/>
        <v>Miika Oja-Nisula</v>
      </c>
      <c r="D9" s="228">
        <v>20</v>
      </c>
      <c r="E9" s="229">
        <f t="shared" si="3"/>
        <v>4</v>
      </c>
      <c r="F9" s="229">
        <f t="shared" si="4"/>
        <v>4</v>
      </c>
      <c r="G9" s="229">
        <f t="shared" si="0"/>
        <v>8</v>
      </c>
      <c r="H9" s="229">
        <f t="shared" si="5"/>
        <v>1</v>
      </c>
      <c r="I9" s="229">
        <f t="shared" si="6"/>
        <v>0</v>
      </c>
      <c r="J9" s="229">
        <f t="shared" si="7"/>
        <v>0</v>
      </c>
      <c r="K9" s="229" t="s">
        <v>107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3">
      <c r="B10" s="601" t="str">
        <f t="shared" si="1"/>
        <v>#19</v>
      </c>
      <c r="C10" s="602" t="str">
        <f t="shared" si="2"/>
        <v>Mika Aaltonen</v>
      </c>
      <c r="D10" s="168">
        <v>20</v>
      </c>
      <c r="E10" s="119">
        <f t="shared" si="3"/>
        <v>11</v>
      </c>
      <c r="F10" s="119">
        <f t="shared" si="4"/>
        <v>14</v>
      </c>
      <c r="G10" s="119">
        <f t="shared" si="0"/>
        <v>25</v>
      </c>
      <c r="H10" s="119">
        <f t="shared" si="5"/>
        <v>1</v>
      </c>
      <c r="I10" s="119">
        <f t="shared" si="6"/>
        <v>4</v>
      </c>
      <c r="J10" s="119">
        <f t="shared" si="7"/>
        <v>1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</row>
    <row r="11" spans="2:17" x14ac:dyDescent="0.3">
      <c r="B11" s="601" t="str">
        <f t="shared" si="1"/>
        <v>#20</v>
      </c>
      <c r="C11" s="602" t="str">
        <f t="shared" si="2"/>
        <v>Jarno Peltola</v>
      </c>
      <c r="D11" s="228">
        <v>20</v>
      </c>
      <c r="E11" s="229">
        <f t="shared" si="3"/>
        <v>6</v>
      </c>
      <c r="F11" s="229">
        <f t="shared" si="4"/>
        <v>15</v>
      </c>
      <c r="G11" s="229">
        <f t="shared" si="0"/>
        <v>21</v>
      </c>
      <c r="H11" s="229">
        <f t="shared" si="5"/>
        <v>0</v>
      </c>
      <c r="I11" s="229">
        <f t="shared" si="6"/>
        <v>0</v>
      </c>
      <c r="J11" s="229">
        <f t="shared" si="7"/>
        <v>1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3">
      <c r="B12" s="601" t="str">
        <f t="shared" si="1"/>
        <v>#25</v>
      </c>
      <c r="C12" s="602" t="str">
        <f t="shared" si="2"/>
        <v>Ville Mettälä</v>
      </c>
      <c r="D12" s="168">
        <v>20</v>
      </c>
      <c r="E12" s="119">
        <f t="shared" si="3"/>
        <v>0</v>
      </c>
      <c r="F12" s="119">
        <f t="shared" si="4"/>
        <v>5</v>
      </c>
      <c r="G12" s="119">
        <f t="shared" si="0"/>
        <v>5</v>
      </c>
      <c r="H12" s="119">
        <f t="shared" si="5"/>
        <v>0</v>
      </c>
      <c r="I12" s="119">
        <f t="shared" si="6"/>
        <v>0</v>
      </c>
      <c r="J12" s="119">
        <f t="shared" si="7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3">
      <c r="B13" s="601" t="str">
        <f t="shared" si="1"/>
        <v>#50</v>
      </c>
      <c r="C13" s="602" t="str">
        <f t="shared" si="2"/>
        <v>Tuukka Mettälä</v>
      </c>
      <c r="D13" s="228">
        <v>20</v>
      </c>
      <c r="E13" s="229">
        <f t="shared" si="3"/>
        <v>3</v>
      </c>
      <c r="F13" s="229">
        <f t="shared" si="4"/>
        <v>4</v>
      </c>
      <c r="G13" s="229">
        <f t="shared" si="0"/>
        <v>7</v>
      </c>
      <c r="H13" s="229">
        <f t="shared" si="5"/>
        <v>0</v>
      </c>
      <c r="I13" s="229">
        <f t="shared" si="6"/>
        <v>0</v>
      </c>
      <c r="J13" s="229">
        <f t="shared" si="7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3">
      <c r="B14" s="601" t="str">
        <f t="shared" si="1"/>
        <v>#55</v>
      </c>
      <c r="C14" s="602" t="str">
        <f t="shared" si="2"/>
        <v>Henrik Lehtonen</v>
      </c>
      <c r="D14" s="168">
        <v>20</v>
      </c>
      <c r="E14" s="119">
        <f t="shared" si="3"/>
        <v>2</v>
      </c>
      <c r="F14" s="119">
        <f t="shared" si="4"/>
        <v>4</v>
      </c>
      <c r="G14" s="119">
        <f t="shared" si="0"/>
        <v>6</v>
      </c>
      <c r="H14" s="119">
        <f t="shared" si="5"/>
        <v>1</v>
      </c>
      <c r="I14" s="119">
        <f t="shared" si="6"/>
        <v>0</v>
      </c>
      <c r="J14" s="119">
        <f t="shared" si="7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3">
      <c r="B15" s="601" t="str">
        <f t="shared" si="1"/>
        <v>#23</v>
      </c>
      <c r="C15" s="602" t="str">
        <f t="shared" si="2"/>
        <v>Sami Pöllänen</v>
      </c>
      <c r="D15" s="228">
        <v>20</v>
      </c>
      <c r="E15" s="229">
        <f t="shared" si="3"/>
        <v>3</v>
      </c>
      <c r="F15" s="229">
        <f t="shared" si="4"/>
        <v>2</v>
      </c>
      <c r="G15" s="229">
        <f t="shared" si="0"/>
        <v>5</v>
      </c>
      <c r="H15" s="229">
        <f t="shared" si="5"/>
        <v>2</v>
      </c>
      <c r="I15" s="229">
        <f t="shared" si="6"/>
        <v>0</v>
      </c>
      <c r="J15" s="229">
        <f t="shared" si="7"/>
        <v>0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3">
      <c r="B16" s="601" t="str">
        <f t="shared" si="1"/>
        <v>#9</v>
      </c>
      <c r="C16" s="602" t="str">
        <f t="shared" si="2"/>
        <v>Atte Nieminen</v>
      </c>
      <c r="D16" s="168">
        <v>20</v>
      </c>
      <c r="E16" s="119">
        <f t="shared" si="3"/>
        <v>10</v>
      </c>
      <c r="F16" s="119">
        <f t="shared" si="4"/>
        <v>3</v>
      </c>
      <c r="G16" s="119">
        <f t="shared" si="0"/>
        <v>13</v>
      </c>
      <c r="H16" s="119">
        <f t="shared" si="5"/>
        <v>0</v>
      </c>
      <c r="I16" s="119">
        <f t="shared" si="6"/>
        <v>0</v>
      </c>
      <c r="J16" s="119">
        <f t="shared" si="7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>
        <v>1</v>
      </c>
      <c r="Q16" s="227" t="s">
        <v>107</v>
      </c>
    </row>
    <row r="17" spans="2:60" x14ac:dyDescent="0.3">
      <c r="B17" s="601" t="str">
        <f t="shared" si="1"/>
        <v>#96</v>
      </c>
      <c r="C17" s="602" t="str">
        <f t="shared" si="2"/>
        <v>Kaj Engblom</v>
      </c>
      <c r="D17" s="228">
        <v>20</v>
      </c>
      <c r="E17" s="229">
        <f t="shared" si="3"/>
        <v>6</v>
      </c>
      <c r="F17" s="229">
        <f t="shared" si="4"/>
        <v>7</v>
      </c>
      <c r="G17" s="229">
        <f t="shared" si="0"/>
        <v>13</v>
      </c>
      <c r="H17" s="229">
        <f t="shared" si="5"/>
        <v>2</v>
      </c>
      <c r="I17" s="229">
        <f t="shared" si="6"/>
        <v>0</v>
      </c>
      <c r="J17" s="229">
        <f t="shared" si="7"/>
        <v>0</v>
      </c>
      <c r="K17" s="230" t="s">
        <v>107</v>
      </c>
      <c r="L17" s="230" t="s">
        <v>706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60" x14ac:dyDescent="0.3">
      <c r="B18" s="601" t="str">
        <f t="shared" si="1"/>
        <v>#1</v>
      </c>
      <c r="C18" s="602" t="str">
        <f t="shared" si="2"/>
        <v>Esa Mäki</v>
      </c>
      <c r="D18" s="168">
        <v>20</v>
      </c>
      <c r="E18" s="119">
        <f t="shared" si="3"/>
        <v>0</v>
      </c>
      <c r="F18" s="119">
        <f t="shared" si="4"/>
        <v>1</v>
      </c>
      <c r="G18" s="119">
        <f t="shared" si="0"/>
        <v>1</v>
      </c>
      <c r="H18" s="119">
        <f t="shared" si="5"/>
        <v>0</v>
      </c>
      <c r="I18" s="119">
        <f t="shared" si="6"/>
        <v>0</v>
      </c>
      <c r="J18" s="119">
        <f t="shared" si="7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60" x14ac:dyDescent="0.3">
      <c r="B19" s="601" t="str">
        <f t="shared" si="1"/>
        <v>#99</v>
      </c>
      <c r="C19" s="602" t="str">
        <f t="shared" si="2"/>
        <v>Jussi Vuoria</v>
      </c>
      <c r="D19" s="228">
        <v>20</v>
      </c>
      <c r="E19" s="229">
        <f t="shared" si="3"/>
        <v>0</v>
      </c>
      <c r="F19" s="229">
        <f t="shared" si="4"/>
        <v>0</v>
      </c>
      <c r="G19" s="229">
        <f t="shared" si="0"/>
        <v>0</v>
      </c>
      <c r="H19" s="229">
        <f t="shared" ref="H19" si="8">COUNTIF(D41:BI41,"J")</f>
        <v>0</v>
      </c>
      <c r="I19" s="229">
        <f t="shared" ref="I19" si="9">COUNTIF(D41:BI41,"RM")</f>
        <v>0</v>
      </c>
      <c r="J19" s="229">
        <f t="shared" ref="J19" si="10">COUNTIF(D41:BI41,"YV")</f>
        <v>0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60" x14ac:dyDescent="0.3">
      <c r="B20" s="601">
        <f t="shared" si="1"/>
        <v>0</v>
      </c>
      <c r="C20" s="602">
        <f t="shared" si="2"/>
        <v>0</v>
      </c>
      <c r="D20" s="168"/>
      <c r="E20" s="119"/>
      <c r="F20" s="119"/>
      <c r="G20" s="119"/>
      <c r="H20" s="119"/>
      <c r="I20" s="227"/>
      <c r="J20" s="227"/>
      <c r="K20" s="227"/>
      <c r="L20" s="227"/>
      <c r="M20" s="227"/>
      <c r="N20" s="227"/>
      <c r="O20" s="227"/>
      <c r="P20" s="227"/>
      <c r="Q20" s="227"/>
    </row>
    <row r="21" spans="2:60" x14ac:dyDescent="0.3">
      <c r="B21" s="601">
        <f t="shared" si="1"/>
        <v>0</v>
      </c>
      <c r="C21" s="602">
        <f t="shared" si="2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60" x14ac:dyDescent="0.3">
      <c r="B22" s="601">
        <f t="shared" si="1"/>
        <v>0</v>
      </c>
      <c r="C22" s="603">
        <f t="shared" si="2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60" x14ac:dyDescent="0.3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60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60" x14ac:dyDescent="0.3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60" s="205" customFormat="1" x14ac:dyDescent="0.3">
      <c r="D26" s="372" t="s">
        <v>995</v>
      </c>
      <c r="E26" s="372" t="s">
        <v>997</v>
      </c>
      <c r="F26" s="370" t="s">
        <v>999</v>
      </c>
      <c r="G26" s="265"/>
      <c r="H26" s="265"/>
      <c r="I26" s="265"/>
      <c r="J26" s="265"/>
      <c r="K26" s="370" t="s">
        <v>1001</v>
      </c>
      <c r="L26" s="265"/>
      <c r="M26" s="265"/>
      <c r="N26" s="265"/>
      <c r="O26" s="370" t="s">
        <v>1003</v>
      </c>
      <c r="P26" s="265"/>
      <c r="Q26" s="370" t="s">
        <v>1004</v>
      </c>
      <c r="R26" s="265"/>
      <c r="S26" s="265"/>
      <c r="T26" s="265"/>
      <c r="U26" s="265"/>
      <c r="V26" s="372" t="s">
        <v>1006</v>
      </c>
      <c r="X26" s="372" t="s">
        <v>1008</v>
      </c>
      <c r="Z26" s="372" t="s">
        <v>1010</v>
      </c>
      <c r="AC26" s="372" t="s">
        <v>1012</v>
      </c>
      <c r="AH26" s="372" t="s">
        <v>1465</v>
      </c>
      <c r="AJ26" s="372" t="s">
        <v>1466</v>
      </c>
      <c r="AL26" s="372" t="s">
        <v>1467</v>
      </c>
      <c r="AM26" s="372" t="s">
        <v>1468</v>
      </c>
      <c r="AR26" s="372" t="s">
        <v>1469</v>
      </c>
      <c r="AT26" s="372" t="s">
        <v>1470</v>
      </c>
      <c r="AV26" s="372" t="s">
        <v>1472</v>
      </c>
      <c r="AY26" s="372" t="s">
        <v>1473</v>
      </c>
      <c r="BD26" s="372" t="s">
        <v>1474</v>
      </c>
      <c r="BG26" s="372" t="s">
        <v>1475</v>
      </c>
    </row>
    <row r="27" spans="2:60" x14ac:dyDescent="0.3">
      <c r="B27" s="30" t="s">
        <v>1460</v>
      </c>
      <c r="C27" t="s">
        <v>1459</v>
      </c>
      <c r="D27" s="300"/>
      <c r="E27" s="300"/>
      <c r="F27" s="371" t="s">
        <v>533</v>
      </c>
      <c r="G27" s="8" t="s">
        <v>533</v>
      </c>
      <c r="H27" s="8"/>
      <c r="I27" s="8"/>
      <c r="J27" s="8"/>
      <c r="K27" s="371" t="s">
        <v>534</v>
      </c>
      <c r="L27" s="8" t="s">
        <v>534</v>
      </c>
      <c r="M27" s="8"/>
      <c r="N27" s="8"/>
      <c r="O27" s="371"/>
      <c r="P27" s="8"/>
      <c r="Q27" s="371" t="s">
        <v>534</v>
      </c>
      <c r="R27" s="8"/>
      <c r="S27" s="8"/>
      <c r="T27" s="8"/>
      <c r="U27" s="8"/>
      <c r="V27" s="300"/>
      <c r="X27" s="300"/>
      <c r="Z27" s="300" t="s">
        <v>535</v>
      </c>
      <c r="AC27" s="300"/>
      <c r="AH27" s="300" t="s">
        <v>533</v>
      </c>
      <c r="AJ27" s="300" t="s">
        <v>533</v>
      </c>
      <c r="AK27" t="s">
        <v>533</v>
      </c>
      <c r="AL27" s="300"/>
      <c r="AM27" s="300" t="s">
        <v>533</v>
      </c>
      <c r="AN27" t="s">
        <v>533</v>
      </c>
      <c r="AO27" t="s">
        <v>534</v>
      </c>
      <c r="AR27" s="300"/>
      <c r="AT27" s="300"/>
      <c r="AV27" s="300" t="s">
        <v>533</v>
      </c>
      <c r="AW27" t="s">
        <v>1476</v>
      </c>
      <c r="AY27" s="300" t="s">
        <v>533</v>
      </c>
      <c r="AZ27" t="s">
        <v>556</v>
      </c>
      <c r="BA27" t="s">
        <v>533</v>
      </c>
      <c r="BB27" t="s">
        <v>533</v>
      </c>
      <c r="BC27" t="s">
        <v>1476</v>
      </c>
      <c r="BD27" s="300" t="s">
        <v>533</v>
      </c>
      <c r="BG27" s="300"/>
    </row>
    <row r="28" spans="2:60" x14ac:dyDescent="0.3">
      <c r="B28" s="30" t="s">
        <v>672</v>
      </c>
      <c r="C28" t="s">
        <v>1075</v>
      </c>
      <c r="D28" s="300"/>
      <c r="E28" s="300"/>
      <c r="F28" s="371" t="s">
        <v>533</v>
      </c>
      <c r="G28" s="8" t="s">
        <v>533</v>
      </c>
      <c r="H28" s="8" t="s">
        <v>533</v>
      </c>
      <c r="I28" s="8" t="s">
        <v>533</v>
      </c>
      <c r="J28" s="8" t="s">
        <v>540</v>
      </c>
      <c r="K28" s="371" t="s">
        <v>533</v>
      </c>
      <c r="L28" s="8" t="s">
        <v>533</v>
      </c>
      <c r="M28" s="8" t="s">
        <v>534</v>
      </c>
      <c r="N28" s="8"/>
      <c r="O28" s="371"/>
      <c r="P28" s="8"/>
      <c r="Q28" s="371"/>
      <c r="R28" s="8"/>
      <c r="S28" s="8"/>
      <c r="T28" s="8"/>
      <c r="U28" s="8"/>
      <c r="V28" s="300" t="s">
        <v>533</v>
      </c>
      <c r="X28" s="300" t="s">
        <v>534</v>
      </c>
      <c r="Y28" t="s">
        <v>535</v>
      </c>
      <c r="Z28" s="300" t="s">
        <v>533</v>
      </c>
      <c r="AC28" s="300" t="s">
        <v>534</v>
      </c>
      <c r="AD28" t="s">
        <v>533</v>
      </c>
      <c r="AE28" t="s">
        <v>533</v>
      </c>
      <c r="AF28" t="s">
        <v>540</v>
      </c>
      <c r="AG28" t="s">
        <v>540</v>
      </c>
      <c r="AH28" s="300" t="s">
        <v>534</v>
      </c>
      <c r="AJ28" s="300"/>
      <c r="AL28" s="300" t="s">
        <v>533</v>
      </c>
      <c r="AM28" s="300" t="s">
        <v>533</v>
      </c>
      <c r="AN28" t="s">
        <v>534</v>
      </c>
      <c r="AO28" t="s">
        <v>534</v>
      </c>
      <c r="AR28" s="300" t="s">
        <v>533</v>
      </c>
      <c r="AS28" t="s">
        <v>534</v>
      </c>
      <c r="AT28" s="300" t="s">
        <v>534</v>
      </c>
      <c r="AU28" t="s">
        <v>534</v>
      </c>
      <c r="AV28" s="300" t="s">
        <v>534</v>
      </c>
      <c r="AW28" t="s">
        <v>533</v>
      </c>
      <c r="AY28" s="300" t="s">
        <v>533</v>
      </c>
      <c r="AZ28" t="s">
        <v>533</v>
      </c>
      <c r="BA28" t="s">
        <v>534</v>
      </c>
      <c r="BB28" t="s">
        <v>533</v>
      </c>
      <c r="BC28" t="s">
        <v>540</v>
      </c>
      <c r="BD28" s="300" t="s">
        <v>534</v>
      </c>
      <c r="BE28" t="s">
        <v>533</v>
      </c>
      <c r="BG28" s="300" t="s">
        <v>535</v>
      </c>
      <c r="BH28" t="s">
        <v>533</v>
      </c>
    </row>
    <row r="29" spans="2:60" x14ac:dyDescent="0.3">
      <c r="B29" s="30" t="s">
        <v>529</v>
      </c>
      <c r="C29" t="s">
        <v>47</v>
      </c>
      <c r="D29" s="300"/>
      <c r="E29" s="300"/>
      <c r="F29" s="371" t="s">
        <v>534</v>
      </c>
      <c r="G29" s="8"/>
      <c r="H29" s="8"/>
      <c r="I29" s="8"/>
      <c r="J29" s="8"/>
      <c r="K29" s="371"/>
      <c r="L29" s="8"/>
      <c r="M29" s="8"/>
      <c r="N29" s="8"/>
      <c r="O29" s="371"/>
      <c r="P29" s="8"/>
      <c r="Q29" s="371" t="s">
        <v>533</v>
      </c>
      <c r="R29" s="8" t="s">
        <v>533</v>
      </c>
      <c r="S29" s="8"/>
      <c r="T29" s="8"/>
      <c r="U29" s="8"/>
      <c r="V29" s="300"/>
      <c r="X29" s="300"/>
      <c r="Z29" s="300" t="s">
        <v>533</v>
      </c>
      <c r="AA29" t="s">
        <v>534</v>
      </c>
      <c r="AB29" t="s">
        <v>533</v>
      </c>
      <c r="AC29" s="300"/>
      <c r="AH29" s="300" t="s">
        <v>533</v>
      </c>
      <c r="AJ29" s="300" t="s">
        <v>533</v>
      </c>
      <c r="AL29" s="300"/>
      <c r="AM29" s="300" t="s">
        <v>533</v>
      </c>
      <c r="AR29" s="300"/>
      <c r="AT29" s="300"/>
      <c r="AV29" s="300"/>
      <c r="AY29" s="300" t="s">
        <v>533</v>
      </c>
      <c r="AZ29" t="s">
        <v>1471</v>
      </c>
      <c r="BD29" s="300"/>
      <c r="BG29" s="300"/>
    </row>
    <row r="30" spans="2:60" x14ac:dyDescent="0.3">
      <c r="B30" s="30" t="s">
        <v>524</v>
      </c>
      <c r="C30" t="s">
        <v>53</v>
      </c>
      <c r="D30" s="300"/>
      <c r="E30" s="300"/>
      <c r="F30" s="371" t="s">
        <v>533</v>
      </c>
      <c r="G30" s="8" t="s">
        <v>1476</v>
      </c>
      <c r="H30" s="8"/>
      <c r="I30" s="8"/>
      <c r="J30" s="8"/>
      <c r="K30" s="371" t="s">
        <v>533</v>
      </c>
      <c r="L30" s="8"/>
      <c r="M30" s="8"/>
      <c r="N30" s="8"/>
      <c r="O30" s="371"/>
      <c r="P30" s="8"/>
      <c r="Q30" s="371"/>
      <c r="R30" s="8"/>
      <c r="S30" s="8"/>
      <c r="T30" s="8"/>
      <c r="U30" s="8"/>
      <c r="V30" s="300"/>
      <c r="X30" s="300" t="s">
        <v>535</v>
      </c>
      <c r="Z30" s="300"/>
      <c r="AC30" s="300"/>
      <c r="AH30" s="300" t="s">
        <v>535</v>
      </c>
      <c r="AI30" t="s">
        <v>534</v>
      </c>
      <c r="AJ30" s="300"/>
      <c r="AL30" s="300"/>
      <c r="AM30" s="300"/>
      <c r="AR30" s="300" t="s">
        <v>533</v>
      </c>
      <c r="AT30" s="300"/>
      <c r="AV30" s="300"/>
      <c r="AY30" s="300"/>
      <c r="BD30" s="300"/>
      <c r="BG30" s="300"/>
    </row>
    <row r="31" spans="2:60" x14ac:dyDescent="0.3">
      <c r="B31" s="30" t="s">
        <v>1461</v>
      </c>
      <c r="C31" t="s">
        <v>1379</v>
      </c>
      <c r="D31" s="300"/>
      <c r="E31" s="300"/>
      <c r="F31" s="371" t="s">
        <v>534</v>
      </c>
      <c r="G31" s="8"/>
      <c r="H31" s="8"/>
      <c r="I31" s="8"/>
      <c r="J31" s="8"/>
      <c r="K31" s="371" t="s">
        <v>534</v>
      </c>
      <c r="L31" s="8" t="s">
        <v>533</v>
      </c>
      <c r="M31" s="8"/>
      <c r="N31" s="8"/>
      <c r="O31" s="371"/>
      <c r="P31" s="8"/>
      <c r="Q31" s="371"/>
      <c r="R31" s="8"/>
      <c r="S31" s="8"/>
      <c r="T31" s="8"/>
      <c r="U31" s="8"/>
      <c r="V31" s="300"/>
      <c r="X31" s="300" t="s">
        <v>533</v>
      </c>
      <c r="Z31" s="300" t="s">
        <v>534</v>
      </c>
      <c r="AA31" t="s">
        <v>534</v>
      </c>
      <c r="AC31" s="300"/>
      <c r="AH31" s="300"/>
      <c r="AJ31" s="300"/>
      <c r="AL31" s="300"/>
      <c r="AM31" s="300" t="s">
        <v>533</v>
      </c>
      <c r="AR31" s="300"/>
      <c r="AT31" s="300"/>
      <c r="AV31" s="300" t="s">
        <v>533</v>
      </c>
      <c r="AY31" s="300" t="s">
        <v>535</v>
      </c>
      <c r="BD31" s="300"/>
      <c r="BG31" s="300"/>
    </row>
    <row r="32" spans="2:60" x14ac:dyDescent="0.3">
      <c r="B32" s="30" t="s">
        <v>525</v>
      </c>
      <c r="C32" t="s">
        <v>50</v>
      </c>
      <c r="D32" s="300"/>
      <c r="E32" s="300"/>
      <c r="F32" s="371" t="s">
        <v>534</v>
      </c>
      <c r="G32" s="8" t="s">
        <v>533</v>
      </c>
      <c r="H32" s="8" t="s">
        <v>533</v>
      </c>
      <c r="I32" s="8"/>
      <c r="J32" s="8"/>
      <c r="K32" s="371" t="s">
        <v>534</v>
      </c>
      <c r="L32" s="8" t="s">
        <v>533</v>
      </c>
      <c r="M32" s="8" t="s">
        <v>533</v>
      </c>
      <c r="N32" s="8" t="s">
        <v>1476</v>
      </c>
      <c r="O32" s="371" t="s">
        <v>533</v>
      </c>
      <c r="P32" s="8" t="s">
        <v>535</v>
      </c>
      <c r="Q32" s="371" t="s">
        <v>534</v>
      </c>
      <c r="R32" s="8" t="s">
        <v>534</v>
      </c>
      <c r="S32" s="8"/>
      <c r="T32" s="8"/>
      <c r="U32" s="8"/>
      <c r="V32" s="300" t="s">
        <v>534</v>
      </c>
      <c r="X32" s="300" t="s">
        <v>534</v>
      </c>
      <c r="Z32" s="300" t="s">
        <v>534</v>
      </c>
      <c r="AA32" t="s">
        <v>533</v>
      </c>
      <c r="AB32" t="s">
        <v>1476</v>
      </c>
      <c r="AC32" s="300"/>
      <c r="AH32" s="300" t="s">
        <v>534</v>
      </c>
      <c r="AJ32" s="300" t="s">
        <v>534</v>
      </c>
      <c r="AL32" s="300" t="s">
        <v>533</v>
      </c>
      <c r="AM32" s="300" t="s">
        <v>534</v>
      </c>
      <c r="AN32" t="s">
        <v>533</v>
      </c>
      <c r="AO32" t="s">
        <v>533</v>
      </c>
      <c r="AP32" t="s">
        <v>1476</v>
      </c>
      <c r="AQ32" t="s">
        <v>540</v>
      </c>
      <c r="AR32" s="300"/>
      <c r="AT32" s="300"/>
      <c r="AV32" s="300" t="s">
        <v>534</v>
      </c>
      <c r="AW32" t="s">
        <v>534</v>
      </c>
      <c r="AX32" t="s">
        <v>534</v>
      </c>
      <c r="AY32" s="300" t="s">
        <v>534</v>
      </c>
      <c r="BD32" s="300" t="s">
        <v>533</v>
      </c>
      <c r="BE32" t="s">
        <v>533</v>
      </c>
      <c r="BF32" t="s">
        <v>1476</v>
      </c>
      <c r="BG32" s="300"/>
    </row>
    <row r="33" spans="2:60" x14ac:dyDescent="0.3">
      <c r="B33" s="30" t="s">
        <v>1462</v>
      </c>
      <c r="C33" t="s">
        <v>1124</v>
      </c>
      <c r="D33" s="300"/>
      <c r="E33" s="300"/>
      <c r="F33" s="371" t="s">
        <v>534</v>
      </c>
      <c r="G33" s="8" t="s">
        <v>534</v>
      </c>
      <c r="H33" s="8"/>
      <c r="I33" s="8"/>
      <c r="J33" s="8"/>
      <c r="K33" s="371" t="s">
        <v>534</v>
      </c>
      <c r="L33" s="8" t="s">
        <v>534</v>
      </c>
      <c r="M33" s="8"/>
      <c r="N33" s="8"/>
      <c r="O33" s="371"/>
      <c r="P33" s="8"/>
      <c r="Q33" s="371"/>
      <c r="R33" s="8"/>
      <c r="S33" s="8"/>
      <c r="T33" s="8"/>
      <c r="U33" s="8"/>
      <c r="V33" s="300" t="s">
        <v>534</v>
      </c>
      <c r="W33" t="s">
        <v>534</v>
      </c>
      <c r="X33" s="300"/>
      <c r="Z33" s="300" t="s">
        <v>533</v>
      </c>
      <c r="AA33" t="s">
        <v>533</v>
      </c>
      <c r="AC33" s="300" t="s">
        <v>534</v>
      </c>
      <c r="AH33" s="300" t="s">
        <v>533</v>
      </c>
      <c r="AI33" t="s">
        <v>533</v>
      </c>
      <c r="AJ33" s="300" t="s">
        <v>534</v>
      </c>
      <c r="AK33" t="s">
        <v>533</v>
      </c>
      <c r="AL33" s="300" t="s">
        <v>534</v>
      </c>
      <c r="AM33" s="300" t="s">
        <v>534</v>
      </c>
      <c r="AN33" t="s">
        <v>534</v>
      </c>
      <c r="AO33" t="s">
        <v>534</v>
      </c>
      <c r="AR33" s="300"/>
      <c r="AT33" s="300" t="s">
        <v>533</v>
      </c>
      <c r="AU33" t="s">
        <v>540</v>
      </c>
      <c r="AV33" s="300"/>
      <c r="AY33" s="300" t="s">
        <v>534</v>
      </c>
      <c r="AZ33" t="s">
        <v>534</v>
      </c>
      <c r="BD33" s="300" t="s">
        <v>534</v>
      </c>
      <c r="BG33" s="300"/>
    </row>
    <row r="34" spans="2:60" x14ac:dyDescent="0.3">
      <c r="B34" s="30" t="s">
        <v>1463</v>
      </c>
      <c r="C34" t="s">
        <v>1164</v>
      </c>
      <c r="D34" s="300"/>
      <c r="E34" s="300"/>
      <c r="F34" s="371" t="s">
        <v>534</v>
      </c>
      <c r="G34" s="8"/>
      <c r="H34" s="8"/>
      <c r="I34" s="8"/>
      <c r="J34" s="8"/>
      <c r="K34" s="371"/>
      <c r="L34" s="8"/>
      <c r="M34" s="8"/>
      <c r="N34" s="8"/>
      <c r="O34" s="371"/>
      <c r="P34" s="8"/>
      <c r="Q34" s="371"/>
      <c r="R34" s="8"/>
      <c r="S34" s="8"/>
      <c r="T34" s="8"/>
      <c r="U34" s="8"/>
      <c r="V34" s="300"/>
      <c r="X34" s="300"/>
      <c r="Z34" s="300"/>
      <c r="AC34" s="300"/>
      <c r="AH34" s="300" t="s">
        <v>534</v>
      </c>
      <c r="AJ34" s="300"/>
      <c r="AL34" s="300"/>
      <c r="AM34" s="300"/>
      <c r="AR34" s="300"/>
      <c r="AT34" s="300" t="s">
        <v>534</v>
      </c>
      <c r="AV34" s="300"/>
      <c r="AY34" s="300"/>
      <c r="BD34" s="300" t="s">
        <v>534</v>
      </c>
      <c r="BE34" t="s">
        <v>534</v>
      </c>
      <c r="BG34" s="300"/>
    </row>
    <row r="35" spans="2:60" x14ac:dyDescent="0.3">
      <c r="B35" s="30" t="s">
        <v>679</v>
      </c>
      <c r="C35" t="s">
        <v>680</v>
      </c>
      <c r="D35" s="300"/>
      <c r="E35" s="300"/>
      <c r="F35" s="371" t="s">
        <v>534</v>
      </c>
      <c r="G35" s="8"/>
      <c r="H35" s="8"/>
      <c r="I35" s="8"/>
      <c r="J35" s="8"/>
      <c r="K35" s="371"/>
      <c r="L35" s="8"/>
      <c r="M35" s="8"/>
      <c r="N35" s="8"/>
      <c r="O35" s="371" t="s">
        <v>534</v>
      </c>
      <c r="P35" s="8"/>
      <c r="Q35" s="371"/>
      <c r="R35" s="8"/>
      <c r="S35" s="8"/>
      <c r="T35" s="8"/>
      <c r="U35" s="8"/>
      <c r="V35" s="300"/>
      <c r="X35" s="300"/>
      <c r="Z35" s="300"/>
      <c r="AC35" s="300"/>
      <c r="AH35" s="300"/>
      <c r="AJ35" s="300"/>
      <c r="AL35" s="300"/>
      <c r="AM35" s="300"/>
      <c r="AR35" s="300"/>
      <c r="AT35" s="300"/>
      <c r="AV35" s="300" t="s">
        <v>533</v>
      </c>
      <c r="AY35" s="300" t="s">
        <v>534</v>
      </c>
      <c r="AZ35" t="s">
        <v>533</v>
      </c>
      <c r="BD35" s="300" t="s">
        <v>533</v>
      </c>
      <c r="BE35" t="s">
        <v>534</v>
      </c>
      <c r="BG35" s="300"/>
    </row>
    <row r="36" spans="2:60" x14ac:dyDescent="0.3">
      <c r="B36" s="30" t="s">
        <v>943</v>
      </c>
      <c r="C36" t="s">
        <v>942</v>
      </c>
      <c r="D36" s="300"/>
      <c r="E36" s="300"/>
      <c r="F36" s="371" t="s">
        <v>534</v>
      </c>
      <c r="G36" s="8" t="s">
        <v>535</v>
      </c>
      <c r="H36" s="8"/>
      <c r="I36" s="8"/>
      <c r="J36" s="8"/>
      <c r="K36" s="371" t="s">
        <v>534</v>
      </c>
      <c r="L36" s="8"/>
      <c r="M36" s="8"/>
      <c r="N36" s="8"/>
      <c r="O36" s="371"/>
      <c r="P36" s="8"/>
      <c r="Q36" s="371"/>
      <c r="R36" s="8"/>
      <c r="S36" s="8"/>
      <c r="T36" s="8"/>
      <c r="U36" s="8"/>
      <c r="V36" s="300"/>
      <c r="X36" s="300"/>
      <c r="Z36" s="300"/>
      <c r="AC36" s="300"/>
      <c r="AH36" s="300"/>
      <c r="AJ36" s="300" t="s">
        <v>534</v>
      </c>
      <c r="AL36" s="300"/>
      <c r="AM36" s="300" t="s">
        <v>533</v>
      </c>
      <c r="AN36" t="s">
        <v>534</v>
      </c>
      <c r="AR36" s="300"/>
      <c r="AT36" s="300" t="s">
        <v>533</v>
      </c>
      <c r="AV36" s="300"/>
      <c r="AY36" s="300"/>
      <c r="BD36" s="300"/>
      <c r="BG36" s="300"/>
    </row>
    <row r="37" spans="2:60" x14ac:dyDescent="0.3">
      <c r="B37" s="30" t="s">
        <v>674</v>
      </c>
      <c r="C37" t="s">
        <v>1076</v>
      </c>
      <c r="D37" s="300"/>
      <c r="E37" s="300"/>
      <c r="F37" s="371"/>
      <c r="G37" s="8"/>
      <c r="H37" s="8"/>
      <c r="I37" s="8"/>
      <c r="J37" s="8"/>
      <c r="K37" s="371" t="s">
        <v>533</v>
      </c>
      <c r="L37" s="8"/>
      <c r="M37" s="8"/>
      <c r="N37" s="8"/>
      <c r="O37" s="371"/>
      <c r="P37" s="8"/>
      <c r="Q37" s="371" t="s">
        <v>534</v>
      </c>
      <c r="R37" s="8"/>
      <c r="S37" s="8"/>
      <c r="T37" s="8"/>
      <c r="U37" s="8"/>
      <c r="V37" s="300"/>
      <c r="X37" s="300"/>
      <c r="Z37" s="300"/>
      <c r="AC37" s="300"/>
      <c r="AH37" s="300" t="s">
        <v>533</v>
      </c>
      <c r="AI37" t="s">
        <v>534</v>
      </c>
      <c r="AJ37" s="300"/>
      <c r="AL37" s="300"/>
      <c r="AM37" s="300" t="s">
        <v>533</v>
      </c>
      <c r="AN37" t="s">
        <v>535</v>
      </c>
      <c r="AR37" s="300"/>
      <c r="AT37" s="300"/>
      <c r="AV37" s="300"/>
      <c r="AY37" s="300" t="s">
        <v>535</v>
      </c>
      <c r="BD37" s="300"/>
      <c r="BG37" s="300"/>
    </row>
    <row r="38" spans="2:60" x14ac:dyDescent="0.3">
      <c r="B38" s="30" t="s">
        <v>522</v>
      </c>
      <c r="C38" t="s">
        <v>1077</v>
      </c>
      <c r="D38" s="300"/>
      <c r="E38" s="300"/>
      <c r="F38" s="371"/>
      <c r="G38" s="8"/>
      <c r="H38" s="8"/>
      <c r="I38" s="8"/>
      <c r="J38" s="8"/>
      <c r="K38" s="371" t="s">
        <v>533</v>
      </c>
      <c r="L38" s="8"/>
      <c r="M38" s="8"/>
      <c r="N38" s="8"/>
      <c r="O38" s="371"/>
      <c r="P38" s="8"/>
      <c r="Q38" s="371" t="s">
        <v>533</v>
      </c>
      <c r="R38" s="8" t="s">
        <v>533</v>
      </c>
      <c r="S38" s="8" t="s">
        <v>533</v>
      </c>
      <c r="T38" s="8" t="s">
        <v>533</v>
      </c>
      <c r="U38" s="8" t="s">
        <v>533</v>
      </c>
      <c r="V38" s="300"/>
      <c r="X38" s="300"/>
      <c r="Z38" s="300" t="s">
        <v>533</v>
      </c>
      <c r="AA38" t="s">
        <v>534</v>
      </c>
      <c r="AC38" s="300"/>
      <c r="AH38" s="300"/>
      <c r="AJ38" s="300"/>
      <c r="AL38" s="300"/>
      <c r="AM38" s="300"/>
      <c r="AR38" s="300" t="s">
        <v>534</v>
      </c>
      <c r="AT38" s="300" t="s">
        <v>533</v>
      </c>
      <c r="AV38" s="300" t="s">
        <v>533</v>
      </c>
      <c r="AW38" t="s">
        <v>534</v>
      </c>
      <c r="AY38" s="300" t="s">
        <v>533</v>
      </c>
      <c r="BD38" s="300"/>
      <c r="BG38" s="300"/>
    </row>
    <row r="39" spans="2:60" x14ac:dyDescent="0.3">
      <c r="B39" s="30" t="s">
        <v>1464</v>
      </c>
      <c r="C39" t="s">
        <v>185</v>
      </c>
      <c r="D39" s="300"/>
      <c r="E39" s="300"/>
      <c r="F39" s="371"/>
      <c r="G39" s="8"/>
      <c r="H39" s="8"/>
      <c r="I39" s="265"/>
      <c r="J39" s="265"/>
      <c r="K39" s="370"/>
      <c r="L39" s="8"/>
      <c r="M39" s="8"/>
      <c r="N39" s="8"/>
      <c r="O39" s="371"/>
      <c r="P39" s="8"/>
      <c r="Q39" s="371" t="s">
        <v>534</v>
      </c>
      <c r="R39" s="8"/>
      <c r="S39" s="8"/>
      <c r="T39" s="8"/>
      <c r="U39" s="8"/>
      <c r="V39" s="300" t="s">
        <v>533</v>
      </c>
      <c r="W39" t="s">
        <v>533</v>
      </c>
      <c r="X39" s="300" t="s">
        <v>533</v>
      </c>
      <c r="Z39" s="300" t="s">
        <v>534</v>
      </c>
      <c r="AC39" s="300" t="s">
        <v>533</v>
      </c>
      <c r="AD39" t="s">
        <v>534</v>
      </c>
      <c r="AH39" s="300"/>
      <c r="AJ39" s="300" t="s">
        <v>533</v>
      </c>
      <c r="AK39" t="s">
        <v>535</v>
      </c>
      <c r="AL39" s="300" t="s">
        <v>557</v>
      </c>
      <c r="AM39" s="300" t="s">
        <v>534</v>
      </c>
      <c r="AN39" t="s">
        <v>533</v>
      </c>
      <c r="AR39" s="300"/>
      <c r="AT39" s="300"/>
      <c r="AV39" s="300"/>
      <c r="AY39" s="300" t="s">
        <v>534</v>
      </c>
      <c r="AZ39" t="s">
        <v>534</v>
      </c>
      <c r="BD39" s="300"/>
      <c r="BG39" s="300" t="s">
        <v>535</v>
      </c>
      <c r="BH39" t="s">
        <v>534</v>
      </c>
    </row>
    <row r="40" spans="2:60" x14ac:dyDescent="0.3">
      <c r="B40" s="30" t="s">
        <v>778</v>
      </c>
      <c r="C40" t="s">
        <v>946</v>
      </c>
      <c r="D40" s="300"/>
      <c r="E40" s="300"/>
      <c r="F40" s="300"/>
      <c r="K40" s="300"/>
      <c r="O40" s="300"/>
      <c r="Q40" s="300"/>
      <c r="V40" s="300"/>
      <c r="X40" s="300"/>
      <c r="Z40" s="300"/>
      <c r="AC40" s="300"/>
      <c r="AH40" s="300"/>
      <c r="AJ40" s="300"/>
      <c r="AL40" s="300"/>
      <c r="AM40" s="300"/>
      <c r="AR40" s="300"/>
      <c r="AT40" s="300"/>
      <c r="AV40" s="300"/>
      <c r="AY40" s="300" t="s">
        <v>534</v>
      </c>
      <c r="BD40" s="300"/>
      <c r="BG40" s="300"/>
    </row>
    <row r="41" spans="2:60" x14ac:dyDescent="0.3">
      <c r="B41" s="30" t="s">
        <v>1500</v>
      </c>
      <c r="C41" t="s">
        <v>100</v>
      </c>
      <c r="D41" s="300"/>
      <c r="E41" s="300"/>
      <c r="F41" s="300"/>
      <c r="K41" s="300"/>
      <c r="O41" s="300"/>
      <c r="Q41" s="300"/>
      <c r="V41" s="300"/>
      <c r="X41" s="300"/>
      <c r="Z41" s="300"/>
      <c r="AC41" s="300"/>
      <c r="AH41" s="300"/>
      <c r="AJ41" s="300"/>
      <c r="AL41" s="300"/>
      <c r="AM41" s="300"/>
      <c r="AR41" s="300"/>
      <c r="AT41" s="300"/>
      <c r="AV41" s="300"/>
      <c r="AY41" s="300"/>
      <c r="BD41" s="300"/>
      <c r="BG41" s="300"/>
    </row>
    <row r="52" spans="6:9" x14ac:dyDescent="0.3">
      <c r="F52">
        <f>COUNTIF(F27:BH40,"M")</f>
        <v>87</v>
      </c>
      <c r="I52">
        <f>COUNTIF(D27:BK40,"RM")</f>
        <v>7</v>
      </c>
    </row>
  </sheetData>
  <pageMargins left="0.7" right="0.7" top="0.75" bottom="0.75" header="0.3" footer="0.3"/>
  <pageSetup paperSize="9" scale="5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Y70"/>
  <sheetViews>
    <sheetView zoomScale="80" zoomScaleNormal="80" workbookViewId="0">
      <pane ySplit="4" topLeftCell="A5" activePane="bottomLeft" state="frozen"/>
      <selection pane="bottomLeft" activeCell="AE40" sqref="AE40"/>
    </sheetView>
  </sheetViews>
  <sheetFormatPr defaultColWidth="9.109375" defaultRowHeight="14.4" x14ac:dyDescent="0.3"/>
  <cols>
    <col min="1" max="1" width="2.88671875" customWidth="1"/>
    <col min="2" max="3" width="17.8867187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2.88671875" customWidth="1"/>
    <col min="21" max="25" width="8" style="8" hidden="1" customWidth="1"/>
    <col min="26" max="28" width="8" customWidth="1"/>
  </cols>
  <sheetData>
    <row r="1" spans="1:25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3">
      <c r="A2" s="357"/>
      <c r="B2" s="608" t="s">
        <v>1511</v>
      </c>
      <c r="C2" s="640" t="s">
        <v>1513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0.199999999999999" x14ac:dyDescent="0.2">
      <c r="A6" s="519"/>
      <c r="B6" s="674" t="s">
        <v>1516</v>
      </c>
      <c r="C6" s="643" t="s">
        <v>44</v>
      </c>
      <c r="D6" s="619" t="s">
        <v>0</v>
      </c>
      <c r="E6" s="642">
        <v>0</v>
      </c>
      <c r="F6" s="642">
        <v>1</v>
      </c>
      <c r="G6" s="642">
        <v>1</v>
      </c>
      <c r="H6" s="620">
        <f>SUM(E6:G6)</f>
        <v>2</v>
      </c>
      <c r="I6" s="621" t="str">
        <f>IF(H6&gt;H7,"Voitto",IF(H6=H7,"Tasapeli","Häviö"))</f>
        <v>Häviö</v>
      </c>
      <c r="J6" s="642">
        <v>1</v>
      </c>
      <c r="K6" s="642">
        <v>2</v>
      </c>
      <c r="L6" s="642"/>
      <c r="M6" s="642"/>
      <c r="N6" s="642"/>
      <c r="O6" s="642"/>
      <c r="P6" s="642"/>
      <c r="Q6" s="642"/>
      <c r="R6" s="642"/>
      <c r="S6" s="679">
        <v>18.52</v>
      </c>
      <c r="T6" s="519"/>
      <c r="U6" s="624">
        <f>H6</f>
        <v>2</v>
      </c>
      <c r="V6" s="624"/>
      <c r="W6" s="624" t="str">
        <f>IF((J6=0)*AND(J7=0),"1","0")</f>
        <v>0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0.199999999999999" x14ac:dyDescent="0.2">
      <c r="A7" s="519"/>
      <c r="B7" s="673">
        <v>42652</v>
      </c>
      <c r="C7" s="643" t="s">
        <v>1515</v>
      </c>
      <c r="D7" s="643" t="s">
        <v>1583</v>
      </c>
      <c r="E7" s="642">
        <v>1</v>
      </c>
      <c r="F7" s="642">
        <v>1</v>
      </c>
      <c r="G7" s="642">
        <v>1</v>
      </c>
      <c r="H7" s="622">
        <f>SUM(E7:G7)</f>
        <v>3</v>
      </c>
      <c r="I7" s="623"/>
      <c r="J7" s="642">
        <v>2</v>
      </c>
      <c r="K7" s="642">
        <v>4</v>
      </c>
      <c r="L7" s="642"/>
      <c r="M7" s="642"/>
      <c r="N7" s="642"/>
      <c r="O7" s="642"/>
      <c r="P7" s="642"/>
      <c r="Q7" s="642"/>
      <c r="R7" s="642"/>
      <c r="S7" s="679">
        <v>5.1100000000000003</v>
      </c>
      <c r="T7" s="519"/>
      <c r="U7" s="624"/>
      <c r="V7" s="624">
        <f>H7</f>
        <v>3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80"/>
      <c r="U8" s="675"/>
      <c r="V8" s="675"/>
      <c r="W8" s="675"/>
      <c r="X8" s="675"/>
      <c r="Y8" s="675"/>
    </row>
    <row r="9" spans="1:25" s="140" customFormat="1" ht="10.199999999999999" x14ac:dyDescent="0.2">
      <c r="A9" s="519"/>
      <c r="B9" s="618" t="s">
        <v>1537</v>
      </c>
      <c r="C9" s="643" t="s">
        <v>44</v>
      </c>
      <c r="D9" s="619" t="s">
        <v>0</v>
      </c>
      <c r="E9" s="642">
        <v>1</v>
      </c>
      <c r="F9" s="642">
        <v>2</v>
      </c>
      <c r="G9" s="642">
        <v>0</v>
      </c>
      <c r="H9" s="620">
        <f>SUM(E9:G9)</f>
        <v>3</v>
      </c>
      <c r="I9" s="621" t="str">
        <f>IF(H9&gt;H10,"Voitto",IF(H9=H10,"Tasapeli","Häviö"))</f>
        <v>Voitto</v>
      </c>
      <c r="J9" s="642">
        <v>1</v>
      </c>
      <c r="K9" s="642">
        <v>2</v>
      </c>
      <c r="L9" s="642">
        <v>1</v>
      </c>
      <c r="M9" s="642"/>
      <c r="N9" s="642"/>
      <c r="O9" s="642"/>
      <c r="P9" s="642"/>
      <c r="Q9" s="642"/>
      <c r="R9" s="642"/>
      <c r="S9" s="679">
        <v>14.29</v>
      </c>
      <c r="T9" s="519"/>
      <c r="U9" s="624">
        <f>H9</f>
        <v>3</v>
      </c>
      <c r="V9" s="624"/>
      <c r="W9" s="624" t="str">
        <f>IF((J9=0)*AND(J10=0),"1","0")</f>
        <v>0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0.199999999999999" x14ac:dyDescent="0.2">
      <c r="A10" s="519"/>
      <c r="B10" s="673">
        <v>42652</v>
      </c>
      <c r="C10" s="643" t="s">
        <v>1514</v>
      </c>
      <c r="D10" s="643" t="s">
        <v>1585</v>
      </c>
      <c r="E10" s="642">
        <v>0</v>
      </c>
      <c r="F10" s="642">
        <v>0</v>
      </c>
      <c r="G10" s="642">
        <v>1</v>
      </c>
      <c r="H10" s="622">
        <f>SUM(E10:G10)</f>
        <v>1</v>
      </c>
      <c r="I10" s="623"/>
      <c r="J10" s="642">
        <v>1</v>
      </c>
      <c r="K10" s="642">
        <v>2</v>
      </c>
      <c r="L10" s="642">
        <v>1</v>
      </c>
      <c r="M10" s="642"/>
      <c r="N10" s="642"/>
      <c r="O10" s="642"/>
      <c r="P10" s="642"/>
      <c r="Q10" s="642"/>
      <c r="R10" s="642"/>
      <c r="S10" s="679">
        <v>40.18</v>
      </c>
      <c r="T10" s="519"/>
      <c r="U10" s="624"/>
      <c r="V10" s="624">
        <f>H10</f>
        <v>1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80"/>
      <c r="U11" s="675"/>
      <c r="V11" s="675"/>
      <c r="W11" s="675"/>
      <c r="X11" s="675"/>
      <c r="Y11" s="675"/>
    </row>
    <row r="12" spans="1:25" s="140" customFormat="1" ht="10.199999999999999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1</v>
      </c>
      <c r="G12" s="642">
        <v>5</v>
      </c>
      <c r="H12" s="620">
        <f>SUM(E12:G12)</f>
        <v>6</v>
      </c>
      <c r="I12" s="621" t="str">
        <f>IF(H12&gt;H13,"Voitto",IF(H12=H13,"Tasapeli","Häviö"))</f>
        <v>Voitto</v>
      </c>
      <c r="J12" s="642">
        <v>3</v>
      </c>
      <c r="K12" s="642">
        <v>6</v>
      </c>
      <c r="L12" s="642">
        <v>2</v>
      </c>
      <c r="M12" s="642"/>
      <c r="N12" s="642"/>
      <c r="O12" s="642"/>
      <c r="P12" s="642"/>
      <c r="Q12" s="642"/>
      <c r="R12" s="642"/>
      <c r="S12" s="679">
        <v>25.33</v>
      </c>
      <c r="T12" s="519"/>
      <c r="U12" s="624">
        <f t="shared" ref="U12" si="0">H12</f>
        <v>6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0.199999999999999" x14ac:dyDescent="0.2">
      <c r="A13" s="519"/>
      <c r="B13" s="673">
        <v>42672</v>
      </c>
      <c r="C13" s="643" t="s">
        <v>1515</v>
      </c>
      <c r="D13" s="643" t="s">
        <v>1007</v>
      </c>
      <c r="E13" s="642">
        <v>1</v>
      </c>
      <c r="F13" s="642">
        <v>2</v>
      </c>
      <c r="G13" s="642">
        <v>1</v>
      </c>
      <c r="H13" s="622">
        <f>SUM(E13:G13)</f>
        <v>4</v>
      </c>
      <c r="I13" s="623"/>
      <c r="J13" s="642">
        <v>3</v>
      </c>
      <c r="K13" s="642">
        <v>6</v>
      </c>
      <c r="L13" s="642">
        <v>2</v>
      </c>
      <c r="M13" s="642"/>
      <c r="N13" s="642"/>
      <c r="O13" s="642"/>
      <c r="P13" s="642"/>
      <c r="Q13" s="642"/>
      <c r="R13" s="642"/>
      <c r="S13" s="679">
        <v>13</v>
      </c>
      <c r="T13" s="519"/>
      <c r="U13" s="624"/>
      <c r="V13" s="624">
        <f t="shared" ref="V13" si="1">H13</f>
        <v>4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80"/>
      <c r="U14" s="675"/>
      <c r="V14" s="675"/>
      <c r="W14" s="675"/>
      <c r="X14" s="675"/>
      <c r="Y14" s="675"/>
    </row>
    <row r="15" spans="1:25" s="140" customFormat="1" ht="10.199999999999999" x14ac:dyDescent="0.2">
      <c r="A15" s="519"/>
      <c r="B15" s="618" t="s">
        <v>1539</v>
      </c>
      <c r="C15" s="643" t="s">
        <v>44</v>
      </c>
      <c r="D15" s="619" t="s">
        <v>0</v>
      </c>
      <c r="E15" s="642">
        <v>3</v>
      </c>
      <c r="F15" s="642">
        <v>0</v>
      </c>
      <c r="G15" s="642">
        <v>0</v>
      </c>
      <c r="H15" s="620">
        <f>SUM(E15:G15)</f>
        <v>3</v>
      </c>
      <c r="I15" s="621" t="str">
        <f>IF(H15&gt;H16,"Voitto",IF(H15=H16,"Tasapeli","Häviö"))</f>
        <v>Häviö</v>
      </c>
      <c r="J15" s="642">
        <v>6</v>
      </c>
      <c r="K15" s="642">
        <v>20</v>
      </c>
      <c r="L15" s="642"/>
      <c r="M15" s="642"/>
      <c r="N15" s="678" t="s">
        <v>1588</v>
      </c>
      <c r="O15" s="642"/>
      <c r="P15" s="642"/>
      <c r="Q15" s="642"/>
      <c r="R15" s="642"/>
      <c r="S15" s="679">
        <v>0.24</v>
      </c>
      <c r="T15" s="519"/>
      <c r="U15" s="624">
        <f t="shared" ref="U15" si="2">H15</f>
        <v>3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0.199999999999999" x14ac:dyDescent="0.2">
      <c r="A16" s="519"/>
      <c r="B16" s="673">
        <v>42672</v>
      </c>
      <c r="C16" s="643" t="s">
        <v>1515</v>
      </c>
      <c r="D16" s="643" t="s">
        <v>996</v>
      </c>
      <c r="E16" s="642">
        <v>1</v>
      </c>
      <c r="F16" s="642">
        <v>3</v>
      </c>
      <c r="G16" s="642">
        <v>1</v>
      </c>
      <c r="H16" s="622">
        <f>SUM(E16:G16)</f>
        <v>5</v>
      </c>
      <c r="I16" s="623"/>
      <c r="J16" s="642">
        <v>1</v>
      </c>
      <c r="K16" s="642">
        <v>2</v>
      </c>
      <c r="L16" s="642">
        <v>1</v>
      </c>
      <c r="M16" s="642"/>
      <c r="N16" s="678" t="s">
        <v>1588</v>
      </c>
      <c r="O16" s="642"/>
      <c r="P16" s="642"/>
      <c r="Q16" s="642"/>
      <c r="R16" s="642"/>
      <c r="S16" s="679">
        <v>2.4</v>
      </c>
      <c r="T16" s="519"/>
      <c r="U16" s="624"/>
      <c r="V16" s="624">
        <f t="shared" ref="V16" si="3">H16</f>
        <v>5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80"/>
      <c r="U17" s="675"/>
      <c r="V17" s="675"/>
      <c r="W17" s="675"/>
      <c r="X17" s="675"/>
      <c r="Y17" s="675"/>
    </row>
    <row r="18" spans="1:25" s="140" customFormat="1" ht="10.199999999999999" x14ac:dyDescent="0.2">
      <c r="A18" s="519"/>
      <c r="B18" s="618" t="s">
        <v>1540</v>
      </c>
      <c r="C18" s="643" t="s">
        <v>44</v>
      </c>
      <c r="D18" s="619" t="s">
        <v>0</v>
      </c>
      <c r="E18" s="642">
        <v>4</v>
      </c>
      <c r="F18" s="642">
        <v>1</v>
      </c>
      <c r="G18" s="642">
        <v>3</v>
      </c>
      <c r="H18" s="620">
        <f>SUM(E18:G18)</f>
        <v>8</v>
      </c>
      <c r="I18" s="621" t="str">
        <f>IF(H18&gt;H19,"Voitto",IF(H18=H19,"Tasapeli","Häviö"))</f>
        <v>Voitto</v>
      </c>
      <c r="J18" s="642">
        <v>2</v>
      </c>
      <c r="K18" s="642">
        <v>4</v>
      </c>
      <c r="L18" s="642">
        <v>1</v>
      </c>
      <c r="M18" s="642"/>
      <c r="N18" s="642"/>
      <c r="O18" s="642"/>
      <c r="P18" s="642"/>
      <c r="Q18" s="642"/>
      <c r="R18" s="642"/>
      <c r="S18" s="679">
        <v>0.5</v>
      </c>
      <c r="T18" s="519"/>
      <c r="U18" s="624">
        <f t="shared" ref="U18" si="4">H18</f>
        <v>8</v>
      </c>
      <c r="V18" s="624"/>
      <c r="W18" s="624" t="str">
        <f>IF((J18=0)*AND(J19=0),"1","0")</f>
        <v>0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0.199999999999999" x14ac:dyDescent="0.2">
      <c r="A19" s="519"/>
      <c r="B19" s="673">
        <v>42694</v>
      </c>
      <c r="C19" s="643" t="s">
        <v>1514</v>
      </c>
      <c r="D19" s="643" t="s">
        <v>1402</v>
      </c>
      <c r="E19" s="642">
        <v>1</v>
      </c>
      <c r="F19" s="642">
        <v>0</v>
      </c>
      <c r="G19" s="642">
        <v>0</v>
      </c>
      <c r="H19" s="622">
        <f>SUM(E19:G19)</f>
        <v>1</v>
      </c>
      <c r="I19" s="623"/>
      <c r="J19" s="642">
        <v>4</v>
      </c>
      <c r="K19" s="642">
        <v>14</v>
      </c>
      <c r="L19" s="642"/>
      <c r="M19" s="642"/>
      <c r="N19" s="642"/>
      <c r="O19" s="642"/>
      <c r="P19" s="642"/>
      <c r="Q19" s="642"/>
      <c r="R19" s="642"/>
      <c r="S19" s="679">
        <v>0.18</v>
      </c>
      <c r="T19" s="519"/>
      <c r="U19" s="624"/>
      <c r="V19" s="624">
        <f t="shared" ref="V19" si="5">H19</f>
        <v>1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80"/>
      <c r="U20" s="675"/>
      <c r="V20" s="675"/>
      <c r="W20" s="675"/>
      <c r="X20" s="675"/>
      <c r="Y20" s="675"/>
    </row>
    <row r="21" spans="1:25" s="140" customFormat="1" ht="10.199999999999999" x14ac:dyDescent="0.2">
      <c r="A21" s="519"/>
      <c r="B21" s="618" t="s">
        <v>1541</v>
      </c>
      <c r="C21" s="643" t="s">
        <v>44</v>
      </c>
      <c r="D21" s="619" t="s">
        <v>0</v>
      </c>
      <c r="E21" s="642">
        <v>1</v>
      </c>
      <c r="F21" s="642">
        <v>2</v>
      </c>
      <c r="G21" s="642">
        <v>1</v>
      </c>
      <c r="H21" s="620">
        <f>SUM(E21:G21)</f>
        <v>4</v>
      </c>
      <c r="I21" s="621" t="str">
        <f>IF(H21&gt;H22,"Voitto",IF(H21=H22,"Tasapeli","Häviö"))</f>
        <v>Häviö</v>
      </c>
      <c r="J21" s="642">
        <v>2</v>
      </c>
      <c r="K21" s="642">
        <v>4</v>
      </c>
      <c r="L21" s="642"/>
      <c r="M21" s="642"/>
      <c r="N21" s="642"/>
      <c r="O21" s="642"/>
      <c r="P21" s="642"/>
      <c r="Q21" s="642"/>
      <c r="R21" s="642"/>
      <c r="S21" s="679">
        <v>5.07</v>
      </c>
      <c r="T21" s="519"/>
      <c r="U21" s="624">
        <f t="shared" ref="U21" si="6">H21</f>
        <v>4</v>
      </c>
      <c r="V21" s="624"/>
      <c r="W21" s="624" t="str">
        <f>IF((J21=0)*AND(J22=0),"1","0")</f>
        <v>0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0.199999999999999" x14ac:dyDescent="0.2">
      <c r="A22" s="519"/>
      <c r="B22" s="673">
        <v>42694</v>
      </c>
      <c r="C22" s="643" t="s">
        <v>1515</v>
      </c>
      <c r="D22" s="643" t="s">
        <v>1403</v>
      </c>
      <c r="E22" s="642">
        <v>3</v>
      </c>
      <c r="F22" s="642">
        <v>1</v>
      </c>
      <c r="G22" s="642">
        <v>2</v>
      </c>
      <c r="H22" s="622">
        <f>SUM(E22:G22)</f>
        <v>6</v>
      </c>
      <c r="I22" s="623"/>
      <c r="J22" s="642">
        <v>1</v>
      </c>
      <c r="K22" s="642">
        <v>2</v>
      </c>
      <c r="L22" s="642">
        <v>1</v>
      </c>
      <c r="M22" s="642"/>
      <c r="N22" s="642"/>
      <c r="O22" s="642"/>
      <c r="P22" s="642"/>
      <c r="Q22" s="642"/>
      <c r="R22" s="642"/>
      <c r="S22" s="679">
        <v>3.23</v>
      </c>
      <c r="T22" s="519"/>
      <c r="U22" s="624"/>
      <c r="V22" s="624">
        <f t="shared" ref="V22" si="7">H22</f>
        <v>6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80"/>
      <c r="U23" s="675"/>
      <c r="V23" s="675"/>
      <c r="W23" s="675"/>
      <c r="X23" s="675"/>
      <c r="Y23" s="675"/>
    </row>
    <row r="24" spans="1:25" s="140" customFormat="1" ht="10.199999999999999" x14ac:dyDescent="0.2">
      <c r="A24" s="519"/>
      <c r="B24" s="618" t="s">
        <v>1542</v>
      </c>
      <c r="C24" s="643" t="s">
        <v>44</v>
      </c>
      <c r="D24" s="619" t="s">
        <v>0</v>
      </c>
      <c r="E24" s="642">
        <v>4</v>
      </c>
      <c r="F24" s="642">
        <v>1</v>
      </c>
      <c r="G24" s="642">
        <v>4</v>
      </c>
      <c r="H24" s="620">
        <f>SUM(E24:G24)</f>
        <v>9</v>
      </c>
      <c r="I24" s="621" t="str">
        <f>IF(H24&gt;H25,"Voitto",IF(H24=H25,"Tasapeli","Häviö"))</f>
        <v>Voitto</v>
      </c>
      <c r="J24" s="642">
        <v>2</v>
      </c>
      <c r="K24" s="642">
        <v>4</v>
      </c>
      <c r="L24" s="642"/>
      <c r="M24" s="642"/>
      <c r="N24" s="642"/>
      <c r="O24" s="642"/>
      <c r="P24" s="642"/>
      <c r="Q24" s="642"/>
      <c r="R24" s="642"/>
      <c r="S24" s="679">
        <v>4.4400000000000004</v>
      </c>
      <c r="T24" s="519"/>
      <c r="U24" s="624">
        <f t="shared" ref="U24" si="8">H24</f>
        <v>9</v>
      </c>
      <c r="V24" s="624"/>
      <c r="W24" s="624" t="str">
        <f>IF((J24=0)*AND(J25=0),"1","0")</f>
        <v>0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0.199999999999999" x14ac:dyDescent="0.2">
      <c r="A25" s="519"/>
      <c r="B25" s="673">
        <v>42722</v>
      </c>
      <c r="C25" s="643" t="s">
        <v>1514</v>
      </c>
      <c r="D25" s="643" t="s">
        <v>1584</v>
      </c>
      <c r="E25" s="642">
        <v>4</v>
      </c>
      <c r="F25" s="642">
        <v>1</v>
      </c>
      <c r="G25" s="642">
        <v>2</v>
      </c>
      <c r="H25" s="622">
        <f>SUM(E25:G25)</f>
        <v>7</v>
      </c>
      <c r="I25" s="623"/>
      <c r="J25" s="642">
        <v>1</v>
      </c>
      <c r="K25" s="642">
        <v>2</v>
      </c>
      <c r="L25" s="642"/>
      <c r="M25" s="642"/>
      <c r="N25" s="642"/>
      <c r="O25" s="642"/>
      <c r="P25" s="642"/>
      <c r="Q25" s="642"/>
      <c r="R25" s="642"/>
      <c r="S25" s="679">
        <v>1.42</v>
      </c>
      <c r="T25" s="519"/>
      <c r="U25" s="624"/>
      <c r="V25" s="624">
        <f t="shared" ref="V25" si="9">H25</f>
        <v>7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80"/>
      <c r="U26" s="675"/>
      <c r="V26" s="675"/>
      <c r="W26" s="675"/>
      <c r="X26" s="675"/>
      <c r="Y26" s="675"/>
    </row>
    <row r="27" spans="1:25" s="140" customFormat="1" ht="10.199999999999999" x14ac:dyDescent="0.2">
      <c r="A27" s="519"/>
      <c r="B27" s="618" t="s">
        <v>1543</v>
      </c>
      <c r="C27" s="643" t="s">
        <v>44</v>
      </c>
      <c r="D27" s="619" t="s">
        <v>0</v>
      </c>
      <c r="E27" s="642">
        <v>0</v>
      </c>
      <c r="F27" s="642">
        <v>1</v>
      </c>
      <c r="G27" s="642">
        <v>0</v>
      </c>
      <c r="H27" s="620">
        <f>SUM(E27:G27)</f>
        <v>1</v>
      </c>
      <c r="I27" s="621" t="str">
        <f>IF(H27&gt;H28,"Voitto",IF(H27=H28,"Tasapeli","Häviö"))</f>
        <v>Häviö</v>
      </c>
      <c r="J27" s="642">
        <v>1</v>
      </c>
      <c r="K27" s="642">
        <v>2</v>
      </c>
      <c r="L27" s="642"/>
      <c r="M27" s="642"/>
      <c r="N27" s="642"/>
      <c r="O27" s="642"/>
      <c r="P27" s="642"/>
      <c r="Q27" s="642"/>
      <c r="R27" s="642"/>
      <c r="S27" s="679">
        <v>29.19</v>
      </c>
      <c r="T27" s="519"/>
      <c r="U27" s="624">
        <f t="shared" ref="U27" si="10">H27</f>
        <v>1</v>
      </c>
      <c r="V27" s="624"/>
      <c r="W27" s="624" t="str">
        <f>IF((J27=0)*AND(J28=0),"1","0")</f>
        <v>0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0.199999999999999" x14ac:dyDescent="0.2">
      <c r="A28" s="519"/>
      <c r="B28" s="673">
        <v>42722</v>
      </c>
      <c r="C28" s="643" t="s">
        <v>1514</v>
      </c>
      <c r="D28" s="643" t="s">
        <v>1245</v>
      </c>
      <c r="E28" s="642">
        <v>1</v>
      </c>
      <c r="F28" s="642">
        <v>4</v>
      </c>
      <c r="G28" s="642">
        <v>7</v>
      </c>
      <c r="H28" s="622">
        <f>SUM(E28:G28)</f>
        <v>12</v>
      </c>
      <c r="I28" s="623"/>
      <c r="J28" s="642">
        <v>1</v>
      </c>
      <c r="K28" s="642">
        <v>2</v>
      </c>
      <c r="L28" s="642">
        <v>1</v>
      </c>
      <c r="M28" s="642"/>
      <c r="N28" s="642"/>
      <c r="O28" s="642"/>
      <c r="P28" s="642"/>
      <c r="Q28" s="642"/>
      <c r="R28" s="642"/>
      <c r="S28" s="679">
        <v>7.04</v>
      </c>
      <c r="T28" s="519"/>
      <c r="U28" s="624"/>
      <c r="V28" s="624">
        <f t="shared" ref="V28" si="11">H28</f>
        <v>12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80"/>
      <c r="U29" s="675"/>
      <c r="V29" s="675"/>
      <c r="W29" s="675"/>
      <c r="X29" s="675"/>
      <c r="Y29" s="675"/>
    </row>
    <row r="30" spans="1:25" s="140" customFormat="1" ht="10.199999999999999" x14ac:dyDescent="0.2">
      <c r="A30" s="519"/>
      <c r="B30" s="618" t="s">
        <v>1544</v>
      </c>
      <c r="C30" s="643" t="s">
        <v>1398</v>
      </c>
      <c r="D30" s="619" t="s">
        <v>0</v>
      </c>
      <c r="E30" s="642">
        <v>1</v>
      </c>
      <c r="F30" s="642">
        <v>1</v>
      </c>
      <c r="G30" s="642">
        <v>1</v>
      </c>
      <c r="H30" s="620">
        <f>SUM(E30:G30)</f>
        <v>3</v>
      </c>
      <c r="I30" s="621" t="str">
        <f>IF(H30&gt;H31,"Voitto",IF(H30=H31,"Tasapeli","Häviö"))</f>
        <v>Häviö</v>
      </c>
      <c r="J30" s="642">
        <v>2</v>
      </c>
      <c r="K30" s="642">
        <v>4</v>
      </c>
      <c r="L30" s="642"/>
      <c r="M30" s="642"/>
      <c r="N30" s="642"/>
      <c r="O30" s="642"/>
      <c r="P30" s="642"/>
      <c r="Q30" s="642"/>
      <c r="R30" s="642"/>
      <c r="S30" s="679">
        <v>13.1</v>
      </c>
      <c r="T30" s="519"/>
      <c r="U30" s="624">
        <f t="shared" ref="U30" si="12">H30</f>
        <v>3</v>
      </c>
      <c r="V30" s="624"/>
      <c r="W30" s="624" t="str">
        <f>IF((J30=0)*AND(J31=0),"1","0")</f>
        <v>0</v>
      </c>
      <c r="X30" s="624" t="str">
        <f>IF((J30=0)*AND(J31&gt;0),"1","0")</f>
        <v>0</v>
      </c>
      <c r="Y30" s="624" t="str">
        <f>IF((J30&gt;0)*AND(J31=0),"1","0")</f>
        <v>1</v>
      </c>
    </row>
    <row r="31" spans="1:25" s="140" customFormat="1" ht="10.199999999999999" x14ac:dyDescent="0.2">
      <c r="A31" s="519"/>
      <c r="B31" s="673">
        <v>42742</v>
      </c>
      <c r="C31" s="643" t="s">
        <v>1514</v>
      </c>
      <c r="D31" s="643" t="s">
        <v>1583</v>
      </c>
      <c r="E31" s="642">
        <v>10</v>
      </c>
      <c r="F31" s="642">
        <v>1</v>
      </c>
      <c r="G31" s="642">
        <v>4</v>
      </c>
      <c r="H31" s="622">
        <f>SUM(E31:G31)</f>
        <v>15</v>
      </c>
      <c r="I31" s="623"/>
      <c r="J31" s="642"/>
      <c r="K31" s="642"/>
      <c r="L31" s="642">
        <v>1</v>
      </c>
      <c r="M31" s="642"/>
      <c r="N31" s="678" t="s">
        <v>1587</v>
      </c>
      <c r="O31" s="642"/>
      <c r="P31" s="642"/>
      <c r="Q31" s="642"/>
      <c r="R31" s="642"/>
      <c r="S31" s="679">
        <v>0.33</v>
      </c>
      <c r="T31" s="519"/>
      <c r="U31" s="624"/>
      <c r="V31" s="624">
        <f t="shared" ref="V31" si="13">H31</f>
        <v>15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80"/>
      <c r="U32" s="675"/>
      <c r="V32" s="675"/>
      <c r="W32" s="675"/>
      <c r="X32" s="675"/>
      <c r="Y32" s="675"/>
    </row>
    <row r="33" spans="1:25" s="140" customFormat="1" ht="10.199999999999999" x14ac:dyDescent="0.2">
      <c r="A33" s="519"/>
      <c r="B33" s="618" t="s">
        <v>1545</v>
      </c>
      <c r="C33" s="643" t="s">
        <v>1398</v>
      </c>
      <c r="D33" s="619" t="s">
        <v>0</v>
      </c>
      <c r="E33" s="642">
        <v>1</v>
      </c>
      <c r="F33" s="642">
        <v>3</v>
      </c>
      <c r="G33" s="642">
        <v>1</v>
      </c>
      <c r="H33" s="620">
        <f>SUM(E33:G33)</f>
        <v>5</v>
      </c>
      <c r="I33" s="621" t="str">
        <f>IF(H33&gt;H34,"Voitto",IF(H33=H34,"Tasapeli","Häviö"))</f>
        <v>Häviö</v>
      </c>
      <c r="J33" s="642">
        <v>1</v>
      </c>
      <c r="K33" s="642">
        <v>5</v>
      </c>
      <c r="L33" s="642"/>
      <c r="M33" s="642"/>
      <c r="N33" s="642"/>
      <c r="O33" s="642"/>
      <c r="P33" s="642"/>
      <c r="Q33" s="642"/>
      <c r="R33" s="642"/>
      <c r="S33" s="679">
        <v>7.09</v>
      </c>
      <c r="T33" s="519"/>
      <c r="U33" s="624">
        <f t="shared" ref="U33" si="14">H33</f>
        <v>5</v>
      </c>
      <c r="V33" s="624"/>
      <c r="W33" s="624" t="str">
        <f>IF((J33=0)*AND(J34=0),"1","0")</f>
        <v>0</v>
      </c>
      <c r="X33" s="624" t="str">
        <f>IF((J33=0)*AND(J34&gt;0),"1","0")</f>
        <v>0</v>
      </c>
      <c r="Y33" s="624" t="str">
        <f>IF((J33&gt;0)*AND(J34=0),"1","0")</f>
        <v>1</v>
      </c>
    </row>
    <row r="34" spans="1:25" s="140" customFormat="1" ht="10.199999999999999" x14ac:dyDescent="0.2">
      <c r="A34" s="519"/>
      <c r="B34" s="673">
        <v>42742</v>
      </c>
      <c r="C34" s="643" t="s">
        <v>1515</v>
      </c>
      <c r="D34" s="643" t="s">
        <v>1585</v>
      </c>
      <c r="E34" s="642">
        <v>3</v>
      </c>
      <c r="F34" s="642">
        <v>2</v>
      </c>
      <c r="G34" s="642">
        <v>3</v>
      </c>
      <c r="H34" s="622">
        <f>SUM(E34:G34)</f>
        <v>8</v>
      </c>
      <c r="I34" s="623"/>
      <c r="J34" s="642"/>
      <c r="K34" s="642"/>
      <c r="L34" s="642">
        <v>1</v>
      </c>
      <c r="M34" s="642"/>
      <c r="N34" s="642"/>
      <c r="O34" s="642"/>
      <c r="P34" s="642"/>
      <c r="Q34" s="642"/>
      <c r="R34" s="642">
        <v>1</v>
      </c>
      <c r="S34" s="679">
        <v>3.43</v>
      </c>
      <c r="T34" s="519"/>
      <c r="U34" s="624"/>
      <c r="V34" s="624">
        <f t="shared" ref="V34" si="15">H34</f>
        <v>8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80"/>
      <c r="U35" s="675"/>
      <c r="V35" s="675"/>
      <c r="W35" s="675"/>
      <c r="X35" s="675"/>
      <c r="Y35" s="675"/>
    </row>
    <row r="36" spans="1:25" s="140" customFormat="1" ht="10.199999999999999" x14ac:dyDescent="0.2">
      <c r="A36" s="519"/>
      <c r="B36" s="618" t="s">
        <v>1546</v>
      </c>
      <c r="C36" s="643" t="s">
        <v>1586</v>
      </c>
      <c r="D36" s="619" t="s">
        <v>0</v>
      </c>
      <c r="E36" s="642">
        <v>4</v>
      </c>
      <c r="F36" s="642">
        <v>0</v>
      </c>
      <c r="G36" s="642">
        <v>0</v>
      </c>
      <c r="H36" s="620">
        <f>SUM(E36:G36)</f>
        <v>4</v>
      </c>
      <c r="I36" s="621" t="str">
        <f>IF(H36&gt;H37,"Voitto",IF(H36=H37,"Tasapeli","Häviö"))</f>
        <v>Häviö</v>
      </c>
      <c r="J36" s="642">
        <v>3</v>
      </c>
      <c r="K36" s="642">
        <v>6</v>
      </c>
      <c r="L36" s="642"/>
      <c r="M36" s="642"/>
      <c r="N36" s="678" t="s">
        <v>1588</v>
      </c>
      <c r="O36" s="642"/>
      <c r="P36" s="642"/>
      <c r="Q36" s="642"/>
      <c r="R36" s="642"/>
      <c r="S36" s="679">
        <v>0.52</v>
      </c>
      <c r="T36" s="519"/>
      <c r="U36" s="624">
        <f t="shared" ref="U36" si="16">H36</f>
        <v>4</v>
      </c>
      <c r="V36" s="624"/>
      <c r="W36" s="624" t="str">
        <f>IF((J36=0)*AND(J37=0),"1","0")</f>
        <v>0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0.199999999999999" x14ac:dyDescent="0.2">
      <c r="A37" s="519"/>
      <c r="B37" s="673">
        <v>42763</v>
      </c>
      <c r="C37" s="643" t="s">
        <v>1514</v>
      </c>
      <c r="D37" s="643" t="s">
        <v>996</v>
      </c>
      <c r="E37" s="642">
        <v>3</v>
      </c>
      <c r="F37" s="642">
        <v>0</v>
      </c>
      <c r="G37" s="642">
        <v>3</v>
      </c>
      <c r="H37" s="622">
        <f>SUM(E37:G37)</f>
        <v>6</v>
      </c>
      <c r="I37" s="623"/>
      <c r="J37" s="642">
        <v>1</v>
      </c>
      <c r="K37" s="642">
        <v>2</v>
      </c>
      <c r="L37" s="642">
        <v>1</v>
      </c>
      <c r="M37" s="642"/>
      <c r="N37" s="642"/>
      <c r="O37" s="642"/>
      <c r="P37" s="642"/>
      <c r="Q37" s="642"/>
      <c r="R37" s="642"/>
      <c r="S37" s="679">
        <v>6.41</v>
      </c>
      <c r="T37" s="519"/>
      <c r="U37" s="624"/>
      <c r="V37" s="624">
        <f t="shared" ref="V37" si="17">H37</f>
        <v>6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80"/>
      <c r="U38" s="675"/>
      <c r="V38" s="675"/>
      <c r="W38" s="675"/>
      <c r="X38" s="675"/>
      <c r="Y38" s="675"/>
    </row>
    <row r="39" spans="1:25" s="140" customFormat="1" ht="10.199999999999999" x14ac:dyDescent="0.2">
      <c r="A39" s="519"/>
      <c r="B39" s="618" t="s">
        <v>1547</v>
      </c>
      <c r="C39" s="643" t="s">
        <v>1586</v>
      </c>
      <c r="D39" s="619" t="s">
        <v>0</v>
      </c>
      <c r="E39" s="642">
        <v>1</v>
      </c>
      <c r="F39" s="642">
        <v>4</v>
      </c>
      <c r="G39" s="642">
        <v>2</v>
      </c>
      <c r="H39" s="620">
        <f>SUM(E39:G39)</f>
        <v>7</v>
      </c>
      <c r="I39" s="621" t="str">
        <f>IF(H39&gt;H40,"Voitto",IF(H39=H40,"Tasapeli","Häviö"))</f>
        <v>Voitto</v>
      </c>
      <c r="J39" s="642">
        <v>3</v>
      </c>
      <c r="K39" s="642">
        <v>6</v>
      </c>
      <c r="L39" s="642">
        <v>2</v>
      </c>
      <c r="M39" s="642"/>
      <c r="N39" s="642"/>
      <c r="O39" s="642"/>
      <c r="P39" s="642"/>
      <c r="Q39" s="642"/>
      <c r="R39" s="642">
        <v>1</v>
      </c>
      <c r="S39" s="679">
        <v>2.23</v>
      </c>
      <c r="T39" s="519"/>
      <c r="U39" s="624">
        <f>H39</f>
        <v>7</v>
      </c>
      <c r="V39" s="624"/>
      <c r="W39" s="624" t="str">
        <f>IF((J39=0)*AND(J40=0),"1","0")</f>
        <v>0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0.199999999999999" x14ac:dyDescent="0.2">
      <c r="A40" s="519"/>
      <c r="B40" s="673">
        <v>42763</v>
      </c>
      <c r="C40" s="643" t="s">
        <v>1514</v>
      </c>
      <c r="D40" s="643" t="s">
        <v>1007</v>
      </c>
      <c r="E40" s="642">
        <v>3</v>
      </c>
      <c r="F40" s="642">
        <v>1</v>
      </c>
      <c r="G40" s="642">
        <v>0</v>
      </c>
      <c r="H40" s="622">
        <f>SUM(E40:G40)</f>
        <v>4</v>
      </c>
      <c r="I40" s="623"/>
      <c r="J40" s="642">
        <v>4</v>
      </c>
      <c r="K40" s="642">
        <v>8</v>
      </c>
      <c r="L40" s="642">
        <v>1</v>
      </c>
      <c r="M40" s="642"/>
      <c r="N40" s="642"/>
      <c r="O40" s="642"/>
      <c r="P40" s="642"/>
      <c r="Q40" s="642">
        <v>1</v>
      </c>
      <c r="R40" s="642"/>
      <c r="S40" s="679">
        <v>4.12</v>
      </c>
      <c r="T40" s="519"/>
      <c r="U40" s="624"/>
      <c r="V40" s="624">
        <f t="shared" ref="V40" si="18">H40</f>
        <v>4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80"/>
      <c r="U41" s="675"/>
      <c r="V41" s="675"/>
      <c r="W41" s="675"/>
      <c r="X41" s="675"/>
      <c r="Y41" s="675"/>
    </row>
    <row r="42" spans="1:25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1</v>
      </c>
      <c r="F42" s="642">
        <v>1</v>
      </c>
      <c r="G42" s="642">
        <v>0</v>
      </c>
      <c r="H42" s="620">
        <f>SUM(E42:G42)</f>
        <v>2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79">
        <v>13.15</v>
      </c>
      <c r="T42" s="519"/>
      <c r="U42" s="624">
        <f>H42</f>
        <v>2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0.199999999999999" x14ac:dyDescent="0.2">
      <c r="A43" s="519"/>
      <c r="B43" s="673">
        <v>42792</v>
      </c>
      <c r="C43" s="643" t="s">
        <v>1515</v>
      </c>
      <c r="D43" s="643" t="s">
        <v>1402</v>
      </c>
      <c r="E43" s="642">
        <v>0</v>
      </c>
      <c r="F43" s="642">
        <v>2</v>
      </c>
      <c r="G43" s="642">
        <v>0</v>
      </c>
      <c r="H43" s="622">
        <f>SUM(E43:G43)</f>
        <v>2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79">
        <v>23.38</v>
      </c>
      <c r="T43" s="519"/>
      <c r="U43" s="624"/>
      <c r="V43" s="624">
        <f t="shared" ref="V43" si="19">H43</f>
        <v>2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80"/>
      <c r="U44" s="675"/>
      <c r="V44" s="675"/>
      <c r="W44" s="675"/>
      <c r="X44" s="675"/>
      <c r="Y44" s="675"/>
    </row>
    <row r="45" spans="1:25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1</v>
      </c>
      <c r="F45" s="642">
        <v>1</v>
      </c>
      <c r="G45" s="642">
        <v>0</v>
      </c>
      <c r="H45" s="620">
        <f>SUM(E45:G45)</f>
        <v>2</v>
      </c>
      <c r="I45" s="621" t="str">
        <f>IF(H45&gt;H46,"Voitto",IF(H45=H46,"Tasapeli","Häviö"))</f>
        <v>Häviö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79">
        <v>13.15</v>
      </c>
      <c r="T45" s="519"/>
      <c r="U45" s="624">
        <f t="shared" ref="U45" si="20">H45</f>
        <v>2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0.199999999999999" x14ac:dyDescent="0.2">
      <c r="A46" s="519"/>
      <c r="B46" s="673">
        <v>42792</v>
      </c>
      <c r="C46" s="643" t="s">
        <v>1514</v>
      </c>
      <c r="D46" s="643" t="s">
        <v>1403</v>
      </c>
      <c r="E46" s="642">
        <v>3</v>
      </c>
      <c r="F46" s="642">
        <v>3</v>
      </c>
      <c r="G46" s="642">
        <v>1</v>
      </c>
      <c r="H46" s="622">
        <f>SUM(E46:G46)</f>
        <v>7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79">
        <v>8.32</v>
      </c>
      <c r="T46" s="519"/>
      <c r="U46" s="624"/>
      <c r="V46" s="624">
        <f t="shared" ref="V46" si="21">H46</f>
        <v>7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80"/>
      <c r="U47" s="675"/>
      <c r="V47" s="675"/>
      <c r="W47" s="675"/>
      <c r="X47" s="675"/>
      <c r="Y47" s="675"/>
    </row>
    <row r="48" spans="1:25" s="140" customFormat="1" ht="10.199999999999999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2</v>
      </c>
      <c r="G48" s="642">
        <v>1</v>
      </c>
      <c r="H48" s="620">
        <f>SUM(E48:G48)</f>
        <v>3</v>
      </c>
      <c r="I48" s="621" t="str">
        <f>IF(H48&gt;H49,"Voitto",IF(H48=H49,"Tasapeli","Häviö"))</f>
        <v>Tasapeli</v>
      </c>
      <c r="J48" s="642">
        <v>2</v>
      </c>
      <c r="K48" s="642">
        <v>4</v>
      </c>
      <c r="L48" s="642"/>
      <c r="M48" s="642"/>
      <c r="N48" s="642"/>
      <c r="O48" s="642">
        <v>1</v>
      </c>
      <c r="P48" s="642"/>
      <c r="Q48" s="642"/>
      <c r="R48" s="642"/>
      <c r="S48" s="679">
        <v>25.22</v>
      </c>
      <c r="T48" s="519"/>
      <c r="U48" s="624">
        <f t="shared" ref="U48" si="22">H48</f>
        <v>3</v>
      </c>
      <c r="V48" s="624"/>
      <c r="W48" s="624" t="str">
        <f>IF((J48=0)*AND(J49=0),"1","0")</f>
        <v>0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0.199999999999999" x14ac:dyDescent="0.2">
      <c r="A49" s="519"/>
      <c r="B49" s="673">
        <v>42812</v>
      </c>
      <c r="C49" s="643" t="s">
        <v>1515</v>
      </c>
      <c r="D49" s="643" t="s">
        <v>1245</v>
      </c>
      <c r="E49" s="642">
        <v>1</v>
      </c>
      <c r="F49" s="642">
        <v>1</v>
      </c>
      <c r="G49" s="642">
        <v>1</v>
      </c>
      <c r="H49" s="622">
        <f>SUM(E49:G49)</f>
        <v>3</v>
      </c>
      <c r="I49" s="623"/>
      <c r="J49" s="642">
        <v>1</v>
      </c>
      <c r="K49" s="642">
        <v>2</v>
      </c>
      <c r="L49" s="642"/>
      <c r="M49" s="642"/>
      <c r="N49" s="642"/>
      <c r="O49" s="642"/>
      <c r="P49" s="642"/>
      <c r="Q49" s="642"/>
      <c r="R49" s="642"/>
      <c r="S49" s="679">
        <v>2.35</v>
      </c>
      <c r="T49" s="519"/>
      <c r="U49" s="624"/>
      <c r="V49" s="624">
        <f t="shared" ref="V49" si="23">H49</f>
        <v>3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80"/>
      <c r="U50" s="675"/>
      <c r="V50" s="675"/>
      <c r="W50" s="675"/>
      <c r="X50" s="675"/>
      <c r="Y50" s="675"/>
    </row>
    <row r="51" spans="1:25" s="140" customFormat="1" ht="10.199999999999999" x14ac:dyDescent="0.2">
      <c r="A51" s="519"/>
      <c r="B51" s="618" t="s">
        <v>1551</v>
      </c>
      <c r="C51" s="643" t="s">
        <v>44</v>
      </c>
      <c r="D51" s="619" t="s">
        <v>0</v>
      </c>
      <c r="E51" s="642">
        <v>1</v>
      </c>
      <c r="F51" s="642">
        <v>3</v>
      </c>
      <c r="G51" s="642">
        <v>3</v>
      </c>
      <c r="H51" s="620">
        <f>SUM(E51:G51)</f>
        <v>7</v>
      </c>
      <c r="I51" s="621" t="str">
        <f>IF(H51&gt;H52,"Voitto",IF(H51=H52,"Tasapeli","Häviö"))</f>
        <v>Voitto</v>
      </c>
      <c r="J51" s="642">
        <v>4</v>
      </c>
      <c r="K51" s="642">
        <v>8</v>
      </c>
      <c r="L51" s="642">
        <v>1</v>
      </c>
      <c r="M51" s="642"/>
      <c r="N51" s="678" t="s">
        <v>1587</v>
      </c>
      <c r="O51" s="642">
        <v>1</v>
      </c>
      <c r="P51" s="642"/>
      <c r="Q51" s="642"/>
      <c r="R51" s="642"/>
      <c r="S51" s="679">
        <v>11.54</v>
      </c>
      <c r="T51" s="519"/>
      <c r="U51" s="624">
        <f t="shared" ref="U51" si="24">H51</f>
        <v>7</v>
      </c>
      <c r="V51" s="624"/>
      <c r="W51" s="624" t="str">
        <f>IF((J51=0)*AND(J52=0),"1","0")</f>
        <v>0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0.199999999999999" x14ac:dyDescent="0.2">
      <c r="A52" s="519"/>
      <c r="B52" s="673">
        <v>42812</v>
      </c>
      <c r="C52" s="643" t="s">
        <v>1515</v>
      </c>
      <c r="D52" s="643" t="s">
        <v>1584</v>
      </c>
      <c r="E52" s="642">
        <v>0</v>
      </c>
      <c r="F52" s="642">
        <v>1</v>
      </c>
      <c r="G52" s="642">
        <v>1</v>
      </c>
      <c r="H52" s="622">
        <f>SUM(E52:G52)</f>
        <v>2</v>
      </c>
      <c r="I52" s="623"/>
      <c r="J52" s="642">
        <v>1</v>
      </c>
      <c r="K52" s="642">
        <v>2</v>
      </c>
      <c r="L52" s="642">
        <v>1</v>
      </c>
      <c r="M52" s="642"/>
      <c r="N52" s="642"/>
      <c r="O52" s="642"/>
      <c r="P52" s="642"/>
      <c r="Q52" s="642"/>
      <c r="R52" s="642"/>
      <c r="S52" s="679">
        <v>25.44</v>
      </c>
      <c r="T52" s="519"/>
      <c r="U52" s="624"/>
      <c r="V52" s="624">
        <f t="shared" ref="V52" si="25">H52</f>
        <v>2</v>
      </c>
      <c r="W52" s="624"/>
      <c r="X52" s="624"/>
      <c r="Y52" s="624"/>
    </row>
    <row r="53" spans="1:25" s="140" customFormat="1" ht="7.5" customHeight="1" thickBot="1" x14ac:dyDescent="0.25"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3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3">
      <c r="A55" s="357"/>
      <c r="B55" s="357"/>
      <c r="C55" s="357"/>
      <c r="D55" s="665" t="str">
        <f>C2</f>
        <v>2016-2017</v>
      </c>
      <c r="E55" s="630"/>
      <c r="F55" s="666"/>
      <c r="G55" s="655" t="s">
        <v>0</v>
      </c>
      <c r="H55" s="611">
        <f>SUM(H6,H9,H12,H15,H18,H21,H24,H27,H30,H33,H36,H39,H42,H45,H48,H51)</f>
        <v>69</v>
      </c>
      <c r="I55" s="671"/>
      <c r="J55" s="656">
        <f t="shared" ref="J55:M56" si="26">SUM(J6,J9,J12,J15,J18,J21,J24,J27,J30,J33,J36,J39,J42,J45,J48,J51)</f>
        <v>33</v>
      </c>
      <c r="K55" s="613">
        <f t="shared" si="26"/>
        <v>77</v>
      </c>
      <c r="L55" s="613">
        <f t="shared" si="26"/>
        <v>7</v>
      </c>
      <c r="M55" s="613">
        <f t="shared" si="26"/>
        <v>0</v>
      </c>
      <c r="N55" s="667" t="s">
        <v>1594</v>
      </c>
      <c r="O55" s="613">
        <f t="shared" ref="O55:R56" si="27">SUM(O6,O9,O12,O15,O18,O21,O24,O27,O30,O33,O36,O39,O42,O45,O48,O51)</f>
        <v>2</v>
      </c>
      <c r="P55" s="613">
        <f t="shared" si="27"/>
        <v>0</v>
      </c>
      <c r="Q55" s="613">
        <f t="shared" si="27"/>
        <v>0</v>
      </c>
      <c r="R55" s="613">
        <f t="shared" si="27"/>
        <v>1</v>
      </c>
      <c r="S55" s="632"/>
      <c r="T55" s="357"/>
      <c r="U55" s="358"/>
      <c r="V55" s="358"/>
      <c r="W55" s="358"/>
      <c r="X55" s="358"/>
      <c r="Y55" s="358"/>
    </row>
    <row r="56" spans="1:25" x14ac:dyDescent="0.3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86</v>
      </c>
      <c r="I56" s="671"/>
      <c r="J56" s="647">
        <f t="shared" si="26"/>
        <v>21</v>
      </c>
      <c r="K56" s="659">
        <f t="shared" si="26"/>
        <v>48</v>
      </c>
      <c r="L56" s="659">
        <f t="shared" si="26"/>
        <v>11</v>
      </c>
      <c r="M56" s="659">
        <f t="shared" si="26"/>
        <v>0</v>
      </c>
      <c r="N56" s="660" t="s">
        <v>1433</v>
      </c>
      <c r="O56" s="659">
        <f t="shared" si="27"/>
        <v>0</v>
      </c>
      <c r="P56" s="659">
        <f t="shared" si="27"/>
        <v>0</v>
      </c>
      <c r="Q56" s="659">
        <f t="shared" si="27"/>
        <v>1</v>
      </c>
      <c r="R56" s="659">
        <f t="shared" si="27"/>
        <v>1</v>
      </c>
      <c r="S56" s="632"/>
      <c r="T56" s="357"/>
      <c r="U56" s="358"/>
      <c r="V56" s="358"/>
      <c r="W56" s="358"/>
      <c r="X56" s="358"/>
      <c r="Y56" s="358"/>
    </row>
    <row r="57" spans="1:25" x14ac:dyDescent="0.3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3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-17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3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3">
      <c r="A60" s="357"/>
      <c r="B60" s="357"/>
      <c r="C60" s="357"/>
      <c r="D60" s="629"/>
      <c r="E60" s="631"/>
      <c r="F60" s="648"/>
      <c r="G60" s="649" t="s">
        <v>135</v>
      </c>
      <c r="H60" s="650">
        <f>COUNTIF(I6:I52,"Voitto")</f>
        <v>6</v>
      </c>
      <c r="I60" s="631"/>
      <c r="J60" s="648">
        <f>COUNTIF(W6:W52,"1")</f>
        <v>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3">
      <c r="A61" s="357"/>
      <c r="B61" s="357"/>
      <c r="C61" s="357"/>
      <c r="D61" s="629"/>
      <c r="E61" s="631"/>
      <c r="F61" s="651"/>
      <c r="G61" s="652" t="s">
        <v>137</v>
      </c>
      <c r="H61" s="653">
        <f>COUNTIF(I6:I52,"Tasapeli")</f>
        <v>2</v>
      </c>
      <c r="I61" s="631"/>
      <c r="J61" s="651">
        <f>COUNTIF(X6:X52,"1")</f>
        <v>0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3">
      <c r="A62" s="357"/>
      <c r="B62" s="357"/>
      <c r="C62" s="357"/>
      <c r="D62" s="629"/>
      <c r="E62" s="631"/>
      <c r="F62" s="654"/>
      <c r="G62" s="655" t="s">
        <v>136</v>
      </c>
      <c r="H62" s="656">
        <f>COUNTIF(I6:I52,"Häviö")</f>
        <v>8</v>
      </c>
      <c r="I62" s="631"/>
      <c r="J62" s="654">
        <f>COUNTIF(Y6:Y52,"1")</f>
        <v>2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3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3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COUNTIF(U6:U52,"0")</f>
        <v>0</v>
      </c>
      <c r="I64" s="631"/>
      <c r="J64" s="648">
        <f>MIN(S6,S9,S12,S15,S18,S21,S24,S27,S30,S33,S36,S39,S42,S45,S48,S51)</f>
        <v>0.24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3">
      <c r="A65" s="357"/>
      <c r="B65" s="357"/>
      <c r="C65" s="357"/>
      <c r="D65" s="629"/>
      <c r="E65" s="631"/>
      <c r="F65" s="654"/>
      <c r="G65" s="611" t="s">
        <v>543</v>
      </c>
      <c r="H65" s="656">
        <f>COUNTIF(V6:V52,"0")</f>
        <v>0</v>
      </c>
      <c r="I65" s="631"/>
      <c r="J65" s="654">
        <f>MAX(S6,S9,S12,S15,S18,S21,S24,S27,S30,S33,S36,S39,S42,S45,S48,S51)</f>
        <v>29.19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3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3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40.18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3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0.18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" thickBot="1" x14ac:dyDescent="0.35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3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</sheetData>
  <sheetProtection sheet="1" objects="1" scenarios="1"/>
  <dataValidations count="20">
    <dataValidation type="list" allowBlank="1" showInputMessage="1" showErrorMessage="1" sqref="E2" xr:uid="{00000000-0002-0000-0400-000000000000}">
      <formula1>Sarjat</formula1>
    </dataValidation>
    <dataValidation type="list" allowBlank="1" showInputMessage="1" showErrorMessage="1" sqref="C2" xr:uid="{00000000-0002-0000-0400-000001000000}">
      <formula1>Kaudet</formula1>
    </dataValidation>
    <dataValidation type="list" allowBlank="1" showInputMessage="1" showErrorMessage="1" sqref="C6 C9 C12 C15 C18 C21 C24 C27 C30 C33 C36 C39 C42 C45 C48 C51" xr:uid="{00000000-0002-0000-0400-000002000000}">
      <formula1>Hallit</formula1>
    </dataValidation>
    <dataValidation type="list" allowBlank="1" showInputMessage="1" showErrorMessage="1" sqref="C7 C10 C13 C16 C19 C22 C25 C28 C31 C34 C37 C40 C43 C46 C49 C52" xr:uid="{00000000-0002-0000-0400-000003000000}">
      <formula1>Koti</formula1>
    </dataValidation>
    <dataValidation type="list" allowBlank="1" showInputMessage="1" showErrorMessage="1" sqref="D7" xr:uid="{00000000-0002-0000-0400-000004000000}">
      <formula1>INDIRECT(VLOOKUP(C2,KausiVlookup,2,TRUE))</formula1>
    </dataValidation>
    <dataValidation type="list" allowBlank="1" showInputMessage="1" showErrorMessage="1" sqref="D10" xr:uid="{00000000-0002-0000-0400-000005000000}">
      <formula1>INDIRECT(VLOOKUP(C2,KausiVlookup,2,TRUE))</formula1>
    </dataValidation>
    <dataValidation type="list" allowBlank="1" showInputMessage="1" showErrorMessage="1" sqref="D13" xr:uid="{00000000-0002-0000-0400-000006000000}">
      <formula1>INDIRECT(VLOOKUP(C2,KausiVlookup,2,TRUE))</formula1>
    </dataValidation>
    <dataValidation type="list" allowBlank="1" showInputMessage="1" showErrorMessage="1" sqref="D16" xr:uid="{00000000-0002-0000-0400-000007000000}">
      <formula1>INDIRECT(VLOOKUP(C2,KausiVlookup,2,TRUE))</formula1>
    </dataValidation>
    <dataValidation type="list" allowBlank="1" showInputMessage="1" showErrorMessage="1" sqref="D19" xr:uid="{00000000-0002-0000-0400-000008000000}">
      <formula1>INDIRECT(VLOOKUP(C2,KausiVlookup,2,TRUE))</formula1>
    </dataValidation>
    <dataValidation type="list" allowBlank="1" showInputMessage="1" showErrorMessage="1" sqref="D22" xr:uid="{00000000-0002-0000-0400-000009000000}">
      <formula1>INDIRECT(VLOOKUP(C2,KausiVlookup,2,TRUE))</formula1>
    </dataValidation>
    <dataValidation type="list" allowBlank="1" showInputMessage="1" showErrorMessage="1" sqref="D25" xr:uid="{00000000-0002-0000-0400-00000A000000}">
      <formula1>INDIRECT(VLOOKUP(C2,KausiVlookup,2,TRUE))</formula1>
    </dataValidation>
    <dataValidation type="list" allowBlank="1" showInputMessage="1" showErrorMessage="1" sqref="D28" xr:uid="{00000000-0002-0000-0400-00000B000000}">
      <formula1>INDIRECT(VLOOKUP(C2,KausiVlookup,2,TRUE))</formula1>
    </dataValidation>
    <dataValidation type="list" allowBlank="1" showInputMessage="1" showErrorMessage="1" sqref="D31" xr:uid="{00000000-0002-0000-0400-00000C000000}">
      <formula1>INDIRECT(VLOOKUP(C2,KausiVlookup,2,TRUE))</formula1>
    </dataValidation>
    <dataValidation type="list" allowBlank="1" showInputMessage="1" showErrorMessage="1" sqref="D34" xr:uid="{00000000-0002-0000-0400-00000D000000}">
      <formula1>INDIRECT(VLOOKUP(C2,KausiVlookup,2,TRUE))</formula1>
    </dataValidation>
    <dataValidation type="list" allowBlank="1" showInputMessage="1" showErrorMessage="1" sqref="D37" xr:uid="{00000000-0002-0000-0400-00000E000000}">
      <formula1>INDIRECT(VLOOKUP(C2,KausiVlookup,2,TRUE))</formula1>
    </dataValidation>
    <dataValidation type="list" allowBlank="1" showInputMessage="1" showErrorMessage="1" sqref="D40" xr:uid="{00000000-0002-0000-0400-00000F000000}">
      <formula1>INDIRECT(VLOOKUP(C2,KausiVlookup,2,TRUE))</formula1>
    </dataValidation>
    <dataValidation type="list" allowBlank="1" showInputMessage="1" showErrorMessage="1" sqref="D43" xr:uid="{00000000-0002-0000-0400-000010000000}">
      <formula1>INDIRECT(VLOOKUP(C2,KausiVlookup,2,TRUE))</formula1>
    </dataValidation>
    <dataValidation type="list" allowBlank="1" showInputMessage="1" showErrorMessage="1" sqref="D46" xr:uid="{00000000-0002-0000-0400-000011000000}">
      <formula1>INDIRECT(VLOOKUP(C2,KausiVlookup,2,TRUE))</formula1>
    </dataValidation>
    <dataValidation type="list" allowBlank="1" showInputMessage="1" showErrorMessage="1" sqref="D49" xr:uid="{00000000-0002-0000-0400-000012000000}">
      <formula1>INDIRECT(VLOOKUP(C2,KausiVlookup,2,TRUE))</formula1>
    </dataValidation>
    <dataValidation type="list" allowBlank="1" showInputMessage="1" showErrorMessage="1" sqref="D52" xr:uid="{00000000-0002-0000-0400-000013000000}">
      <formula1>INDIRECT(VLOOKUP(C2,KausiVlookup,2,TRUE))</formula1>
    </dataValidation>
  </dataValidations>
  <pageMargins left="0.19685039370078741" right="0.19685039370078741" top="0.19685039370078741" bottom="0.19685039370078741" header="0" footer="0"/>
  <pageSetup paperSize="9" scale="77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L52"/>
  <sheetViews>
    <sheetView topLeftCell="B1" zoomScale="70" zoomScaleNormal="70" workbookViewId="0">
      <selection activeCell="B4" sqref="B4:Q20"/>
    </sheetView>
  </sheetViews>
  <sheetFormatPr defaultColWidth="9.109375" defaultRowHeight="14.4" x14ac:dyDescent="0.3"/>
  <cols>
    <col min="1" max="1" width="2.88671875" customWidth="1"/>
    <col min="2" max="2" width="7.33203125" customWidth="1"/>
    <col min="3" max="3" width="23.44140625" customWidth="1"/>
    <col min="4" max="6" width="3.6640625" customWidth="1"/>
    <col min="7" max="11" width="3.5546875" customWidth="1"/>
    <col min="12" max="12" width="2.88671875" customWidth="1"/>
    <col min="13" max="84" width="3.5546875" customWidth="1"/>
    <col min="85" max="90" width="2.88671875" customWidth="1"/>
  </cols>
  <sheetData>
    <row r="2" spans="2:17" x14ac:dyDescent="0.3">
      <c r="C2" s="205" t="s">
        <v>1499</v>
      </c>
      <c r="D2" s="205" t="s">
        <v>740</v>
      </c>
    </row>
    <row r="4" spans="2:17" ht="15" thickBot="1" x14ac:dyDescent="0.35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3">
      <c r="B5" s="601" t="str">
        <f>B27</f>
        <v>#13</v>
      </c>
      <c r="C5" s="602" t="str">
        <f>C27</f>
        <v>Joni Vainio</v>
      </c>
      <c r="D5" s="253">
        <v>16</v>
      </c>
      <c r="E5" s="229">
        <f t="shared" ref="E5:E20" si="0">COUNTIF(D27:DZ27,"M")</f>
        <v>7</v>
      </c>
      <c r="F5" s="229">
        <f t="shared" ref="F5:F20" si="1">COUNTIF(D27:DZ27,"S")</f>
        <v>1</v>
      </c>
      <c r="G5" s="229">
        <f t="shared" ref="G5:G19" si="2">E5+F5</f>
        <v>8</v>
      </c>
      <c r="H5" s="229">
        <f t="shared" ref="H5:H20" si="3">COUNTIF(D27:DZ27,"J")</f>
        <v>0</v>
      </c>
      <c r="I5" s="229">
        <f t="shared" ref="I5:I20" si="4">COUNTIF(D27:DZ27,"RM")</f>
        <v>1</v>
      </c>
      <c r="J5" s="229">
        <f>COUNTIF(D27:DZ27,"YV")</f>
        <v>1</v>
      </c>
      <c r="K5" s="229" t="s">
        <v>107</v>
      </c>
      <c r="L5" s="254" t="s">
        <v>107</v>
      </c>
      <c r="M5" s="229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</row>
    <row r="6" spans="2:17" x14ac:dyDescent="0.3">
      <c r="B6" s="601" t="str">
        <f t="shared" ref="B6:B22" si="5">B28</f>
        <v>#14</v>
      </c>
      <c r="C6" s="602" t="str">
        <f t="shared" ref="C6:C22" si="6">C28</f>
        <v>Ville Koivisto</v>
      </c>
      <c r="D6" s="168">
        <v>16</v>
      </c>
      <c r="E6" s="119">
        <f t="shared" si="0"/>
        <v>16</v>
      </c>
      <c r="F6" s="119">
        <f t="shared" si="1"/>
        <v>8</v>
      </c>
      <c r="G6" s="119">
        <f t="shared" si="2"/>
        <v>24</v>
      </c>
      <c r="H6" s="119">
        <f t="shared" si="3"/>
        <v>4</v>
      </c>
      <c r="I6" s="119">
        <f t="shared" si="4"/>
        <v>2</v>
      </c>
      <c r="J6" s="119">
        <f>COUNTIF($D$28:$DZ$28,"YV")</f>
        <v>1</v>
      </c>
      <c r="K6" s="227" t="s">
        <v>107</v>
      </c>
      <c r="L6" s="685" t="s">
        <v>107</v>
      </c>
      <c r="M6" s="227" t="s">
        <v>107</v>
      </c>
      <c r="N6" s="227" t="s">
        <v>107</v>
      </c>
      <c r="O6" s="227" t="s">
        <v>107</v>
      </c>
      <c r="P6" s="229">
        <f>COUNTIF(D28:DZ28,"HT")</f>
        <v>1</v>
      </c>
      <c r="Q6" s="227" t="s">
        <v>107</v>
      </c>
    </row>
    <row r="7" spans="2:17" x14ac:dyDescent="0.3">
      <c r="B7" s="601" t="str">
        <f t="shared" si="5"/>
        <v>#82</v>
      </c>
      <c r="C7" s="602" t="str">
        <f t="shared" si="6"/>
        <v>Matias Mäkilä</v>
      </c>
      <c r="D7" s="228">
        <v>16</v>
      </c>
      <c r="E7" s="229">
        <f t="shared" si="0"/>
        <v>7</v>
      </c>
      <c r="F7" s="229">
        <f t="shared" si="1"/>
        <v>2</v>
      </c>
      <c r="G7" s="229">
        <f t="shared" si="2"/>
        <v>9</v>
      </c>
      <c r="H7" s="229">
        <f t="shared" si="3"/>
        <v>0</v>
      </c>
      <c r="I7" s="229">
        <f t="shared" si="4"/>
        <v>0</v>
      </c>
      <c r="J7" s="229">
        <f>COUNTIF($D$29:$DZ$29,"YV")</f>
        <v>0</v>
      </c>
      <c r="K7" s="230" t="s">
        <v>107</v>
      </c>
      <c r="L7" s="254" t="s">
        <v>107</v>
      </c>
      <c r="M7" s="230" t="s">
        <v>107</v>
      </c>
      <c r="N7" s="230" t="s">
        <v>107</v>
      </c>
      <c r="O7" s="230" t="s">
        <v>107</v>
      </c>
      <c r="P7" s="229">
        <f>COUNTIF(D29:DZ29,"HT")</f>
        <v>1</v>
      </c>
      <c r="Q7" s="229">
        <f>COUNTIF(D29:DZ29,"TM")</f>
        <v>1</v>
      </c>
    </row>
    <row r="8" spans="2:17" x14ac:dyDescent="0.3">
      <c r="B8" s="601" t="str">
        <f t="shared" si="5"/>
        <v>#17</v>
      </c>
      <c r="C8" s="602" t="str">
        <f t="shared" si="6"/>
        <v>Mauri Kurri</v>
      </c>
      <c r="D8" s="168">
        <v>16</v>
      </c>
      <c r="E8" s="119">
        <f t="shared" si="0"/>
        <v>2</v>
      </c>
      <c r="F8" s="119">
        <f t="shared" si="1"/>
        <v>1</v>
      </c>
      <c r="G8" s="119">
        <f t="shared" si="2"/>
        <v>3</v>
      </c>
      <c r="H8" s="119">
        <f t="shared" si="3"/>
        <v>1</v>
      </c>
      <c r="I8" s="119">
        <f t="shared" si="4"/>
        <v>0</v>
      </c>
      <c r="J8" s="119">
        <f t="shared" ref="J8:J20" si="7">COUNTIF(D30:DZ30,"YV")</f>
        <v>1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3">
      <c r="B9" s="601" t="str">
        <f t="shared" si="5"/>
        <v>#66</v>
      </c>
      <c r="C9" s="602" t="str">
        <f t="shared" si="6"/>
        <v>Miika Oja-Nisula</v>
      </c>
      <c r="D9" s="228">
        <v>16</v>
      </c>
      <c r="E9" s="229">
        <f t="shared" si="0"/>
        <v>8</v>
      </c>
      <c r="F9" s="229">
        <f t="shared" si="1"/>
        <v>6</v>
      </c>
      <c r="G9" s="229">
        <f t="shared" si="2"/>
        <v>14</v>
      </c>
      <c r="H9" s="229">
        <f t="shared" si="3"/>
        <v>2</v>
      </c>
      <c r="I9" s="229">
        <f t="shared" si="4"/>
        <v>0</v>
      </c>
      <c r="J9" s="229">
        <f t="shared" si="7"/>
        <v>0</v>
      </c>
      <c r="K9" s="229">
        <f>COUNTIF($D$31:$DZ$31,"AV")</f>
        <v>1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3">
      <c r="B10" s="601" t="str">
        <f t="shared" si="5"/>
        <v>#19</v>
      </c>
      <c r="C10" s="602" t="str">
        <f t="shared" si="6"/>
        <v>Mika Aaltonen</v>
      </c>
      <c r="D10" s="168">
        <v>16</v>
      </c>
      <c r="E10" s="119">
        <f t="shared" si="0"/>
        <v>9</v>
      </c>
      <c r="F10" s="119">
        <f t="shared" si="1"/>
        <v>4</v>
      </c>
      <c r="G10" s="119">
        <f t="shared" si="2"/>
        <v>13</v>
      </c>
      <c r="H10" s="119">
        <f t="shared" si="3"/>
        <v>1</v>
      </c>
      <c r="I10" s="119">
        <f t="shared" si="4"/>
        <v>0</v>
      </c>
      <c r="J10" s="119">
        <f t="shared" si="7"/>
        <v>2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119">
        <f>COUNTIF(D32:DZ32,"HT")</f>
        <v>1</v>
      </c>
      <c r="Q10" s="227" t="s">
        <v>107</v>
      </c>
    </row>
    <row r="11" spans="2:17" x14ac:dyDescent="0.3">
      <c r="B11" s="601" t="str">
        <f t="shared" si="5"/>
        <v>#20</v>
      </c>
      <c r="C11" s="602" t="str">
        <f t="shared" si="6"/>
        <v>Jarno Peltola</v>
      </c>
      <c r="D11" s="228">
        <v>16</v>
      </c>
      <c r="E11" s="229">
        <f t="shared" si="0"/>
        <v>3</v>
      </c>
      <c r="F11" s="229">
        <f t="shared" si="1"/>
        <v>9</v>
      </c>
      <c r="G11" s="229">
        <f t="shared" si="2"/>
        <v>12</v>
      </c>
      <c r="H11" s="229">
        <f t="shared" si="3"/>
        <v>9</v>
      </c>
      <c r="I11" s="229">
        <f t="shared" si="4"/>
        <v>2</v>
      </c>
      <c r="J11" s="229">
        <f t="shared" si="7"/>
        <v>0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3">
      <c r="B12" s="601" t="str">
        <f t="shared" si="5"/>
        <v>#25</v>
      </c>
      <c r="C12" s="602" t="str">
        <f t="shared" si="6"/>
        <v>Ville Mettälä</v>
      </c>
      <c r="D12" s="168">
        <v>16</v>
      </c>
      <c r="E12" s="119">
        <f t="shared" si="0"/>
        <v>3</v>
      </c>
      <c r="F12" s="119">
        <f t="shared" si="1"/>
        <v>2</v>
      </c>
      <c r="G12" s="119">
        <f t="shared" si="2"/>
        <v>5</v>
      </c>
      <c r="H12" s="119">
        <f t="shared" si="3"/>
        <v>0</v>
      </c>
      <c r="I12" s="119">
        <f t="shared" si="4"/>
        <v>0</v>
      </c>
      <c r="J12" s="119">
        <f t="shared" si="7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3">
      <c r="B13" s="601" t="str">
        <f t="shared" si="5"/>
        <v>#50</v>
      </c>
      <c r="C13" s="602" t="str">
        <f t="shared" si="6"/>
        <v>Tuukka Mettälä</v>
      </c>
      <c r="D13" s="228">
        <v>16</v>
      </c>
      <c r="E13" s="229">
        <f t="shared" si="0"/>
        <v>0</v>
      </c>
      <c r="F13" s="229">
        <f t="shared" si="1"/>
        <v>5</v>
      </c>
      <c r="G13" s="229">
        <f t="shared" si="2"/>
        <v>5</v>
      </c>
      <c r="H13" s="229">
        <f t="shared" si="3"/>
        <v>2</v>
      </c>
      <c r="I13" s="229">
        <f t="shared" si="4"/>
        <v>0</v>
      </c>
      <c r="J13" s="229">
        <f t="shared" si="7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3">
      <c r="B14" s="601" t="str">
        <f t="shared" si="5"/>
        <v>#55</v>
      </c>
      <c r="C14" s="602" t="str">
        <f t="shared" si="6"/>
        <v>Henrik Lehtonen</v>
      </c>
      <c r="D14" s="168">
        <v>16</v>
      </c>
      <c r="E14" s="119">
        <f t="shared" si="0"/>
        <v>2</v>
      </c>
      <c r="F14" s="119">
        <f t="shared" si="1"/>
        <v>2</v>
      </c>
      <c r="G14" s="119">
        <f t="shared" si="2"/>
        <v>4</v>
      </c>
      <c r="H14" s="119">
        <f t="shared" si="3"/>
        <v>0</v>
      </c>
      <c r="I14" s="119">
        <f t="shared" si="4"/>
        <v>0</v>
      </c>
      <c r="J14" s="119">
        <f t="shared" si="7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3">
      <c r="B15" s="601" t="str">
        <f t="shared" si="5"/>
        <v>#23</v>
      </c>
      <c r="C15" s="602" t="str">
        <f t="shared" si="6"/>
        <v>Sami Pöllänen</v>
      </c>
      <c r="D15" s="228">
        <v>16</v>
      </c>
      <c r="E15" s="229">
        <f t="shared" si="0"/>
        <v>2</v>
      </c>
      <c r="F15" s="229">
        <f t="shared" si="1"/>
        <v>7</v>
      </c>
      <c r="G15" s="229">
        <f t="shared" si="2"/>
        <v>9</v>
      </c>
      <c r="H15" s="229">
        <f t="shared" si="3"/>
        <v>3</v>
      </c>
      <c r="I15" s="229">
        <f t="shared" si="4"/>
        <v>0</v>
      </c>
      <c r="J15" s="229">
        <f t="shared" si="7"/>
        <v>1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3">
      <c r="B16" s="601" t="str">
        <f t="shared" si="5"/>
        <v>#9</v>
      </c>
      <c r="C16" s="602" t="str">
        <f t="shared" si="6"/>
        <v>Atte Nieminen</v>
      </c>
      <c r="D16" s="168">
        <v>16</v>
      </c>
      <c r="E16" s="119">
        <f t="shared" si="0"/>
        <v>2</v>
      </c>
      <c r="F16" s="119">
        <f t="shared" si="1"/>
        <v>1</v>
      </c>
      <c r="G16" s="119">
        <f t="shared" si="2"/>
        <v>3</v>
      </c>
      <c r="H16" s="119">
        <f t="shared" si="3"/>
        <v>2</v>
      </c>
      <c r="I16" s="119">
        <f t="shared" si="4"/>
        <v>1</v>
      </c>
      <c r="J16" s="119">
        <f t="shared" si="7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</row>
    <row r="17" spans="2:90" x14ac:dyDescent="0.3">
      <c r="B17" s="601" t="str">
        <f t="shared" si="5"/>
        <v>#96</v>
      </c>
      <c r="C17" s="602" t="str">
        <f t="shared" si="6"/>
        <v>Kaj Engblom</v>
      </c>
      <c r="D17" s="228">
        <v>16</v>
      </c>
      <c r="E17" s="229">
        <f t="shared" si="0"/>
        <v>4</v>
      </c>
      <c r="F17" s="229">
        <f t="shared" si="1"/>
        <v>9</v>
      </c>
      <c r="G17" s="229">
        <f t="shared" si="2"/>
        <v>13</v>
      </c>
      <c r="H17" s="229">
        <f t="shared" si="3"/>
        <v>3</v>
      </c>
      <c r="I17" s="229">
        <f t="shared" si="4"/>
        <v>0</v>
      </c>
      <c r="J17" s="229">
        <f t="shared" si="7"/>
        <v>0</v>
      </c>
      <c r="K17" s="229" t="s">
        <v>107</v>
      </c>
      <c r="L17" s="686" t="s">
        <v>107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90" x14ac:dyDescent="0.3">
      <c r="B18" s="601" t="str">
        <f t="shared" si="5"/>
        <v>#1</v>
      </c>
      <c r="C18" s="602" t="str">
        <f t="shared" si="6"/>
        <v>(MV) Matias Virta</v>
      </c>
      <c r="D18" s="168">
        <v>16</v>
      </c>
      <c r="E18" s="119">
        <f t="shared" si="0"/>
        <v>0</v>
      </c>
      <c r="F18" s="119">
        <f t="shared" si="1"/>
        <v>0</v>
      </c>
      <c r="G18" s="119">
        <f t="shared" si="2"/>
        <v>0</v>
      </c>
      <c r="H18" s="119">
        <f t="shared" si="3"/>
        <v>0</v>
      </c>
      <c r="I18" s="119">
        <f t="shared" si="4"/>
        <v>0</v>
      </c>
      <c r="J18" s="119">
        <f t="shared" si="7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90" x14ac:dyDescent="0.3">
      <c r="B19" s="601" t="str">
        <f t="shared" si="5"/>
        <v>#44</v>
      </c>
      <c r="C19" s="602" t="str">
        <f t="shared" si="6"/>
        <v>Jesse Höykinpuro</v>
      </c>
      <c r="D19" s="228">
        <v>16</v>
      </c>
      <c r="E19" s="229">
        <f t="shared" si="0"/>
        <v>3</v>
      </c>
      <c r="F19" s="229">
        <f t="shared" si="1"/>
        <v>3</v>
      </c>
      <c r="G19" s="229">
        <f t="shared" si="2"/>
        <v>6</v>
      </c>
      <c r="H19" s="229">
        <f t="shared" si="3"/>
        <v>6</v>
      </c>
      <c r="I19" s="229">
        <f t="shared" si="4"/>
        <v>0</v>
      </c>
      <c r="J19" s="229">
        <f t="shared" si="7"/>
        <v>1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90" x14ac:dyDescent="0.3">
      <c r="B20" s="601">
        <f t="shared" si="5"/>
        <v>0</v>
      </c>
      <c r="C20" s="602">
        <f t="shared" si="6"/>
        <v>0</v>
      </c>
      <c r="D20" s="168">
        <v>16</v>
      </c>
      <c r="E20" s="229">
        <f t="shared" si="0"/>
        <v>0</v>
      </c>
      <c r="F20" s="229">
        <f t="shared" si="1"/>
        <v>0</v>
      </c>
      <c r="G20" s="229">
        <f t="shared" ref="G20" si="8">E20+F20</f>
        <v>0</v>
      </c>
      <c r="H20" s="229">
        <f t="shared" si="3"/>
        <v>0</v>
      </c>
      <c r="I20" s="229">
        <f t="shared" si="4"/>
        <v>0</v>
      </c>
      <c r="J20" s="229">
        <f t="shared" si="7"/>
        <v>0</v>
      </c>
      <c r="K20" s="230" t="s">
        <v>107</v>
      </c>
      <c r="L20" s="230" t="s">
        <v>107</v>
      </c>
      <c r="M20" s="230" t="s">
        <v>107</v>
      </c>
      <c r="N20" s="230" t="s">
        <v>107</v>
      </c>
      <c r="O20" s="230" t="s">
        <v>107</v>
      </c>
      <c r="P20" s="230" t="s">
        <v>107</v>
      </c>
      <c r="Q20" s="230" t="s">
        <v>107</v>
      </c>
    </row>
    <row r="21" spans="2:90" x14ac:dyDescent="0.3">
      <c r="B21" s="601">
        <f t="shared" si="5"/>
        <v>0</v>
      </c>
      <c r="C21" s="602">
        <f t="shared" si="6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90" x14ac:dyDescent="0.3">
      <c r="B22" s="601">
        <f t="shared" si="5"/>
        <v>0</v>
      </c>
      <c r="C22" s="603">
        <f t="shared" si="6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90" x14ac:dyDescent="0.3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2:90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2:90" x14ac:dyDescent="0.3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2:90" s="205" customFormat="1" x14ac:dyDescent="0.3">
      <c r="D26" s="372" t="s">
        <v>995</v>
      </c>
      <c r="E26" s="682"/>
      <c r="F26" s="372" t="s">
        <v>997</v>
      </c>
      <c r="I26" s="370" t="s">
        <v>999</v>
      </c>
      <c r="J26" s="265"/>
      <c r="K26" s="265"/>
      <c r="L26" s="265"/>
      <c r="M26" s="265"/>
      <c r="N26" s="370" t="s">
        <v>1001</v>
      </c>
      <c r="O26" s="265"/>
      <c r="P26" s="265"/>
      <c r="Q26" s="265"/>
      <c r="R26" s="370" t="s">
        <v>1003</v>
      </c>
      <c r="S26" s="265"/>
      <c r="T26" s="265"/>
      <c r="U26" s="265"/>
      <c r="V26" s="265"/>
      <c r="W26" s="265"/>
      <c r="X26" s="265"/>
      <c r="Y26" s="370" t="s">
        <v>1004</v>
      </c>
      <c r="Z26" s="265"/>
      <c r="AA26" s="265"/>
      <c r="AB26" s="265"/>
      <c r="AC26" s="265"/>
      <c r="AD26" s="372" t="s">
        <v>1006</v>
      </c>
      <c r="AK26" s="372" t="s">
        <v>1008</v>
      </c>
      <c r="AM26" s="372" t="s">
        <v>1010</v>
      </c>
      <c r="AP26" s="372" t="s">
        <v>1012</v>
      </c>
      <c r="AU26" s="372" t="s">
        <v>1465</v>
      </c>
      <c r="AY26" s="372" t="s">
        <v>1466</v>
      </c>
      <c r="BC26" s="372" t="s">
        <v>1467</v>
      </c>
      <c r="BD26" s="372"/>
      <c r="BG26" s="372" t="s">
        <v>1468</v>
      </c>
      <c r="BL26" s="372" t="s">
        <v>1469</v>
      </c>
      <c r="BP26" s="372" t="s">
        <v>1470</v>
      </c>
      <c r="BU26" s="372" t="s">
        <v>1472</v>
      </c>
      <c r="BX26" s="372" t="s">
        <v>1473</v>
      </c>
      <c r="CC26" s="372" t="s">
        <v>1474</v>
      </c>
      <c r="CF26" s="372" t="s">
        <v>1475</v>
      </c>
      <c r="CI26" s="372" t="s">
        <v>1474</v>
      </c>
      <c r="CL26" s="372" t="s">
        <v>1475</v>
      </c>
    </row>
    <row r="27" spans="2:90" x14ac:dyDescent="0.3">
      <c r="B27" s="30" t="s">
        <v>1460</v>
      </c>
      <c r="C27" t="s">
        <v>1459</v>
      </c>
      <c r="D27" s="300"/>
      <c r="E27" s="683"/>
      <c r="F27" s="300"/>
      <c r="I27" s="371" t="s">
        <v>533</v>
      </c>
      <c r="J27" s="8" t="s">
        <v>540</v>
      </c>
      <c r="K27" s="8"/>
      <c r="L27" s="8"/>
      <c r="M27" s="8"/>
      <c r="N27" s="371"/>
      <c r="O27" s="8"/>
      <c r="P27" s="8"/>
      <c r="Q27" s="8"/>
      <c r="R27" s="371"/>
      <c r="S27" s="8"/>
      <c r="T27" s="8"/>
      <c r="U27" s="8"/>
      <c r="V27" s="8"/>
      <c r="W27" s="8"/>
      <c r="X27" s="8"/>
      <c r="Y27" s="371"/>
      <c r="Z27" s="8"/>
      <c r="AA27" s="8"/>
      <c r="AB27" s="8"/>
      <c r="AC27" s="8"/>
      <c r="AD27" s="300"/>
      <c r="AK27" s="300"/>
      <c r="AM27" s="300" t="s">
        <v>534</v>
      </c>
      <c r="AN27" t="s">
        <v>533</v>
      </c>
      <c r="AP27" s="300" t="s">
        <v>533</v>
      </c>
      <c r="AU27" s="300" t="s">
        <v>533</v>
      </c>
      <c r="AY27" s="300" t="s">
        <v>533</v>
      </c>
      <c r="AZ27" t="s">
        <v>533</v>
      </c>
      <c r="BA27" t="s">
        <v>1476</v>
      </c>
      <c r="BC27" s="300"/>
      <c r="BF27" s="683"/>
      <c r="BG27" s="300"/>
      <c r="BL27" s="300" t="s">
        <v>533</v>
      </c>
      <c r="BP27" s="300"/>
      <c r="BU27" s="300"/>
      <c r="BX27" s="300"/>
      <c r="CC27" s="300"/>
      <c r="CF27" s="300"/>
      <c r="CI27" s="300"/>
      <c r="CL27" s="300"/>
    </row>
    <row r="28" spans="2:90" x14ac:dyDescent="0.3">
      <c r="B28" s="30" t="s">
        <v>672</v>
      </c>
      <c r="C28" t="s">
        <v>1075</v>
      </c>
      <c r="D28" s="300"/>
      <c r="E28" s="683"/>
      <c r="F28" s="300" t="s">
        <v>533</v>
      </c>
      <c r="G28" t="s">
        <v>540</v>
      </c>
      <c r="H28" t="s">
        <v>1476</v>
      </c>
      <c r="I28" s="371" t="s">
        <v>533</v>
      </c>
      <c r="J28" s="8" t="s">
        <v>533</v>
      </c>
      <c r="K28" s="8"/>
      <c r="L28" s="8"/>
      <c r="M28" s="8"/>
      <c r="N28" s="371" t="s">
        <v>534</v>
      </c>
      <c r="O28" s="8"/>
      <c r="P28" s="8"/>
      <c r="Q28" s="8"/>
      <c r="R28" s="371" t="s">
        <v>533</v>
      </c>
      <c r="S28" s="8" t="s">
        <v>533</v>
      </c>
      <c r="T28" s="8" t="s">
        <v>535</v>
      </c>
      <c r="U28" s="8"/>
      <c r="V28" s="8"/>
      <c r="W28" s="8"/>
      <c r="X28" s="8"/>
      <c r="Y28" s="371" t="s">
        <v>533</v>
      </c>
      <c r="Z28" s="8" t="s">
        <v>533</v>
      </c>
      <c r="AA28" s="8" t="s">
        <v>534</v>
      </c>
      <c r="AB28" s="8"/>
      <c r="AC28" s="8"/>
      <c r="AD28" s="300" t="s">
        <v>535</v>
      </c>
      <c r="AE28" s="8" t="s">
        <v>534</v>
      </c>
      <c r="AF28" s="8" t="s">
        <v>533</v>
      </c>
      <c r="AG28" s="8" t="s">
        <v>533</v>
      </c>
      <c r="AH28" s="8" t="s">
        <v>533</v>
      </c>
      <c r="AI28" s="8" t="s">
        <v>1595</v>
      </c>
      <c r="AJ28" s="8" t="s">
        <v>1476</v>
      </c>
      <c r="AK28" s="300"/>
      <c r="AM28" s="300" t="s">
        <v>535</v>
      </c>
      <c r="AN28" t="s">
        <v>534</v>
      </c>
      <c r="AP28" s="300" t="s">
        <v>535</v>
      </c>
      <c r="AQ28" t="s">
        <v>533</v>
      </c>
      <c r="AU28" s="300" t="s">
        <v>556</v>
      </c>
      <c r="AV28" t="s">
        <v>533</v>
      </c>
      <c r="AY28" s="300" t="s">
        <v>534</v>
      </c>
      <c r="AZ28" t="s">
        <v>533</v>
      </c>
      <c r="BC28" s="300" t="s">
        <v>533</v>
      </c>
      <c r="BF28" s="683"/>
      <c r="BG28" s="300" t="s">
        <v>533</v>
      </c>
      <c r="BH28" t="s">
        <v>534</v>
      </c>
      <c r="BL28" s="300" t="s">
        <v>533</v>
      </c>
      <c r="BM28" t="s">
        <v>534</v>
      </c>
      <c r="BP28" s="300" t="s">
        <v>557</v>
      </c>
      <c r="BQ28" t="s">
        <v>534</v>
      </c>
      <c r="BU28" s="300"/>
      <c r="BX28" s="300"/>
      <c r="CC28" s="300"/>
      <c r="CF28" s="300"/>
      <c r="CI28" s="300"/>
      <c r="CL28" s="300"/>
    </row>
    <row r="29" spans="2:90" x14ac:dyDescent="0.3">
      <c r="B29" s="30" t="s">
        <v>529</v>
      </c>
      <c r="C29" t="s">
        <v>47</v>
      </c>
      <c r="D29" s="300"/>
      <c r="E29" s="683"/>
      <c r="F29" s="300"/>
      <c r="I29" s="371"/>
      <c r="J29" s="8"/>
      <c r="K29" s="8"/>
      <c r="L29" s="8"/>
      <c r="M29" s="8"/>
      <c r="N29" s="371"/>
      <c r="O29" s="8"/>
      <c r="P29" s="8"/>
      <c r="Q29" s="8"/>
      <c r="R29" s="371" t="s">
        <v>533</v>
      </c>
      <c r="S29" s="8" t="s">
        <v>533</v>
      </c>
      <c r="T29" s="8" t="s">
        <v>533</v>
      </c>
      <c r="U29" s="8" t="s">
        <v>1595</v>
      </c>
      <c r="V29" s="8"/>
      <c r="W29" s="8"/>
      <c r="X29" s="8"/>
      <c r="Y29" s="371"/>
      <c r="Z29" s="8"/>
      <c r="AA29" s="8"/>
      <c r="AB29" s="8"/>
      <c r="AC29" s="8"/>
      <c r="AD29" s="300" t="s">
        <v>534</v>
      </c>
      <c r="AK29" s="300"/>
      <c r="AM29" s="300"/>
      <c r="AP29" s="300" t="s">
        <v>533</v>
      </c>
      <c r="AQ29" t="s">
        <v>533</v>
      </c>
      <c r="AU29" s="300" t="s">
        <v>533</v>
      </c>
      <c r="AY29" s="300" t="s">
        <v>534</v>
      </c>
      <c r="AZ29" t="s">
        <v>533</v>
      </c>
      <c r="BA29" t="s">
        <v>139</v>
      </c>
      <c r="BC29" s="300"/>
      <c r="BF29" s="683"/>
      <c r="BG29" s="300"/>
      <c r="BL29" s="300"/>
      <c r="BP29" s="300"/>
      <c r="BU29" s="300"/>
      <c r="BX29" s="300"/>
      <c r="CC29" s="300"/>
      <c r="CF29" s="300"/>
      <c r="CI29" s="300"/>
      <c r="CL29" s="300"/>
    </row>
    <row r="30" spans="2:90" x14ac:dyDescent="0.3">
      <c r="B30" s="30" t="s">
        <v>524</v>
      </c>
      <c r="C30" t="s">
        <v>53</v>
      </c>
      <c r="D30" s="300"/>
      <c r="E30" s="683"/>
      <c r="F30" s="300"/>
      <c r="I30" s="371"/>
      <c r="J30" s="8"/>
      <c r="K30" s="8"/>
      <c r="L30" s="8"/>
      <c r="M30" s="8"/>
      <c r="N30" s="371"/>
      <c r="O30" s="8"/>
      <c r="P30" s="8"/>
      <c r="Q30" s="8"/>
      <c r="R30" s="371" t="s">
        <v>534</v>
      </c>
      <c r="S30" s="8" t="s">
        <v>535</v>
      </c>
      <c r="T30" s="8"/>
      <c r="U30" s="8"/>
      <c r="V30" s="8"/>
      <c r="W30" s="8"/>
      <c r="X30" s="8"/>
      <c r="Y30" s="371"/>
      <c r="Z30" s="8"/>
      <c r="AA30" s="8"/>
      <c r="AB30" s="8"/>
      <c r="AC30" s="8"/>
      <c r="AD30" s="300"/>
      <c r="AK30" s="300"/>
      <c r="AM30" s="300"/>
      <c r="AP30" s="300"/>
      <c r="AU30" s="300"/>
      <c r="AY30" s="300" t="s">
        <v>533</v>
      </c>
      <c r="AZ30" t="s">
        <v>540</v>
      </c>
      <c r="BC30" s="300"/>
      <c r="BF30" s="683"/>
      <c r="BG30" s="300"/>
      <c r="BL30" s="300"/>
      <c r="BP30" s="300" t="s">
        <v>533</v>
      </c>
      <c r="BU30" s="300"/>
      <c r="BX30" s="300"/>
      <c r="CC30" s="300"/>
      <c r="CF30" s="300"/>
      <c r="CI30" s="300"/>
      <c r="CL30" s="300"/>
    </row>
    <row r="31" spans="2:90" x14ac:dyDescent="0.3">
      <c r="B31" s="30" t="s">
        <v>1461</v>
      </c>
      <c r="C31" t="s">
        <v>1379</v>
      </c>
      <c r="D31" s="300" t="s">
        <v>535</v>
      </c>
      <c r="E31" s="683"/>
      <c r="F31" s="300" t="s">
        <v>533</v>
      </c>
      <c r="I31" s="371" t="s">
        <v>533</v>
      </c>
      <c r="J31" s="8"/>
      <c r="K31" s="8"/>
      <c r="L31" s="8"/>
      <c r="M31" s="8"/>
      <c r="N31" s="371"/>
      <c r="O31" s="8"/>
      <c r="P31" s="8"/>
      <c r="Q31" s="8"/>
      <c r="R31" s="371" t="s">
        <v>534</v>
      </c>
      <c r="S31" s="8" t="s">
        <v>533</v>
      </c>
      <c r="T31" s="8"/>
      <c r="U31" s="8"/>
      <c r="V31" s="8"/>
      <c r="W31" s="8"/>
      <c r="X31" s="8"/>
      <c r="Y31" s="371" t="s">
        <v>533</v>
      </c>
      <c r="Z31" s="8"/>
      <c r="AA31" s="8"/>
      <c r="AB31" s="8"/>
      <c r="AC31" s="8"/>
      <c r="AD31" s="300"/>
      <c r="AK31" s="300"/>
      <c r="AM31" s="300" t="s">
        <v>535</v>
      </c>
      <c r="AN31" t="s">
        <v>533</v>
      </c>
      <c r="AO31" t="s">
        <v>533</v>
      </c>
      <c r="AP31" s="300" t="s">
        <v>534</v>
      </c>
      <c r="AQ31" t="s">
        <v>534</v>
      </c>
      <c r="AR31" t="s">
        <v>533</v>
      </c>
      <c r="AU31" s="300"/>
      <c r="AY31" s="300"/>
      <c r="BC31" s="300"/>
      <c r="BF31" s="683"/>
      <c r="BG31" s="300" t="s">
        <v>534</v>
      </c>
      <c r="BL31" s="300" t="s">
        <v>533</v>
      </c>
      <c r="BM31" t="s">
        <v>545</v>
      </c>
      <c r="BP31" s="300" t="s">
        <v>534</v>
      </c>
      <c r="BQ31" t="s">
        <v>534</v>
      </c>
      <c r="BU31" s="300"/>
      <c r="BX31" s="300"/>
      <c r="CC31" s="300"/>
      <c r="CF31" s="300"/>
      <c r="CI31" s="300"/>
      <c r="CL31" s="300"/>
    </row>
    <row r="32" spans="2:90" x14ac:dyDescent="0.3">
      <c r="B32" s="30" t="s">
        <v>525</v>
      </c>
      <c r="C32" t="s">
        <v>50</v>
      </c>
      <c r="D32" s="300" t="s">
        <v>533</v>
      </c>
      <c r="E32" s="683"/>
      <c r="F32" s="300"/>
      <c r="I32" s="371" t="s">
        <v>533</v>
      </c>
      <c r="J32" s="8" t="s">
        <v>540</v>
      </c>
      <c r="K32" s="8" t="s">
        <v>534</v>
      </c>
      <c r="L32" s="8" t="s">
        <v>534</v>
      </c>
      <c r="M32" s="8" t="s">
        <v>535</v>
      </c>
      <c r="N32" s="371" t="s">
        <v>534</v>
      </c>
      <c r="O32" s="8"/>
      <c r="P32" s="8"/>
      <c r="Q32" s="8"/>
      <c r="R32" s="371" t="s">
        <v>533</v>
      </c>
      <c r="S32" s="8" t="s">
        <v>533</v>
      </c>
      <c r="T32" s="8" t="s">
        <v>534</v>
      </c>
      <c r="U32" s="8"/>
      <c r="V32" s="8"/>
      <c r="W32" s="8"/>
      <c r="X32" s="8"/>
      <c r="Y32" s="371"/>
      <c r="Z32" s="8"/>
      <c r="AA32" s="8"/>
      <c r="AB32" s="8"/>
      <c r="AC32" s="8"/>
      <c r="AD32" s="300" t="s">
        <v>533</v>
      </c>
      <c r="AE32" t="s">
        <v>533</v>
      </c>
      <c r="AF32" t="s">
        <v>533</v>
      </c>
      <c r="AG32" t="s">
        <v>540</v>
      </c>
      <c r="AH32" t="s">
        <v>1595</v>
      </c>
      <c r="AK32" s="300" t="s">
        <v>533</v>
      </c>
      <c r="AM32" s="300"/>
      <c r="AP32" s="300"/>
      <c r="AU32" s="300"/>
      <c r="AY32" s="300" t="s">
        <v>533</v>
      </c>
      <c r="BC32" s="300"/>
      <c r="BF32" s="683"/>
      <c r="BG32" s="300"/>
      <c r="BL32" s="300"/>
      <c r="BP32" s="300"/>
      <c r="BU32" s="300"/>
      <c r="BX32" s="300"/>
      <c r="CC32" s="300"/>
      <c r="CF32" s="300"/>
      <c r="CI32" s="300"/>
      <c r="CL32" s="300"/>
    </row>
    <row r="33" spans="2:90" x14ac:dyDescent="0.3">
      <c r="B33" s="30" t="s">
        <v>1462</v>
      </c>
      <c r="C33" t="s">
        <v>1124</v>
      </c>
      <c r="D33" s="300"/>
      <c r="E33" s="683"/>
      <c r="F33" s="300"/>
      <c r="I33" s="371" t="s">
        <v>533</v>
      </c>
      <c r="J33" s="8" t="s">
        <v>534</v>
      </c>
      <c r="K33" s="8" t="s">
        <v>534</v>
      </c>
      <c r="L33" s="8" t="s">
        <v>535</v>
      </c>
      <c r="M33" s="8" t="s">
        <v>1476</v>
      </c>
      <c r="N33" s="371" t="s">
        <v>535</v>
      </c>
      <c r="O33" s="8" t="s">
        <v>535</v>
      </c>
      <c r="P33" s="8" t="s">
        <v>535</v>
      </c>
      <c r="Q33" s="8" t="s">
        <v>535</v>
      </c>
      <c r="R33" s="371" t="s">
        <v>534</v>
      </c>
      <c r="S33" s="8" t="s">
        <v>534</v>
      </c>
      <c r="T33" s="8" t="s">
        <v>534</v>
      </c>
      <c r="U33" s="8" t="s">
        <v>1476</v>
      </c>
      <c r="V33" s="8"/>
      <c r="W33" s="8"/>
      <c r="X33" s="8"/>
      <c r="Y33" s="371" t="s">
        <v>535</v>
      </c>
      <c r="Z33" s="8"/>
      <c r="AA33" s="8"/>
      <c r="AB33" s="8"/>
      <c r="AC33" s="8"/>
      <c r="AD33" s="300" t="s">
        <v>534</v>
      </c>
      <c r="AK33" s="300" t="s">
        <v>534</v>
      </c>
      <c r="AM33" s="300"/>
      <c r="AP33" s="300"/>
      <c r="AU33" s="300" t="s">
        <v>535</v>
      </c>
      <c r="AV33" t="s">
        <v>535</v>
      </c>
      <c r="AY33" s="300" t="s">
        <v>535</v>
      </c>
      <c r="AZ33" t="s">
        <v>534</v>
      </c>
      <c r="BC33" s="300" t="s">
        <v>533</v>
      </c>
      <c r="BF33" s="683"/>
      <c r="BG33" s="300"/>
      <c r="BL33" s="300"/>
      <c r="BP33" s="300" t="s">
        <v>533</v>
      </c>
      <c r="BQ33" t="s">
        <v>534</v>
      </c>
      <c r="BU33" s="300"/>
      <c r="BX33" s="300"/>
      <c r="CC33" s="300"/>
      <c r="CF33" s="300"/>
      <c r="CI33" s="300"/>
      <c r="CL33" s="300"/>
    </row>
    <row r="34" spans="2:90" x14ac:dyDescent="0.3">
      <c r="B34" s="30" t="s">
        <v>1463</v>
      </c>
      <c r="C34" t="s">
        <v>1164</v>
      </c>
      <c r="D34" s="300"/>
      <c r="E34" s="683"/>
      <c r="F34" s="300"/>
      <c r="I34" s="371"/>
      <c r="J34" s="8"/>
      <c r="K34" s="8"/>
      <c r="L34" s="8"/>
      <c r="M34" s="8"/>
      <c r="N34" s="371"/>
      <c r="O34" s="8"/>
      <c r="P34" s="8"/>
      <c r="Q34" s="8"/>
      <c r="R34" s="371"/>
      <c r="S34" s="8"/>
      <c r="T34" s="8"/>
      <c r="U34" s="8"/>
      <c r="V34" s="8"/>
      <c r="W34" s="8"/>
      <c r="X34" s="8"/>
      <c r="Y34" s="371" t="s">
        <v>534</v>
      </c>
      <c r="Z34" s="8" t="s">
        <v>533</v>
      </c>
      <c r="AA34" s="8"/>
      <c r="AB34" s="8"/>
      <c r="AC34" s="8"/>
      <c r="AD34" s="300" t="s">
        <v>533</v>
      </c>
      <c r="AE34" t="s">
        <v>534</v>
      </c>
      <c r="AF34" t="s">
        <v>533</v>
      </c>
      <c r="AK34" s="300"/>
      <c r="AM34" s="300"/>
      <c r="AP34" s="300"/>
      <c r="AU34" s="300"/>
      <c r="AY34" s="300"/>
      <c r="BC34" s="300"/>
      <c r="BF34" s="683"/>
      <c r="BG34" s="300"/>
      <c r="BL34" s="300"/>
      <c r="BP34" s="300"/>
      <c r="BU34" s="300"/>
      <c r="BX34" s="300"/>
      <c r="CC34" s="300"/>
      <c r="CF34" s="300"/>
      <c r="CI34" s="300"/>
      <c r="CL34" s="300"/>
    </row>
    <row r="35" spans="2:90" x14ac:dyDescent="0.3">
      <c r="B35" s="30" t="s">
        <v>679</v>
      </c>
      <c r="C35" t="s">
        <v>680</v>
      </c>
      <c r="D35" s="300"/>
      <c r="E35" s="683"/>
      <c r="F35" s="300" t="s">
        <v>534</v>
      </c>
      <c r="I35" s="371" t="s">
        <v>534</v>
      </c>
      <c r="J35" s="8"/>
      <c r="K35" s="8"/>
      <c r="L35" s="8"/>
      <c r="M35" s="8"/>
      <c r="N35" s="371"/>
      <c r="O35" s="8"/>
      <c r="P35" s="8"/>
      <c r="Q35" s="8"/>
      <c r="R35" s="371"/>
      <c r="S35" s="8"/>
      <c r="T35" s="8"/>
      <c r="U35" s="8"/>
      <c r="V35" s="8"/>
      <c r="W35" s="8"/>
      <c r="X35" s="8"/>
      <c r="Y35" s="371" t="s">
        <v>535</v>
      </c>
      <c r="Z35" s="8"/>
      <c r="AA35" s="8"/>
      <c r="AB35" s="8"/>
      <c r="AC35" s="8"/>
      <c r="AD35" s="300"/>
      <c r="AK35" s="300"/>
      <c r="AM35" s="300"/>
      <c r="AP35" s="300"/>
      <c r="AU35" s="300"/>
      <c r="AY35" s="300" t="s">
        <v>535</v>
      </c>
      <c r="AZ35" t="s">
        <v>534</v>
      </c>
      <c r="BC35" s="300" t="s">
        <v>534</v>
      </c>
      <c r="BF35" s="683"/>
      <c r="BG35" s="300"/>
      <c r="BL35" s="300" t="s">
        <v>534</v>
      </c>
      <c r="BP35" s="300"/>
      <c r="BU35" s="300"/>
      <c r="BX35" s="300"/>
      <c r="CC35" s="300"/>
      <c r="CF35" s="300"/>
      <c r="CI35" s="300"/>
      <c r="CL35" s="300"/>
    </row>
    <row r="36" spans="2:90" x14ac:dyDescent="0.3">
      <c r="B36" s="30" t="s">
        <v>943</v>
      </c>
      <c r="C36" t="s">
        <v>942</v>
      </c>
      <c r="D36" s="300"/>
      <c r="E36" s="683"/>
      <c r="F36" s="300"/>
      <c r="I36" s="371" t="s">
        <v>534</v>
      </c>
      <c r="J36" s="8"/>
      <c r="K36" s="8"/>
      <c r="L36" s="8"/>
      <c r="M36" s="8"/>
      <c r="N36" s="371"/>
      <c r="O36" s="8"/>
      <c r="P36" s="8"/>
      <c r="Q36" s="8"/>
      <c r="R36" s="371"/>
      <c r="S36" s="8"/>
      <c r="T36" s="8"/>
      <c r="U36" s="8"/>
      <c r="V36" s="8"/>
      <c r="W36" s="8"/>
      <c r="X36" s="8"/>
      <c r="Y36" s="371"/>
      <c r="Z36" s="8"/>
      <c r="AA36" s="8"/>
      <c r="AB36" s="8"/>
      <c r="AC36" s="8"/>
      <c r="AD36" s="300" t="s">
        <v>533</v>
      </c>
      <c r="AE36" t="s">
        <v>534</v>
      </c>
      <c r="AK36" s="300"/>
      <c r="AM36" s="300"/>
      <c r="AP36" s="300"/>
      <c r="AU36" s="300"/>
      <c r="AY36" s="300"/>
      <c r="BC36" s="300"/>
      <c r="BF36" s="683"/>
      <c r="BG36" s="300"/>
      <c r="BL36" s="300"/>
      <c r="BP36" s="300" t="s">
        <v>533</v>
      </c>
      <c r="BU36" s="300"/>
      <c r="BX36" s="300"/>
      <c r="CC36" s="300"/>
      <c r="CF36" s="300"/>
      <c r="CI36" s="300"/>
      <c r="CL36" s="300"/>
    </row>
    <row r="37" spans="2:90" x14ac:dyDescent="0.3">
      <c r="B37" s="30" t="s">
        <v>674</v>
      </c>
      <c r="C37" t="s">
        <v>1076</v>
      </c>
      <c r="D37" s="300"/>
      <c r="E37" s="683"/>
      <c r="F37" s="300" t="s">
        <v>534</v>
      </c>
      <c r="I37" s="371"/>
      <c r="J37" s="8"/>
      <c r="K37" s="8"/>
      <c r="L37" s="8"/>
      <c r="M37" s="8"/>
      <c r="N37" s="371" t="s">
        <v>533</v>
      </c>
      <c r="O37" s="8" t="s">
        <v>535</v>
      </c>
      <c r="P37" s="8"/>
      <c r="Q37" s="8"/>
      <c r="R37" s="371"/>
      <c r="S37" s="8"/>
      <c r="T37" s="8"/>
      <c r="U37" s="8"/>
      <c r="V37" s="8"/>
      <c r="W37" s="8"/>
      <c r="X37" s="8"/>
      <c r="Y37" s="371"/>
      <c r="Z37" s="8"/>
      <c r="AA37" s="8"/>
      <c r="AB37" s="8"/>
      <c r="AC37" s="8"/>
      <c r="AD37" s="300" t="s">
        <v>535</v>
      </c>
      <c r="AK37" s="300"/>
      <c r="AM37" s="300"/>
      <c r="AP37" s="300" t="s">
        <v>534</v>
      </c>
      <c r="AQ37" t="s">
        <v>534</v>
      </c>
      <c r="AU37" s="300" t="s">
        <v>534</v>
      </c>
      <c r="AY37" s="300" t="s">
        <v>533</v>
      </c>
      <c r="AZ37" t="s">
        <v>534</v>
      </c>
      <c r="BA37" t="s">
        <v>534</v>
      </c>
      <c r="BB37" t="s">
        <v>540</v>
      </c>
      <c r="BC37" s="300"/>
      <c r="BF37" s="683"/>
      <c r="BG37" s="300"/>
      <c r="BL37" s="300" t="s">
        <v>534</v>
      </c>
      <c r="BP37" s="300" t="s">
        <v>535</v>
      </c>
      <c r="BU37" s="300"/>
      <c r="BX37" s="300"/>
      <c r="CC37" s="300"/>
      <c r="CF37" s="300"/>
      <c r="CI37" s="300"/>
      <c r="CL37" s="300"/>
    </row>
    <row r="38" spans="2:90" x14ac:dyDescent="0.3">
      <c r="B38" s="30" t="s">
        <v>522</v>
      </c>
      <c r="C38" t="s">
        <v>1077</v>
      </c>
      <c r="D38" s="300" t="s">
        <v>534</v>
      </c>
      <c r="E38" s="683"/>
      <c r="F38" s="300" t="s">
        <v>533</v>
      </c>
      <c r="I38" s="371"/>
      <c r="J38" s="8"/>
      <c r="K38" s="8"/>
      <c r="L38" s="8"/>
      <c r="M38" s="8"/>
      <c r="N38" s="371" t="s">
        <v>535</v>
      </c>
      <c r="O38" s="8"/>
      <c r="P38" s="8"/>
      <c r="Q38" s="8"/>
      <c r="R38" s="371"/>
      <c r="S38" s="8"/>
      <c r="T38" s="8"/>
      <c r="U38" s="8"/>
      <c r="V38" s="8"/>
      <c r="W38" s="8"/>
      <c r="X38" s="8"/>
      <c r="Y38" s="371"/>
      <c r="Z38" s="8"/>
      <c r="AA38" s="8"/>
      <c r="AB38" s="8"/>
      <c r="AC38" s="8"/>
      <c r="AD38" s="300"/>
      <c r="AK38" s="300"/>
      <c r="AM38" s="300"/>
      <c r="AP38" s="300"/>
      <c r="AU38" s="300"/>
      <c r="AY38" s="300"/>
      <c r="BC38" s="300"/>
      <c r="BF38" s="683"/>
      <c r="BG38" s="300"/>
      <c r="BL38" s="300" t="s">
        <v>535</v>
      </c>
      <c r="BP38" s="300" t="s">
        <v>533</v>
      </c>
      <c r="BQ38" t="s">
        <v>1476</v>
      </c>
      <c r="BU38" s="300"/>
      <c r="BX38" s="300"/>
      <c r="CC38" s="300"/>
      <c r="CF38" s="300"/>
      <c r="CI38" s="300"/>
      <c r="CL38" s="300"/>
    </row>
    <row r="39" spans="2:90" x14ac:dyDescent="0.3">
      <c r="B39" s="30" t="s">
        <v>1464</v>
      </c>
      <c r="C39" t="s">
        <v>185</v>
      </c>
      <c r="D39" s="300"/>
      <c r="E39" s="683"/>
      <c r="F39" s="300" t="s">
        <v>534</v>
      </c>
      <c r="G39" t="s">
        <v>535</v>
      </c>
      <c r="I39" s="371"/>
      <c r="J39" s="8"/>
      <c r="K39" s="8"/>
      <c r="L39" s="265"/>
      <c r="M39" s="265"/>
      <c r="N39" s="371" t="s">
        <v>533</v>
      </c>
      <c r="O39" s="8" t="s">
        <v>556</v>
      </c>
      <c r="P39" s="8"/>
      <c r="Q39" s="8"/>
      <c r="R39" s="371" t="s">
        <v>534</v>
      </c>
      <c r="S39" s="8" t="s">
        <v>534</v>
      </c>
      <c r="T39" s="8"/>
      <c r="U39" s="8"/>
      <c r="V39" s="8"/>
      <c r="W39" s="8"/>
      <c r="X39" s="8"/>
      <c r="Y39" s="371" t="s">
        <v>534</v>
      </c>
      <c r="Z39" s="8"/>
      <c r="AA39" s="8"/>
      <c r="AB39" s="8"/>
      <c r="AC39" s="8"/>
      <c r="AD39" s="300" t="s">
        <v>534</v>
      </c>
      <c r="AE39" t="s">
        <v>534</v>
      </c>
      <c r="AF39" t="s">
        <v>534</v>
      </c>
      <c r="AK39" s="300" t="s">
        <v>535</v>
      </c>
      <c r="AM39" s="300"/>
      <c r="AP39" s="300"/>
      <c r="AU39" s="300"/>
      <c r="AY39" s="300"/>
      <c r="BC39" s="300" t="s">
        <v>534</v>
      </c>
      <c r="BF39" s="683"/>
      <c r="BG39" s="300" t="s">
        <v>533</v>
      </c>
      <c r="BL39" s="300" t="s">
        <v>535</v>
      </c>
      <c r="BP39" s="300" t="s">
        <v>534</v>
      </c>
      <c r="BQ39" t="s">
        <v>533</v>
      </c>
      <c r="BR39" t="s">
        <v>533</v>
      </c>
      <c r="BS39" t="s">
        <v>545</v>
      </c>
      <c r="BU39" s="300"/>
      <c r="BX39" s="300"/>
      <c r="CC39" s="300"/>
      <c r="CF39" s="300"/>
      <c r="CI39" s="300"/>
      <c r="CL39" s="300"/>
    </row>
    <row r="40" spans="2:90" x14ac:dyDescent="0.3">
      <c r="B40" s="30" t="s">
        <v>778</v>
      </c>
      <c r="C40" t="s">
        <v>1590</v>
      </c>
      <c r="D40" s="300"/>
      <c r="E40" s="683"/>
      <c r="F40" s="300"/>
      <c r="I40" s="300"/>
      <c r="N40" s="300"/>
      <c r="R40" s="300"/>
      <c r="Y40" s="300"/>
      <c r="AD40" s="300"/>
      <c r="AK40" s="300"/>
      <c r="AM40" s="300"/>
      <c r="AP40" s="300"/>
      <c r="AU40" s="300"/>
      <c r="AY40" s="300"/>
      <c r="BC40" s="300"/>
      <c r="BF40" s="683"/>
      <c r="BG40" s="300"/>
      <c r="BL40" s="300"/>
      <c r="BP40" s="300"/>
      <c r="BU40" s="300"/>
      <c r="BX40" s="300"/>
      <c r="CC40" s="300"/>
      <c r="CF40" s="300"/>
      <c r="CI40" s="300"/>
      <c r="CL40" s="300"/>
    </row>
    <row r="41" spans="2:90" x14ac:dyDescent="0.3">
      <c r="B41" s="30" t="s">
        <v>526</v>
      </c>
      <c r="C41" t="s">
        <v>1591</v>
      </c>
      <c r="D41" s="300" t="s">
        <v>533</v>
      </c>
      <c r="E41" s="683" t="s">
        <v>534</v>
      </c>
      <c r="F41" s="300"/>
      <c r="I41" s="300" t="s">
        <v>535</v>
      </c>
      <c r="N41" s="300" t="s">
        <v>533</v>
      </c>
      <c r="R41" s="300"/>
      <c r="Y41" s="300"/>
      <c r="AD41" s="300" t="s">
        <v>534</v>
      </c>
      <c r="AK41" s="300"/>
      <c r="AM41" s="300"/>
      <c r="AP41" s="300"/>
      <c r="AU41" s="300" t="s">
        <v>535</v>
      </c>
      <c r="AY41" s="300" t="s">
        <v>535</v>
      </c>
      <c r="AZ41" t="s">
        <v>534</v>
      </c>
      <c r="BC41" s="300"/>
      <c r="BF41" s="683"/>
      <c r="BG41" s="300"/>
      <c r="BL41" s="300"/>
      <c r="BP41" s="300" t="s">
        <v>535</v>
      </c>
      <c r="BQ41" t="s">
        <v>535</v>
      </c>
      <c r="BR41" t="s">
        <v>535</v>
      </c>
      <c r="BS41" t="s">
        <v>533</v>
      </c>
      <c r="BT41" t="s">
        <v>540</v>
      </c>
      <c r="BU41" s="300"/>
      <c r="BX41" s="300"/>
      <c r="CC41" s="300"/>
      <c r="CF41" s="300"/>
      <c r="CI41" s="300"/>
      <c r="CL41" s="300"/>
    </row>
    <row r="42" spans="2:90" x14ac:dyDescent="0.3">
      <c r="B42" s="30"/>
    </row>
    <row r="52" spans="9:9" x14ac:dyDescent="0.3">
      <c r="I52">
        <f>COUNTIF(D27:CM40,"RM")</f>
        <v>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97"/>
  <sheetViews>
    <sheetView zoomScale="80" zoomScaleNormal="80" workbookViewId="0">
      <pane ySplit="4" topLeftCell="A5" activePane="bottomLeft" state="frozen"/>
      <selection pane="bottomLeft" activeCell="B77" sqref="B77"/>
    </sheetView>
  </sheetViews>
  <sheetFormatPr defaultColWidth="9.109375" defaultRowHeight="14.4" x14ac:dyDescent="0.3"/>
  <cols>
    <col min="1" max="1" width="2.88671875" customWidth="1"/>
    <col min="2" max="3" width="17.8867187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2.88671875" customWidth="1"/>
    <col min="21" max="25" width="8" style="8" hidden="1" customWidth="1"/>
    <col min="26" max="28" width="8" customWidth="1"/>
  </cols>
  <sheetData>
    <row r="1" spans="1:25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3">
      <c r="A2" s="357"/>
      <c r="B2" s="608" t="s">
        <v>1511</v>
      </c>
      <c r="C2" s="640" t="s">
        <v>1635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0.199999999999999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0</v>
      </c>
      <c r="G6" s="642">
        <v>0</v>
      </c>
      <c r="H6" s="620">
        <f>SUM(E6:G6)</f>
        <v>0</v>
      </c>
      <c r="I6" s="621" t="str">
        <f>IF(H6&gt;H7,"Voitto",IF(H6=H7,"Tasapeli","Häviö"))</f>
        <v>Tasapeli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0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0.199999999999999" x14ac:dyDescent="0.2">
      <c r="A7" s="519"/>
      <c r="B7" s="673" t="s">
        <v>1640</v>
      </c>
      <c r="C7" s="643" t="s">
        <v>1514</v>
      </c>
      <c r="D7" s="643" t="s">
        <v>1403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0.199999999999999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0</v>
      </c>
      <c r="G9" s="642">
        <v>0</v>
      </c>
      <c r="H9" s="620">
        <f>SUM(E9:G9)</f>
        <v>0</v>
      </c>
      <c r="I9" s="621" t="str">
        <f>IF(H9&gt;H10,"Voitto",IF(H9=H10,"Tasapeli","Häviö"))</f>
        <v>Tasapeli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0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0.199999999999999" x14ac:dyDescent="0.2">
      <c r="A10" s="519"/>
      <c r="B10" s="673" t="s">
        <v>1641</v>
      </c>
      <c r="C10" s="643" t="s">
        <v>1515</v>
      </c>
      <c r="D10" s="643" t="s">
        <v>1220</v>
      </c>
      <c r="E10" s="642">
        <v>0</v>
      </c>
      <c r="F10" s="642">
        <v>0</v>
      </c>
      <c r="G10" s="642">
        <v>0</v>
      </c>
      <c r="H10" s="622">
        <f>SUM(E10:G10)</f>
        <v>0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0.199999999999999" x14ac:dyDescent="0.2">
      <c r="A12" s="519"/>
      <c r="B12" s="618" t="s">
        <v>1538</v>
      </c>
      <c r="C12" s="643" t="s">
        <v>1643</v>
      </c>
      <c r="D12" s="619" t="s">
        <v>0</v>
      </c>
      <c r="E12" s="642">
        <v>0</v>
      </c>
      <c r="F12" s="642">
        <v>0</v>
      </c>
      <c r="G12" s="642">
        <v>0</v>
      </c>
      <c r="H12" s="620">
        <f>SUM(E12:G12)</f>
        <v>0</v>
      </c>
      <c r="I12" s="621" t="str">
        <f>IF(H12&gt;H13,"Voitto",IF(H12=H13,"Tasapeli","Häviö"))</f>
        <v>Tasapeli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0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0.199999999999999" x14ac:dyDescent="0.2">
      <c r="A13" s="519"/>
      <c r="B13" s="673" t="s">
        <v>1642</v>
      </c>
      <c r="C13" s="643" t="s">
        <v>1515</v>
      </c>
      <c r="D13" s="643" t="s">
        <v>1584</v>
      </c>
      <c r="E13" s="642">
        <v>0</v>
      </c>
      <c r="F13" s="642">
        <v>0</v>
      </c>
      <c r="G13" s="642">
        <v>0</v>
      </c>
      <c r="H13" s="622">
        <f>SUM(E13:G13)</f>
        <v>0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0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0.199999999999999" x14ac:dyDescent="0.2">
      <c r="A15" s="519"/>
      <c r="B15" s="618" t="s">
        <v>1539</v>
      </c>
      <c r="C15" s="643" t="s">
        <v>1643</v>
      </c>
      <c r="D15" s="619" t="s">
        <v>0</v>
      </c>
      <c r="E15" s="642">
        <v>0</v>
      </c>
      <c r="F15" s="642">
        <v>0</v>
      </c>
      <c r="G15" s="642">
        <v>0</v>
      </c>
      <c r="H15" s="620">
        <f>SUM(E15:G15)</f>
        <v>0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0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0.199999999999999" x14ac:dyDescent="0.2">
      <c r="A16" s="519"/>
      <c r="B16" s="673" t="s">
        <v>1644</v>
      </c>
      <c r="C16" s="643" t="s">
        <v>1514</v>
      </c>
      <c r="D16" s="643" t="s">
        <v>1245</v>
      </c>
      <c r="E16" s="642">
        <v>0</v>
      </c>
      <c r="F16" s="642">
        <v>0</v>
      </c>
      <c r="G16" s="642">
        <v>0</v>
      </c>
      <c r="H16" s="622">
        <f>SUM(E16:G16)</f>
        <v>0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0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0.199999999999999" x14ac:dyDescent="0.2">
      <c r="A18" s="519"/>
      <c r="B18" s="618" t="s">
        <v>1540</v>
      </c>
      <c r="C18" s="643" t="s">
        <v>1049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0.199999999999999" x14ac:dyDescent="0.2">
      <c r="A19" s="519"/>
      <c r="B19" s="673" t="s">
        <v>1647</v>
      </c>
      <c r="C19" s="643" t="s">
        <v>1514</v>
      </c>
      <c r="D19" s="643" t="s">
        <v>1638</v>
      </c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0.199999999999999" x14ac:dyDescent="0.2">
      <c r="A21" s="519"/>
      <c r="B21" s="618" t="s">
        <v>1541</v>
      </c>
      <c r="C21" s="643" t="s">
        <v>1049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0.199999999999999" x14ac:dyDescent="0.2">
      <c r="A22" s="519"/>
      <c r="B22" s="673" t="s">
        <v>1648</v>
      </c>
      <c r="C22" s="643" t="s">
        <v>1515</v>
      </c>
      <c r="D22" s="643" t="s">
        <v>1396</v>
      </c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0.199999999999999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0.199999999999999" x14ac:dyDescent="0.2">
      <c r="A25" s="519"/>
      <c r="B25" s="673" t="s">
        <v>1649</v>
      </c>
      <c r="C25" s="643" t="s">
        <v>1515</v>
      </c>
      <c r="D25" s="643" t="s">
        <v>1394</v>
      </c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0.199999999999999" x14ac:dyDescent="0.2">
      <c r="A27" s="519"/>
      <c r="B27" s="618" t="s">
        <v>1543</v>
      </c>
      <c r="C27" s="643" t="s">
        <v>1398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0.199999999999999" x14ac:dyDescent="0.2">
      <c r="A28" s="519"/>
      <c r="B28" s="673" t="s">
        <v>1650</v>
      </c>
      <c r="C28" s="643" t="s">
        <v>1514</v>
      </c>
      <c r="D28" s="643" t="s">
        <v>1639</v>
      </c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0.199999999999999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0.199999999999999" x14ac:dyDescent="0.2">
      <c r="A31" s="519"/>
      <c r="B31" s="673" t="s">
        <v>1651</v>
      </c>
      <c r="C31" s="643" t="s">
        <v>1514</v>
      </c>
      <c r="D31" s="643" t="s">
        <v>1220</v>
      </c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0.199999999999999" x14ac:dyDescent="0.2">
      <c r="A33" s="519"/>
      <c r="B33" s="618" t="s">
        <v>1545</v>
      </c>
      <c r="C33" s="643" t="s">
        <v>1398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0.199999999999999" x14ac:dyDescent="0.2">
      <c r="A34" s="519"/>
      <c r="B34" s="673" t="s">
        <v>1652</v>
      </c>
      <c r="C34" s="643" t="s">
        <v>1515</v>
      </c>
      <c r="D34" s="643" t="s">
        <v>1403</v>
      </c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0.199999999999999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0.199999999999999" x14ac:dyDescent="0.2">
      <c r="A37" s="519"/>
      <c r="B37" s="673" t="s">
        <v>1653</v>
      </c>
      <c r="C37" s="643" t="s">
        <v>1515</v>
      </c>
      <c r="D37" s="643" t="s">
        <v>1245</v>
      </c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0.199999999999999" x14ac:dyDescent="0.2">
      <c r="A39" s="519"/>
      <c r="B39" s="618" t="s">
        <v>1547</v>
      </c>
      <c r="C39" s="643" t="s">
        <v>1643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0.199999999999999" x14ac:dyDescent="0.2">
      <c r="A40" s="519"/>
      <c r="B40" s="673" t="s">
        <v>1654</v>
      </c>
      <c r="C40" s="643" t="s">
        <v>1514</v>
      </c>
      <c r="D40" s="643" t="s">
        <v>1584</v>
      </c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0.199999999999999" x14ac:dyDescent="0.2">
      <c r="A43" s="519"/>
      <c r="B43" s="673" t="s">
        <v>1655</v>
      </c>
      <c r="C43" s="643" t="s">
        <v>1514</v>
      </c>
      <c r="D43" s="643" t="s">
        <v>1396</v>
      </c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0.199999999999999" x14ac:dyDescent="0.2">
      <c r="A46" s="519"/>
      <c r="B46" s="673" t="s">
        <v>1656</v>
      </c>
      <c r="C46" s="643" t="s">
        <v>1515</v>
      </c>
      <c r="D46" s="643" t="s">
        <v>1638</v>
      </c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0.199999999999999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0.199999999999999" x14ac:dyDescent="0.2">
      <c r="A49" s="519"/>
      <c r="B49" s="673" t="s">
        <v>1657</v>
      </c>
      <c r="C49" s="643" t="s">
        <v>1514</v>
      </c>
      <c r="D49" s="643" t="s">
        <v>1394</v>
      </c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0.199999999999999" x14ac:dyDescent="0.2">
      <c r="A51" s="519"/>
      <c r="B51" s="618" t="s">
        <v>1551</v>
      </c>
      <c r="C51" s="643" t="s">
        <v>44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0.199999999999999" x14ac:dyDescent="0.2">
      <c r="A52" s="519"/>
      <c r="B52" s="673" t="s">
        <v>1658</v>
      </c>
      <c r="C52" s="643" t="s">
        <v>1515</v>
      </c>
      <c r="D52" s="643" t="s">
        <v>1639</v>
      </c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x14ac:dyDescent="0.2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s="140" customFormat="1" ht="10.199999999999999" x14ac:dyDescent="0.2">
      <c r="A54" s="519"/>
      <c r="B54" s="618" t="s">
        <v>1552</v>
      </c>
      <c r="C54" s="643"/>
      <c r="D54" s="619" t="s">
        <v>0</v>
      </c>
      <c r="E54" s="642">
        <v>0</v>
      </c>
      <c r="F54" s="642">
        <v>0</v>
      </c>
      <c r="G54" s="642">
        <v>0</v>
      </c>
      <c r="H54" s="620">
        <f>SUM(E54:G54)</f>
        <v>0</v>
      </c>
      <c r="I54" s="621" t="str">
        <f>IF(H54&gt;H55,"Voitto",IF(H54=H55,"Tasapeli","Häviö"))</f>
        <v>Tasapeli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0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</row>
    <row r="55" spans="1:25" s="140" customFormat="1" ht="10.199999999999999" x14ac:dyDescent="0.2">
      <c r="A55" s="519"/>
      <c r="B55" s="672"/>
      <c r="C55" s="643"/>
      <c r="D55" s="643"/>
      <c r="E55" s="642">
        <v>0</v>
      </c>
      <c r="F55" s="642">
        <v>0</v>
      </c>
      <c r="G55" s="642">
        <v>0</v>
      </c>
      <c r="H55" s="622">
        <f>SUM(E55:G55)</f>
        <v>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0</v>
      </c>
      <c r="W55" s="624"/>
      <c r="X55" s="624"/>
      <c r="Y55" s="624"/>
    </row>
    <row r="56" spans="1:25" s="140" customFormat="1" ht="3.75" customHeight="1" x14ac:dyDescent="0.2">
      <c r="E56" s="675"/>
      <c r="F56" s="675"/>
      <c r="G56" s="675"/>
      <c r="H56" s="676"/>
      <c r="I56" s="676"/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U56" s="675"/>
      <c r="V56" s="675"/>
      <c r="W56" s="675"/>
      <c r="X56" s="675"/>
      <c r="Y56" s="675"/>
    </row>
    <row r="57" spans="1:25" s="140" customFormat="1" ht="10.199999999999999" x14ac:dyDescent="0.2">
      <c r="A57" s="519"/>
      <c r="B57" s="618" t="s">
        <v>1553</v>
      </c>
      <c r="C57" s="643"/>
      <c r="D57" s="619" t="s">
        <v>0</v>
      </c>
      <c r="E57" s="642">
        <v>0</v>
      </c>
      <c r="F57" s="642">
        <v>0</v>
      </c>
      <c r="G57" s="642">
        <v>0</v>
      </c>
      <c r="H57" s="620">
        <f>SUM(E57:G57)</f>
        <v>0</v>
      </c>
      <c r="I57" s="621" t="str">
        <f>IF(H57&gt;H58,"Voitto",IF(H57=H58,"Tasapeli","Häviö"))</f>
        <v>Tasapeli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0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</row>
    <row r="58" spans="1:25" s="140" customFormat="1" ht="10.199999999999999" x14ac:dyDescent="0.2">
      <c r="A58" s="519"/>
      <c r="B58" s="672"/>
      <c r="C58" s="643"/>
      <c r="D58" s="643"/>
      <c r="E58" s="642">
        <v>0</v>
      </c>
      <c r="F58" s="642">
        <v>0</v>
      </c>
      <c r="G58" s="642">
        <v>0</v>
      </c>
      <c r="H58" s="622">
        <f>SUM(E58:G58)</f>
        <v>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0</v>
      </c>
      <c r="W58" s="624"/>
      <c r="X58" s="624"/>
      <c r="Y58" s="624"/>
    </row>
    <row r="59" spans="1:25" s="140" customFormat="1" ht="3.75" customHeight="1" x14ac:dyDescent="0.2">
      <c r="E59" s="675"/>
      <c r="F59" s="675"/>
      <c r="G59" s="675"/>
      <c r="H59" s="676"/>
      <c r="I59" s="676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U59" s="675"/>
      <c r="V59" s="675"/>
      <c r="W59" s="675"/>
      <c r="X59" s="675"/>
      <c r="Y59" s="675"/>
    </row>
    <row r="60" spans="1:25" s="140" customFormat="1" ht="10.199999999999999" x14ac:dyDescent="0.2">
      <c r="A60" s="519"/>
      <c r="B60" s="618" t="s">
        <v>1554</v>
      </c>
      <c r="C60" s="643"/>
      <c r="D60" s="619" t="s">
        <v>0</v>
      </c>
      <c r="E60" s="642">
        <v>0</v>
      </c>
      <c r="F60" s="642">
        <v>0</v>
      </c>
      <c r="G60" s="642">
        <v>0</v>
      </c>
      <c r="H60" s="620">
        <f>SUM(E60:G60)</f>
        <v>0</v>
      </c>
      <c r="I60" s="621" t="str">
        <f>IF(H60&gt;H61,"Voitto",IF(H60=H61,"Tasapeli","Häviö"))</f>
        <v>Tasapeli</v>
      </c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519"/>
      <c r="U60" s="624">
        <f t="shared" ref="U60" si="30">H60</f>
        <v>0</v>
      </c>
      <c r="V60" s="624"/>
      <c r="W60" s="624" t="str">
        <f>IF((J60=0)*AND(J61=0),"1","0")</f>
        <v>1</v>
      </c>
      <c r="X60" s="624" t="str">
        <f>IF((J60=0)*AND(J61&gt;0),"1","0")</f>
        <v>0</v>
      </c>
      <c r="Y60" s="624" t="str">
        <f>IF((J60&gt;0)*AND(J61=0),"1","0")</f>
        <v>0</v>
      </c>
    </row>
    <row r="61" spans="1:25" s="140" customFormat="1" ht="10.199999999999999" x14ac:dyDescent="0.2">
      <c r="A61" s="519"/>
      <c r="B61" s="672"/>
      <c r="C61" s="643"/>
      <c r="D61" s="643"/>
      <c r="E61" s="642">
        <v>0</v>
      </c>
      <c r="F61" s="642">
        <v>0</v>
      </c>
      <c r="G61" s="642">
        <v>0</v>
      </c>
      <c r="H61" s="622">
        <f>SUM(E61:G61)</f>
        <v>0</v>
      </c>
      <c r="I61" s="623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519"/>
      <c r="U61" s="624"/>
      <c r="V61" s="624">
        <f t="shared" ref="V61" si="31">H61</f>
        <v>0</v>
      </c>
      <c r="W61" s="624"/>
      <c r="X61" s="624"/>
      <c r="Y61" s="624"/>
    </row>
    <row r="62" spans="1:25" s="140" customFormat="1" ht="3.75" customHeight="1" x14ac:dyDescent="0.2">
      <c r="E62" s="675"/>
      <c r="F62" s="675"/>
      <c r="G62" s="675"/>
      <c r="H62" s="676"/>
      <c r="I62" s="676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U62" s="675"/>
      <c r="V62" s="675"/>
      <c r="W62" s="675"/>
      <c r="X62" s="675"/>
      <c r="Y62" s="675"/>
    </row>
    <row r="63" spans="1:25" s="140" customFormat="1" ht="10.199999999999999" x14ac:dyDescent="0.2">
      <c r="A63" s="519"/>
      <c r="B63" s="618" t="s">
        <v>1555</v>
      </c>
      <c r="C63" s="643"/>
      <c r="D63" s="619" t="s">
        <v>0</v>
      </c>
      <c r="E63" s="642">
        <v>0</v>
      </c>
      <c r="F63" s="642">
        <v>0</v>
      </c>
      <c r="G63" s="642">
        <v>0</v>
      </c>
      <c r="H63" s="620">
        <f>SUM(E63:G63)</f>
        <v>0</v>
      </c>
      <c r="I63" s="621" t="str">
        <f>IF(H63&gt;H64,"Voitto",IF(H63=H64,"Tasapeli","Häviö"))</f>
        <v>Tasapeli</v>
      </c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519"/>
      <c r="U63" s="624">
        <f t="shared" ref="U63" si="32">H63</f>
        <v>0</v>
      </c>
      <c r="V63" s="624"/>
      <c r="W63" s="624" t="str">
        <f>IF((J63=0)*AND(J64=0),"1","0")</f>
        <v>1</v>
      </c>
      <c r="X63" s="624" t="str">
        <f>IF((J63=0)*AND(J64&gt;0),"1","0")</f>
        <v>0</v>
      </c>
      <c r="Y63" s="624" t="str">
        <f>IF((J63&gt;0)*AND(J64=0),"1","0")</f>
        <v>0</v>
      </c>
    </row>
    <row r="64" spans="1:25" s="140" customFormat="1" ht="10.199999999999999" x14ac:dyDescent="0.2">
      <c r="A64" s="519"/>
      <c r="B64" s="672"/>
      <c r="C64" s="643"/>
      <c r="D64" s="643"/>
      <c r="E64" s="642">
        <v>0</v>
      </c>
      <c r="F64" s="642">
        <v>0</v>
      </c>
      <c r="G64" s="642">
        <v>0</v>
      </c>
      <c r="H64" s="622">
        <f>SUM(E64:G64)</f>
        <v>0</v>
      </c>
      <c r="I64" s="623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519"/>
      <c r="U64" s="624"/>
      <c r="V64" s="624">
        <f t="shared" ref="V64" si="33">H64</f>
        <v>0</v>
      </c>
      <c r="W64" s="624"/>
      <c r="X64" s="624"/>
      <c r="Y64" s="624"/>
    </row>
    <row r="65" spans="1:25" s="140" customFormat="1" ht="7.5" customHeight="1" thickBot="1" x14ac:dyDescent="0.25">
      <c r="E65" s="675"/>
      <c r="F65" s="675"/>
      <c r="G65" s="675"/>
      <c r="H65" s="676"/>
      <c r="I65" s="676"/>
      <c r="J65" s="675"/>
      <c r="K65" s="675"/>
      <c r="L65" s="675"/>
      <c r="M65" s="675"/>
      <c r="N65" s="675"/>
      <c r="O65" s="675"/>
      <c r="P65" s="675"/>
      <c r="Q65" s="675"/>
      <c r="R65" s="675"/>
      <c r="S65" s="675"/>
      <c r="U65" s="675"/>
      <c r="V65" s="675"/>
      <c r="W65" s="675"/>
      <c r="X65" s="675"/>
      <c r="Y65" s="675"/>
    </row>
    <row r="66" spans="1:25" x14ac:dyDescent="0.3">
      <c r="A66" s="357"/>
      <c r="B66" s="357"/>
      <c r="C66" s="357"/>
      <c r="D66" s="668"/>
      <c r="E66" s="627"/>
      <c r="F66" s="669"/>
      <c r="G66" s="669"/>
      <c r="H66" s="669"/>
      <c r="I66" s="670"/>
      <c r="J66" s="669"/>
      <c r="K66" s="669"/>
      <c r="L66" s="669"/>
      <c r="M66" s="669"/>
      <c r="N66" s="669"/>
      <c r="O66" s="669"/>
      <c r="P66" s="669"/>
      <c r="Q66" s="669"/>
      <c r="R66" s="669"/>
      <c r="S66" s="628"/>
      <c r="T66" s="357"/>
      <c r="U66" s="358"/>
      <c r="V66" s="358"/>
      <c r="W66" s="358"/>
      <c r="X66" s="358"/>
      <c r="Y66" s="358"/>
    </row>
    <row r="67" spans="1:25" x14ac:dyDescent="0.3">
      <c r="A67" s="357"/>
      <c r="B67" s="357"/>
      <c r="C67" s="357"/>
      <c r="D67" s="665" t="str">
        <f>C2</f>
        <v>2017-2018</v>
      </c>
      <c r="E67" s="630"/>
      <c r="F67" s="666"/>
      <c r="G67" s="655" t="s">
        <v>0</v>
      </c>
      <c r="H67" s="611">
        <f>SUM(H6,H9,H12,H15,H18,H21,H24,H27,H30,H33,H36,H39,H42,H45,H48,H51,H54,H57,H60,H63)</f>
        <v>0</v>
      </c>
      <c r="I67" s="671"/>
      <c r="J67" s="656">
        <f t="shared" ref="J67:M68" si="34">SUM(J6,J9,J12,J15,J18,J21,J24,J27,J30,J33,J36,J39,J42,J45,J48,J51,J54,J57,J60,J63)</f>
        <v>0</v>
      </c>
      <c r="K67" s="613">
        <f t="shared" si="34"/>
        <v>0</v>
      </c>
      <c r="L67" s="613">
        <f t="shared" si="34"/>
        <v>0</v>
      </c>
      <c r="M67" s="613">
        <f t="shared" si="34"/>
        <v>0</v>
      </c>
      <c r="N67" s="667" t="s">
        <v>1567</v>
      </c>
      <c r="O67" s="613">
        <f t="shared" ref="O67:R68" si="35">SUM(O6,O9,O12,O15,O18,O21,O24,O27,O30,O33,O36,O39,O42,O45,O48,O51,O54,O57,O60,O63)</f>
        <v>0</v>
      </c>
      <c r="P67" s="613">
        <f t="shared" si="35"/>
        <v>0</v>
      </c>
      <c r="Q67" s="613">
        <f t="shared" si="35"/>
        <v>0</v>
      </c>
      <c r="R67" s="613">
        <f t="shared" si="35"/>
        <v>0</v>
      </c>
      <c r="S67" s="632"/>
      <c r="T67" s="357"/>
      <c r="U67" s="358"/>
      <c r="V67" s="358"/>
      <c r="W67" s="358"/>
      <c r="X67" s="358"/>
      <c r="Y67" s="358"/>
    </row>
    <row r="68" spans="1:25" x14ac:dyDescent="0.3">
      <c r="A68" s="357"/>
      <c r="B68" s="357"/>
      <c r="C68" s="357"/>
      <c r="D68" s="629"/>
      <c r="E68" s="630"/>
      <c r="F68" s="518"/>
      <c r="G68" s="657" t="s">
        <v>1436</v>
      </c>
      <c r="H68" s="658">
        <f>SUM(H7,H10,H13,H16,H19,H22,H25,H28,H31,H34,H37,H40,H43,H46,H49,H52,H55,H58,H61,H64)</f>
        <v>0</v>
      </c>
      <c r="I68" s="671"/>
      <c r="J68" s="647">
        <f t="shared" si="34"/>
        <v>0</v>
      </c>
      <c r="K68" s="659">
        <f t="shared" si="34"/>
        <v>0</v>
      </c>
      <c r="L68" s="659">
        <f t="shared" si="34"/>
        <v>0</v>
      </c>
      <c r="M68" s="659">
        <f t="shared" si="34"/>
        <v>0</v>
      </c>
      <c r="N68" s="660" t="s">
        <v>1567</v>
      </c>
      <c r="O68" s="659">
        <f t="shared" si="35"/>
        <v>0</v>
      </c>
      <c r="P68" s="659">
        <f t="shared" si="35"/>
        <v>0</v>
      </c>
      <c r="Q68" s="659">
        <f t="shared" si="35"/>
        <v>0</v>
      </c>
      <c r="R68" s="659">
        <f t="shared" si="35"/>
        <v>0</v>
      </c>
      <c r="S68" s="632"/>
      <c r="T68" s="357"/>
      <c r="U68" s="358"/>
      <c r="V68" s="358"/>
      <c r="W68" s="358"/>
      <c r="X68" s="358"/>
      <c r="Y68" s="358"/>
    </row>
    <row r="69" spans="1:25" x14ac:dyDescent="0.3">
      <c r="A69" s="357"/>
      <c r="B69" s="357"/>
      <c r="C69" s="357"/>
      <c r="D69" s="629"/>
      <c r="E69" s="631"/>
      <c r="F69" s="631"/>
      <c r="G69" s="631"/>
      <c r="H69" s="631"/>
      <c r="I69" s="631"/>
      <c r="J69" s="613" t="s">
        <v>1557</v>
      </c>
      <c r="K69" s="613" t="s">
        <v>1556</v>
      </c>
      <c r="L69" s="613" t="s">
        <v>1419</v>
      </c>
      <c r="M69" s="613" t="s">
        <v>1420</v>
      </c>
      <c r="N69" s="659" t="s">
        <v>1424</v>
      </c>
      <c r="O69" s="613" t="s">
        <v>1425</v>
      </c>
      <c r="P69" s="613" t="s">
        <v>1535</v>
      </c>
      <c r="Q69" s="613" t="s">
        <v>1536</v>
      </c>
      <c r="R69" s="613" t="s">
        <v>1559</v>
      </c>
      <c r="S69" s="632"/>
      <c r="T69" s="357"/>
      <c r="U69" s="358"/>
      <c r="V69" s="358"/>
      <c r="W69" s="358"/>
      <c r="X69" s="358"/>
      <c r="Y69" s="358"/>
    </row>
    <row r="70" spans="1:25" x14ac:dyDescent="0.3">
      <c r="A70" s="357"/>
      <c r="B70" s="357"/>
      <c r="C70" s="357"/>
      <c r="D70" s="629"/>
      <c r="E70" s="631"/>
      <c r="F70" s="645"/>
      <c r="G70" s="646" t="s">
        <v>1558</v>
      </c>
      <c r="H70" s="647">
        <f>H67-H68</f>
        <v>0</v>
      </c>
      <c r="I70" s="631"/>
      <c r="J70" s="631"/>
      <c r="K70" s="631"/>
      <c r="L70" s="631"/>
      <c r="M70" s="631"/>
      <c r="N70" s="631"/>
      <c r="O70" s="631"/>
      <c r="P70" s="631"/>
      <c r="Q70" s="631"/>
      <c r="R70" s="631"/>
      <c r="S70" s="632"/>
      <c r="T70" s="357"/>
      <c r="U70" s="358"/>
      <c r="V70" s="358"/>
      <c r="W70" s="358"/>
      <c r="X70" s="358"/>
      <c r="Y70" s="358"/>
    </row>
    <row r="71" spans="1:25" x14ac:dyDescent="0.3">
      <c r="A71" s="357"/>
      <c r="B71" s="357"/>
      <c r="C71" s="357"/>
      <c r="D71" s="629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1"/>
      <c r="P71" s="631"/>
      <c r="Q71" s="631"/>
      <c r="R71" s="631"/>
      <c r="S71" s="632"/>
      <c r="T71" s="357"/>
      <c r="U71" s="358"/>
      <c r="V71" s="358"/>
      <c r="W71" s="358"/>
      <c r="X71" s="358"/>
      <c r="Y71" s="358"/>
    </row>
    <row r="72" spans="1:25" x14ac:dyDescent="0.3">
      <c r="A72" s="357"/>
      <c r="B72" s="357"/>
      <c r="C72" s="357"/>
      <c r="D72" s="629"/>
      <c r="E72" s="631"/>
      <c r="F72" s="648"/>
      <c r="G72" s="649" t="s">
        <v>135</v>
      </c>
      <c r="H72" s="650">
        <f>COUNTIF(I6:I64,"Voitto")</f>
        <v>0</v>
      </c>
      <c r="I72" s="631"/>
      <c r="J72" s="648">
        <f>COUNTIF(W6:W64,"1")</f>
        <v>20</v>
      </c>
      <c r="K72" s="661" t="s">
        <v>696</v>
      </c>
      <c r="L72" s="610"/>
      <c r="M72" s="610"/>
      <c r="N72" s="610"/>
      <c r="O72" s="650"/>
      <c r="P72" s="631"/>
      <c r="Q72" s="631"/>
      <c r="R72" s="631"/>
      <c r="S72" s="632"/>
      <c r="T72" s="357"/>
      <c r="U72" s="358"/>
      <c r="V72" s="358"/>
      <c r="W72" s="358"/>
      <c r="X72" s="358"/>
      <c r="Y72" s="358"/>
    </row>
    <row r="73" spans="1:25" x14ac:dyDescent="0.3">
      <c r="A73" s="357"/>
      <c r="B73" s="357"/>
      <c r="C73" s="357"/>
      <c r="D73" s="629"/>
      <c r="E73" s="631"/>
      <c r="F73" s="651"/>
      <c r="G73" s="652" t="s">
        <v>137</v>
      </c>
      <c r="H73" s="653">
        <f>COUNTIF(I6:I64,"Tasapeli")</f>
        <v>20</v>
      </c>
      <c r="I73" s="631"/>
      <c r="J73" s="651">
        <f>COUNTIF(X6:X64,"1")</f>
        <v>0</v>
      </c>
      <c r="K73" s="318" t="s">
        <v>1561</v>
      </c>
      <c r="L73" s="324"/>
      <c r="M73" s="324"/>
      <c r="N73" s="324"/>
      <c r="O73" s="653"/>
      <c r="P73" s="631"/>
      <c r="Q73" s="631"/>
      <c r="R73" s="631"/>
      <c r="S73" s="632"/>
      <c r="T73" s="357"/>
      <c r="U73" s="358"/>
      <c r="V73" s="358"/>
      <c r="W73" s="358"/>
      <c r="X73" s="358"/>
      <c r="Y73" s="358"/>
    </row>
    <row r="74" spans="1:25" x14ac:dyDescent="0.3">
      <c r="A74" s="357"/>
      <c r="B74" s="357"/>
      <c r="C74" s="357"/>
      <c r="D74" s="629"/>
      <c r="E74" s="631"/>
      <c r="F74" s="654"/>
      <c r="G74" s="655" t="s">
        <v>136</v>
      </c>
      <c r="H74" s="656">
        <f>COUNTIF(I6:I64,"Häviö")</f>
        <v>0</v>
      </c>
      <c r="I74" s="631"/>
      <c r="J74" s="654">
        <f>COUNTIF(Y6:Y64,"1")</f>
        <v>0</v>
      </c>
      <c r="K74" s="662" t="s">
        <v>1562</v>
      </c>
      <c r="L74" s="611"/>
      <c r="M74" s="611"/>
      <c r="N74" s="611"/>
      <c r="O74" s="656"/>
      <c r="P74" s="631"/>
      <c r="Q74" s="631"/>
      <c r="R74" s="631"/>
      <c r="S74" s="632"/>
      <c r="T74" s="357"/>
      <c r="U74" s="358"/>
      <c r="V74" s="358"/>
      <c r="W74" s="358"/>
      <c r="X74" s="358"/>
      <c r="Y74" s="358"/>
    </row>
    <row r="75" spans="1:25" x14ac:dyDescent="0.3">
      <c r="A75" s="357"/>
      <c r="B75" s="357"/>
      <c r="C75" s="357"/>
      <c r="D75" s="629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632"/>
      <c r="T75" s="357"/>
      <c r="U75" s="358"/>
      <c r="V75" s="358"/>
      <c r="W75" s="358"/>
      <c r="X75" s="358"/>
      <c r="Y75" s="358"/>
    </row>
    <row r="76" spans="1:25" x14ac:dyDescent="0.3">
      <c r="A76" s="357"/>
      <c r="B76" s="357"/>
      <c r="C76" s="357"/>
      <c r="D76" s="629"/>
      <c r="E76" s="631"/>
      <c r="F76" s="648" t="s">
        <v>1560</v>
      </c>
      <c r="G76" s="610" t="s">
        <v>0</v>
      </c>
      <c r="H76" s="650">
        <f>COUNTIF(U6:U64,"0")</f>
        <v>20</v>
      </c>
      <c r="I76" s="631"/>
      <c r="J76" s="648">
        <f>MIN(S6,S9,S12,S15,S18,S21,S24,S27,S30,S33,S36,S39,S42,S45,S48,S51,S54,S57,S60,S63)</f>
        <v>0</v>
      </c>
      <c r="K76" s="661" t="s">
        <v>1564</v>
      </c>
      <c r="L76" s="610"/>
      <c r="M76" s="610"/>
      <c r="N76" s="610"/>
      <c r="O76" s="650"/>
      <c r="P76" s="631"/>
      <c r="Q76" s="631"/>
      <c r="R76" s="631"/>
      <c r="S76" s="632"/>
      <c r="T76" s="357"/>
      <c r="U76" s="358"/>
      <c r="V76" s="358"/>
      <c r="W76" s="358"/>
      <c r="X76" s="358"/>
      <c r="Y76" s="358"/>
    </row>
    <row r="77" spans="1:25" x14ac:dyDescent="0.3">
      <c r="A77" s="357"/>
      <c r="B77" s="357"/>
      <c r="C77" s="357"/>
      <c r="D77" s="629"/>
      <c r="E77" s="631"/>
      <c r="F77" s="654"/>
      <c r="G77" s="611" t="s">
        <v>543</v>
      </c>
      <c r="H77" s="656">
        <f>COUNTIF(V6:V64,"0")</f>
        <v>20</v>
      </c>
      <c r="I77" s="631"/>
      <c r="J77" s="654">
        <f>MAX(S6,S9,S12,S15,S18,S21,S24,S27,S30,S33,S36,S39,S42,S45,S48,S51,S54,S57,S60,S63)</f>
        <v>0</v>
      </c>
      <c r="K77" s="662" t="s">
        <v>1563</v>
      </c>
      <c r="L77" s="435"/>
      <c r="M77" s="435"/>
      <c r="N77" s="611"/>
      <c r="O77" s="656"/>
      <c r="P77" s="631"/>
      <c r="Q77" s="631"/>
      <c r="R77" s="631"/>
      <c r="S77" s="632"/>
      <c r="T77" s="357"/>
      <c r="U77" s="358"/>
      <c r="V77" s="358"/>
      <c r="W77" s="358"/>
      <c r="X77" s="358"/>
      <c r="Y77" s="358"/>
    </row>
    <row r="78" spans="1:25" x14ac:dyDescent="0.3">
      <c r="A78" s="357"/>
      <c r="B78" s="357"/>
      <c r="C78" s="357"/>
      <c r="D78" s="629"/>
      <c r="E78" s="631"/>
      <c r="F78" s="631"/>
      <c r="G78" s="631"/>
      <c r="H78" s="631"/>
      <c r="I78" s="631"/>
      <c r="J78" s="274"/>
      <c r="K78" s="633"/>
      <c r="L78" s="274"/>
      <c r="M78" s="274"/>
      <c r="N78" s="631"/>
      <c r="O78" s="631"/>
      <c r="P78" s="631"/>
      <c r="Q78" s="631"/>
      <c r="R78" s="631"/>
      <c r="S78" s="632"/>
      <c r="T78" s="357"/>
      <c r="U78" s="358"/>
      <c r="V78" s="358"/>
      <c r="W78" s="358"/>
      <c r="X78" s="358"/>
      <c r="Y78" s="358"/>
    </row>
    <row r="79" spans="1:25" x14ac:dyDescent="0.3">
      <c r="A79" s="357"/>
      <c r="B79" s="357"/>
      <c r="C79" s="357"/>
      <c r="D79" s="634"/>
      <c r="E79" s="274"/>
      <c r="F79" s="274"/>
      <c r="G79" s="274"/>
      <c r="H79" s="631"/>
      <c r="I79" s="631"/>
      <c r="J79" s="648">
        <f>MAX(S7,S10,S13,S16,S19,S22,S25,S28,S31,S34,S37,S40,S43,S46,S49,S52,S55,S58,S61,S64)</f>
        <v>0</v>
      </c>
      <c r="K79" s="661" t="s">
        <v>1565</v>
      </c>
      <c r="L79" s="430"/>
      <c r="M79" s="430"/>
      <c r="N79" s="430"/>
      <c r="O79" s="663"/>
      <c r="P79" s="274"/>
      <c r="Q79" s="274"/>
      <c r="R79" s="274"/>
      <c r="S79" s="635"/>
      <c r="T79" s="357"/>
      <c r="U79" s="358"/>
      <c r="V79" s="358"/>
      <c r="W79" s="358"/>
      <c r="X79" s="358"/>
      <c r="Y79" s="358"/>
    </row>
    <row r="80" spans="1:25" x14ac:dyDescent="0.3">
      <c r="A80" s="357"/>
      <c r="B80" s="357"/>
      <c r="C80" s="357"/>
      <c r="D80" s="634"/>
      <c r="E80" s="274"/>
      <c r="F80" s="274"/>
      <c r="G80" s="274"/>
      <c r="H80" s="631"/>
      <c r="I80" s="631"/>
      <c r="J80" s="654">
        <f>MIN(S7,S10,S13,S16,S19,S22,S25,S28,S31,S34,S37,S40,S43,S46,S49,S52,S55,S58,S61,S64)</f>
        <v>0</v>
      </c>
      <c r="K80" s="662" t="s">
        <v>1566</v>
      </c>
      <c r="L80" s="611"/>
      <c r="M80" s="611"/>
      <c r="N80" s="435"/>
      <c r="O80" s="664"/>
      <c r="P80" s="274"/>
      <c r="Q80" s="274"/>
      <c r="R80" s="274"/>
      <c r="S80" s="635"/>
      <c r="T80" s="357"/>
      <c r="U80" s="358"/>
      <c r="V80" s="358"/>
      <c r="W80" s="358"/>
      <c r="X80" s="358"/>
      <c r="Y80" s="358"/>
    </row>
    <row r="81" spans="1:25" ht="15" thickBot="1" x14ac:dyDescent="0.35">
      <c r="A81" s="357"/>
      <c r="B81" s="357"/>
      <c r="C81" s="357"/>
      <c r="D81" s="636"/>
      <c r="E81" s="637"/>
      <c r="F81" s="637"/>
      <c r="G81" s="637"/>
      <c r="H81" s="638"/>
      <c r="I81" s="638"/>
      <c r="J81" s="637"/>
      <c r="K81" s="637"/>
      <c r="L81" s="637"/>
      <c r="M81" s="637"/>
      <c r="N81" s="637"/>
      <c r="O81" s="637"/>
      <c r="P81" s="637"/>
      <c r="Q81" s="637"/>
      <c r="R81" s="637"/>
      <c r="S81" s="639"/>
      <c r="T81" s="357"/>
      <c r="U81" s="358"/>
      <c r="V81" s="358"/>
      <c r="W81" s="358"/>
      <c r="X81" s="358"/>
      <c r="Y81" s="358"/>
    </row>
    <row r="82" spans="1:25" x14ac:dyDescent="0.3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</row>
    <row r="86" spans="1:25" x14ac:dyDescent="0.3">
      <c r="C86" s="205" t="s">
        <v>1645</v>
      </c>
      <c r="E86" s="265" t="str">
        <f>C2</f>
        <v>2017-2018</v>
      </c>
      <c r="G86" s="356" t="str">
        <f>E2</f>
        <v>IV-</v>
      </c>
      <c r="H86" s="266" t="str">
        <f>F2</f>
        <v>Divisioona</v>
      </c>
      <c r="J86" s="356" t="s">
        <v>1646</v>
      </c>
      <c r="K86" s="266">
        <f>J2</f>
        <v>12</v>
      </c>
    </row>
    <row r="87" spans="1:25" x14ac:dyDescent="0.3">
      <c r="C87" s="205"/>
    </row>
    <row r="88" spans="1:25" x14ac:dyDescent="0.3">
      <c r="C88" s="205"/>
      <c r="D88" s="205"/>
      <c r="E88" s="703" t="s">
        <v>877</v>
      </c>
      <c r="F88" s="704" t="s">
        <v>990</v>
      </c>
      <c r="G88" s="704" t="s">
        <v>991</v>
      </c>
      <c r="H88" s="704" t="s">
        <v>992</v>
      </c>
      <c r="I88" s="704" t="s">
        <v>139</v>
      </c>
      <c r="J88" s="704" t="s">
        <v>993</v>
      </c>
      <c r="K88" s="704" t="s">
        <v>994</v>
      </c>
      <c r="L88" s="705" t="s">
        <v>610</v>
      </c>
    </row>
    <row r="89" spans="1:25" x14ac:dyDescent="0.3">
      <c r="C89" s="205">
        <v>1</v>
      </c>
      <c r="D89" s="702" t="s">
        <v>1245</v>
      </c>
      <c r="E89" s="706">
        <v>16</v>
      </c>
      <c r="F89" s="707">
        <v>11</v>
      </c>
      <c r="G89" s="707">
        <v>2</v>
      </c>
      <c r="H89" s="707">
        <v>3</v>
      </c>
      <c r="I89" s="707">
        <v>92</v>
      </c>
      <c r="J89" s="707">
        <v>64</v>
      </c>
      <c r="K89" s="82">
        <f>I89-J89</f>
        <v>28</v>
      </c>
      <c r="L89" s="708">
        <v>24</v>
      </c>
    </row>
    <row r="90" spans="1:25" x14ac:dyDescent="0.3">
      <c r="C90" s="205">
        <v>2</v>
      </c>
      <c r="D90" s="702" t="s">
        <v>1220</v>
      </c>
      <c r="E90" s="709">
        <v>16</v>
      </c>
      <c r="F90" s="709">
        <v>10</v>
      </c>
      <c r="G90" s="709">
        <v>3</v>
      </c>
      <c r="H90" s="709">
        <v>3</v>
      </c>
      <c r="I90" s="709">
        <v>97</v>
      </c>
      <c r="J90" s="709">
        <v>54</v>
      </c>
      <c r="K90" s="8">
        <f t="shared" ref="K90:K97" si="36">I90-J90</f>
        <v>43</v>
      </c>
      <c r="L90" s="710">
        <v>23</v>
      </c>
    </row>
    <row r="91" spans="1:25" x14ac:dyDescent="0.3">
      <c r="C91" s="205">
        <v>3</v>
      </c>
      <c r="D91" s="702" t="s">
        <v>1403</v>
      </c>
      <c r="E91" s="706">
        <v>16</v>
      </c>
      <c r="F91" s="707">
        <v>10</v>
      </c>
      <c r="G91" s="707">
        <v>1</v>
      </c>
      <c r="H91" s="707">
        <v>5</v>
      </c>
      <c r="I91" s="707">
        <v>99</v>
      </c>
      <c r="J91" s="707">
        <v>63</v>
      </c>
      <c r="K91" s="82">
        <f t="shared" si="36"/>
        <v>36</v>
      </c>
      <c r="L91" s="708">
        <v>21</v>
      </c>
    </row>
    <row r="92" spans="1:25" x14ac:dyDescent="0.3">
      <c r="C92" s="205">
        <v>4</v>
      </c>
      <c r="D92" s="702" t="s">
        <v>1639</v>
      </c>
      <c r="E92" s="709">
        <v>16</v>
      </c>
      <c r="F92" s="709">
        <v>9</v>
      </c>
      <c r="G92" s="709">
        <v>2</v>
      </c>
      <c r="H92" s="709">
        <v>5</v>
      </c>
      <c r="I92" s="709">
        <v>71</v>
      </c>
      <c r="J92" s="709">
        <v>63</v>
      </c>
      <c r="K92" s="8">
        <f t="shared" si="36"/>
        <v>8</v>
      </c>
      <c r="L92" s="710">
        <v>20</v>
      </c>
    </row>
    <row r="93" spans="1:25" x14ac:dyDescent="0.3">
      <c r="C93" s="205">
        <v>5</v>
      </c>
      <c r="D93" s="702" t="s">
        <v>1394</v>
      </c>
      <c r="E93" s="706">
        <v>16</v>
      </c>
      <c r="F93" s="707">
        <v>9</v>
      </c>
      <c r="G93" s="707">
        <v>1</v>
      </c>
      <c r="H93" s="707">
        <v>6</v>
      </c>
      <c r="I93" s="707">
        <v>64</v>
      </c>
      <c r="J93" s="707">
        <v>42</v>
      </c>
      <c r="K93" s="82">
        <f t="shared" si="36"/>
        <v>22</v>
      </c>
      <c r="L93" s="708">
        <v>19</v>
      </c>
    </row>
    <row r="94" spans="1:25" x14ac:dyDescent="0.3">
      <c r="C94" s="205">
        <v>6</v>
      </c>
      <c r="D94" s="702" t="s">
        <v>1396</v>
      </c>
      <c r="E94" s="709">
        <v>16</v>
      </c>
      <c r="F94" s="709">
        <v>7</v>
      </c>
      <c r="G94" s="709">
        <v>2</v>
      </c>
      <c r="H94" s="709">
        <v>7</v>
      </c>
      <c r="I94" s="709">
        <v>74</v>
      </c>
      <c r="J94" s="709">
        <v>70</v>
      </c>
      <c r="K94" s="8">
        <f t="shared" si="36"/>
        <v>4</v>
      </c>
      <c r="L94" s="710">
        <v>16</v>
      </c>
    </row>
    <row r="95" spans="1:25" x14ac:dyDescent="0.3">
      <c r="C95" s="205">
        <v>7</v>
      </c>
      <c r="D95" s="702" t="s">
        <v>0</v>
      </c>
      <c r="E95" s="706">
        <v>16</v>
      </c>
      <c r="F95" s="707">
        <v>5</v>
      </c>
      <c r="G95" s="707">
        <v>1</v>
      </c>
      <c r="H95" s="707">
        <v>10</v>
      </c>
      <c r="I95" s="707">
        <v>63</v>
      </c>
      <c r="J95" s="707">
        <v>75</v>
      </c>
      <c r="K95" s="82">
        <f t="shared" si="36"/>
        <v>-12</v>
      </c>
      <c r="L95" s="708">
        <v>11</v>
      </c>
    </row>
    <row r="96" spans="1:25" x14ac:dyDescent="0.3">
      <c r="C96" s="205">
        <v>8</v>
      </c>
      <c r="D96" s="702" t="s">
        <v>1584</v>
      </c>
      <c r="E96" s="709">
        <v>16</v>
      </c>
      <c r="F96" s="709">
        <v>3</v>
      </c>
      <c r="G96" s="709">
        <v>2</v>
      </c>
      <c r="H96" s="709">
        <v>11</v>
      </c>
      <c r="I96" s="709">
        <v>41</v>
      </c>
      <c r="J96" s="709">
        <v>96</v>
      </c>
      <c r="K96" s="8">
        <f t="shared" si="36"/>
        <v>-55</v>
      </c>
      <c r="L96" s="710">
        <v>8</v>
      </c>
    </row>
    <row r="97" spans="3:12" x14ac:dyDescent="0.3">
      <c r="C97" s="205">
        <v>9</v>
      </c>
      <c r="D97" s="702" t="s">
        <v>1638</v>
      </c>
      <c r="E97" s="706">
        <v>16</v>
      </c>
      <c r="F97" s="707">
        <v>0</v>
      </c>
      <c r="G97" s="707">
        <v>2</v>
      </c>
      <c r="H97" s="707">
        <v>14</v>
      </c>
      <c r="I97" s="707">
        <v>44</v>
      </c>
      <c r="J97" s="707">
        <v>118</v>
      </c>
      <c r="K97" s="82">
        <f t="shared" si="36"/>
        <v>-74</v>
      </c>
      <c r="L97" s="708">
        <v>2</v>
      </c>
    </row>
  </sheetData>
  <sheetProtection sheet="1" objects="1" scenarios="1"/>
  <dataValidations count="26">
    <dataValidation type="list" allowBlank="1" showInputMessage="1" showErrorMessage="1" sqref="D93:D97" xr:uid="{00000000-0002-0000-0600-000000000000}">
      <formula1>INDIRECT(VLOOKUP(C60,KausiVlookup,2,TRUE))</formula1>
    </dataValidation>
    <dataValidation type="list" allowBlank="1" showInputMessage="1" showErrorMessage="1" sqref="D91:D92" xr:uid="{00000000-0002-0000-0600-000001000000}">
      <formula1>INDIRECT(VLOOKUP(C57,KausiVlookup,2,TRUE))</formula1>
    </dataValidation>
    <dataValidation type="list" allowBlank="1" showInputMessage="1" showErrorMessage="1" sqref="D64" xr:uid="{00000000-0002-0000-0600-000002000000}">
      <formula1>INDIRECT(VLOOKUP(C2,KausiVlookup,2,TRUE))</formula1>
    </dataValidation>
    <dataValidation type="list" allowBlank="1" showInputMessage="1" showErrorMessage="1" sqref="D61" xr:uid="{00000000-0002-0000-0600-000003000000}">
      <formula1>INDIRECT(VLOOKUP(C2,KausiVlookup,2,TRUE))</formula1>
    </dataValidation>
    <dataValidation type="list" allowBlank="1" showInputMessage="1" showErrorMessage="1" sqref="D58" xr:uid="{00000000-0002-0000-0600-000004000000}">
      <formula1>INDIRECT(VLOOKUP(C2,KausiVlookup,2,TRUE))</formula1>
    </dataValidation>
    <dataValidation type="list" allowBlank="1" showInputMessage="1" showErrorMessage="1" sqref="D55" xr:uid="{00000000-0002-0000-0600-000005000000}">
      <formula1>INDIRECT(VLOOKUP(C2,KausiVlookup,2,TRUE))</formula1>
    </dataValidation>
    <dataValidation type="list" allowBlank="1" showInputMessage="1" showErrorMessage="1" sqref="D52" xr:uid="{00000000-0002-0000-0600-000006000000}">
      <formula1>INDIRECT(VLOOKUP(C2,KausiVlookup,2,TRUE))</formula1>
    </dataValidation>
    <dataValidation type="list" allowBlank="1" showInputMessage="1" showErrorMessage="1" sqref="D49" xr:uid="{00000000-0002-0000-0600-000007000000}">
      <formula1>INDIRECT(VLOOKUP(C2,KausiVlookup,2,TRUE))</formula1>
    </dataValidation>
    <dataValidation type="list" allowBlank="1" showInputMessage="1" showErrorMessage="1" sqref="D46" xr:uid="{00000000-0002-0000-0600-000008000000}">
      <formula1>INDIRECT(VLOOKUP(C2,KausiVlookup,2,TRUE))</formula1>
    </dataValidation>
    <dataValidation type="list" allowBlank="1" showInputMessage="1" showErrorMessage="1" sqref="D43" xr:uid="{00000000-0002-0000-0600-000009000000}">
      <formula1>INDIRECT(VLOOKUP(C2,KausiVlookup,2,TRUE))</formula1>
    </dataValidation>
    <dataValidation type="list" allowBlank="1" showInputMessage="1" showErrorMessage="1" sqref="D40" xr:uid="{00000000-0002-0000-0600-00000A000000}">
      <formula1>INDIRECT(VLOOKUP(C2,KausiVlookup,2,TRUE))</formula1>
    </dataValidation>
    <dataValidation type="list" allowBlank="1" showInputMessage="1" showErrorMessage="1" sqref="D37 D89:D90" xr:uid="{00000000-0002-0000-0600-00000B000000}">
      <formula1>INDIRECT(VLOOKUP(C2,KausiVlookup,2,TRUE))</formula1>
    </dataValidation>
    <dataValidation type="list" allowBlank="1" showInputMessage="1" showErrorMessage="1" sqref="D34" xr:uid="{00000000-0002-0000-0600-00000C000000}">
      <formula1>INDIRECT(VLOOKUP(C2,KausiVlookup,2,TRUE))</formula1>
    </dataValidation>
    <dataValidation type="list" allowBlank="1" showInputMessage="1" showErrorMessage="1" sqref="D31" xr:uid="{00000000-0002-0000-0600-00000D000000}">
      <formula1>INDIRECT(VLOOKUP(C2,KausiVlookup,2,TRUE))</formula1>
    </dataValidation>
    <dataValidation type="list" allowBlank="1" showInputMessage="1" showErrorMessage="1" sqref="D28" xr:uid="{00000000-0002-0000-0600-00000E000000}">
      <formula1>INDIRECT(VLOOKUP(C2,KausiVlookup,2,TRUE))</formula1>
    </dataValidation>
    <dataValidation type="list" allowBlank="1" showInputMessage="1" showErrorMessage="1" sqref="D25" xr:uid="{00000000-0002-0000-0600-00000F000000}">
      <formula1>INDIRECT(VLOOKUP(C2,KausiVlookup,2,TRUE))</formula1>
    </dataValidation>
    <dataValidation type="list" allowBlank="1" showInputMessage="1" showErrorMessage="1" sqref="D22" xr:uid="{00000000-0002-0000-0600-000010000000}">
      <formula1>INDIRECT(VLOOKUP(C2,KausiVlookup,2,TRUE))</formula1>
    </dataValidation>
    <dataValidation type="list" allowBlank="1" showInputMessage="1" showErrorMessage="1" sqref="D19" xr:uid="{00000000-0002-0000-0600-000011000000}">
      <formula1>INDIRECT(VLOOKUP(C2,KausiVlookup,2,TRUE))</formula1>
    </dataValidation>
    <dataValidation type="list" allowBlank="1" showInputMessage="1" showErrorMessage="1" sqref="D16" xr:uid="{00000000-0002-0000-0600-000012000000}">
      <formula1>INDIRECT(VLOOKUP(C2,KausiVlookup,2,TRUE))</formula1>
    </dataValidation>
    <dataValidation type="list" allowBlank="1" showInputMessage="1" showErrorMessage="1" sqref="D13" xr:uid="{00000000-0002-0000-0600-000013000000}">
      <formula1>INDIRECT(VLOOKUP(C2,KausiVlookup,2,TRUE))</formula1>
    </dataValidation>
    <dataValidation type="list" allowBlank="1" showInputMessage="1" showErrorMessage="1" sqref="D10" xr:uid="{00000000-0002-0000-0600-000014000000}">
      <formula1>INDIRECT(VLOOKUP(C2,KausiVlookup,2,TRUE))</formula1>
    </dataValidation>
    <dataValidation type="list" allowBlank="1" showInputMessage="1" showErrorMessage="1" sqref="D7" xr:uid="{00000000-0002-0000-0600-000015000000}">
      <formula1>INDIRECT(VLOOKUP(C2,KausiVlookup,2,TRUE))</formula1>
    </dataValidation>
    <dataValidation type="list" allowBlank="1" showInputMessage="1" showErrorMessage="1" sqref="C7 C10 C13 C16 C19 C22 C25 C28 C31 C34 C37 C40 C43 C46 C49 C52 C55 C58 C61 C64" xr:uid="{00000000-0002-0000-0600-000016000000}">
      <formula1>Koti</formula1>
    </dataValidation>
    <dataValidation type="list" allowBlank="1" showInputMessage="1" showErrorMessage="1" sqref="C6 C9 C12 C15 C18 C21 C24 C27 C30 C33 C36 C39 C42 C45 C48 C51 C54 C57 C60 C63" xr:uid="{00000000-0002-0000-0600-000017000000}">
      <formula1>Hallit</formula1>
    </dataValidation>
    <dataValidation type="list" allowBlank="1" showInputMessage="1" showErrorMessage="1" sqref="C2" xr:uid="{00000000-0002-0000-0600-000018000000}">
      <formula1>Kaudet</formula1>
    </dataValidation>
    <dataValidation type="list" allowBlank="1" showInputMessage="1" showErrorMessage="1" sqref="E2" xr:uid="{00000000-0002-0000-0600-000019000000}">
      <formula1>Sarjat</formula1>
    </dataValidation>
  </dataValidations>
  <pageMargins left="0.19685039370078741" right="0.19685039370078741" top="0.19685039370078741" bottom="0.19685039370078741" header="0" footer="0"/>
  <pageSetup paperSize="9" scale="6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82"/>
  <sheetViews>
    <sheetView zoomScale="80" zoomScaleNormal="80" workbookViewId="0">
      <pane ySplit="4" topLeftCell="A5" activePane="bottomLeft" state="frozen"/>
      <selection pane="bottomLeft" activeCell="F100" sqref="F100"/>
    </sheetView>
  </sheetViews>
  <sheetFormatPr defaultColWidth="9.109375" defaultRowHeight="14.4" x14ac:dyDescent="0.3"/>
  <cols>
    <col min="1" max="1" width="2.88671875" customWidth="1"/>
    <col min="2" max="3" width="17.8867187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2.88671875" customWidth="1"/>
    <col min="21" max="25" width="8" style="8" hidden="1" customWidth="1"/>
    <col min="26" max="28" width="8" customWidth="1"/>
  </cols>
  <sheetData>
    <row r="1" spans="1:25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3">
      <c r="A2" s="357"/>
      <c r="B2" s="608" t="s">
        <v>1511</v>
      </c>
      <c r="C2" s="640" t="s">
        <v>1513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/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0.199999999999999" x14ac:dyDescent="0.2">
      <c r="A6" s="519"/>
      <c r="B6" s="618" t="s">
        <v>1516</v>
      </c>
      <c r="C6" s="643" t="s">
        <v>44</v>
      </c>
      <c r="D6" s="619" t="s">
        <v>0</v>
      </c>
      <c r="E6" s="642">
        <v>0</v>
      </c>
      <c r="F6" s="642">
        <v>0</v>
      </c>
      <c r="G6" s="642">
        <v>0</v>
      </c>
      <c r="H6" s="620">
        <f>SUM(E6:G6)</f>
        <v>0</v>
      </c>
      <c r="I6" s="621" t="str">
        <f>IF(H6&gt;H7,"Voitto",IF(H6=H7,"Tasapeli","Häviö"))</f>
        <v>Tasapeli</v>
      </c>
      <c r="J6" s="642"/>
      <c r="K6" s="642"/>
      <c r="L6" s="642"/>
      <c r="M6" s="642"/>
      <c r="N6" s="642"/>
      <c r="O6" s="642"/>
      <c r="P6" s="642"/>
      <c r="Q6" s="642"/>
      <c r="R6" s="642"/>
      <c r="S6" s="642"/>
      <c r="T6" s="519"/>
      <c r="U6" s="624">
        <f>H6</f>
        <v>0</v>
      </c>
      <c r="V6" s="624"/>
      <c r="W6" s="624" t="str">
        <f>IF((J6=0)*AND(J7=0),"1","0")</f>
        <v>1</v>
      </c>
      <c r="X6" s="624" t="str">
        <f>IF((J6=0)*AND(J7&gt;0),"1","0")</f>
        <v>0</v>
      </c>
      <c r="Y6" s="624" t="str">
        <f>IF((J6&gt;0)*AND(J7=0),"1","0")</f>
        <v>0</v>
      </c>
    </row>
    <row r="7" spans="1:25" s="140" customFormat="1" ht="10.199999999999999" x14ac:dyDescent="0.2">
      <c r="A7" s="519"/>
      <c r="B7" s="673" t="s">
        <v>1435</v>
      </c>
      <c r="C7" s="643" t="s">
        <v>1515</v>
      </c>
      <c r="D7" s="643" t="s">
        <v>1583</v>
      </c>
      <c r="E7" s="642">
        <v>0</v>
      </c>
      <c r="F7" s="642">
        <v>0</v>
      </c>
      <c r="G7" s="642">
        <v>0</v>
      </c>
      <c r="H7" s="622">
        <f>SUM(E7:G7)</f>
        <v>0</v>
      </c>
      <c r="I7" s="623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519"/>
      <c r="U7" s="624"/>
      <c r="V7" s="624">
        <f>H7</f>
        <v>0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0.199999999999999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0</v>
      </c>
      <c r="G9" s="642">
        <v>0</v>
      </c>
      <c r="H9" s="620">
        <f>SUM(E9:G9)</f>
        <v>0</v>
      </c>
      <c r="I9" s="621" t="str">
        <f>IF(H9&gt;H10,"Voitto",IF(H9=H10,"Tasapeli","Häviö"))</f>
        <v>Tasapeli</v>
      </c>
      <c r="J9" s="642"/>
      <c r="K9" s="642"/>
      <c r="L9" s="642"/>
      <c r="M9" s="642"/>
      <c r="N9" s="642"/>
      <c r="O9" s="642"/>
      <c r="P9" s="642"/>
      <c r="Q9" s="642"/>
      <c r="R9" s="642"/>
      <c r="S9" s="642"/>
      <c r="T9" s="519"/>
      <c r="U9" s="624">
        <f>H9</f>
        <v>0</v>
      </c>
      <c r="V9" s="624"/>
      <c r="W9" s="624" t="str">
        <f>IF((J9=0)*AND(J10=0),"1","0")</f>
        <v>1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0.199999999999999" x14ac:dyDescent="0.2">
      <c r="A10" s="519"/>
      <c r="B10" s="673" t="s">
        <v>1435</v>
      </c>
      <c r="C10" s="643" t="s">
        <v>1514</v>
      </c>
      <c r="D10" s="643" t="s">
        <v>1585</v>
      </c>
      <c r="E10" s="642">
        <v>0</v>
      </c>
      <c r="F10" s="642">
        <v>0</v>
      </c>
      <c r="G10" s="642">
        <v>0</v>
      </c>
      <c r="H10" s="622">
        <f>SUM(E10:G10)</f>
        <v>0</v>
      </c>
      <c r="I10" s="623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519"/>
      <c r="U10" s="624"/>
      <c r="V10" s="624">
        <f>H10</f>
        <v>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0.199999999999999" x14ac:dyDescent="0.2">
      <c r="A12" s="519"/>
      <c r="B12" s="618" t="s">
        <v>1538</v>
      </c>
      <c r="C12" s="643" t="s">
        <v>44</v>
      </c>
      <c r="D12" s="619" t="s">
        <v>0</v>
      </c>
      <c r="E12" s="642">
        <v>0</v>
      </c>
      <c r="F12" s="642">
        <v>0</v>
      </c>
      <c r="G12" s="642">
        <v>0</v>
      </c>
      <c r="H12" s="620">
        <f>SUM(E12:G12)</f>
        <v>0</v>
      </c>
      <c r="I12" s="621" t="str">
        <f>IF(H12&gt;H13,"Voitto",IF(H12=H13,"Tasapeli","Häviö"))</f>
        <v>Tasapeli</v>
      </c>
      <c r="J12" s="642"/>
      <c r="K12" s="642"/>
      <c r="L12" s="642"/>
      <c r="M12" s="642"/>
      <c r="N12" s="642"/>
      <c r="O12" s="642"/>
      <c r="P12" s="642"/>
      <c r="Q12" s="642"/>
      <c r="R12" s="642"/>
      <c r="S12" s="642"/>
      <c r="T12" s="519"/>
      <c r="U12" s="624">
        <f t="shared" ref="U12" si="0">H12</f>
        <v>0</v>
      </c>
      <c r="V12" s="624"/>
      <c r="W12" s="624" t="str">
        <f>IF((J12=0)*AND(J13=0),"1","0")</f>
        <v>1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0.199999999999999" x14ac:dyDescent="0.2">
      <c r="A13" s="519"/>
      <c r="B13" s="673" t="s">
        <v>1435</v>
      </c>
      <c r="C13" s="643" t="s">
        <v>1515</v>
      </c>
      <c r="D13" s="643" t="s">
        <v>1007</v>
      </c>
      <c r="E13" s="642">
        <v>0</v>
      </c>
      <c r="F13" s="642">
        <v>0</v>
      </c>
      <c r="G13" s="642">
        <v>0</v>
      </c>
      <c r="H13" s="622">
        <f>SUM(E13:G13)</f>
        <v>0</v>
      </c>
      <c r="I13" s="623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519"/>
      <c r="U13" s="624"/>
      <c r="V13" s="624">
        <f t="shared" ref="V13" si="1">H13</f>
        <v>0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0.199999999999999" x14ac:dyDescent="0.2">
      <c r="A15" s="519"/>
      <c r="B15" s="618" t="s">
        <v>1539</v>
      </c>
      <c r="C15" s="643" t="s">
        <v>44</v>
      </c>
      <c r="D15" s="619" t="s">
        <v>0</v>
      </c>
      <c r="E15" s="642">
        <v>0</v>
      </c>
      <c r="F15" s="642">
        <v>0</v>
      </c>
      <c r="G15" s="642">
        <v>0</v>
      </c>
      <c r="H15" s="620">
        <f>SUM(E15:G15)</f>
        <v>0</v>
      </c>
      <c r="I15" s="621" t="str">
        <f>IF(H15&gt;H16,"Voitto",IF(H15=H16,"Tasapeli","Häviö"))</f>
        <v>Tasapeli</v>
      </c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519"/>
      <c r="U15" s="624">
        <f t="shared" ref="U15" si="2">H15</f>
        <v>0</v>
      </c>
      <c r="V15" s="624"/>
      <c r="W15" s="624" t="str">
        <f>IF((J15=0)*AND(J16=0),"1","0")</f>
        <v>1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0.199999999999999" x14ac:dyDescent="0.2">
      <c r="A16" s="519"/>
      <c r="B16" s="673" t="s">
        <v>1435</v>
      </c>
      <c r="C16" s="643" t="s">
        <v>1515</v>
      </c>
      <c r="D16" s="643" t="s">
        <v>996</v>
      </c>
      <c r="E16" s="642">
        <v>0</v>
      </c>
      <c r="F16" s="642">
        <v>0</v>
      </c>
      <c r="G16" s="642">
        <v>0</v>
      </c>
      <c r="H16" s="622">
        <f>SUM(E16:G16)</f>
        <v>0</v>
      </c>
      <c r="I16" s="623"/>
      <c r="J16" s="642"/>
      <c r="K16" s="642"/>
      <c r="L16" s="642"/>
      <c r="M16" s="642"/>
      <c r="N16" s="642"/>
      <c r="O16" s="642"/>
      <c r="P16" s="642"/>
      <c r="Q16" s="642"/>
      <c r="R16" s="642"/>
      <c r="S16" s="642"/>
      <c r="T16" s="519"/>
      <c r="U16" s="624"/>
      <c r="V16" s="624">
        <f t="shared" ref="V16" si="3">H16</f>
        <v>0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0.199999999999999" x14ac:dyDescent="0.2">
      <c r="A18" s="519"/>
      <c r="B18" s="618" t="s">
        <v>1540</v>
      </c>
      <c r="C18" s="643" t="s">
        <v>44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/>
      <c r="K18" s="642"/>
      <c r="L18" s="642"/>
      <c r="M18" s="642"/>
      <c r="N18" s="642"/>
      <c r="O18" s="642"/>
      <c r="P18" s="642"/>
      <c r="Q18" s="642"/>
      <c r="R18" s="642"/>
      <c r="S18" s="642"/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0.199999999999999" x14ac:dyDescent="0.2">
      <c r="A19" s="519"/>
      <c r="B19" s="673" t="s">
        <v>1435</v>
      </c>
      <c r="C19" s="643" t="s">
        <v>1514</v>
      </c>
      <c r="D19" s="643" t="s">
        <v>1402</v>
      </c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/>
      <c r="K19" s="642"/>
      <c r="L19" s="642"/>
      <c r="M19" s="642"/>
      <c r="N19" s="642"/>
      <c r="O19" s="642"/>
      <c r="P19" s="642"/>
      <c r="Q19" s="642"/>
      <c r="R19" s="642"/>
      <c r="S19" s="642"/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0.199999999999999" x14ac:dyDescent="0.2">
      <c r="A21" s="519"/>
      <c r="B21" s="618" t="s">
        <v>1541</v>
      </c>
      <c r="C21" s="643" t="s">
        <v>44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/>
      <c r="K21" s="642"/>
      <c r="L21" s="642"/>
      <c r="M21" s="642"/>
      <c r="N21" s="642"/>
      <c r="O21" s="642"/>
      <c r="P21" s="642"/>
      <c r="Q21" s="642"/>
      <c r="R21" s="642"/>
      <c r="S21" s="642"/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0.199999999999999" x14ac:dyDescent="0.2">
      <c r="A22" s="519"/>
      <c r="B22" s="673" t="s">
        <v>1435</v>
      </c>
      <c r="C22" s="643" t="s">
        <v>1515</v>
      </c>
      <c r="D22" s="643" t="s">
        <v>1403</v>
      </c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0.199999999999999" x14ac:dyDescent="0.2">
      <c r="A24" s="519"/>
      <c r="B24" s="618" t="s">
        <v>1542</v>
      </c>
      <c r="C24" s="643" t="s">
        <v>44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0.199999999999999" x14ac:dyDescent="0.2">
      <c r="A25" s="519"/>
      <c r="B25" s="673" t="s">
        <v>1435</v>
      </c>
      <c r="C25" s="643" t="s">
        <v>1514</v>
      </c>
      <c r="D25" s="643" t="s">
        <v>1584</v>
      </c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/>
      <c r="K25" s="642"/>
      <c r="L25" s="642"/>
      <c r="M25" s="642"/>
      <c r="N25" s="642"/>
      <c r="O25" s="642"/>
      <c r="P25" s="642"/>
      <c r="Q25" s="642"/>
      <c r="R25" s="642"/>
      <c r="S25" s="642"/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0.199999999999999" x14ac:dyDescent="0.2">
      <c r="A27" s="519"/>
      <c r="B27" s="618" t="s">
        <v>1543</v>
      </c>
      <c r="C27" s="643" t="s">
        <v>44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/>
      <c r="K27" s="642"/>
      <c r="L27" s="642"/>
      <c r="M27" s="642"/>
      <c r="N27" s="642"/>
      <c r="O27" s="642"/>
      <c r="P27" s="642"/>
      <c r="Q27" s="642"/>
      <c r="R27" s="642"/>
      <c r="S27" s="642"/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0.199999999999999" x14ac:dyDescent="0.2">
      <c r="A28" s="519"/>
      <c r="B28" s="673" t="s">
        <v>1435</v>
      </c>
      <c r="C28" s="643" t="s">
        <v>1514</v>
      </c>
      <c r="D28" s="643" t="s">
        <v>1245</v>
      </c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/>
      <c r="K28" s="642"/>
      <c r="L28" s="642"/>
      <c r="M28" s="642"/>
      <c r="N28" s="642"/>
      <c r="O28" s="642"/>
      <c r="P28" s="642"/>
      <c r="Q28" s="642"/>
      <c r="R28" s="642"/>
      <c r="S28" s="642"/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0.199999999999999" x14ac:dyDescent="0.2">
      <c r="A30" s="519"/>
      <c r="B30" s="618" t="s">
        <v>1544</v>
      </c>
      <c r="C30" s="643" t="s">
        <v>44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0.199999999999999" x14ac:dyDescent="0.2">
      <c r="A31" s="519"/>
      <c r="B31" s="673" t="s">
        <v>1435</v>
      </c>
      <c r="C31" s="643" t="s">
        <v>1514</v>
      </c>
      <c r="D31" s="643" t="s">
        <v>1583</v>
      </c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0.199999999999999" x14ac:dyDescent="0.2">
      <c r="A33" s="519"/>
      <c r="B33" s="618" t="s">
        <v>1545</v>
      </c>
      <c r="C33" s="643" t="s">
        <v>44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0.199999999999999" x14ac:dyDescent="0.2">
      <c r="A34" s="519"/>
      <c r="B34" s="673" t="s">
        <v>1435</v>
      </c>
      <c r="C34" s="643" t="s">
        <v>1515</v>
      </c>
      <c r="D34" s="643" t="s">
        <v>1585</v>
      </c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0.199999999999999" x14ac:dyDescent="0.2">
      <c r="A36" s="519"/>
      <c r="B36" s="618" t="s">
        <v>1546</v>
      </c>
      <c r="C36" s="643" t="s">
        <v>44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0.199999999999999" x14ac:dyDescent="0.2">
      <c r="A37" s="519"/>
      <c r="B37" s="673" t="s">
        <v>1435</v>
      </c>
      <c r="C37" s="643" t="s">
        <v>1514</v>
      </c>
      <c r="D37" s="643" t="s">
        <v>996</v>
      </c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0.199999999999999" x14ac:dyDescent="0.2">
      <c r="A39" s="519"/>
      <c r="B39" s="618" t="s">
        <v>1547</v>
      </c>
      <c r="C39" s="643" t="s">
        <v>44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0.199999999999999" x14ac:dyDescent="0.2">
      <c r="A40" s="519"/>
      <c r="B40" s="673" t="s">
        <v>1435</v>
      </c>
      <c r="C40" s="643" t="s">
        <v>1514</v>
      </c>
      <c r="D40" s="643" t="s">
        <v>1007</v>
      </c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0.199999999999999" x14ac:dyDescent="0.2">
      <c r="A43" s="519"/>
      <c r="B43" s="673" t="s">
        <v>1435</v>
      </c>
      <c r="C43" s="643" t="s">
        <v>1515</v>
      </c>
      <c r="D43" s="643" t="s">
        <v>1402</v>
      </c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0.199999999999999" x14ac:dyDescent="0.2">
      <c r="A46" s="519"/>
      <c r="B46" s="673" t="s">
        <v>1435</v>
      </c>
      <c r="C46" s="643" t="s">
        <v>1514</v>
      </c>
      <c r="D46" s="643" t="s">
        <v>1403</v>
      </c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0.199999999999999" x14ac:dyDescent="0.2">
      <c r="A48" s="519"/>
      <c r="B48" s="618" t="s">
        <v>1550</v>
      </c>
      <c r="C48" s="643" t="s">
        <v>44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0.199999999999999" x14ac:dyDescent="0.2">
      <c r="A49" s="519"/>
      <c r="B49" s="673" t="s">
        <v>1435</v>
      </c>
      <c r="C49" s="643" t="s">
        <v>1515</v>
      </c>
      <c r="D49" s="643" t="s">
        <v>1245</v>
      </c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0.199999999999999" x14ac:dyDescent="0.2">
      <c r="A51" s="519"/>
      <c r="B51" s="618" t="s">
        <v>1551</v>
      </c>
      <c r="C51" s="643" t="s">
        <v>44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0.199999999999999" x14ac:dyDescent="0.2">
      <c r="A52" s="519"/>
      <c r="B52" s="673" t="s">
        <v>1435</v>
      </c>
      <c r="C52" s="643" t="s">
        <v>1515</v>
      </c>
      <c r="D52" s="643" t="s">
        <v>1584</v>
      </c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x14ac:dyDescent="0.2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s="140" customFormat="1" ht="10.199999999999999" x14ac:dyDescent="0.2">
      <c r="A54" s="519"/>
      <c r="B54" s="618" t="s">
        <v>1552</v>
      </c>
      <c r="C54" s="643" t="s">
        <v>44</v>
      </c>
      <c r="D54" s="619" t="s">
        <v>0</v>
      </c>
      <c r="E54" s="642">
        <v>0</v>
      </c>
      <c r="F54" s="642">
        <v>0</v>
      </c>
      <c r="G54" s="642">
        <v>0</v>
      </c>
      <c r="H54" s="620">
        <f>SUM(E54:G54)</f>
        <v>0</v>
      </c>
      <c r="I54" s="621" t="str">
        <f>IF(H54&gt;H55,"Voitto",IF(H54=H55,"Tasapeli","Häviö"))</f>
        <v>Tasapeli</v>
      </c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519"/>
      <c r="U54" s="624">
        <f t="shared" ref="U54" si="26">H54</f>
        <v>0</v>
      </c>
      <c r="V54" s="624"/>
      <c r="W54" s="624" t="str">
        <f>IF((J54=0)*AND(J55=0),"1","0")</f>
        <v>1</v>
      </c>
      <c r="X54" s="624" t="str">
        <f>IF((J54=0)*AND(J55&gt;0),"1","0")</f>
        <v>0</v>
      </c>
      <c r="Y54" s="624" t="str">
        <f>IF((J54&gt;0)*AND(J55=0),"1","0")</f>
        <v>0</v>
      </c>
    </row>
    <row r="55" spans="1:25" s="140" customFormat="1" ht="10.199999999999999" x14ac:dyDescent="0.2">
      <c r="A55" s="519"/>
      <c r="B55" s="672" t="s">
        <v>1435</v>
      </c>
      <c r="C55" s="643" t="s">
        <v>1514</v>
      </c>
      <c r="D55" s="643"/>
      <c r="E55" s="642">
        <v>0</v>
      </c>
      <c r="F55" s="642">
        <v>0</v>
      </c>
      <c r="G55" s="642">
        <v>0</v>
      </c>
      <c r="H55" s="622">
        <f>SUM(E55:G55)</f>
        <v>0</v>
      </c>
      <c r="I55" s="623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519"/>
      <c r="U55" s="624"/>
      <c r="V55" s="624">
        <f t="shared" ref="V55" si="27">H55</f>
        <v>0</v>
      </c>
      <c r="W55" s="624"/>
      <c r="X55" s="624"/>
      <c r="Y55" s="624"/>
    </row>
    <row r="56" spans="1:25" s="140" customFormat="1" ht="3.75" customHeight="1" x14ac:dyDescent="0.2">
      <c r="E56" s="675"/>
      <c r="F56" s="675"/>
      <c r="G56" s="675"/>
      <c r="H56" s="676"/>
      <c r="I56" s="676"/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U56" s="675"/>
      <c r="V56" s="675"/>
      <c r="W56" s="675"/>
      <c r="X56" s="675"/>
      <c r="Y56" s="675"/>
    </row>
    <row r="57" spans="1:25" s="140" customFormat="1" ht="10.199999999999999" x14ac:dyDescent="0.2">
      <c r="A57" s="519"/>
      <c r="B57" s="618" t="s">
        <v>1553</v>
      </c>
      <c r="C57" s="643" t="s">
        <v>44</v>
      </c>
      <c r="D57" s="619" t="s">
        <v>0</v>
      </c>
      <c r="E57" s="642">
        <v>0</v>
      </c>
      <c r="F57" s="642">
        <v>0</v>
      </c>
      <c r="G57" s="642">
        <v>0</v>
      </c>
      <c r="H57" s="620">
        <f>SUM(E57:G57)</f>
        <v>0</v>
      </c>
      <c r="I57" s="621" t="str">
        <f>IF(H57&gt;H58,"Voitto",IF(H57=H58,"Tasapeli","Häviö"))</f>
        <v>Tasapeli</v>
      </c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519"/>
      <c r="U57" s="624">
        <f t="shared" ref="U57" si="28">H57</f>
        <v>0</v>
      </c>
      <c r="V57" s="624"/>
      <c r="W57" s="624" t="str">
        <f>IF((J57=0)*AND(J58=0),"1","0")</f>
        <v>1</v>
      </c>
      <c r="X57" s="624" t="str">
        <f>IF((J57=0)*AND(J58&gt;0),"1","0")</f>
        <v>0</v>
      </c>
      <c r="Y57" s="624" t="str">
        <f>IF((J57&gt;0)*AND(J58=0),"1","0")</f>
        <v>0</v>
      </c>
    </row>
    <row r="58" spans="1:25" s="140" customFormat="1" ht="10.199999999999999" x14ac:dyDescent="0.2">
      <c r="A58" s="519"/>
      <c r="B58" s="672" t="s">
        <v>1435</v>
      </c>
      <c r="C58" s="643" t="s">
        <v>1514</v>
      </c>
      <c r="D58" s="643"/>
      <c r="E58" s="642">
        <v>0</v>
      </c>
      <c r="F58" s="642">
        <v>0</v>
      </c>
      <c r="G58" s="642">
        <v>0</v>
      </c>
      <c r="H58" s="622">
        <f>SUM(E58:G58)</f>
        <v>0</v>
      </c>
      <c r="I58" s="623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519"/>
      <c r="U58" s="624"/>
      <c r="V58" s="624">
        <f t="shared" ref="V58" si="29">H58</f>
        <v>0</v>
      </c>
      <c r="W58" s="624"/>
      <c r="X58" s="624"/>
      <c r="Y58" s="624"/>
    </row>
    <row r="59" spans="1:25" s="140" customFormat="1" ht="3.75" customHeight="1" x14ac:dyDescent="0.2">
      <c r="E59" s="675"/>
      <c r="F59" s="675"/>
      <c r="G59" s="675"/>
      <c r="H59" s="676"/>
      <c r="I59" s="676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U59" s="675"/>
      <c r="V59" s="675"/>
      <c r="W59" s="675"/>
      <c r="X59" s="675"/>
      <c r="Y59" s="675"/>
    </row>
    <row r="60" spans="1:25" s="140" customFormat="1" ht="10.199999999999999" x14ac:dyDescent="0.2">
      <c r="A60" s="519"/>
      <c r="B60" s="618" t="s">
        <v>1554</v>
      </c>
      <c r="C60" s="643" t="s">
        <v>44</v>
      </c>
      <c r="D60" s="619" t="s">
        <v>0</v>
      </c>
      <c r="E60" s="642">
        <v>0</v>
      </c>
      <c r="F60" s="642">
        <v>0</v>
      </c>
      <c r="G60" s="642">
        <v>0</v>
      </c>
      <c r="H60" s="620">
        <f>SUM(E60:G60)</f>
        <v>0</v>
      </c>
      <c r="I60" s="621" t="str">
        <f>IF(H60&gt;H61,"Voitto",IF(H60=H61,"Tasapeli","Häviö"))</f>
        <v>Tasapeli</v>
      </c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519"/>
      <c r="U60" s="624">
        <f t="shared" ref="U60" si="30">H60</f>
        <v>0</v>
      </c>
      <c r="V60" s="624"/>
      <c r="W60" s="624" t="str">
        <f>IF((J60=0)*AND(J61=0),"1","0")</f>
        <v>1</v>
      </c>
      <c r="X60" s="624" t="str">
        <f>IF((J60=0)*AND(J61&gt;0),"1","0")</f>
        <v>0</v>
      </c>
      <c r="Y60" s="624" t="str">
        <f>IF((J60&gt;0)*AND(J61=0),"1","0")</f>
        <v>0</v>
      </c>
    </row>
    <row r="61" spans="1:25" s="140" customFormat="1" ht="10.199999999999999" x14ac:dyDescent="0.2">
      <c r="A61" s="519"/>
      <c r="B61" s="672" t="s">
        <v>1435</v>
      </c>
      <c r="C61" s="643" t="s">
        <v>1514</v>
      </c>
      <c r="D61" s="643"/>
      <c r="E61" s="642">
        <v>0</v>
      </c>
      <c r="F61" s="642">
        <v>0</v>
      </c>
      <c r="G61" s="642">
        <v>0</v>
      </c>
      <c r="H61" s="622">
        <f>SUM(E61:G61)</f>
        <v>0</v>
      </c>
      <c r="I61" s="623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519"/>
      <c r="U61" s="624"/>
      <c r="V61" s="624">
        <f t="shared" ref="V61" si="31">H61</f>
        <v>0</v>
      </c>
      <c r="W61" s="624"/>
      <c r="X61" s="624"/>
      <c r="Y61" s="624"/>
    </row>
    <row r="62" spans="1:25" s="140" customFormat="1" ht="3.75" customHeight="1" x14ac:dyDescent="0.2">
      <c r="E62" s="675"/>
      <c r="F62" s="675"/>
      <c r="G62" s="675"/>
      <c r="H62" s="676"/>
      <c r="I62" s="676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U62" s="675"/>
      <c r="V62" s="675"/>
      <c r="W62" s="675"/>
      <c r="X62" s="675"/>
      <c r="Y62" s="675"/>
    </row>
    <row r="63" spans="1:25" s="140" customFormat="1" ht="10.199999999999999" x14ac:dyDescent="0.2">
      <c r="A63" s="519"/>
      <c r="B63" s="618" t="s">
        <v>1555</v>
      </c>
      <c r="C63" s="643" t="s">
        <v>44</v>
      </c>
      <c r="D63" s="619" t="s">
        <v>0</v>
      </c>
      <c r="E63" s="642">
        <v>0</v>
      </c>
      <c r="F63" s="642">
        <v>0</v>
      </c>
      <c r="G63" s="642">
        <v>0</v>
      </c>
      <c r="H63" s="620">
        <f>SUM(E63:G63)</f>
        <v>0</v>
      </c>
      <c r="I63" s="621" t="str">
        <f>IF(H63&gt;H64,"Voitto",IF(H63=H64,"Tasapeli","Häviö"))</f>
        <v>Tasapeli</v>
      </c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519"/>
      <c r="U63" s="624">
        <f t="shared" ref="U63" si="32">H63</f>
        <v>0</v>
      </c>
      <c r="V63" s="624"/>
      <c r="W63" s="624" t="str">
        <f>IF((J63=0)*AND(J64=0),"1","0")</f>
        <v>1</v>
      </c>
      <c r="X63" s="624" t="str">
        <f>IF((J63=0)*AND(J64&gt;0),"1","0")</f>
        <v>0</v>
      </c>
      <c r="Y63" s="624" t="str">
        <f>IF((J63&gt;0)*AND(J64=0),"1","0")</f>
        <v>0</v>
      </c>
    </row>
    <row r="64" spans="1:25" s="140" customFormat="1" ht="10.199999999999999" x14ac:dyDescent="0.2">
      <c r="A64" s="519"/>
      <c r="B64" s="672" t="s">
        <v>1435</v>
      </c>
      <c r="C64" s="643" t="s">
        <v>1514</v>
      </c>
      <c r="D64" s="643"/>
      <c r="E64" s="642">
        <v>0</v>
      </c>
      <c r="F64" s="642">
        <v>0</v>
      </c>
      <c r="G64" s="642">
        <v>0</v>
      </c>
      <c r="H64" s="622">
        <f>SUM(E64:G64)</f>
        <v>0</v>
      </c>
      <c r="I64" s="623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519"/>
      <c r="U64" s="624"/>
      <c r="V64" s="624">
        <f t="shared" ref="V64" si="33">H64</f>
        <v>0</v>
      </c>
      <c r="W64" s="624"/>
      <c r="X64" s="624"/>
      <c r="Y64" s="624"/>
    </row>
    <row r="65" spans="1:25" s="140" customFormat="1" ht="7.5" customHeight="1" thickBot="1" x14ac:dyDescent="0.25">
      <c r="E65" s="675"/>
      <c r="F65" s="675"/>
      <c r="G65" s="675"/>
      <c r="H65" s="676"/>
      <c r="I65" s="676"/>
      <c r="J65" s="675"/>
      <c r="K65" s="675"/>
      <c r="L65" s="675"/>
      <c r="M65" s="675"/>
      <c r="N65" s="675"/>
      <c r="O65" s="675"/>
      <c r="P65" s="675"/>
      <c r="Q65" s="675"/>
      <c r="R65" s="675"/>
      <c r="S65" s="675"/>
      <c r="U65" s="675"/>
      <c r="V65" s="675"/>
      <c r="W65" s="675"/>
      <c r="X65" s="675"/>
      <c r="Y65" s="675"/>
    </row>
    <row r="66" spans="1:25" x14ac:dyDescent="0.3">
      <c r="A66" s="357"/>
      <c r="B66" s="357"/>
      <c r="C66" s="357"/>
      <c r="D66" s="668"/>
      <c r="E66" s="627"/>
      <c r="F66" s="669"/>
      <c r="G66" s="669"/>
      <c r="H66" s="669"/>
      <c r="I66" s="670"/>
      <c r="J66" s="669"/>
      <c r="K66" s="669"/>
      <c r="L66" s="669"/>
      <c r="M66" s="669"/>
      <c r="N66" s="669"/>
      <c r="O66" s="669"/>
      <c r="P66" s="669"/>
      <c r="Q66" s="669"/>
      <c r="R66" s="669"/>
      <c r="S66" s="628"/>
      <c r="T66" s="357"/>
      <c r="U66" s="358"/>
      <c r="V66" s="358"/>
      <c r="W66" s="358"/>
      <c r="X66" s="358"/>
      <c r="Y66" s="358"/>
    </row>
    <row r="67" spans="1:25" x14ac:dyDescent="0.3">
      <c r="A67" s="357"/>
      <c r="B67" s="357"/>
      <c r="C67" s="357"/>
      <c r="D67" s="665" t="str">
        <f>C2</f>
        <v>2016-2017</v>
      </c>
      <c r="E67" s="630"/>
      <c r="F67" s="666"/>
      <c r="G67" s="655" t="s">
        <v>0</v>
      </c>
      <c r="H67" s="611">
        <f>SUM(H6,H9,H12,H15,H18,H21,H24,H27,H30,H33,H36,H39,H42,H45,H48,H51,H54,H57,H60,H63)</f>
        <v>0</v>
      </c>
      <c r="I67" s="671"/>
      <c r="J67" s="656">
        <f t="shared" ref="J67:M68" si="34">SUM(J6,J9,J12,J15,J18,J21,J24,J27,J30,J33,J36,J39,J42,J45,J48,J51,J54,J57,J60,J63)</f>
        <v>0</v>
      </c>
      <c r="K67" s="613">
        <f t="shared" si="34"/>
        <v>0</v>
      </c>
      <c r="L67" s="613">
        <f t="shared" si="34"/>
        <v>0</v>
      </c>
      <c r="M67" s="613">
        <f t="shared" si="34"/>
        <v>0</v>
      </c>
      <c r="N67" s="667" t="s">
        <v>1567</v>
      </c>
      <c r="O67" s="613">
        <f t="shared" ref="O67:R68" si="35">SUM(O6,O9,O12,O15,O18,O21,O24,O27,O30,O33,O36,O39,O42,O45,O48,O51,O54,O57,O60,O63)</f>
        <v>0</v>
      </c>
      <c r="P67" s="613">
        <f t="shared" si="35"/>
        <v>0</v>
      </c>
      <c r="Q67" s="613">
        <f t="shared" si="35"/>
        <v>0</v>
      </c>
      <c r="R67" s="613">
        <f t="shared" si="35"/>
        <v>0</v>
      </c>
      <c r="S67" s="632"/>
      <c r="T67" s="357"/>
      <c r="U67" s="358"/>
      <c r="V67" s="358"/>
      <c r="W67" s="358"/>
      <c r="X67" s="358"/>
      <c r="Y67" s="358"/>
    </row>
    <row r="68" spans="1:25" x14ac:dyDescent="0.3">
      <c r="A68" s="357"/>
      <c r="B68" s="357"/>
      <c r="C68" s="357"/>
      <c r="D68" s="629"/>
      <c r="E68" s="630"/>
      <c r="F68" s="518"/>
      <c r="G68" s="657" t="s">
        <v>1436</v>
      </c>
      <c r="H68" s="658">
        <f>SUM(H7,H10,H13,H16,H19,H22,H25,H28,H31,H34,H37,H40,H43,H46,H49,H52,H55,H58,H61,H64)</f>
        <v>0</v>
      </c>
      <c r="I68" s="671"/>
      <c r="J68" s="647">
        <f t="shared" si="34"/>
        <v>0</v>
      </c>
      <c r="K68" s="659">
        <f t="shared" si="34"/>
        <v>0</v>
      </c>
      <c r="L68" s="659">
        <f t="shared" si="34"/>
        <v>0</v>
      </c>
      <c r="M68" s="659">
        <f t="shared" si="34"/>
        <v>0</v>
      </c>
      <c r="N68" s="660" t="s">
        <v>1567</v>
      </c>
      <c r="O68" s="659">
        <f t="shared" si="35"/>
        <v>0</v>
      </c>
      <c r="P68" s="659">
        <f t="shared" si="35"/>
        <v>0</v>
      </c>
      <c r="Q68" s="659">
        <f t="shared" si="35"/>
        <v>0</v>
      </c>
      <c r="R68" s="659">
        <f t="shared" si="35"/>
        <v>0</v>
      </c>
      <c r="S68" s="632"/>
      <c r="T68" s="357"/>
      <c r="U68" s="358"/>
      <c r="V68" s="358"/>
      <c r="W68" s="358"/>
      <c r="X68" s="358"/>
      <c r="Y68" s="358"/>
    </row>
    <row r="69" spans="1:25" x14ac:dyDescent="0.3">
      <c r="A69" s="357"/>
      <c r="B69" s="357"/>
      <c r="C69" s="357"/>
      <c r="D69" s="629"/>
      <c r="E69" s="631"/>
      <c r="F69" s="631"/>
      <c r="G69" s="631"/>
      <c r="H69" s="631"/>
      <c r="I69" s="631"/>
      <c r="J69" s="613" t="s">
        <v>1557</v>
      </c>
      <c r="K69" s="613" t="s">
        <v>1556</v>
      </c>
      <c r="L69" s="613" t="s">
        <v>1419</v>
      </c>
      <c r="M69" s="613" t="s">
        <v>1420</v>
      </c>
      <c r="N69" s="659" t="s">
        <v>1424</v>
      </c>
      <c r="O69" s="613" t="s">
        <v>1425</v>
      </c>
      <c r="P69" s="613" t="s">
        <v>1535</v>
      </c>
      <c r="Q69" s="613" t="s">
        <v>1536</v>
      </c>
      <c r="R69" s="613" t="s">
        <v>1559</v>
      </c>
      <c r="S69" s="632"/>
      <c r="T69" s="357"/>
      <c r="U69" s="358"/>
      <c r="V69" s="358"/>
      <c r="W69" s="358"/>
      <c r="X69" s="358"/>
      <c r="Y69" s="358"/>
    </row>
    <row r="70" spans="1:25" x14ac:dyDescent="0.3">
      <c r="A70" s="357"/>
      <c r="B70" s="357"/>
      <c r="C70" s="357"/>
      <c r="D70" s="629"/>
      <c r="E70" s="631"/>
      <c r="F70" s="645"/>
      <c r="G70" s="646" t="s">
        <v>1558</v>
      </c>
      <c r="H70" s="647">
        <f>H67-H68</f>
        <v>0</v>
      </c>
      <c r="I70" s="631"/>
      <c r="J70" s="631"/>
      <c r="K70" s="631"/>
      <c r="L70" s="631"/>
      <c r="M70" s="631"/>
      <c r="N70" s="631"/>
      <c r="O70" s="631"/>
      <c r="P70" s="631"/>
      <c r="Q70" s="631"/>
      <c r="R70" s="631"/>
      <c r="S70" s="632"/>
      <c r="T70" s="357"/>
      <c r="U70" s="358"/>
      <c r="V70" s="358"/>
      <c r="W70" s="358"/>
      <c r="X70" s="358"/>
      <c r="Y70" s="358"/>
    </row>
    <row r="71" spans="1:25" x14ac:dyDescent="0.3">
      <c r="A71" s="357"/>
      <c r="B71" s="357"/>
      <c r="C71" s="357"/>
      <c r="D71" s="629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1"/>
      <c r="P71" s="631"/>
      <c r="Q71" s="631"/>
      <c r="R71" s="631"/>
      <c r="S71" s="632"/>
      <c r="T71" s="357"/>
      <c r="U71" s="358"/>
      <c r="V71" s="358"/>
      <c r="W71" s="358"/>
      <c r="X71" s="358"/>
      <c r="Y71" s="358"/>
    </row>
    <row r="72" spans="1:25" x14ac:dyDescent="0.3">
      <c r="A72" s="357"/>
      <c r="B72" s="357"/>
      <c r="C72" s="357"/>
      <c r="D72" s="629"/>
      <c r="E72" s="631"/>
      <c r="F72" s="648"/>
      <c r="G72" s="649" t="s">
        <v>135</v>
      </c>
      <c r="H72" s="650">
        <f>COUNTIF(I6:I64,"Voitto")</f>
        <v>0</v>
      </c>
      <c r="I72" s="631"/>
      <c r="J72" s="648">
        <f>COUNTIF(W6:W64,"1")</f>
        <v>20</v>
      </c>
      <c r="K72" s="661" t="s">
        <v>696</v>
      </c>
      <c r="L72" s="610"/>
      <c r="M72" s="610"/>
      <c r="N72" s="610"/>
      <c r="O72" s="650"/>
      <c r="P72" s="631"/>
      <c r="Q72" s="631"/>
      <c r="R72" s="631"/>
      <c r="S72" s="632"/>
      <c r="T72" s="357"/>
      <c r="U72" s="358"/>
      <c r="V72" s="358"/>
      <c r="W72" s="358"/>
      <c r="X72" s="358"/>
      <c r="Y72" s="358"/>
    </row>
    <row r="73" spans="1:25" x14ac:dyDescent="0.3">
      <c r="A73" s="357"/>
      <c r="B73" s="357"/>
      <c r="C73" s="357"/>
      <c r="D73" s="629"/>
      <c r="E73" s="631"/>
      <c r="F73" s="651"/>
      <c r="G73" s="652" t="s">
        <v>137</v>
      </c>
      <c r="H73" s="653">
        <f>COUNTIF(I6:I64,"Tasapeli")</f>
        <v>20</v>
      </c>
      <c r="I73" s="631"/>
      <c r="J73" s="651">
        <f>COUNTIF(X6:X64,"1")</f>
        <v>0</v>
      </c>
      <c r="K73" s="318" t="s">
        <v>1561</v>
      </c>
      <c r="L73" s="324"/>
      <c r="M73" s="324"/>
      <c r="N73" s="324"/>
      <c r="O73" s="653"/>
      <c r="P73" s="631"/>
      <c r="Q73" s="631"/>
      <c r="R73" s="631"/>
      <c r="S73" s="632"/>
      <c r="T73" s="357"/>
      <c r="U73" s="358"/>
      <c r="V73" s="358"/>
      <c r="W73" s="358"/>
      <c r="X73" s="358"/>
      <c r="Y73" s="358"/>
    </row>
    <row r="74" spans="1:25" x14ac:dyDescent="0.3">
      <c r="A74" s="357"/>
      <c r="B74" s="357"/>
      <c r="C74" s="357"/>
      <c r="D74" s="629"/>
      <c r="E74" s="631"/>
      <c r="F74" s="654"/>
      <c r="G74" s="655" t="s">
        <v>136</v>
      </c>
      <c r="H74" s="656">
        <f>COUNTIF(I6:I64,"Häviö")</f>
        <v>0</v>
      </c>
      <c r="I74" s="631"/>
      <c r="J74" s="654">
        <f>COUNTIF(Y6:Y64,"1")</f>
        <v>0</v>
      </c>
      <c r="K74" s="662" t="s">
        <v>1562</v>
      </c>
      <c r="L74" s="611"/>
      <c r="M74" s="611"/>
      <c r="N74" s="611"/>
      <c r="O74" s="656"/>
      <c r="P74" s="631"/>
      <c r="Q74" s="631"/>
      <c r="R74" s="631"/>
      <c r="S74" s="632"/>
      <c r="T74" s="357"/>
      <c r="U74" s="358"/>
      <c r="V74" s="358"/>
      <c r="W74" s="358"/>
      <c r="X74" s="358"/>
      <c r="Y74" s="358"/>
    </row>
    <row r="75" spans="1:25" x14ac:dyDescent="0.3">
      <c r="A75" s="357"/>
      <c r="B75" s="357"/>
      <c r="C75" s="357"/>
      <c r="D75" s="629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632"/>
      <c r="T75" s="357"/>
      <c r="U75" s="358"/>
      <c r="V75" s="358"/>
      <c r="W75" s="358"/>
      <c r="X75" s="358"/>
      <c r="Y75" s="358"/>
    </row>
    <row r="76" spans="1:25" x14ac:dyDescent="0.3">
      <c r="A76" s="357"/>
      <c r="B76" s="357"/>
      <c r="C76" s="357"/>
      <c r="D76" s="629"/>
      <c r="E76" s="631"/>
      <c r="F76" s="648" t="s">
        <v>1560</v>
      </c>
      <c r="G76" s="610" t="s">
        <v>0</v>
      </c>
      <c r="H76" s="650">
        <f>COUNTIF(U6:U64,"0")</f>
        <v>20</v>
      </c>
      <c r="I76" s="631"/>
      <c r="J76" s="648">
        <f>MIN(S6,S9,S12,S15,S18,S21,S24,S27,S30,S33,S36,S39,S42,S45,S48,S51,S54,S57,S60,S63)</f>
        <v>0</v>
      </c>
      <c r="K76" s="661" t="s">
        <v>1564</v>
      </c>
      <c r="L76" s="610"/>
      <c r="M76" s="610"/>
      <c r="N76" s="610"/>
      <c r="O76" s="650"/>
      <c r="P76" s="631"/>
      <c r="Q76" s="631"/>
      <c r="R76" s="631"/>
      <c r="S76" s="632"/>
      <c r="T76" s="357"/>
      <c r="U76" s="358"/>
      <c r="V76" s="358"/>
      <c r="W76" s="358"/>
      <c r="X76" s="358"/>
      <c r="Y76" s="358"/>
    </row>
    <row r="77" spans="1:25" x14ac:dyDescent="0.3">
      <c r="A77" s="357"/>
      <c r="B77" s="357"/>
      <c r="C77" s="357"/>
      <c r="D77" s="629"/>
      <c r="E77" s="631"/>
      <c r="F77" s="654"/>
      <c r="G77" s="611" t="s">
        <v>543</v>
      </c>
      <c r="H77" s="656">
        <f>COUNTIF(V6:V64,"0")</f>
        <v>20</v>
      </c>
      <c r="I77" s="631"/>
      <c r="J77" s="654">
        <f>MAX(S6,S9,S12,S15,S18,S21,S24,S27,S30,S33,S36,S39,S42,S45,S48,S51,S54,S57,S60,S63)</f>
        <v>0</v>
      </c>
      <c r="K77" s="662" t="s">
        <v>1563</v>
      </c>
      <c r="L77" s="435"/>
      <c r="M77" s="435"/>
      <c r="N77" s="611"/>
      <c r="O77" s="656"/>
      <c r="P77" s="631"/>
      <c r="Q77" s="631"/>
      <c r="R77" s="631"/>
      <c r="S77" s="632"/>
      <c r="T77" s="357"/>
      <c r="U77" s="358"/>
      <c r="V77" s="358"/>
      <c r="W77" s="358"/>
      <c r="X77" s="358"/>
      <c r="Y77" s="358"/>
    </row>
    <row r="78" spans="1:25" x14ac:dyDescent="0.3">
      <c r="A78" s="357"/>
      <c r="B78" s="357"/>
      <c r="C78" s="357"/>
      <c r="D78" s="629"/>
      <c r="E78" s="631"/>
      <c r="F78" s="631"/>
      <c r="G78" s="631"/>
      <c r="H78" s="631"/>
      <c r="I78" s="631"/>
      <c r="J78" s="274"/>
      <c r="K78" s="633"/>
      <c r="L78" s="274"/>
      <c r="M78" s="274"/>
      <c r="N78" s="631"/>
      <c r="O78" s="631"/>
      <c r="P78" s="631"/>
      <c r="Q78" s="631"/>
      <c r="R78" s="631"/>
      <c r="S78" s="632"/>
      <c r="T78" s="357"/>
      <c r="U78" s="358"/>
      <c r="V78" s="358"/>
      <c r="W78" s="358"/>
      <c r="X78" s="358"/>
      <c r="Y78" s="358"/>
    </row>
    <row r="79" spans="1:25" x14ac:dyDescent="0.3">
      <c r="A79" s="357"/>
      <c r="B79" s="357"/>
      <c r="C79" s="357"/>
      <c r="D79" s="634"/>
      <c r="E79" s="274"/>
      <c r="F79" s="274"/>
      <c r="G79" s="274"/>
      <c r="H79" s="631"/>
      <c r="I79" s="631"/>
      <c r="J79" s="648">
        <f>MAX(S7,S10,S13,S16,S19,S22,S25,S28,S31,S34,S37,S40,S43,S46,S49,S52,S55,S58,S61,S64)</f>
        <v>0</v>
      </c>
      <c r="K79" s="661" t="s">
        <v>1565</v>
      </c>
      <c r="L79" s="430"/>
      <c r="M79" s="430"/>
      <c r="N79" s="430"/>
      <c r="O79" s="663"/>
      <c r="P79" s="274"/>
      <c r="Q79" s="274"/>
      <c r="R79" s="274"/>
      <c r="S79" s="635"/>
      <c r="T79" s="357"/>
      <c r="U79" s="358"/>
      <c r="V79" s="358"/>
      <c r="W79" s="358"/>
      <c r="X79" s="358"/>
      <c r="Y79" s="358"/>
    </row>
    <row r="80" spans="1:25" x14ac:dyDescent="0.3">
      <c r="A80" s="357"/>
      <c r="B80" s="357"/>
      <c r="C80" s="357"/>
      <c r="D80" s="634"/>
      <c r="E80" s="274"/>
      <c r="F80" s="274"/>
      <c r="G80" s="274"/>
      <c r="H80" s="631"/>
      <c r="I80" s="631"/>
      <c r="J80" s="654">
        <f>MIN(S7,S10,S13,S16,S19,S22,S25,S28,S31,S34,S37,S40,S43,S46,S49,S52,S55,S58,S61,S64)</f>
        <v>0</v>
      </c>
      <c r="K80" s="662" t="s">
        <v>1566</v>
      </c>
      <c r="L80" s="611"/>
      <c r="M80" s="611"/>
      <c r="N80" s="435"/>
      <c r="O80" s="664"/>
      <c r="P80" s="274"/>
      <c r="Q80" s="274"/>
      <c r="R80" s="274"/>
      <c r="S80" s="635"/>
      <c r="T80" s="357"/>
      <c r="U80" s="358"/>
      <c r="V80" s="358"/>
      <c r="W80" s="358"/>
      <c r="X80" s="358"/>
      <c r="Y80" s="358"/>
    </row>
    <row r="81" spans="1:25" ht="15" thickBot="1" x14ac:dyDescent="0.35">
      <c r="A81" s="357"/>
      <c r="B81" s="357"/>
      <c r="C81" s="357"/>
      <c r="D81" s="636"/>
      <c r="E81" s="637"/>
      <c r="F81" s="637"/>
      <c r="G81" s="637"/>
      <c r="H81" s="638"/>
      <c r="I81" s="638"/>
      <c r="J81" s="637"/>
      <c r="K81" s="637"/>
      <c r="L81" s="637"/>
      <c r="M81" s="637"/>
      <c r="N81" s="637"/>
      <c r="O81" s="637"/>
      <c r="P81" s="637"/>
      <c r="Q81" s="637"/>
      <c r="R81" s="637"/>
      <c r="S81" s="639"/>
      <c r="T81" s="357"/>
      <c r="U81" s="358"/>
      <c r="V81" s="358"/>
      <c r="W81" s="358"/>
      <c r="X81" s="358"/>
      <c r="Y81" s="358"/>
    </row>
    <row r="82" spans="1:25" x14ac:dyDescent="0.3">
      <c r="A82" s="357"/>
      <c r="B82" s="357"/>
      <c r="C82" s="357"/>
      <c r="D82" s="357"/>
      <c r="E82" s="358"/>
      <c r="F82" s="358"/>
      <c r="G82" s="358"/>
      <c r="H82" s="359"/>
      <c r="I82" s="359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7"/>
      <c r="U82" s="358"/>
      <c r="V82" s="358"/>
      <c r="W82" s="358"/>
      <c r="X82" s="358"/>
      <c r="Y82" s="358"/>
    </row>
  </sheetData>
  <sheetProtection sheet="1" objects="1" scenarios="1"/>
  <dataValidations count="24">
    <dataValidation type="list" allowBlank="1" showInputMessage="1" showErrorMessage="1" sqref="D64" xr:uid="{00000000-0002-0000-0700-000000000000}">
      <formula1>INDIRECT(VLOOKUP(C2,KausiVlookup,2,TRUE))</formula1>
    </dataValidation>
    <dataValidation type="list" allowBlank="1" showInputMessage="1" showErrorMessage="1" sqref="D61" xr:uid="{00000000-0002-0000-0700-000001000000}">
      <formula1>INDIRECT(VLOOKUP(C2,KausiVlookup,2,TRUE))</formula1>
    </dataValidation>
    <dataValidation type="list" allowBlank="1" showInputMessage="1" showErrorMessage="1" sqref="D58" xr:uid="{00000000-0002-0000-0700-000002000000}">
      <formula1>INDIRECT(VLOOKUP(C2,KausiVlookup,2,TRUE))</formula1>
    </dataValidation>
    <dataValidation type="list" allowBlank="1" showInputMessage="1" showErrorMessage="1" sqref="D55" xr:uid="{00000000-0002-0000-0700-000003000000}">
      <formula1>INDIRECT(VLOOKUP(C2,KausiVlookup,2,TRUE))</formula1>
    </dataValidation>
    <dataValidation type="list" allowBlank="1" showInputMessage="1" showErrorMessage="1" sqref="D52" xr:uid="{00000000-0002-0000-0700-000004000000}">
      <formula1>INDIRECT(VLOOKUP(C2,KausiVlookup,2,TRUE))</formula1>
    </dataValidation>
    <dataValidation type="list" allowBlank="1" showInputMessage="1" showErrorMessage="1" sqref="D49" xr:uid="{00000000-0002-0000-0700-000005000000}">
      <formula1>INDIRECT(VLOOKUP(C2,KausiVlookup,2,TRUE))</formula1>
    </dataValidation>
    <dataValidation type="list" allowBlank="1" showInputMessage="1" showErrorMessage="1" sqref="D46" xr:uid="{00000000-0002-0000-0700-000006000000}">
      <formula1>INDIRECT(VLOOKUP(C2,KausiVlookup,2,TRUE))</formula1>
    </dataValidation>
    <dataValidation type="list" allowBlank="1" showInputMessage="1" showErrorMessage="1" sqref="D43" xr:uid="{00000000-0002-0000-0700-000007000000}">
      <formula1>INDIRECT(VLOOKUP(C2,KausiVlookup,2,TRUE))</formula1>
    </dataValidation>
    <dataValidation type="list" allowBlank="1" showInputMessage="1" showErrorMessage="1" sqref="D40" xr:uid="{00000000-0002-0000-0700-000008000000}">
      <formula1>INDIRECT(VLOOKUP(C2,KausiVlookup,2,TRUE))</formula1>
    </dataValidation>
    <dataValidation type="list" allowBlank="1" showInputMessage="1" showErrorMessage="1" sqref="D37" xr:uid="{00000000-0002-0000-0700-000009000000}">
      <formula1>INDIRECT(VLOOKUP(C2,KausiVlookup,2,TRUE))</formula1>
    </dataValidation>
    <dataValidation type="list" allowBlank="1" showInputMessage="1" showErrorMessage="1" sqref="D34" xr:uid="{00000000-0002-0000-0700-00000A000000}">
      <formula1>INDIRECT(VLOOKUP(C2,KausiVlookup,2,TRUE))</formula1>
    </dataValidation>
    <dataValidation type="list" allowBlank="1" showInputMessage="1" showErrorMessage="1" sqref="D31" xr:uid="{00000000-0002-0000-0700-00000B000000}">
      <formula1>INDIRECT(VLOOKUP(C2,KausiVlookup,2,TRUE))</formula1>
    </dataValidation>
    <dataValidation type="list" allowBlank="1" showInputMessage="1" showErrorMessage="1" sqref="D28" xr:uid="{00000000-0002-0000-0700-00000C000000}">
      <formula1>INDIRECT(VLOOKUP(C2,KausiVlookup,2,TRUE))</formula1>
    </dataValidation>
    <dataValidation type="list" allowBlank="1" showInputMessage="1" showErrorMessage="1" sqref="D25" xr:uid="{00000000-0002-0000-0700-00000D000000}">
      <formula1>INDIRECT(VLOOKUP(C2,KausiVlookup,2,TRUE))</formula1>
    </dataValidation>
    <dataValidation type="list" allowBlank="1" showInputMessage="1" showErrorMessage="1" sqref="D22" xr:uid="{00000000-0002-0000-0700-00000E000000}">
      <formula1>INDIRECT(VLOOKUP(C2,KausiVlookup,2,TRUE))</formula1>
    </dataValidation>
    <dataValidation type="list" allowBlank="1" showInputMessage="1" showErrorMessage="1" sqref="D19" xr:uid="{00000000-0002-0000-0700-00000F000000}">
      <formula1>INDIRECT(VLOOKUP(C2,KausiVlookup,2,TRUE))</formula1>
    </dataValidation>
    <dataValidation type="list" allowBlank="1" showInputMessage="1" showErrorMessage="1" sqref="D16" xr:uid="{00000000-0002-0000-0700-000010000000}">
      <formula1>INDIRECT(VLOOKUP(C2,KausiVlookup,2,TRUE))</formula1>
    </dataValidation>
    <dataValidation type="list" allowBlank="1" showInputMessage="1" showErrorMessage="1" sqref="D13" xr:uid="{00000000-0002-0000-0700-000011000000}">
      <formula1>INDIRECT(VLOOKUP(C2,KausiVlookup,2,TRUE))</formula1>
    </dataValidation>
    <dataValidation type="list" allowBlank="1" showInputMessage="1" showErrorMessage="1" sqref="D10" xr:uid="{00000000-0002-0000-0700-000012000000}">
      <formula1>INDIRECT(VLOOKUP(C2,KausiVlookup,2,TRUE))</formula1>
    </dataValidation>
    <dataValidation type="list" allowBlank="1" showInputMessage="1" showErrorMessage="1" sqref="D7" xr:uid="{00000000-0002-0000-0700-000013000000}">
      <formula1>INDIRECT(VLOOKUP(C2,KausiVlookup,2,TRUE))</formula1>
    </dataValidation>
    <dataValidation type="list" allowBlank="1" showInputMessage="1" showErrorMessage="1" sqref="C7 C10 C13 C16 C19 C22 C25 C28 C31 C34 C37 C40 C43 C46 C49 C52 C55 C58 C61 C64" xr:uid="{00000000-0002-0000-0700-000014000000}">
      <formula1>Koti</formula1>
    </dataValidation>
    <dataValidation type="list" allowBlank="1" showInputMessage="1" showErrorMessage="1" sqref="C6 C9 C12 C15 C18 C21 C24 C27 C30 C33 C36 C39 C42 C45 C48 C51 C54 C57 C60 C63" xr:uid="{00000000-0002-0000-0700-000015000000}">
      <formula1>Hallit</formula1>
    </dataValidation>
    <dataValidation type="list" allowBlank="1" showInputMessage="1" showErrorMessage="1" sqref="C2" xr:uid="{00000000-0002-0000-0700-000016000000}">
      <formula1>Kaudet</formula1>
    </dataValidation>
    <dataValidation type="list" allowBlank="1" showInputMessage="1" showErrorMessage="1" sqref="E2" xr:uid="{00000000-0002-0000-0700-000017000000}">
      <formula1>Sarjat</formula1>
    </dataValidation>
  </dataValidations>
  <pageMargins left="0.19685039370078741" right="0.19685039370078741" top="0.19685039370078741" bottom="0.19685039370078741" header="0" footer="0"/>
  <pageSetup paperSize="9" scale="69" orientation="landscape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BG52"/>
  <sheetViews>
    <sheetView zoomScale="70" zoomScaleNormal="70" workbookViewId="0">
      <selection activeCell="D49" sqref="D49"/>
    </sheetView>
  </sheetViews>
  <sheetFormatPr defaultColWidth="9.109375" defaultRowHeight="14.4" x14ac:dyDescent="0.3"/>
  <cols>
    <col min="1" max="1" width="2.88671875" customWidth="1"/>
    <col min="2" max="2" width="7.33203125" customWidth="1"/>
    <col min="3" max="3" width="23.44140625" customWidth="1"/>
    <col min="4" max="6" width="3.6640625" customWidth="1"/>
    <col min="7" max="61" width="3.5546875" customWidth="1"/>
  </cols>
  <sheetData>
    <row r="2" spans="2:17" x14ac:dyDescent="0.3">
      <c r="C2" s="205" t="s">
        <v>1499</v>
      </c>
      <c r="D2" s="205" t="s">
        <v>740</v>
      </c>
    </row>
    <row r="4" spans="2:17" ht="15" thickBot="1" x14ac:dyDescent="0.35">
      <c r="D4" s="206" t="s">
        <v>877</v>
      </c>
      <c r="E4" s="207" t="s">
        <v>533</v>
      </c>
      <c r="F4" s="207" t="s">
        <v>534</v>
      </c>
      <c r="G4" s="207" t="s">
        <v>610</v>
      </c>
      <c r="H4" s="207" t="s">
        <v>535</v>
      </c>
      <c r="I4" s="207" t="s">
        <v>1476</v>
      </c>
      <c r="J4" s="207" t="s">
        <v>540</v>
      </c>
      <c r="K4" s="207" t="s">
        <v>545</v>
      </c>
      <c r="L4" s="373" t="s">
        <v>557</v>
      </c>
      <c r="M4" s="207">
        <v>0</v>
      </c>
      <c r="N4" s="207" t="s">
        <v>637</v>
      </c>
      <c r="O4" s="208" t="s">
        <v>693</v>
      </c>
      <c r="P4" s="208" t="s">
        <v>1477</v>
      </c>
      <c r="Q4" s="208" t="s">
        <v>139</v>
      </c>
    </row>
    <row r="5" spans="2:17" x14ac:dyDescent="0.3">
      <c r="B5" s="601" t="str">
        <f>B27</f>
        <v>#13</v>
      </c>
      <c r="C5" s="602" t="str">
        <f>C27</f>
        <v>Joni Vainio</v>
      </c>
      <c r="D5" s="253">
        <v>20</v>
      </c>
      <c r="E5" s="229">
        <f>COUNTIF(D27:BI27,"M")</f>
        <v>0</v>
      </c>
      <c r="F5" s="229">
        <f>COUNTIF(D27:BI27,"S")</f>
        <v>0</v>
      </c>
      <c r="G5" s="229">
        <f t="shared" ref="G5:G19" si="0">E5+F5</f>
        <v>0</v>
      </c>
      <c r="H5" s="229">
        <f>COUNTIF(D27:BI27,"J")</f>
        <v>0</v>
      </c>
      <c r="I5" s="229">
        <f>COUNTIF(D27:BI27,"RM")</f>
        <v>0</v>
      </c>
      <c r="J5" s="229">
        <f>COUNTIF(D27:BI27,"YV")</f>
        <v>0</v>
      </c>
      <c r="K5" s="229" t="s">
        <v>107</v>
      </c>
      <c r="L5" s="254" t="s">
        <v>107</v>
      </c>
      <c r="M5" s="229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</row>
    <row r="6" spans="2:17" x14ac:dyDescent="0.3">
      <c r="B6" s="601" t="str">
        <f t="shared" ref="B6:C21" si="1">B28</f>
        <v>#14</v>
      </c>
      <c r="C6" s="602" t="str">
        <f t="shared" si="1"/>
        <v>Ville Koivisto</v>
      </c>
      <c r="D6" s="168">
        <v>20</v>
      </c>
      <c r="E6" s="119">
        <f t="shared" ref="E6:E19" si="2">COUNTIF(D28:BI28,"M")</f>
        <v>0</v>
      </c>
      <c r="F6" s="119">
        <f t="shared" ref="F6:F19" si="3">COUNTIF(D28:BI28,"S")</f>
        <v>0</v>
      </c>
      <c r="G6" s="119">
        <f t="shared" si="0"/>
        <v>0</v>
      </c>
      <c r="H6" s="119">
        <f t="shared" ref="H6:H19" si="4">COUNTIF(D28:BI28,"J")</f>
        <v>0</v>
      </c>
      <c r="I6" s="119">
        <f t="shared" ref="I6:I19" si="5">COUNTIF(D28:BI28,"RM")</f>
        <v>0</v>
      </c>
      <c r="J6" s="119">
        <f t="shared" ref="J6:J19" si="6">COUNTIF(D28:BI28,"YV")</f>
        <v>0</v>
      </c>
      <c r="K6" s="227" t="s">
        <v>107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 t="s">
        <v>107</v>
      </c>
      <c r="Q6" s="227" t="s">
        <v>107</v>
      </c>
    </row>
    <row r="7" spans="2:17" x14ac:dyDescent="0.3">
      <c r="B7" s="601" t="str">
        <f t="shared" si="1"/>
        <v>#82</v>
      </c>
      <c r="C7" s="602" t="str">
        <f t="shared" si="1"/>
        <v>Matias Mäkilä</v>
      </c>
      <c r="D7" s="228">
        <v>20</v>
      </c>
      <c r="E7" s="229">
        <f t="shared" si="2"/>
        <v>0</v>
      </c>
      <c r="F7" s="229">
        <f t="shared" si="3"/>
        <v>0</v>
      </c>
      <c r="G7" s="229">
        <f t="shared" si="0"/>
        <v>0</v>
      </c>
      <c r="H7" s="229">
        <f t="shared" si="4"/>
        <v>0</v>
      </c>
      <c r="I7" s="229">
        <f t="shared" si="5"/>
        <v>0</v>
      </c>
      <c r="J7" s="229">
        <f t="shared" si="6"/>
        <v>0</v>
      </c>
      <c r="K7" s="230" t="s">
        <v>107</v>
      </c>
      <c r="L7" s="254" t="s">
        <v>107</v>
      </c>
      <c r="M7" s="230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</row>
    <row r="8" spans="2:17" x14ac:dyDescent="0.3">
      <c r="B8" s="601" t="str">
        <f t="shared" si="1"/>
        <v>#17</v>
      </c>
      <c r="C8" s="602" t="str">
        <f t="shared" si="1"/>
        <v>Mauri Kurri</v>
      </c>
      <c r="D8" s="168">
        <v>20</v>
      </c>
      <c r="E8" s="119">
        <f t="shared" si="2"/>
        <v>0</v>
      </c>
      <c r="F8" s="119">
        <f t="shared" si="3"/>
        <v>0</v>
      </c>
      <c r="G8" s="119">
        <f t="shared" si="0"/>
        <v>0</v>
      </c>
      <c r="H8" s="119">
        <f t="shared" si="4"/>
        <v>0</v>
      </c>
      <c r="I8" s="119">
        <f t="shared" si="5"/>
        <v>0</v>
      </c>
      <c r="J8" s="119">
        <f t="shared" si="6"/>
        <v>0</v>
      </c>
      <c r="K8" s="227" t="s">
        <v>107</v>
      </c>
      <c r="L8" s="227" t="s">
        <v>107</v>
      </c>
      <c r="M8" s="227" t="s">
        <v>107</v>
      </c>
      <c r="N8" s="119" t="s">
        <v>107</v>
      </c>
      <c r="O8" s="227" t="s">
        <v>107</v>
      </c>
      <c r="P8" s="119" t="s">
        <v>107</v>
      </c>
      <c r="Q8" s="119" t="s">
        <v>107</v>
      </c>
    </row>
    <row r="9" spans="2:17" x14ac:dyDescent="0.3">
      <c r="B9" s="601" t="str">
        <f t="shared" si="1"/>
        <v>#66</v>
      </c>
      <c r="C9" s="602" t="str">
        <f t="shared" si="1"/>
        <v>Miika Oja-Nisula</v>
      </c>
      <c r="D9" s="228">
        <v>20</v>
      </c>
      <c r="E9" s="229">
        <f t="shared" si="2"/>
        <v>0</v>
      </c>
      <c r="F9" s="229">
        <f t="shared" si="3"/>
        <v>0</v>
      </c>
      <c r="G9" s="229">
        <f t="shared" si="0"/>
        <v>0</v>
      </c>
      <c r="H9" s="229">
        <f t="shared" si="4"/>
        <v>0</v>
      </c>
      <c r="I9" s="229">
        <f t="shared" si="5"/>
        <v>0</v>
      </c>
      <c r="J9" s="229">
        <f t="shared" si="6"/>
        <v>0</v>
      </c>
      <c r="K9" s="229" t="s">
        <v>107</v>
      </c>
      <c r="L9" s="230" t="s">
        <v>107</v>
      </c>
      <c r="M9" s="230" t="s">
        <v>107</v>
      </c>
      <c r="N9" s="230" t="s">
        <v>107</v>
      </c>
      <c r="O9" s="230" t="s">
        <v>107</v>
      </c>
      <c r="P9" s="229" t="s">
        <v>107</v>
      </c>
      <c r="Q9" s="229" t="s">
        <v>107</v>
      </c>
    </row>
    <row r="10" spans="2:17" x14ac:dyDescent="0.3">
      <c r="B10" s="601" t="str">
        <f t="shared" si="1"/>
        <v>#19</v>
      </c>
      <c r="C10" s="602" t="str">
        <f t="shared" si="1"/>
        <v>Mika Aaltonen</v>
      </c>
      <c r="D10" s="168">
        <v>20</v>
      </c>
      <c r="E10" s="119">
        <f t="shared" si="2"/>
        <v>0</v>
      </c>
      <c r="F10" s="119">
        <f t="shared" si="3"/>
        <v>0</v>
      </c>
      <c r="G10" s="119">
        <f t="shared" si="0"/>
        <v>0</v>
      </c>
      <c r="H10" s="119">
        <f t="shared" si="4"/>
        <v>0</v>
      </c>
      <c r="I10" s="119">
        <f t="shared" si="5"/>
        <v>0</v>
      </c>
      <c r="J10" s="119">
        <f t="shared" si="6"/>
        <v>0</v>
      </c>
      <c r="K10" s="227" t="s">
        <v>107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</row>
    <row r="11" spans="2:17" x14ac:dyDescent="0.3">
      <c r="B11" s="601" t="str">
        <f t="shared" si="1"/>
        <v>#20</v>
      </c>
      <c r="C11" s="602" t="str">
        <f t="shared" si="1"/>
        <v>Jarno Peltola</v>
      </c>
      <c r="D11" s="228">
        <v>20</v>
      </c>
      <c r="E11" s="229">
        <f t="shared" si="2"/>
        <v>0</v>
      </c>
      <c r="F11" s="229">
        <f t="shared" si="3"/>
        <v>0</v>
      </c>
      <c r="G11" s="229">
        <f t="shared" si="0"/>
        <v>0</v>
      </c>
      <c r="H11" s="229">
        <f t="shared" si="4"/>
        <v>0</v>
      </c>
      <c r="I11" s="229">
        <f t="shared" si="5"/>
        <v>0</v>
      </c>
      <c r="J11" s="229">
        <f t="shared" si="6"/>
        <v>0</v>
      </c>
      <c r="K11" s="229" t="s">
        <v>107</v>
      </c>
      <c r="L11" s="230" t="s">
        <v>107</v>
      </c>
      <c r="M11" s="230" t="s">
        <v>107</v>
      </c>
      <c r="N11" s="230" t="s">
        <v>107</v>
      </c>
      <c r="O11" s="230" t="s">
        <v>107</v>
      </c>
      <c r="P11" s="229" t="s">
        <v>107</v>
      </c>
      <c r="Q11" s="229" t="s">
        <v>107</v>
      </c>
    </row>
    <row r="12" spans="2:17" x14ac:dyDescent="0.3">
      <c r="B12" s="601" t="str">
        <f t="shared" si="1"/>
        <v>#25</v>
      </c>
      <c r="C12" s="602" t="str">
        <f t="shared" si="1"/>
        <v>Ville Mettälä</v>
      </c>
      <c r="D12" s="168">
        <v>20</v>
      </c>
      <c r="E12" s="119">
        <f t="shared" si="2"/>
        <v>0</v>
      </c>
      <c r="F12" s="119">
        <f t="shared" si="3"/>
        <v>0</v>
      </c>
      <c r="G12" s="119">
        <f t="shared" si="0"/>
        <v>0</v>
      </c>
      <c r="H12" s="119">
        <f t="shared" si="4"/>
        <v>0</v>
      </c>
      <c r="I12" s="119">
        <f t="shared" si="5"/>
        <v>0</v>
      </c>
      <c r="J12" s="119">
        <f t="shared" si="6"/>
        <v>0</v>
      </c>
      <c r="K12" s="227" t="s">
        <v>107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</row>
    <row r="13" spans="2:17" x14ac:dyDescent="0.3">
      <c r="B13" s="601" t="str">
        <f t="shared" si="1"/>
        <v>#50</v>
      </c>
      <c r="C13" s="602" t="str">
        <f t="shared" si="1"/>
        <v>Tuukka Mettälä</v>
      </c>
      <c r="D13" s="228">
        <v>20</v>
      </c>
      <c r="E13" s="229">
        <f t="shared" si="2"/>
        <v>0</v>
      </c>
      <c r="F13" s="229">
        <f t="shared" si="3"/>
        <v>0</v>
      </c>
      <c r="G13" s="229">
        <f t="shared" si="0"/>
        <v>0</v>
      </c>
      <c r="H13" s="229">
        <f t="shared" si="4"/>
        <v>0</v>
      </c>
      <c r="I13" s="229">
        <f t="shared" si="5"/>
        <v>0</v>
      </c>
      <c r="J13" s="229">
        <f t="shared" si="6"/>
        <v>0</v>
      </c>
      <c r="K13" s="230" t="s">
        <v>107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</row>
    <row r="14" spans="2:17" x14ac:dyDescent="0.3">
      <c r="B14" s="601" t="str">
        <f t="shared" si="1"/>
        <v>#55</v>
      </c>
      <c r="C14" s="602" t="str">
        <f t="shared" si="1"/>
        <v>Henrik Lehtonen</v>
      </c>
      <c r="D14" s="168">
        <v>20</v>
      </c>
      <c r="E14" s="119">
        <f t="shared" si="2"/>
        <v>0</v>
      </c>
      <c r="F14" s="119">
        <f t="shared" si="3"/>
        <v>0</v>
      </c>
      <c r="G14" s="119">
        <f t="shared" si="0"/>
        <v>0</v>
      </c>
      <c r="H14" s="119">
        <f t="shared" si="4"/>
        <v>0</v>
      </c>
      <c r="I14" s="119">
        <f t="shared" si="5"/>
        <v>0</v>
      </c>
      <c r="J14" s="119">
        <f t="shared" si="6"/>
        <v>0</v>
      </c>
      <c r="K14" s="227" t="s">
        <v>107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119" t="s">
        <v>107</v>
      </c>
      <c r="Q14" s="119" t="s">
        <v>107</v>
      </c>
    </row>
    <row r="15" spans="2:17" x14ac:dyDescent="0.3">
      <c r="B15" s="601" t="str">
        <f t="shared" si="1"/>
        <v>#23</v>
      </c>
      <c r="C15" s="602" t="str">
        <f t="shared" si="1"/>
        <v>Sami Pöllänen</v>
      </c>
      <c r="D15" s="228">
        <v>20</v>
      </c>
      <c r="E15" s="229">
        <f t="shared" si="2"/>
        <v>0</v>
      </c>
      <c r="F15" s="229">
        <f t="shared" si="3"/>
        <v>0</v>
      </c>
      <c r="G15" s="229">
        <f t="shared" si="0"/>
        <v>0</v>
      </c>
      <c r="H15" s="229">
        <f t="shared" si="4"/>
        <v>0</v>
      </c>
      <c r="I15" s="229">
        <f t="shared" si="5"/>
        <v>0</v>
      </c>
      <c r="J15" s="229">
        <f t="shared" si="6"/>
        <v>0</v>
      </c>
      <c r="K15" s="230" t="s">
        <v>107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</row>
    <row r="16" spans="2:17" x14ac:dyDescent="0.3">
      <c r="B16" s="601" t="str">
        <f t="shared" si="1"/>
        <v>#9</v>
      </c>
      <c r="C16" s="602" t="str">
        <f t="shared" si="1"/>
        <v>Atte Nieminen</v>
      </c>
      <c r="D16" s="168">
        <v>20</v>
      </c>
      <c r="E16" s="119">
        <f t="shared" si="2"/>
        <v>0</v>
      </c>
      <c r="F16" s="119">
        <f t="shared" si="3"/>
        <v>0</v>
      </c>
      <c r="G16" s="119">
        <f t="shared" si="0"/>
        <v>0</v>
      </c>
      <c r="H16" s="119">
        <f t="shared" si="4"/>
        <v>0</v>
      </c>
      <c r="I16" s="119">
        <f t="shared" si="5"/>
        <v>0</v>
      </c>
      <c r="J16" s="119">
        <f t="shared" si="6"/>
        <v>0</v>
      </c>
      <c r="K16" s="227" t="s">
        <v>107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</row>
    <row r="17" spans="2:59" x14ac:dyDescent="0.3">
      <c r="B17" s="601" t="str">
        <f t="shared" si="1"/>
        <v>#96</v>
      </c>
      <c r="C17" s="602" t="str">
        <f t="shared" si="1"/>
        <v>Kaj Engblom</v>
      </c>
      <c r="D17" s="228">
        <v>20</v>
      </c>
      <c r="E17" s="229">
        <f t="shared" si="2"/>
        <v>0</v>
      </c>
      <c r="F17" s="229">
        <f t="shared" si="3"/>
        <v>0</v>
      </c>
      <c r="G17" s="229">
        <f t="shared" si="0"/>
        <v>0</v>
      </c>
      <c r="H17" s="229">
        <f t="shared" si="4"/>
        <v>0</v>
      </c>
      <c r="I17" s="229">
        <f t="shared" si="5"/>
        <v>0</v>
      </c>
      <c r="J17" s="229">
        <f t="shared" si="6"/>
        <v>0</v>
      </c>
      <c r="K17" s="230" t="s">
        <v>107</v>
      </c>
      <c r="L17" s="230" t="s">
        <v>107</v>
      </c>
      <c r="M17" s="230" t="s">
        <v>107</v>
      </c>
      <c r="N17" s="230" t="s">
        <v>107</v>
      </c>
      <c r="O17" s="230" t="s">
        <v>107</v>
      </c>
      <c r="P17" s="229" t="s">
        <v>107</v>
      </c>
      <c r="Q17" s="229" t="s">
        <v>107</v>
      </c>
    </row>
    <row r="18" spans="2:59" x14ac:dyDescent="0.3">
      <c r="B18" s="601" t="str">
        <f t="shared" si="1"/>
        <v>#1</v>
      </c>
      <c r="C18" s="602" t="str">
        <f t="shared" si="1"/>
        <v>Esa Mäki</v>
      </c>
      <c r="D18" s="168">
        <v>20</v>
      </c>
      <c r="E18" s="119">
        <f t="shared" si="2"/>
        <v>0</v>
      </c>
      <c r="F18" s="119">
        <f t="shared" si="3"/>
        <v>0</v>
      </c>
      <c r="G18" s="119">
        <f t="shared" si="0"/>
        <v>0</v>
      </c>
      <c r="H18" s="119">
        <f t="shared" si="4"/>
        <v>0</v>
      </c>
      <c r="I18" s="119">
        <f t="shared" si="5"/>
        <v>0</v>
      </c>
      <c r="J18" s="119">
        <f t="shared" si="6"/>
        <v>0</v>
      </c>
      <c r="K18" s="227" t="s">
        <v>107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</row>
    <row r="19" spans="2:59" x14ac:dyDescent="0.3">
      <c r="B19" s="601" t="str">
        <f t="shared" si="1"/>
        <v>#99</v>
      </c>
      <c r="C19" s="602" t="str">
        <f t="shared" si="1"/>
        <v>Jussi Vuoria</v>
      </c>
      <c r="D19" s="228">
        <v>20</v>
      </c>
      <c r="E19" s="229">
        <f t="shared" si="2"/>
        <v>0</v>
      </c>
      <c r="F19" s="229">
        <f t="shared" si="3"/>
        <v>0</v>
      </c>
      <c r="G19" s="229">
        <f t="shared" si="0"/>
        <v>0</v>
      </c>
      <c r="H19" s="229">
        <f t="shared" si="4"/>
        <v>0</v>
      </c>
      <c r="I19" s="229">
        <f t="shared" si="5"/>
        <v>0</v>
      </c>
      <c r="J19" s="229">
        <f t="shared" si="6"/>
        <v>0</v>
      </c>
      <c r="K19" s="230" t="s">
        <v>107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</row>
    <row r="20" spans="2:59" x14ac:dyDescent="0.3">
      <c r="B20" s="601">
        <f t="shared" si="1"/>
        <v>0</v>
      </c>
      <c r="C20" s="602">
        <f t="shared" si="1"/>
        <v>0</v>
      </c>
      <c r="D20" s="168"/>
      <c r="E20" s="119"/>
      <c r="F20" s="119"/>
      <c r="G20" s="119"/>
      <c r="H20" s="119"/>
      <c r="I20" s="227"/>
      <c r="J20" s="227"/>
      <c r="K20" s="227"/>
      <c r="L20" s="227"/>
      <c r="M20" s="227"/>
      <c r="N20" s="227"/>
      <c r="O20" s="227"/>
      <c r="P20" s="227"/>
      <c r="Q20" s="227"/>
    </row>
    <row r="21" spans="2:59" x14ac:dyDescent="0.3">
      <c r="B21" s="601">
        <f t="shared" si="1"/>
        <v>0</v>
      </c>
      <c r="C21" s="602">
        <f t="shared" si="1"/>
        <v>0</v>
      </c>
      <c r="D21" s="228"/>
      <c r="E21" s="229"/>
      <c r="F21" s="229"/>
      <c r="G21" s="229"/>
      <c r="H21" s="229"/>
      <c r="I21" s="230"/>
      <c r="J21" s="230"/>
      <c r="K21" s="230"/>
      <c r="L21" s="230"/>
      <c r="M21" s="230"/>
      <c r="N21" s="230"/>
      <c r="O21" s="230"/>
      <c r="P21" s="230"/>
      <c r="Q21" s="230"/>
    </row>
    <row r="22" spans="2:59" x14ac:dyDescent="0.3">
      <c r="B22" s="601">
        <f t="shared" ref="B22:C22" si="7">B44</f>
        <v>0</v>
      </c>
      <c r="C22" s="603">
        <f t="shared" si="7"/>
        <v>0</v>
      </c>
      <c r="D22" s="168"/>
      <c r="E22" s="119"/>
      <c r="F22" s="119"/>
      <c r="G22" s="119"/>
      <c r="H22" s="119"/>
      <c r="I22" s="227"/>
      <c r="J22" s="227"/>
      <c r="K22" s="227"/>
      <c r="L22" s="227"/>
      <c r="M22" s="119"/>
      <c r="N22" s="227"/>
      <c r="O22" s="227"/>
      <c r="P22" s="227"/>
      <c r="Q22" s="227"/>
    </row>
    <row r="23" spans="2:59" x14ac:dyDescent="0.3">
      <c r="F23" s="8"/>
      <c r="G23" s="8"/>
      <c r="H23" s="8"/>
      <c r="I23" s="265"/>
      <c r="J23" s="265"/>
      <c r="K23" s="265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59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59" x14ac:dyDescent="0.3">
      <c r="F25" s="8"/>
      <c r="G25" s="8"/>
      <c r="H25" s="8"/>
      <c r="I25" s="265"/>
      <c r="J25" s="265"/>
      <c r="K25" s="265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59" s="205" customFormat="1" x14ac:dyDescent="0.3">
      <c r="D26" s="372" t="s">
        <v>995</v>
      </c>
      <c r="E26" s="372" t="s">
        <v>997</v>
      </c>
      <c r="F26" s="370" t="s">
        <v>999</v>
      </c>
      <c r="G26" s="265"/>
      <c r="H26" s="265"/>
      <c r="I26" s="265"/>
      <c r="J26" s="265"/>
      <c r="K26" s="370" t="s">
        <v>1001</v>
      </c>
      <c r="L26" s="265"/>
      <c r="M26" s="265"/>
      <c r="N26" s="265"/>
      <c r="O26" s="370" t="s">
        <v>1003</v>
      </c>
      <c r="P26" s="265"/>
      <c r="Q26" s="370" t="s">
        <v>1004</v>
      </c>
      <c r="R26" s="265"/>
      <c r="S26" s="265"/>
      <c r="T26" s="265"/>
      <c r="U26" s="265"/>
      <c r="V26" s="372" t="s">
        <v>1006</v>
      </c>
      <c r="X26" s="372" t="s">
        <v>1008</v>
      </c>
      <c r="Z26" s="372" t="s">
        <v>1010</v>
      </c>
      <c r="AC26" s="372" t="s">
        <v>1012</v>
      </c>
      <c r="AH26" s="372" t="s">
        <v>1465</v>
      </c>
      <c r="AJ26" s="372" t="s">
        <v>1466</v>
      </c>
      <c r="AL26" s="372" t="s">
        <v>1467</v>
      </c>
      <c r="AM26" s="372" t="s">
        <v>1468</v>
      </c>
      <c r="AR26" s="372" t="s">
        <v>1469</v>
      </c>
      <c r="AT26" s="372" t="s">
        <v>1470</v>
      </c>
      <c r="AV26" s="372" t="s">
        <v>1472</v>
      </c>
      <c r="AY26" s="372" t="s">
        <v>1473</v>
      </c>
      <c r="BD26" s="372" t="s">
        <v>1474</v>
      </c>
      <c r="BG26" s="372" t="s">
        <v>1475</v>
      </c>
    </row>
    <row r="27" spans="2:59" x14ac:dyDescent="0.3">
      <c r="B27" s="30" t="s">
        <v>1460</v>
      </c>
      <c r="C27" t="s">
        <v>1459</v>
      </c>
      <c r="D27" s="300"/>
      <c r="E27" s="300"/>
      <c r="F27" s="371"/>
      <c r="G27" s="8"/>
      <c r="H27" s="8"/>
      <c r="I27" s="8"/>
      <c r="J27" s="8"/>
      <c r="K27" s="371"/>
      <c r="L27" s="8"/>
      <c r="M27" s="8"/>
      <c r="N27" s="8"/>
      <c r="O27" s="371"/>
      <c r="P27" s="8"/>
      <c r="Q27" s="371"/>
      <c r="R27" s="8"/>
      <c r="S27" s="8"/>
      <c r="T27" s="8"/>
      <c r="U27" s="8"/>
      <c r="V27" s="300"/>
      <c r="X27" s="300"/>
      <c r="Z27" s="300"/>
      <c r="AC27" s="300"/>
      <c r="AH27" s="300"/>
      <c r="AJ27" s="300"/>
      <c r="AL27" s="300"/>
      <c r="AM27" s="300"/>
      <c r="AR27" s="300"/>
      <c r="AT27" s="300"/>
      <c r="AV27" s="300"/>
      <c r="AY27" s="300"/>
      <c r="BD27" s="300"/>
      <c r="BG27" s="300"/>
    </row>
    <row r="28" spans="2:59" x14ac:dyDescent="0.3">
      <c r="B28" s="30" t="s">
        <v>672</v>
      </c>
      <c r="C28" t="s">
        <v>1075</v>
      </c>
      <c r="D28" s="300"/>
      <c r="E28" s="300"/>
      <c r="F28" s="371"/>
      <c r="G28" s="8"/>
      <c r="H28" s="8"/>
      <c r="I28" s="8"/>
      <c r="J28" s="8"/>
      <c r="K28" s="371"/>
      <c r="L28" s="8"/>
      <c r="M28" s="8"/>
      <c r="N28" s="8"/>
      <c r="O28" s="371"/>
      <c r="P28" s="8"/>
      <c r="Q28" s="371"/>
      <c r="R28" s="8"/>
      <c r="S28" s="8"/>
      <c r="T28" s="8"/>
      <c r="U28" s="8"/>
      <c r="V28" s="300"/>
      <c r="X28" s="300"/>
      <c r="Z28" s="300"/>
      <c r="AC28" s="300"/>
      <c r="AH28" s="300"/>
      <c r="AJ28" s="300"/>
      <c r="AL28" s="300"/>
      <c r="AM28" s="300"/>
      <c r="AR28" s="300"/>
      <c r="AT28" s="300"/>
      <c r="AV28" s="300"/>
      <c r="AY28" s="300"/>
      <c r="BD28" s="300"/>
      <c r="BG28" s="300"/>
    </row>
    <row r="29" spans="2:59" x14ac:dyDescent="0.3">
      <c r="B29" s="30" t="s">
        <v>529</v>
      </c>
      <c r="C29" t="s">
        <v>47</v>
      </c>
      <c r="D29" s="300"/>
      <c r="E29" s="300"/>
      <c r="F29" s="371"/>
      <c r="G29" s="8"/>
      <c r="H29" s="8"/>
      <c r="I29" s="8"/>
      <c r="J29" s="8"/>
      <c r="K29" s="371"/>
      <c r="L29" s="8"/>
      <c r="M29" s="8"/>
      <c r="N29" s="8"/>
      <c r="O29" s="371"/>
      <c r="P29" s="8"/>
      <c r="Q29" s="371"/>
      <c r="R29" s="8"/>
      <c r="S29" s="8"/>
      <c r="T29" s="8"/>
      <c r="U29" s="8"/>
      <c r="V29" s="300"/>
      <c r="X29" s="300"/>
      <c r="Z29" s="300"/>
      <c r="AC29" s="300"/>
      <c r="AH29" s="300"/>
      <c r="AJ29" s="300"/>
      <c r="AL29" s="300"/>
      <c r="AM29" s="300"/>
      <c r="AR29" s="300"/>
      <c r="AT29" s="300"/>
      <c r="AV29" s="300"/>
      <c r="AY29" s="300"/>
      <c r="BD29" s="300"/>
      <c r="BG29" s="300"/>
    </row>
    <row r="30" spans="2:59" x14ac:dyDescent="0.3">
      <c r="B30" s="30" t="s">
        <v>524</v>
      </c>
      <c r="C30" t="s">
        <v>53</v>
      </c>
      <c r="D30" s="300"/>
      <c r="E30" s="300"/>
      <c r="F30" s="371"/>
      <c r="G30" s="8"/>
      <c r="H30" s="8"/>
      <c r="I30" s="8"/>
      <c r="J30" s="8"/>
      <c r="K30" s="371"/>
      <c r="L30" s="8"/>
      <c r="M30" s="8"/>
      <c r="N30" s="8"/>
      <c r="O30" s="371"/>
      <c r="P30" s="8"/>
      <c r="Q30" s="371"/>
      <c r="R30" s="8"/>
      <c r="S30" s="8"/>
      <c r="T30" s="8"/>
      <c r="U30" s="8"/>
      <c r="V30" s="300"/>
      <c r="X30" s="300"/>
      <c r="Z30" s="300"/>
      <c r="AC30" s="300"/>
      <c r="AH30" s="300"/>
      <c r="AJ30" s="300"/>
      <c r="AL30" s="300"/>
      <c r="AM30" s="300"/>
      <c r="AR30" s="300"/>
      <c r="AT30" s="300"/>
      <c r="AV30" s="300"/>
      <c r="AY30" s="300"/>
      <c r="BD30" s="300"/>
      <c r="BG30" s="300"/>
    </row>
    <row r="31" spans="2:59" x14ac:dyDescent="0.3">
      <c r="B31" s="30" t="s">
        <v>1461</v>
      </c>
      <c r="C31" t="s">
        <v>1379</v>
      </c>
      <c r="D31" s="300"/>
      <c r="E31" s="300"/>
      <c r="F31" s="371"/>
      <c r="G31" s="8"/>
      <c r="H31" s="8"/>
      <c r="I31" s="8"/>
      <c r="J31" s="8"/>
      <c r="K31" s="371"/>
      <c r="L31" s="8"/>
      <c r="M31" s="8"/>
      <c r="N31" s="8"/>
      <c r="O31" s="371"/>
      <c r="P31" s="8"/>
      <c r="Q31" s="371"/>
      <c r="R31" s="8"/>
      <c r="S31" s="8"/>
      <c r="T31" s="8"/>
      <c r="U31" s="8"/>
      <c r="V31" s="300"/>
      <c r="X31" s="300"/>
      <c r="Z31" s="300"/>
      <c r="AC31" s="300"/>
      <c r="AH31" s="300"/>
      <c r="AJ31" s="300"/>
      <c r="AL31" s="300"/>
      <c r="AM31" s="300"/>
      <c r="AR31" s="300"/>
      <c r="AT31" s="300"/>
      <c r="AV31" s="300"/>
      <c r="AY31" s="300"/>
      <c r="BD31" s="300"/>
      <c r="BG31" s="300"/>
    </row>
    <row r="32" spans="2:59" x14ac:dyDescent="0.3">
      <c r="B32" s="30" t="s">
        <v>525</v>
      </c>
      <c r="C32" t="s">
        <v>50</v>
      </c>
      <c r="D32" s="300"/>
      <c r="E32" s="300"/>
      <c r="F32" s="371"/>
      <c r="G32" s="8"/>
      <c r="H32" s="8"/>
      <c r="I32" s="8"/>
      <c r="J32" s="8"/>
      <c r="K32" s="371"/>
      <c r="L32" s="8"/>
      <c r="M32" s="8"/>
      <c r="N32" s="8"/>
      <c r="O32" s="371"/>
      <c r="P32" s="8"/>
      <c r="Q32" s="371"/>
      <c r="R32" s="8"/>
      <c r="S32" s="8"/>
      <c r="T32" s="8"/>
      <c r="U32" s="8"/>
      <c r="V32" s="300"/>
      <c r="X32" s="300"/>
      <c r="Z32" s="300"/>
      <c r="AC32" s="300"/>
      <c r="AH32" s="300"/>
      <c r="AJ32" s="300"/>
      <c r="AL32" s="300"/>
      <c r="AM32" s="300"/>
      <c r="AR32" s="300"/>
      <c r="AT32" s="300"/>
      <c r="AV32" s="300"/>
      <c r="AY32" s="300"/>
      <c r="BD32" s="300"/>
      <c r="BG32" s="300"/>
    </row>
    <row r="33" spans="2:59" x14ac:dyDescent="0.3">
      <c r="B33" s="30" t="s">
        <v>1462</v>
      </c>
      <c r="C33" t="s">
        <v>1124</v>
      </c>
      <c r="D33" s="300"/>
      <c r="E33" s="300"/>
      <c r="F33" s="371"/>
      <c r="G33" s="8"/>
      <c r="H33" s="8"/>
      <c r="I33" s="8"/>
      <c r="J33" s="8"/>
      <c r="K33" s="371"/>
      <c r="L33" s="8"/>
      <c r="M33" s="8"/>
      <c r="N33" s="8"/>
      <c r="O33" s="371"/>
      <c r="P33" s="8"/>
      <c r="Q33" s="371"/>
      <c r="R33" s="8"/>
      <c r="S33" s="8"/>
      <c r="T33" s="8"/>
      <c r="U33" s="8"/>
      <c r="V33" s="300"/>
      <c r="X33" s="300"/>
      <c r="Z33" s="300"/>
      <c r="AC33" s="300"/>
      <c r="AH33" s="300"/>
      <c r="AJ33" s="300"/>
      <c r="AL33" s="300"/>
      <c r="AM33" s="300"/>
      <c r="AR33" s="300"/>
      <c r="AT33" s="300"/>
      <c r="AV33" s="300"/>
      <c r="AY33" s="300"/>
      <c r="BD33" s="300"/>
      <c r="BG33" s="300"/>
    </row>
    <row r="34" spans="2:59" x14ac:dyDescent="0.3">
      <c r="B34" s="30" t="s">
        <v>1463</v>
      </c>
      <c r="C34" t="s">
        <v>1164</v>
      </c>
      <c r="D34" s="300"/>
      <c r="E34" s="300"/>
      <c r="F34" s="371"/>
      <c r="G34" s="8"/>
      <c r="H34" s="8"/>
      <c r="I34" s="8"/>
      <c r="J34" s="8"/>
      <c r="K34" s="371"/>
      <c r="L34" s="8"/>
      <c r="M34" s="8"/>
      <c r="N34" s="8"/>
      <c r="O34" s="371"/>
      <c r="P34" s="8"/>
      <c r="Q34" s="371"/>
      <c r="R34" s="8"/>
      <c r="S34" s="8"/>
      <c r="T34" s="8"/>
      <c r="U34" s="8"/>
      <c r="V34" s="300"/>
      <c r="X34" s="300"/>
      <c r="Z34" s="300"/>
      <c r="AC34" s="300"/>
      <c r="AH34" s="300"/>
      <c r="AJ34" s="300"/>
      <c r="AL34" s="300"/>
      <c r="AM34" s="300"/>
      <c r="AR34" s="300"/>
      <c r="AT34" s="300"/>
      <c r="AV34" s="300"/>
      <c r="AY34" s="300"/>
      <c r="BD34" s="300"/>
      <c r="BG34" s="300"/>
    </row>
    <row r="35" spans="2:59" x14ac:dyDescent="0.3">
      <c r="B35" s="30" t="s">
        <v>679</v>
      </c>
      <c r="C35" t="s">
        <v>680</v>
      </c>
      <c r="D35" s="300"/>
      <c r="E35" s="300"/>
      <c r="F35" s="371"/>
      <c r="G35" s="8"/>
      <c r="H35" s="8"/>
      <c r="I35" s="8"/>
      <c r="J35" s="8"/>
      <c r="K35" s="371"/>
      <c r="L35" s="8"/>
      <c r="M35" s="8"/>
      <c r="N35" s="8"/>
      <c r="O35" s="371"/>
      <c r="P35" s="8"/>
      <c r="Q35" s="371"/>
      <c r="R35" s="8"/>
      <c r="S35" s="8"/>
      <c r="T35" s="8"/>
      <c r="U35" s="8"/>
      <c r="V35" s="300"/>
      <c r="X35" s="300"/>
      <c r="Z35" s="300"/>
      <c r="AC35" s="300"/>
      <c r="AH35" s="300"/>
      <c r="AJ35" s="300"/>
      <c r="AL35" s="300"/>
      <c r="AM35" s="300"/>
      <c r="AR35" s="300"/>
      <c r="AT35" s="300"/>
      <c r="AV35" s="300"/>
      <c r="AY35" s="300"/>
      <c r="BD35" s="300"/>
      <c r="BG35" s="300"/>
    </row>
    <row r="36" spans="2:59" x14ac:dyDescent="0.3">
      <c r="B36" s="30" t="s">
        <v>943</v>
      </c>
      <c r="C36" t="s">
        <v>942</v>
      </c>
      <c r="D36" s="300"/>
      <c r="E36" s="300"/>
      <c r="F36" s="371"/>
      <c r="G36" s="8"/>
      <c r="H36" s="8"/>
      <c r="I36" s="8"/>
      <c r="J36" s="8"/>
      <c r="K36" s="371"/>
      <c r="L36" s="8"/>
      <c r="M36" s="8"/>
      <c r="N36" s="8"/>
      <c r="O36" s="371"/>
      <c r="P36" s="8"/>
      <c r="Q36" s="371"/>
      <c r="R36" s="8"/>
      <c r="S36" s="8"/>
      <c r="T36" s="8"/>
      <c r="U36" s="8"/>
      <c r="V36" s="300"/>
      <c r="X36" s="300"/>
      <c r="Z36" s="300"/>
      <c r="AC36" s="300"/>
      <c r="AH36" s="300"/>
      <c r="AJ36" s="300"/>
      <c r="AL36" s="300"/>
      <c r="AM36" s="300"/>
      <c r="AR36" s="300"/>
      <c r="AT36" s="300"/>
      <c r="AV36" s="300"/>
      <c r="AY36" s="300"/>
      <c r="BD36" s="300"/>
      <c r="BG36" s="300"/>
    </row>
    <row r="37" spans="2:59" x14ac:dyDescent="0.3">
      <c r="B37" s="30" t="s">
        <v>674</v>
      </c>
      <c r="C37" t="s">
        <v>1076</v>
      </c>
      <c r="D37" s="300"/>
      <c r="E37" s="300"/>
      <c r="F37" s="371"/>
      <c r="G37" s="8"/>
      <c r="H37" s="8"/>
      <c r="I37" s="8"/>
      <c r="J37" s="8"/>
      <c r="K37" s="371"/>
      <c r="L37" s="8"/>
      <c r="M37" s="8"/>
      <c r="N37" s="8"/>
      <c r="O37" s="371"/>
      <c r="P37" s="8"/>
      <c r="Q37" s="371"/>
      <c r="R37" s="8"/>
      <c r="S37" s="8"/>
      <c r="T37" s="8"/>
      <c r="U37" s="8"/>
      <c r="V37" s="300"/>
      <c r="X37" s="300"/>
      <c r="Z37" s="300"/>
      <c r="AC37" s="300"/>
      <c r="AH37" s="300"/>
      <c r="AJ37" s="300"/>
      <c r="AL37" s="300"/>
      <c r="AM37" s="300"/>
      <c r="AR37" s="300"/>
      <c r="AT37" s="300"/>
      <c r="AV37" s="300"/>
      <c r="AY37" s="300"/>
      <c r="BD37" s="300"/>
      <c r="BG37" s="300"/>
    </row>
    <row r="38" spans="2:59" x14ac:dyDescent="0.3">
      <c r="B38" s="30" t="s">
        <v>522</v>
      </c>
      <c r="C38" t="s">
        <v>1077</v>
      </c>
      <c r="D38" s="300"/>
      <c r="E38" s="300"/>
      <c r="F38" s="371"/>
      <c r="G38" s="8"/>
      <c r="H38" s="8"/>
      <c r="I38" s="8"/>
      <c r="J38" s="8"/>
      <c r="K38" s="371"/>
      <c r="L38" s="8"/>
      <c r="M38" s="8"/>
      <c r="N38" s="8"/>
      <c r="O38" s="371"/>
      <c r="P38" s="8"/>
      <c r="Q38" s="371"/>
      <c r="R38" s="8"/>
      <c r="S38" s="8"/>
      <c r="T38" s="8"/>
      <c r="U38" s="8"/>
      <c r="V38" s="300"/>
      <c r="X38" s="300"/>
      <c r="Z38" s="300"/>
      <c r="AC38" s="300"/>
      <c r="AH38" s="300"/>
      <c r="AJ38" s="300"/>
      <c r="AL38" s="300"/>
      <c r="AM38" s="300"/>
      <c r="AR38" s="300"/>
      <c r="AT38" s="300"/>
      <c r="AV38" s="300"/>
      <c r="AY38" s="300"/>
      <c r="BD38" s="300"/>
      <c r="BG38" s="300"/>
    </row>
    <row r="39" spans="2:59" x14ac:dyDescent="0.3">
      <c r="B39" s="30" t="s">
        <v>1464</v>
      </c>
      <c r="C39" t="s">
        <v>185</v>
      </c>
      <c r="D39" s="300"/>
      <c r="E39" s="300"/>
      <c r="F39" s="371"/>
      <c r="G39" s="8"/>
      <c r="H39" s="8"/>
      <c r="I39" s="265"/>
      <c r="J39" s="265"/>
      <c r="K39" s="370"/>
      <c r="L39" s="8"/>
      <c r="M39" s="8"/>
      <c r="N39" s="8"/>
      <c r="O39" s="371"/>
      <c r="P39" s="8"/>
      <c r="Q39" s="371"/>
      <c r="R39" s="8"/>
      <c r="S39" s="8"/>
      <c r="T39" s="8"/>
      <c r="U39" s="8"/>
      <c r="V39" s="300"/>
      <c r="X39" s="300"/>
      <c r="Z39" s="300"/>
      <c r="AC39" s="300"/>
      <c r="AH39" s="300"/>
      <c r="AJ39" s="300"/>
      <c r="AL39" s="300"/>
      <c r="AM39" s="300"/>
      <c r="AR39" s="300"/>
      <c r="AT39" s="300"/>
      <c r="AV39" s="300"/>
      <c r="AY39" s="300"/>
      <c r="BD39" s="300"/>
      <c r="BG39" s="300"/>
    </row>
    <row r="40" spans="2:59" x14ac:dyDescent="0.3">
      <c r="B40" s="30" t="s">
        <v>778</v>
      </c>
      <c r="C40" t="s">
        <v>946</v>
      </c>
      <c r="D40" s="300"/>
      <c r="E40" s="300"/>
      <c r="F40" s="300"/>
      <c r="K40" s="300"/>
      <c r="O40" s="300"/>
      <c r="Q40" s="300"/>
      <c r="V40" s="300"/>
      <c r="X40" s="300"/>
      <c r="Z40" s="300"/>
      <c r="AC40" s="300"/>
      <c r="AH40" s="300"/>
      <c r="AJ40" s="300"/>
      <c r="AL40" s="300"/>
      <c r="AM40" s="300"/>
      <c r="AR40" s="300"/>
      <c r="AT40" s="300"/>
      <c r="AV40" s="300"/>
      <c r="AY40" s="300"/>
      <c r="BD40" s="300"/>
      <c r="BG40" s="300"/>
    </row>
    <row r="41" spans="2:59" x14ac:dyDescent="0.3">
      <c r="B41" s="30" t="s">
        <v>1500</v>
      </c>
      <c r="C41" t="s">
        <v>100</v>
      </c>
      <c r="D41" s="300"/>
      <c r="E41" s="300"/>
      <c r="F41" s="300"/>
      <c r="K41" s="300"/>
      <c r="O41" s="300"/>
      <c r="Q41" s="300"/>
      <c r="V41" s="300"/>
      <c r="X41" s="300"/>
      <c r="Z41" s="300"/>
      <c r="AC41" s="300"/>
      <c r="AH41" s="300"/>
      <c r="AJ41" s="300"/>
      <c r="AL41" s="300"/>
      <c r="AM41" s="300"/>
      <c r="AR41" s="300"/>
      <c r="AT41" s="300"/>
      <c r="AV41" s="300"/>
      <c r="AY41" s="300"/>
      <c r="BD41" s="300"/>
      <c r="BG41" s="300"/>
    </row>
    <row r="52" spans="6:9" x14ac:dyDescent="0.3">
      <c r="F52">
        <f>COUNTIF(F27:BH40,"M")</f>
        <v>0</v>
      </c>
      <c r="I52">
        <f>COUNTIF(D27:BK40,"RM")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12"/>
  <sheetViews>
    <sheetView zoomScale="80" zoomScaleNormal="80" workbookViewId="0">
      <pane ySplit="4" topLeftCell="A5" activePane="bottomLeft" state="frozen"/>
      <selection pane="bottomLeft" activeCell="R49" sqref="R49"/>
    </sheetView>
  </sheetViews>
  <sheetFormatPr defaultColWidth="9.109375" defaultRowHeight="14.4" x14ac:dyDescent="0.3"/>
  <cols>
    <col min="1" max="1" width="2.88671875" customWidth="1"/>
    <col min="2" max="2" width="17.88671875" customWidth="1"/>
    <col min="3" max="3" width="19.664062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8.5546875" customWidth="1"/>
    <col min="21" max="25" width="8" style="8" customWidth="1"/>
    <col min="26" max="28" width="8" customWidth="1"/>
  </cols>
  <sheetData>
    <row r="1" spans="1:25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3">
      <c r="A2" s="357"/>
      <c r="B2" s="608" t="s">
        <v>1511</v>
      </c>
      <c r="C2" s="640" t="s">
        <v>1818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0.199999999999999" x14ac:dyDescent="0.2">
      <c r="A6" s="519"/>
      <c r="B6" s="618" t="s">
        <v>1516</v>
      </c>
      <c r="C6" s="643" t="s">
        <v>1586</v>
      </c>
      <c r="D6" s="619" t="s">
        <v>0</v>
      </c>
      <c r="E6" s="642">
        <v>2</v>
      </c>
      <c r="F6" s="642">
        <v>2</v>
      </c>
      <c r="G6" s="642">
        <v>2</v>
      </c>
      <c r="H6" s="620">
        <f>SUM(E6:G6)</f>
        <v>6</v>
      </c>
      <c r="I6" s="621" t="str">
        <f>IF(H6&gt;H7,"Voitto",IF(H6=H7,"Tasapeli","Häviö"))</f>
        <v>Voitto</v>
      </c>
      <c r="J6" s="642">
        <v>0</v>
      </c>
      <c r="K6" s="642">
        <v>0</v>
      </c>
      <c r="L6" s="642">
        <v>0</v>
      </c>
      <c r="M6" s="642">
        <v>0</v>
      </c>
      <c r="N6" s="642">
        <v>0</v>
      </c>
      <c r="O6" s="642">
        <v>0</v>
      </c>
      <c r="P6" s="642">
        <v>0</v>
      </c>
      <c r="Q6" s="642">
        <v>0</v>
      </c>
      <c r="R6" s="642">
        <v>0</v>
      </c>
      <c r="S6" s="678">
        <v>7.03</v>
      </c>
      <c r="T6" s="519"/>
      <c r="U6" s="624">
        <f>H6</f>
        <v>6</v>
      </c>
      <c r="V6" s="624"/>
      <c r="W6" s="624" t="str">
        <f>IF((J6=0)*AND(J7=0),"1","0")</f>
        <v>0</v>
      </c>
      <c r="X6" s="624" t="str">
        <f>IF((J6=0)*AND(J7&gt;0),"1","0")</f>
        <v>1</v>
      </c>
      <c r="Y6" s="624" t="str">
        <f>IF((J6&gt;0)*AND(J7=0),"1","0")</f>
        <v>0</v>
      </c>
    </row>
    <row r="7" spans="1:25" s="140" customFormat="1" ht="10.199999999999999" x14ac:dyDescent="0.2">
      <c r="A7" s="519"/>
      <c r="B7" s="673" t="s">
        <v>1899</v>
      </c>
      <c r="C7" s="643" t="s">
        <v>1515</v>
      </c>
      <c r="D7" s="643" t="s">
        <v>1404</v>
      </c>
      <c r="E7" s="642">
        <v>2</v>
      </c>
      <c r="F7" s="642">
        <v>0</v>
      </c>
      <c r="G7" s="642">
        <v>2</v>
      </c>
      <c r="H7" s="622">
        <f>SUM(E7:G7)</f>
        <v>4</v>
      </c>
      <c r="I7" s="623"/>
      <c r="J7" s="642">
        <v>2</v>
      </c>
      <c r="K7" s="642">
        <v>4</v>
      </c>
      <c r="L7" s="642">
        <v>0</v>
      </c>
      <c r="M7" s="642">
        <v>0</v>
      </c>
      <c r="N7" s="898" t="s">
        <v>984</v>
      </c>
      <c r="O7" s="642">
        <v>0</v>
      </c>
      <c r="P7" s="642">
        <v>0</v>
      </c>
      <c r="Q7" s="642">
        <v>0</v>
      </c>
      <c r="R7" s="642">
        <v>0</v>
      </c>
      <c r="S7" s="642">
        <v>4.1399999999999997</v>
      </c>
      <c r="T7" s="519"/>
      <c r="U7" s="624"/>
      <c r="V7" s="624">
        <f>H7</f>
        <v>4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0.199999999999999" x14ac:dyDescent="0.2">
      <c r="A9" s="519"/>
      <c r="B9" s="618" t="s">
        <v>1537</v>
      </c>
      <c r="C9" s="643" t="s">
        <v>1586</v>
      </c>
      <c r="D9" s="619" t="s">
        <v>0</v>
      </c>
      <c r="E9" s="642">
        <v>1</v>
      </c>
      <c r="F9" s="642">
        <v>1</v>
      </c>
      <c r="G9" s="642">
        <v>0</v>
      </c>
      <c r="H9" s="620">
        <f>SUM(E9:G9)</f>
        <v>2</v>
      </c>
      <c r="I9" s="621" t="str">
        <f>IF(H9&gt;H10,"Voitto",IF(H9=H10,"Tasapeli","Häviö"))</f>
        <v>Häviö</v>
      </c>
      <c r="J9" s="642">
        <v>0</v>
      </c>
      <c r="K9" s="642">
        <v>0</v>
      </c>
      <c r="L9" s="642">
        <v>0</v>
      </c>
      <c r="M9" s="642">
        <v>0</v>
      </c>
      <c r="N9" s="642">
        <v>0</v>
      </c>
      <c r="O9" s="642">
        <v>0</v>
      </c>
      <c r="P9" s="642">
        <v>0</v>
      </c>
      <c r="Q9" s="642">
        <v>0</v>
      </c>
      <c r="R9" s="642">
        <v>0</v>
      </c>
      <c r="S9" s="642">
        <v>4.25</v>
      </c>
      <c r="T9" s="519"/>
      <c r="U9" s="624">
        <f>H9</f>
        <v>2</v>
      </c>
      <c r="V9" s="624"/>
      <c r="W9" s="624" t="str">
        <f>IF((J9=0)*AND(J10=0),"1","0")</f>
        <v>0</v>
      </c>
      <c r="X9" s="624" t="str">
        <f>IF((J9=0)*AND(J10&gt;0),"1","0")</f>
        <v>1</v>
      </c>
      <c r="Y9" s="624" t="str">
        <f>IF((J9&gt;0)*AND(J10=0),"1","0")</f>
        <v>0</v>
      </c>
    </row>
    <row r="10" spans="1:25" s="140" customFormat="1" ht="10.199999999999999" x14ac:dyDescent="0.2">
      <c r="A10" s="519"/>
      <c r="B10" s="673" t="s">
        <v>1898</v>
      </c>
      <c r="C10" s="643" t="s">
        <v>1514</v>
      </c>
      <c r="D10" s="643" t="s">
        <v>1394</v>
      </c>
      <c r="E10" s="642">
        <v>3</v>
      </c>
      <c r="F10" s="642">
        <v>2</v>
      </c>
      <c r="G10" s="642">
        <v>1</v>
      </c>
      <c r="H10" s="622">
        <f>SUM(E10:G10)</f>
        <v>6</v>
      </c>
      <c r="I10" s="623"/>
      <c r="J10" s="642">
        <v>1</v>
      </c>
      <c r="K10" s="642">
        <v>2</v>
      </c>
      <c r="L10" s="642">
        <v>0</v>
      </c>
      <c r="M10" s="642">
        <v>0</v>
      </c>
      <c r="N10" s="642">
        <v>0</v>
      </c>
      <c r="O10" s="642">
        <v>0</v>
      </c>
      <c r="P10" s="642">
        <v>0</v>
      </c>
      <c r="Q10" s="642">
        <v>0</v>
      </c>
      <c r="R10" s="642">
        <v>0</v>
      </c>
      <c r="S10" s="642">
        <v>1.1000000000000001</v>
      </c>
      <c r="T10" s="519"/>
      <c r="U10" s="624"/>
      <c r="V10" s="624">
        <f>H10</f>
        <v>6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0.199999999999999" x14ac:dyDescent="0.2">
      <c r="A12" s="519"/>
      <c r="B12" s="618" t="s">
        <v>1538</v>
      </c>
      <c r="C12" s="643" t="s">
        <v>1147</v>
      </c>
      <c r="D12" s="619" t="s">
        <v>0</v>
      </c>
      <c r="E12" s="642">
        <v>2</v>
      </c>
      <c r="F12" s="642">
        <v>1</v>
      </c>
      <c r="G12" s="642">
        <v>1</v>
      </c>
      <c r="H12" s="620">
        <f>SUM(E12:G12)</f>
        <v>4</v>
      </c>
      <c r="I12" s="621" t="str">
        <f>IF(H12&gt;H13,"Voitto",IF(H12=H13,"Tasapeli","Häviö"))</f>
        <v>Voitto</v>
      </c>
      <c r="J12" s="642">
        <v>3</v>
      </c>
      <c r="K12" s="642">
        <v>9</v>
      </c>
      <c r="L12" s="642">
        <v>0</v>
      </c>
      <c r="M12" s="642">
        <v>0</v>
      </c>
      <c r="N12" s="642">
        <v>0</v>
      </c>
      <c r="O12" s="642">
        <v>0</v>
      </c>
      <c r="P12" s="642">
        <v>0</v>
      </c>
      <c r="Q12" s="642">
        <v>0</v>
      </c>
      <c r="R12" s="642">
        <v>0</v>
      </c>
      <c r="S12" s="642">
        <v>6.52</v>
      </c>
      <c r="T12" s="519"/>
      <c r="U12" s="624">
        <f t="shared" ref="U12" si="0">H12</f>
        <v>4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0.199999999999999" x14ac:dyDescent="0.2">
      <c r="A13" s="519"/>
      <c r="B13" s="673" t="s">
        <v>1900</v>
      </c>
      <c r="C13" s="643" t="s">
        <v>1515</v>
      </c>
      <c r="D13" s="643" t="s">
        <v>1002</v>
      </c>
      <c r="E13" s="642">
        <v>1</v>
      </c>
      <c r="F13" s="642">
        <v>0</v>
      </c>
      <c r="G13" s="642">
        <v>2</v>
      </c>
      <c r="H13" s="622">
        <f>SUM(E13:G13)</f>
        <v>3</v>
      </c>
      <c r="I13" s="623"/>
      <c r="J13" s="642">
        <v>3</v>
      </c>
      <c r="K13" s="642">
        <v>6</v>
      </c>
      <c r="L13" s="642">
        <v>1</v>
      </c>
      <c r="M13" s="642">
        <v>0</v>
      </c>
      <c r="N13" s="678" t="s">
        <v>984</v>
      </c>
      <c r="O13" s="642">
        <v>0</v>
      </c>
      <c r="P13" s="642">
        <v>0</v>
      </c>
      <c r="Q13" s="642">
        <v>0</v>
      </c>
      <c r="R13" s="642">
        <v>0</v>
      </c>
      <c r="S13" s="642">
        <v>8.4600000000000009</v>
      </c>
      <c r="T13" s="519"/>
      <c r="U13" s="624"/>
      <c r="V13" s="624">
        <f t="shared" ref="V13" si="1">H13</f>
        <v>3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0.199999999999999" x14ac:dyDescent="0.2">
      <c r="A15" s="519"/>
      <c r="B15" s="618" t="s">
        <v>1539</v>
      </c>
      <c r="C15" s="643" t="s">
        <v>1147</v>
      </c>
      <c r="D15" s="619" t="s">
        <v>0</v>
      </c>
      <c r="E15" s="642">
        <v>2</v>
      </c>
      <c r="F15" s="642">
        <v>1</v>
      </c>
      <c r="G15" s="642">
        <v>1</v>
      </c>
      <c r="H15" s="620">
        <f>SUM(E15:G15)</f>
        <v>4</v>
      </c>
      <c r="I15" s="621" t="str">
        <f>IF(H15&gt;H16,"Voitto",IF(H15=H16,"Tasapeli","Häviö"))</f>
        <v>Voitto</v>
      </c>
      <c r="J15" s="642">
        <v>6</v>
      </c>
      <c r="K15" s="642">
        <v>12</v>
      </c>
      <c r="L15" s="642">
        <v>0</v>
      </c>
      <c r="M15" s="642">
        <v>0</v>
      </c>
      <c r="N15" s="678" t="s">
        <v>706</v>
      </c>
      <c r="O15" s="642">
        <v>0</v>
      </c>
      <c r="P15" s="642">
        <v>0</v>
      </c>
      <c r="Q15" s="642">
        <v>0</v>
      </c>
      <c r="R15" s="642">
        <v>0</v>
      </c>
      <c r="S15" s="642">
        <v>9.2899999999999991</v>
      </c>
      <c r="T15" s="519"/>
      <c r="U15" s="624">
        <f t="shared" ref="U15" si="2">H15</f>
        <v>4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0.199999999999999" x14ac:dyDescent="0.2">
      <c r="A16" s="519"/>
      <c r="B16" s="673" t="s">
        <v>1901</v>
      </c>
      <c r="C16" s="643" t="s">
        <v>1514</v>
      </c>
      <c r="D16" s="643" t="s">
        <v>1583</v>
      </c>
      <c r="E16" s="642">
        <v>0</v>
      </c>
      <c r="F16" s="642">
        <v>2</v>
      </c>
      <c r="G16" s="642">
        <v>0</v>
      </c>
      <c r="H16" s="622">
        <f>SUM(E16:G16)</f>
        <v>2</v>
      </c>
      <c r="I16" s="623"/>
      <c r="J16" s="642">
        <v>2</v>
      </c>
      <c r="K16" s="642">
        <v>4</v>
      </c>
      <c r="L16" s="642">
        <v>0</v>
      </c>
      <c r="M16" s="642">
        <v>0</v>
      </c>
      <c r="N16" s="642">
        <v>0</v>
      </c>
      <c r="O16" s="642">
        <v>0</v>
      </c>
      <c r="P16" s="642">
        <v>0</v>
      </c>
      <c r="Q16" s="642">
        <v>2</v>
      </c>
      <c r="R16" s="642">
        <v>0</v>
      </c>
      <c r="S16" s="642">
        <v>24.27</v>
      </c>
      <c r="T16" s="519"/>
      <c r="U16" s="624"/>
      <c r="V16" s="624">
        <f t="shared" ref="V16" si="3">H16</f>
        <v>2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0.199999999999999" x14ac:dyDescent="0.2">
      <c r="A18" s="519"/>
      <c r="B18" s="618" t="s">
        <v>1540</v>
      </c>
      <c r="C18" s="643" t="s">
        <v>1049</v>
      </c>
      <c r="D18" s="619" t="s">
        <v>0</v>
      </c>
      <c r="E18" s="642">
        <v>0</v>
      </c>
      <c r="F18" s="642">
        <v>0</v>
      </c>
      <c r="G18" s="642">
        <v>0</v>
      </c>
      <c r="H18" s="620">
        <f>SUM(E18:G18)</f>
        <v>0</v>
      </c>
      <c r="I18" s="621" t="str">
        <f>IF(H18&gt;H19,"Voitto",IF(H18=H19,"Tasapeli","Häviö"))</f>
        <v>Tasapeli</v>
      </c>
      <c r="J18" s="642">
        <v>0</v>
      </c>
      <c r="K18" s="642">
        <v>0</v>
      </c>
      <c r="L18" s="642">
        <v>0</v>
      </c>
      <c r="M18" s="642">
        <v>0</v>
      </c>
      <c r="N18" s="642">
        <v>0</v>
      </c>
      <c r="O18" s="642">
        <v>0</v>
      </c>
      <c r="P18" s="642">
        <v>0</v>
      </c>
      <c r="Q18" s="642">
        <v>0</v>
      </c>
      <c r="R18" s="642">
        <v>0</v>
      </c>
      <c r="S18" s="642">
        <v>0</v>
      </c>
      <c r="T18" s="519"/>
      <c r="U18" s="624">
        <f t="shared" ref="U18" si="4">H18</f>
        <v>0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0.199999999999999" x14ac:dyDescent="0.2">
      <c r="A19" s="519"/>
      <c r="B19" s="673"/>
      <c r="C19" s="643" t="s">
        <v>1514</v>
      </c>
      <c r="D19" s="643"/>
      <c r="E19" s="642">
        <v>0</v>
      </c>
      <c r="F19" s="642">
        <v>0</v>
      </c>
      <c r="G19" s="642">
        <v>0</v>
      </c>
      <c r="H19" s="622">
        <f>SUM(E19:G19)</f>
        <v>0</v>
      </c>
      <c r="I19" s="623"/>
      <c r="J19" s="642">
        <v>0</v>
      </c>
      <c r="K19" s="642">
        <v>0</v>
      </c>
      <c r="L19" s="642">
        <v>0</v>
      </c>
      <c r="M19" s="642">
        <v>0</v>
      </c>
      <c r="N19" s="642">
        <v>0</v>
      </c>
      <c r="O19" s="642">
        <v>0</v>
      </c>
      <c r="P19" s="642">
        <v>0</v>
      </c>
      <c r="Q19" s="642">
        <v>0</v>
      </c>
      <c r="R19" s="642">
        <v>0</v>
      </c>
      <c r="S19" s="642">
        <v>0</v>
      </c>
      <c r="T19" s="519"/>
      <c r="U19" s="624"/>
      <c r="V19" s="624">
        <f t="shared" ref="V19" si="5">H19</f>
        <v>0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0.199999999999999" x14ac:dyDescent="0.2">
      <c r="A21" s="519"/>
      <c r="B21" s="618" t="s">
        <v>1541</v>
      </c>
      <c r="C21" s="643" t="s">
        <v>1049</v>
      </c>
      <c r="D21" s="619" t="s">
        <v>0</v>
      </c>
      <c r="E21" s="642">
        <v>0</v>
      </c>
      <c r="F21" s="642">
        <v>0</v>
      </c>
      <c r="G21" s="642">
        <v>0</v>
      </c>
      <c r="H21" s="620">
        <f>SUM(E21:G21)</f>
        <v>0</v>
      </c>
      <c r="I21" s="621" t="str">
        <f>IF(H21&gt;H22,"Voitto",IF(H21=H22,"Tasapeli","Häviö"))</f>
        <v>Tasapeli</v>
      </c>
      <c r="J21" s="642">
        <v>0</v>
      </c>
      <c r="K21" s="642">
        <v>0</v>
      </c>
      <c r="L21" s="642">
        <v>0</v>
      </c>
      <c r="M21" s="642">
        <v>0</v>
      </c>
      <c r="N21" s="642">
        <v>0</v>
      </c>
      <c r="O21" s="642">
        <v>0</v>
      </c>
      <c r="P21" s="642">
        <v>0</v>
      </c>
      <c r="Q21" s="642">
        <v>0</v>
      </c>
      <c r="R21" s="642">
        <v>0</v>
      </c>
      <c r="S21" s="642">
        <v>0</v>
      </c>
      <c r="T21" s="519"/>
      <c r="U21" s="624">
        <f t="shared" ref="U21" si="6">H21</f>
        <v>0</v>
      </c>
      <c r="V21" s="624"/>
      <c r="W21" s="624" t="str">
        <f>IF((J21=0)*AND(J22=0),"1","0")</f>
        <v>1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0.199999999999999" x14ac:dyDescent="0.2">
      <c r="A22" s="519"/>
      <c r="B22" s="673"/>
      <c r="C22" s="643" t="s">
        <v>1515</v>
      </c>
      <c r="D22" s="643"/>
      <c r="E22" s="642">
        <v>0</v>
      </c>
      <c r="F22" s="642">
        <v>0</v>
      </c>
      <c r="G22" s="642">
        <v>0</v>
      </c>
      <c r="H22" s="622">
        <f>SUM(E22:G22)</f>
        <v>0</v>
      </c>
      <c r="I22" s="623"/>
      <c r="J22" s="642">
        <v>0</v>
      </c>
      <c r="K22" s="642">
        <v>0</v>
      </c>
      <c r="L22" s="642">
        <v>0</v>
      </c>
      <c r="M22" s="642">
        <v>0</v>
      </c>
      <c r="N22" s="642">
        <v>0</v>
      </c>
      <c r="O22" s="642">
        <v>0</v>
      </c>
      <c r="P22" s="642">
        <v>0</v>
      </c>
      <c r="Q22" s="642">
        <v>0</v>
      </c>
      <c r="R22" s="642">
        <v>0</v>
      </c>
      <c r="S22" s="642">
        <v>0</v>
      </c>
      <c r="T22" s="519"/>
      <c r="U22" s="624"/>
      <c r="V22" s="624">
        <f t="shared" ref="V22" si="7">H22</f>
        <v>0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0.199999999999999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0</v>
      </c>
      <c r="G24" s="642">
        <v>0</v>
      </c>
      <c r="H24" s="620">
        <f>SUM(E24:G24)</f>
        <v>0</v>
      </c>
      <c r="I24" s="621" t="str">
        <f>IF(H24&gt;H25,"Voitto",IF(H24=H25,"Tasapeli","Häviö"))</f>
        <v>Tasapeli</v>
      </c>
      <c r="J24" s="642">
        <v>0</v>
      </c>
      <c r="K24" s="642">
        <v>0</v>
      </c>
      <c r="L24" s="642">
        <v>0</v>
      </c>
      <c r="M24" s="642">
        <v>0</v>
      </c>
      <c r="N24" s="642">
        <v>0</v>
      </c>
      <c r="O24" s="642">
        <v>0</v>
      </c>
      <c r="P24" s="642">
        <v>0</v>
      </c>
      <c r="Q24" s="642">
        <v>0</v>
      </c>
      <c r="R24" s="642">
        <v>0</v>
      </c>
      <c r="S24" s="642">
        <v>0</v>
      </c>
      <c r="T24" s="519"/>
      <c r="U24" s="624">
        <f t="shared" ref="U24" si="8">H24</f>
        <v>0</v>
      </c>
      <c r="V24" s="624"/>
      <c r="W24" s="624" t="str">
        <f>IF((J24=0)*AND(J25=0),"1","0")</f>
        <v>1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0.199999999999999" x14ac:dyDescent="0.2">
      <c r="A25" s="519"/>
      <c r="B25" s="673"/>
      <c r="C25" s="643" t="s">
        <v>1515</v>
      </c>
      <c r="D25" s="643"/>
      <c r="E25" s="642">
        <v>0</v>
      </c>
      <c r="F25" s="642">
        <v>0</v>
      </c>
      <c r="G25" s="642">
        <v>0</v>
      </c>
      <c r="H25" s="622">
        <f>SUM(E25:G25)</f>
        <v>0</v>
      </c>
      <c r="I25" s="623"/>
      <c r="J25" s="642">
        <v>0</v>
      </c>
      <c r="K25" s="642">
        <v>0</v>
      </c>
      <c r="L25" s="642">
        <v>0</v>
      </c>
      <c r="M25" s="642">
        <v>0</v>
      </c>
      <c r="N25" s="642">
        <v>0</v>
      </c>
      <c r="O25" s="642">
        <v>0</v>
      </c>
      <c r="P25" s="642">
        <v>0</v>
      </c>
      <c r="Q25" s="642">
        <v>0</v>
      </c>
      <c r="R25" s="642">
        <v>0</v>
      </c>
      <c r="S25" s="642">
        <v>0</v>
      </c>
      <c r="T25" s="519"/>
      <c r="U25" s="624"/>
      <c r="V25" s="624">
        <f t="shared" ref="V25" si="9">H25</f>
        <v>0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0.199999999999999" x14ac:dyDescent="0.2">
      <c r="A27" s="519"/>
      <c r="B27" s="618" t="s">
        <v>1543</v>
      </c>
      <c r="C27" s="643" t="s">
        <v>1398</v>
      </c>
      <c r="D27" s="619" t="s">
        <v>0</v>
      </c>
      <c r="E27" s="642">
        <v>0</v>
      </c>
      <c r="F27" s="642">
        <v>0</v>
      </c>
      <c r="G27" s="642">
        <v>0</v>
      </c>
      <c r="H27" s="620">
        <f>SUM(E27:G27)</f>
        <v>0</v>
      </c>
      <c r="I27" s="621" t="str">
        <f>IF(H27&gt;H28,"Voitto",IF(H27=H28,"Tasapeli","Häviö"))</f>
        <v>Tasapeli</v>
      </c>
      <c r="J27" s="642">
        <v>0</v>
      </c>
      <c r="K27" s="642">
        <v>0</v>
      </c>
      <c r="L27" s="642">
        <v>0</v>
      </c>
      <c r="M27" s="642">
        <v>0</v>
      </c>
      <c r="N27" s="642">
        <v>0</v>
      </c>
      <c r="O27" s="642">
        <v>0</v>
      </c>
      <c r="P27" s="642">
        <v>0</v>
      </c>
      <c r="Q27" s="642">
        <v>0</v>
      </c>
      <c r="R27" s="642">
        <v>0</v>
      </c>
      <c r="S27" s="642">
        <v>0</v>
      </c>
      <c r="T27" s="519"/>
      <c r="U27" s="624">
        <f t="shared" ref="U27" si="10">H27</f>
        <v>0</v>
      </c>
      <c r="V27" s="624"/>
      <c r="W27" s="624" t="str">
        <f>IF((J27=0)*AND(J28=0),"1","0")</f>
        <v>1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0.199999999999999" x14ac:dyDescent="0.2">
      <c r="A28" s="519"/>
      <c r="B28" s="673"/>
      <c r="C28" s="643" t="s">
        <v>1514</v>
      </c>
      <c r="D28" s="643"/>
      <c r="E28" s="642">
        <v>0</v>
      </c>
      <c r="F28" s="642">
        <v>0</v>
      </c>
      <c r="G28" s="642">
        <v>0</v>
      </c>
      <c r="H28" s="622">
        <f>SUM(E28:G28)</f>
        <v>0</v>
      </c>
      <c r="I28" s="623"/>
      <c r="J28" s="642">
        <v>0</v>
      </c>
      <c r="K28" s="642">
        <v>0</v>
      </c>
      <c r="L28" s="642">
        <v>0</v>
      </c>
      <c r="M28" s="642">
        <v>0</v>
      </c>
      <c r="N28" s="642">
        <v>0</v>
      </c>
      <c r="O28" s="642">
        <v>0</v>
      </c>
      <c r="P28" s="642">
        <v>0</v>
      </c>
      <c r="Q28" s="642">
        <v>0</v>
      </c>
      <c r="R28" s="642">
        <v>0</v>
      </c>
      <c r="S28" s="642">
        <v>0</v>
      </c>
      <c r="T28" s="519"/>
      <c r="U28" s="624"/>
      <c r="V28" s="624">
        <f t="shared" ref="V28" si="11">H28</f>
        <v>0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0.199999999999999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0</v>
      </c>
      <c r="G30" s="642">
        <v>0</v>
      </c>
      <c r="H30" s="620">
        <f>SUM(E30:G30)</f>
        <v>0</v>
      </c>
      <c r="I30" s="621" t="str">
        <f>IF(H30&gt;H31,"Voitto",IF(H30=H31,"Tasapeli","Häviö"))</f>
        <v>Tasapeli</v>
      </c>
      <c r="J30" s="642">
        <v>0</v>
      </c>
      <c r="K30" s="642">
        <v>0</v>
      </c>
      <c r="L30" s="642">
        <v>0</v>
      </c>
      <c r="M30" s="642">
        <v>0</v>
      </c>
      <c r="N30" s="642">
        <v>0</v>
      </c>
      <c r="O30" s="642">
        <v>0</v>
      </c>
      <c r="P30" s="642">
        <v>0</v>
      </c>
      <c r="Q30" s="642">
        <v>0</v>
      </c>
      <c r="R30" s="642">
        <v>0</v>
      </c>
      <c r="S30" s="642">
        <v>0</v>
      </c>
      <c r="T30" s="519"/>
      <c r="U30" s="624">
        <f t="shared" ref="U30" si="12">H30</f>
        <v>0</v>
      </c>
      <c r="V30" s="624"/>
      <c r="W30" s="624" t="str">
        <f>IF((J30=0)*AND(J31=0),"1","0")</f>
        <v>1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0.199999999999999" x14ac:dyDescent="0.2">
      <c r="A31" s="519"/>
      <c r="B31" s="673"/>
      <c r="C31" s="643" t="s">
        <v>1514</v>
      </c>
      <c r="D31" s="643"/>
      <c r="E31" s="642">
        <v>0</v>
      </c>
      <c r="F31" s="642">
        <v>0</v>
      </c>
      <c r="G31" s="642">
        <v>0</v>
      </c>
      <c r="H31" s="622">
        <f>SUM(E31:G31)</f>
        <v>0</v>
      </c>
      <c r="I31" s="623"/>
      <c r="J31" s="642">
        <v>0</v>
      </c>
      <c r="K31" s="642">
        <v>0</v>
      </c>
      <c r="L31" s="642">
        <v>0</v>
      </c>
      <c r="M31" s="642">
        <v>0</v>
      </c>
      <c r="N31" s="642">
        <v>0</v>
      </c>
      <c r="O31" s="642">
        <v>0</v>
      </c>
      <c r="P31" s="642">
        <v>0</v>
      </c>
      <c r="Q31" s="642">
        <v>0</v>
      </c>
      <c r="R31" s="642">
        <v>0</v>
      </c>
      <c r="S31" s="642">
        <v>0</v>
      </c>
      <c r="T31" s="519"/>
      <c r="U31" s="624"/>
      <c r="V31" s="624">
        <f t="shared" ref="V31" si="13">H31</f>
        <v>0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0.199999999999999" x14ac:dyDescent="0.2">
      <c r="A33" s="519"/>
      <c r="B33" s="618" t="s">
        <v>1545</v>
      </c>
      <c r="C33" s="643" t="s">
        <v>1398</v>
      </c>
      <c r="D33" s="619" t="s">
        <v>0</v>
      </c>
      <c r="E33" s="642">
        <v>0</v>
      </c>
      <c r="F33" s="642">
        <v>0</v>
      </c>
      <c r="G33" s="642">
        <v>0</v>
      </c>
      <c r="H33" s="620">
        <f>SUM(E33:G33)</f>
        <v>0</v>
      </c>
      <c r="I33" s="621" t="str">
        <f>IF(H33&gt;H34,"Voitto",IF(H33=H34,"Tasapeli","Häviö"))</f>
        <v>Tasapeli</v>
      </c>
      <c r="J33" s="642">
        <v>0</v>
      </c>
      <c r="K33" s="642">
        <v>0</v>
      </c>
      <c r="L33" s="642">
        <v>0</v>
      </c>
      <c r="M33" s="642">
        <v>0</v>
      </c>
      <c r="N33" s="642">
        <v>0</v>
      </c>
      <c r="O33" s="642">
        <v>0</v>
      </c>
      <c r="P33" s="642">
        <v>0</v>
      </c>
      <c r="Q33" s="642">
        <v>0</v>
      </c>
      <c r="R33" s="642">
        <v>0</v>
      </c>
      <c r="S33" s="642">
        <v>0</v>
      </c>
      <c r="T33" s="519"/>
      <c r="U33" s="624">
        <f t="shared" ref="U33" si="14">H33</f>
        <v>0</v>
      </c>
      <c r="V33" s="624"/>
      <c r="W33" s="624" t="str">
        <f>IF((J33=0)*AND(J34=0),"1","0")</f>
        <v>1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0.199999999999999" x14ac:dyDescent="0.2">
      <c r="A34" s="519"/>
      <c r="B34" s="673"/>
      <c r="C34" s="643" t="s">
        <v>1515</v>
      </c>
      <c r="D34" s="643"/>
      <c r="E34" s="642">
        <v>0</v>
      </c>
      <c r="F34" s="642">
        <v>0</v>
      </c>
      <c r="G34" s="642">
        <v>0</v>
      </c>
      <c r="H34" s="622">
        <f>SUM(E34:G34)</f>
        <v>0</v>
      </c>
      <c r="I34" s="623"/>
      <c r="J34" s="642">
        <v>0</v>
      </c>
      <c r="K34" s="642">
        <v>0</v>
      </c>
      <c r="L34" s="642">
        <v>0</v>
      </c>
      <c r="M34" s="642">
        <v>0</v>
      </c>
      <c r="N34" s="642">
        <v>0</v>
      </c>
      <c r="O34" s="642">
        <v>0</v>
      </c>
      <c r="P34" s="642">
        <v>0</v>
      </c>
      <c r="Q34" s="642">
        <v>0</v>
      </c>
      <c r="R34" s="642">
        <v>0</v>
      </c>
      <c r="S34" s="642">
        <v>0</v>
      </c>
      <c r="T34" s="519"/>
      <c r="U34" s="624"/>
      <c r="V34" s="624">
        <f t="shared" ref="V34" si="15">H34</f>
        <v>0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0.199999999999999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0</v>
      </c>
      <c r="G36" s="642">
        <v>0</v>
      </c>
      <c r="H36" s="620">
        <f>SUM(E36:G36)</f>
        <v>0</v>
      </c>
      <c r="I36" s="621" t="str">
        <f>IF(H36&gt;H37,"Voitto",IF(H36=H37,"Tasapeli","Häviö"))</f>
        <v>Tasapeli</v>
      </c>
      <c r="J36" s="642">
        <v>0</v>
      </c>
      <c r="K36" s="642">
        <v>0</v>
      </c>
      <c r="L36" s="642">
        <v>0</v>
      </c>
      <c r="M36" s="642">
        <v>0</v>
      </c>
      <c r="N36" s="642">
        <v>0</v>
      </c>
      <c r="O36" s="642">
        <v>0</v>
      </c>
      <c r="P36" s="642">
        <v>0</v>
      </c>
      <c r="Q36" s="642">
        <v>0</v>
      </c>
      <c r="R36" s="642">
        <v>0</v>
      </c>
      <c r="S36" s="642">
        <v>0</v>
      </c>
      <c r="T36" s="519"/>
      <c r="U36" s="624">
        <f t="shared" ref="U36" si="16">H36</f>
        <v>0</v>
      </c>
      <c r="V36" s="624"/>
      <c r="W36" s="624" t="str">
        <f>IF((J36=0)*AND(J37=0),"1","0")</f>
        <v>1</v>
      </c>
      <c r="X36" s="624" t="str">
        <f>IF((J36=0)*AND(J37&gt;0),"1","0")</f>
        <v>0</v>
      </c>
      <c r="Y36" s="624" t="str">
        <f>IF((J36&gt;0)*AND(J37=0),"1","0")</f>
        <v>0</v>
      </c>
    </row>
    <row r="37" spans="1:25" s="140" customFormat="1" ht="10.199999999999999" x14ac:dyDescent="0.2">
      <c r="A37" s="519"/>
      <c r="B37" s="673"/>
      <c r="C37" s="643" t="s">
        <v>1515</v>
      </c>
      <c r="D37" s="643"/>
      <c r="E37" s="642">
        <v>0</v>
      </c>
      <c r="F37" s="642">
        <v>0</v>
      </c>
      <c r="G37" s="642">
        <v>0</v>
      </c>
      <c r="H37" s="622">
        <f>SUM(E37:G37)</f>
        <v>0</v>
      </c>
      <c r="I37" s="623"/>
      <c r="J37" s="642">
        <v>0</v>
      </c>
      <c r="K37" s="642">
        <v>0</v>
      </c>
      <c r="L37" s="642">
        <v>0</v>
      </c>
      <c r="M37" s="642">
        <v>0</v>
      </c>
      <c r="N37" s="642">
        <v>0</v>
      </c>
      <c r="O37" s="642">
        <v>0</v>
      </c>
      <c r="P37" s="642">
        <v>0</v>
      </c>
      <c r="Q37" s="642">
        <v>0</v>
      </c>
      <c r="R37" s="642">
        <v>0</v>
      </c>
      <c r="S37" s="642">
        <v>0</v>
      </c>
      <c r="T37" s="519"/>
      <c r="U37" s="624"/>
      <c r="V37" s="624">
        <f t="shared" ref="V37" si="17">H37</f>
        <v>0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0.199999999999999" x14ac:dyDescent="0.2">
      <c r="A39" s="519"/>
      <c r="B39" s="618" t="s">
        <v>1547</v>
      </c>
      <c r="C39" s="643" t="s">
        <v>1643</v>
      </c>
      <c r="D39" s="619" t="s">
        <v>0</v>
      </c>
      <c r="E39" s="642">
        <v>0</v>
      </c>
      <c r="F39" s="642">
        <v>0</v>
      </c>
      <c r="G39" s="642">
        <v>0</v>
      </c>
      <c r="H39" s="620">
        <f>SUM(E39:G39)</f>
        <v>0</v>
      </c>
      <c r="I39" s="621" t="str">
        <f>IF(H39&gt;H40,"Voitto",IF(H39=H40,"Tasapeli","Häviö"))</f>
        <v>Tasapeli</v>
      </c>
      <c r="J39" s="642">
        <v>0</v>
      </c>
      <c r="K39" s="642">
        <v>0</v>
      </c>
      <c r="L39" s="642">
        <v>0</v>
      </c>
      <c r="M39" s="642">
        <v>0</v>
      </c>
      <c r="N39" s="642">
        <v>0</v>
      </c>
      <c r="O39" s="642">
        <v>0</v>
      </c>
      <c r="P39" s="642">
        <v>0</v>
      </c>
      <c r="Q39" s="642">
        <v>0</v>
      </c>
      <c r="R39" s="642">
        <v>0</v>
      </c>
      <c r="S39" s="642">
        <v>0</v>
      </c>
      <c r="T39" s="519"/>
      <c r="U39" s="624">
        <f>H39</f>
        <v>0</v>
      </c>
      <c r="V39" s="624"/>
      <c r="W39" s="624" t="str">
        <f>IF((J39=0)*AND(J40=0),"1","0")</f>
        <v>1</v>
      </c>
      <c r="X39" s="624" t="str">
        <f>IF((J39=0)*AND(J40&gt;0),"1","0")</f>
        <v>0</v>
      </c>
      <c r="Y39" s="624" t="str">
        <f>IF((J39&gt;0)*AND(J40=0),"1","0")</f>
        <v>0</v>
      </c>
    </row>
    <row r="40" spans="1:25" s="140" customFormat="1" ht="10.199999999999999" x14ac:dyDescent="0.2">
      <c r="A40" s="519"/>
      <c r="B40" s="673"/>
      <c r="C40" s="643" t="s">
        <v>1514</v>
      </c>
      <c r="D40" s="643"/>
      <c r="E40" s="642">
        <v>0</v>
      </c>
      <c r="F40" s="642">
        <v>0</v>
      </c>
      <c r="G40" s="642">
        <v>0</v>
      </c>
      <c r="H40" s="622">
        <f>SUM(E40:G40)</f>
        <v>0</v>
      </c>
      <c r="I40" s="623"/>
      <c r="J40" s="642">
        <v>0</v>
      </c>
      <c r="K40" s="642">
        <v>0</v>
      </c>
      <c r="L40" s="642">
        <v>0</v>
      </c>
      <c r="M40" s="642">
        <v>0</v>
      </c>
      <c r="N40" s="642">
        <v>0</v>
      </c>
      <c r="O40" s="642">
        <v>0</v>
      </c>
      <c r="P40" s="642">
        <v>0</v>
      </c>
      <c r="Q40" s="642">
        <v>0</v>
      </c>
      <c r="R40" s="642">
        <v>0</v>
      </c>
      <c r="S40" s="642">
        <v>0</v>
      </c>
      <c r="T40" s="519"/>
      <c r="U40" s="624"/>
      <c r="V40" s="624">
        <f t="shared" ref="V40" si="18">H40</f>
        <v>0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0</v>
      </c>
      <c r="F42" s="642">
        <v>0</v>
      </c>
      <c r="G42" s="642">
        <v>0</v>
      </c>
      <c r="H42" s="620">
        <f>SUM(E42:G42)</f>
        <v>0</v>
      </c>
      <c r="I42" s="621" t="str">
        <f>IF(H42&gt;H43,"Voitto",IF(H42=H43,"Tasapeli","Häviö"))</f>
        <v>Tasapeli</v>
      </c>
      <c r="J42" s="642">
        <v>0</v>
      </c>
      <c r="K42" s="642">
        <v>0</v>
      </c>
      <c r="L42" s="642">
        <v>0</v>
      </c>
      <c r="M42" s="642">
        <v>0</v>
      </c>
      <c r="N42" s="642">
        <v>0</v>
      </c>
      <c r="O42" s="642">
        <v>0</v>
      </c>
      <c r="P42" s="642">
        <v>0</v>
      </c>
      <c r="Q42" s="642">
        <v>0</v>
      </c>
      <c r="R42" s="642">
        <v>0</v>
      </c>
      <c r="S42" s="642">
        <v>0</v>
      </c>
      <c r="T42" s="519"/>
      <c r="U42" s="624">
        <f>H42</f>
        <v>0</v>
      </c>
      <c r="V42" s="624"/>
      <c r="W42" s="624" t="str">
        <f>IF((J42=0)*AND(J43=0),"1","0")</f>
        <v>1</v>
      </c>
      <c r="X42" s="624" t="str">
        <f>IF((J42=0)*AND(J43&gt;0),"1","0")</f>
        <v>0</v>
      </c>
      <c r="Y42" s="624" t="str">
        <f>IF((J42&gt;0)*AND(J43=0),"1","0")</f>
        <v>0</v>
      </c>
    </row>
    <row r="43" spans="1:25" s="140" customFormat="1" ht="10.199999999999999" x14ac:dyDescent="0.2">
      <c r="A43" s="519"/>
      <c r="B43" s="673"/>
      <c r="C43" s="643" t="s">
        <v>1514</v>
      </c>
      <c r="D43" s="643"/>
      <c r="E43" s="642">
        <v>0</v>
      </c>
      <c r="F43" s="642">
        <v>0</v>
      </c>
      <c r="G43" s="642">
        <v>0</v>
      </c>
      <c r="H43" s="622">
        <f>SUM(E43:G43)</f>
        <v>0</v>
      </c>
      <c r="I43" s="623"/>
      <c r="J43" s="642">
        <v>0</v>
      </c>
      <c r="K43" s="642">
        <v>0</v>
      </c>
      <c r="L43" s="642">
        <v>0</v>
      </c>
      <c r="M43" s="642">
        <v>0</v>
      </c>
      <c r="N43" s="642">
        <v>0</v>
      </c>
      <c r="O43" s="642">
        <v>0</v>
      </c>
      <c r="P43" s="642">
        <v>0</v>
      </c>
      <c r="Q43" s="642">
        <v>0</v>
      </c>
      <c r="R43" s="642">
        <v>0</v>
      </c>
      <c r="S43" s="642">
        <v>0</v>
      </c>
      <c r="T43" s="519"/>
      <c r="U43" s="624"/>
      <c r="V43" s="624">
        <f t="shared" ref="V43" si="19">H43</f>
        <v>0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0</v>
      </c>
      <c r="F45" s="642">
        <v>0</v>
      </c>
      <c r="G45" s="642">
        <v>0</v>
      </c>
      <c r="H45" s="620">
        <f>SUM(E45:G45)</f>
        <v>0</v>
      </c>
      <c r="I45" s="621" t="str">
        <f>IF(H45&gt;H46,"Voitto",IF(H45=H46,"Tasapeli","Häviö"))</f>
        <v>Tasapeli</v>
      </c>
      <c r="J45" s="642">
        <v>0</v>
      </c>
      <c r="K45" s="642">
        <v>0</v>
      </c>
      <c r="L45" s="642">
        <v>0</v>
      </c>
      <c r="M45" s="642">
        <v>0</v>
      </c>
      <c r="N45" s="642">
        <v>0</v>
      </c>
      <c r="O45" s="642">
        <v>0</v>
      </c>
      <c r="P45" s="642">
        <v>0</v>
      </c>
      <c r="Q45" s="642">
        <v>0</v>
      </c>
      <c r="R45" s="642">
        <v>0</v>
      </c>
      <c r="S45" s="642">
        <v>0</v>
      </c>
      <c r="T45" s="519"/>
      <c r="U45" s="624">
        <f t="shared" ref="U45" si="20">H45</f>
        <v>0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0.199999999999999" x14ac:dyDescent="0.2">
      <c r="A46" s="519"/>
      <c r="B46" s="673"/>
      <c r="C46" s="643" t="s">
        <v>1515</v>
      </c>
      <c r="D46" s="643"/>
      <c r="E46" s="642">
        <v>0</v>
      </c>
      <c r="F46" s="642">
        <v>0</v>
      </c>
      <c r="G46" s="642">
        <v>0</v>
      </c>
      <c r="H46" s="622">
        <f>SUM(E46:G46)</f>
        <v>0</v>
      </c>
      <c r="I46" s="623"/>
      <c r="J46" s="642">
        <v>0</v>
      </c>
      <c r="K46" s="642">
        <v>0</v>
      </c>
      <c r="L46" s="642">
        <v>0</v>
      </c>
      <c r="M46" s="642">
        <v>0</v>
      </c>
      <c r="N46" s="642">
        <v>0</v>
      </c>
      <c r="O46" s="642">
        <v>0</v>
      </c>
      <c r="P46" s="642">
        <v>0</v>
      </c>
      <c r="Q46" s="642">
        <v>0</v>
      </c>
      <c r="R46" s="642">
        <v>0</v>
      </c>
      <c r="S46" s="642">
        <v>0</v>
      </c>
      <c r="T46" s="519"/>
      <c r="U46" s="624"/>
      <c r="V46" s="624">
        <f t="shared" ref="V46" si="21">H46</f>
        <v>0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0.199999999999999" x14ac:dyDescent="0.2">
      <c r="A48" s="519"/>
      <c r="B48" s="618" t="s">
        <v>1550</v>
      </c>
      <c r="C48" s="643" t="s">
        <v>1399</v>
      </c>
      <c r="D48" s="619" t="s">
        <v>0</v>
      </c>
      <c r="E48" s="642">
        <v>0</v>
      </c>
      <c r="F48" s="642">
        <v>0</v>
      </c>
      <c r="G48" s="642">
        <v>0</v>
      </c>
      <c r="H48" s="620">
        <f>SUM(E48:G48)</f>
        <v>0</v>
      </c>
      <c r="I48" s="621" t="str">
        <f>IF(H48&gt;H49,"Voitto",IF(H48=H49,"Tasapeli","Häviö"))</f>
        <v>Tasapeli</v>
      </c>
      <c r="J48" s="642">
        <v>0</v>
      </c>
      <c r="K48" s="642">
        <v>0</v>
      </c>
      <c r="L48" s="642">
        <v>0</v>
      </c>
      <c r="M48" s="642">
        <v>0</v>
      </c>
      <c r="N48" s="642">
        <v>0</v>
      </c>
      <c r="O48" s="642">
        <v>0</v>
      </c>
      <c r="P48" s="642">
        <v>0</v>
      </c>
      <c r="Q48" s="642">
        <v>0</v>
      </c>
      <c r="R48" s="642">
        <v>0</v>
      </c>
      <c r="S48" s="642">
        <v>0</v>
      </c>
      <c r="T48" s="519"/>
      <c r="U48" s="624">
        <f t="shared" ref="U48" si="22">H48</f>
        <v>0</v>
      </c>
      <c r="V48" s="624"/>
      <c r="W48" s="624" t="str">
        <f>IF((J48=0)*AND(J49=0),"1","0")</f>
        <v>1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0.199999999999999" x14ac:dyDescent="0.2">
      <c r="A49" s="519"/>
      <c r="B49" s="673"/>
      <c r="C49" s="643" t="s">
        <v>1514</v>
      </c>
      <c r="D49" s="643"/>
      <c r="E49" s="642">
        <v>0</v>
      </c>
      <c r="F49" s="642">
        <v>0</v>
      </c>
      <c r="G49" s="642">
        <v>0</v>
      </c>
      <c r="H49" s="622">
        <f>SUM(E49:G49)</f>
        <v>0</v>
      </c>
      <c r="I49" s="623"/>
      <c r="J49" s="642">
        <v>0</v>
      </c>
      <c r="K49" s="642">
        <v>0</v>
      </c>
      <c r="L49" s="642">
        <v>0</v>
      </c>
      <c r="M49" s="642">
        <v>0</v>
      </c>
      <c r="N49" s="642">
        <v>0</v>
      </c>
      <c r="O49" s="642">
        <v>0</v>
      </c>
      <c r="P49" s="642">
        <v>0</v>
      </c>
      <c r="Q49" s="642">
        <v>0</v>
      </c>
      <c r="R49" s="642">
        <v>0</v>
      </c>
      <c r="S49" s="642">
        <v>0</v>
      </c>
      <c r="T49" s="519"/>
      <c r="U49" s="624"/>
      <c r="V49" s="624">
        <f t="shared" ref="V49" si="23">H49</f>
        <v>0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0.199999999999999" x14ac:dyDescent="0.2">
      <c r="A51" s="519"/>
      <c r="B51" s="618" t="s">
        <v>1551</v>
      </c>
      <c r="C51" s="643" t="s">
        <v>1399</v>
      </c>
      <c r="D51" s="619" t="s">
        <v>0</v>
      </c>
      <c r="E51" s="642">
        <v>0</v>
      </c>
      <c r="F51" s="642">
        <v>0</v>
      </c>
      <c r="G51" s="642">
        <v>0</v>
      </c>
      <c r="H51" s="620">
        <f>SUM(E51:G51)</f>
        <v>0</v>
      </c>
      <c r="I51" s="621" t="str">
        <f>IF(H51&gt;H52,"Voitto",IF(H51=H52,"Tasapeli","Häviö"))</f>
        <v>Tasapeli</v>
      </c>
      <c r="J51" s="642">
        <v>0</v>
      </c>
      <c r="K51" s="642">
        <v>0</v>
      </c>
      <c r="L51" s="642">
        <v>0</v>
      </c>
      <c r="M51" s="642">
        <v>0</v>
      </c>
      <c r="N51" s="642">
        <v>0</v>
      </c>
      <c r="O51" s="642">
        <v>0</v>
      </c>
      <c r="P51" s="642">
        <v>0</v>
      </c>
      <c r="Q51" s="642">
        <v>0</v>
      </c>
      <c r="R51" s="642">
        <v>0</v>
      </c>
      <c r="S51" s="642">
        <v>0</v>
      </c>
      <c r="T51" s="519"/>
      <c r="U51" s="624">
        <f t="shared" ref="U51" si="24">H51</f>
        <v>0</v>
      </c>
      <c r="V51" s="624"/>
      <c r="W51" s="624" t="str">
        <f>IF((J51=0)*AND(J52=0),"1","0")</f>
        <v>1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0.199999999999999" x14ac:dyDescent="0.2">
      <c r="A52" s="519"/>
      <c r="B52" s="673"/>
      <c r="C52" s="643" t="s">
        <v>1515</v>
      </c>
      <c r="D52" s="643"/>
      <c r="E52" s="642">
        <v>0</v>
      </c>
      <c r="F52" s="642">
        <v>0</v>
      </c>
      <c r="G52" s="642">
        <v>0</v>
      </c>
      <c r="H52" s="622">
        <f>SUM(E52:G52)</f>
        <v>0</v>
      </c>
      <c r="I52" s="623"/>
      <c r="J52" s="642">
        <v>0</v>
      </c>
      <c r="K52" s="642">
        <v>0</v>
      </c>
      <c r="L52" s="642">
        <v>0</v>
      </c>
      <c r="M52" s="642">
        <v>0</v>
      </c>
      <c r="N52" s="642">
        <v>0</v>
      </c>
      <c r="O52" s="642">
        <v>0</v>
      </c>
      <c r="P52" s="642">
        <v>0</v>
      </c>
      <c r="Q52" s="642">
        <v>0</v>
      </c>
      <c r="R52" s="642">
        <v>0</v>
      </c>
      <c r="S52" s="642">
        <v>0</v>
      </c>
      <c r="T52" s="519"/>
      <c r="U52" s="624"/>
      <c r="V52" s="624">
        <f t="shared" ref="V52" si="25">H52</f>
        <v>0</v>
      </c>
      <c r="W52" s="624"/>
      <c r="X52" s="624"/>
      <c r="Y52" s="624"/>
    </row>
    <row r="53" spans="1:25" s="140" customFormat="1" ht="3.75" customHeight="1" thickBot="1" x14ac:dyDescent="0.25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3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3">
      <c r="A55" s="357"/>
      <c r="B55" s="357"/>
      <c r="C55" s="357"/>
      <c r="D55" s="665" t="str">
        <f>C2</f>
        <v>2018-2019</v>
      </c>
      <c r="E55" s="630"/>
      <c r="F55" s="666"/>
      <c r="G55" s="655" t="s">
        <v>0</v>
      </c>
      <c r="H55" s="611">
        <f>SUM(H6,H9,H12,H15,H18,H21,H24,H27,H30,H33,H36,H39,H42,H45,H48,H51)</f>
        <v>16</v>
      </c>
      <c r="I55" s="671"/>
      <c r="J55" s="656">
        <f t="shared" ref="J55:M56" si="26">SUM(J6,J9,J12,J15,J18,J21,J24,J27,J30,J33,J36,J39,J42,J45,J48,J51)</f>
        <v>9</v>
      </c>
      <c r="K55" s="613">
        <f t="shared" si="26"/>
        <v>21</v>
      </c>
      <c r="L55" s="613">
        <f t="shared" si="26"/>
        <v>0</v>
      </c>
      <c r="M55" s="613">
        <f t="shared" si="26"/>
        <v>0</v>
      </c>
      <c r="N55" s="667" t="s">
        <v>1567</v>
      </c>
      <c r="O55" s="613">
        <f t="shared" ref="O55:R56" si="27">SUM(O6,O9,O12,O15,O18,O21,O24,O27,O30,O33,O36,O39,O42,O45,O48,O51)</f>
        <v>0</v>
      </c>
      <c r="P55" s="613">
        <f t="shared" si="27"/>
        <v>0</v>
      </c>
      <c r="Q55" s="613">
        <f t="shared" si="27"/>
        <v>0</v>
      </c>
      <c r="R55" s="613">
        <f t="shared" si="27"/>
        <v>0</v>
      </c>
      <c r="S55" s="632"/>
      <c r="T55" s="357"/>
      <c r="U55" s="358"/>
      <c r="V55" s="358"/>
      <c r="W55" s="358"/>
      <c r="X55" s="358"/>
      <c r="Y55" s="358"/>
    </row>
    <row r="56" spans="1:25" x14ac:dyDescent="0.3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15</v>
      </c>
      <c r="I56" s="671"/>
      <c r="J56" s="647">
        <f t="shared" si="26"/>
        <v>8</v>
      </c>
      <c r="K56" s="659">
        <f t="shared" si="26"/>
        <v>16</v>
      </c>
      <c r="L56" s="659">
        <f t="shared" si="26"/>
        <v>1</v>
      </c>
      <c r="M56" s="659">
        <f t="shared" si="26"/>
        <v>0</v>
      </c>
      <c r="N56" s="660" t="s">
        <v>1567</v>
      </c>
      <c r="O56" s="659">
        <f t="shared" si="27"/>
        <v>0</v>
      </c>
      <c r="P56" s="659">
        <f t="shared" si="27"/>
        <v>0</v>
      </c>
      <c r="Q56" s="659">
        <f t="shared" si="27"/>
        <v>2</v>
      </c>
      <c r="R56" s="659">
        <f t="shared" si="27"/>
        <v>0</v>
      </c>
      <c r="S56" s="632"/>
      <c r="T56" s="357"/>
      <c r="U56" s="358"/>
      <c r="V56" s="358"/>
      <c r="W56" s="358"/>
      <c r="X56" s="358"/>
      <c r="Y56" s="358"/>
    </row>
    <row r="57" spans="1:25" x14ac:dyDescent="0.3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3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1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3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3">
      <c r="A60" s="357"/>
      <c r="B60" s="357"/>
      <c r="C60" s="357"/>
      <c r="D60" s="629"/>
      <c r="E60" s="631"/>
      <c r="F60" s="648"/>
      <c r="G60" s="649" t="s">
        <v>135</v>
      </c>
      <c r="H60" s="650">
        <f>COUNTIF(I6:I53,"Voitto")</f>
        <v>3</v>
      </c>
      <c r="I60" s="631"/>
      <c r="J60" s="648">
        <f>COUNTIF(W6:W53,"1")</f>
        <v>12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3">
      <c r="A61" s="357"/>
      <c r="B61" s="357"/>
      <c r="C61" s="357"/>
      <c r="D61" s="629"/>
      <c r="E61" s="631"/>
      <c r="F61" s="651"/>
      <c r="G61" s="652" t="s">
        <v>137</v>
      </c>
      <c r="H61" s="653">
        <f>COUNTIF(I6:I53,"Tasapeli")</f>
        <v>12</v>
      </c>
      <c r="I61" s="631"/>
      <c r="J61" s="651">
        <f>COUNTIF(X6:X53,"1")</f>
        <v>2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3">
      <c r="A62" s="357"/>
      <c r="B62" s="357"/>
      <c r="C62" s="357"/>
      <c r="D62" s="629"/>
      <c r="E62" s="631"/>
      <c r="F62" s="654"/>
      <c r="G62" s="655" t="s">
        <v>136</v>
      </c>
      <c r="H62" s="656">
        <f>COUNTIF(I6:I53,"Häviö")</f>
        <v>1</v>
      </c>
      <c r="I62" s="631"/>
      <c r="J62" s="654">
        <f>COUNTIF(Y6:Y53,"1")</f>
        <v>0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3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3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COUNTIF(U6:U53,"0")</f>
        <v>12</v>
      </c>
      <c r="I64" s="631"/>
      <c r="J64" s="648">
        <f>MIN(S6,S9,S12,S15,S18,S21,S24,S27,S30,S33,S36,S39,S42,S45,S48,S51)</f>
        <v>0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3">
      <c r="A65" s="357"/>
      <c r="B65" s="357"/>
      <c r="C65" s="357"/>
      <c r="D65" s="629"/>
      <c r="E65" s="631"/>
      <c r="F65" s="654"/>
      <c r="G65" s="611" t="s">
        <v>543</v>
      </c>
      <c r="H65" s="656">
        <f>COUNTIF(V6:V53,"0")</f>
        <v>12</v>
      </c>
      <c r="I65" s="631"/>
      <c r="J65" s="654">
        <f>MAX(S6,S9,S12,S15,S18,S21,S24,S27,S30,S33,S36,S39,S42,S45,S48,S51)</f>
        <v>9.2899999999999991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3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3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24.27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3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" thickBot="1" x14ac:dyDescent="0.35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3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  <row r="74" spans="1:25" x14ac:dyDescent="0.3">
      <c r="C74" s="205" t="s">
        <v>1645</v>
      </c>
      <c r="E74" s="265" t="str">
        <f>C2</f>
        <v>2018-2019</v>
      </c>
      <c r="G74" s="356" t="str">
        <f>E2</f>
        <v>IV-</v>
      </c>
      <c r="H74" s="266" t="str">
        <f>F2</f>
        <v>Divisioona</v>
      </c>
      <c r="J74" s="356" t="s">
        <v>1646</v>
      </c>
      <c r="K74" s="266">
        <f>J2</f>
        <v>12</v>
      </c>
    </row>
    <row r="75" spans="1:25" x14ac:dyDescent="0.3">
      <c r="C75" s="205"/>
    </row>
    <row r="76" spans="1:25" x14ac:dyDescent="0.3">
      <c r="C76" s="205"/>
      <c r="D76" s="205"/>
      <c r="E76" s="703" t="s">
        <v>877</v>
      </c>
      <c r="F76" s="704" t="s">
        <v>990</v>
      </c>
      <c r="G76" s="704" t="s">
        <v>991</v>
      </c>
      <c r="H76" s="704" t="s">
        <v>992</v>
      </c>
      <c r="I76" s="704" t="s">
        <v>139</v>
      </c>
      <c r="J76" s="704" t="s">
        <v>993</v>
      </c>
      <c r="K76" s="704" t="s">
        <v>994</v>
      </c>
      <c r="L76" s="705" t="s">
        <v>610</v>
      </c>
    </row>
    <row r="77" spans="1:25" x14ac:dyDescent="0.3">
      <c r="C77" s="205">
        <v>1</v>
      </c>
      <c r="D77" s="702" t="s">
        <v>1245</v>
      </c>
      <c r="E77" s="706">
        <v>16</v>
      </c>
      <c r="F77" s="707">
        <v>11</v>
      </c>
      <c r="G77" s="707">
        <v>2</v>
      </c>
      <c r="H77" s="707">
        <v>3</v>
      </c>
      <c r="I77" s="707">
        <v>92</v>
      </c>
      <c r="J77" s="707">
        <v>64</v>
      </c>
      <c r="K77" s="82">
        <f>I77-J77</f>
        <v>28</v>
      </c>
      <c r="L77" s="708">
        <v>24</v>
      </c>
    </row>
    <row r="78" spans="1:25" x14ac:dyDescent="0.3">
      <c r="C78" s="205">
        <v>2</v>
      </c>
      <c r="D78" s="702" t="s">
        <v>1220</v>
      </c>
      <c r="E78" s="709">
        <v>16</v>
      </c>
      <c r="F78" s="709">
        <v>10</v>
      </c>
      <c r="G78" s="709">
        <v>3</v>
      </c>
      <c r="H78" s="709">
        <v>3</v>
      </c>
      <c r="I78" s="709">
        <v>97</v>
      </c>
      <c r="J78" s="709">
        <v>54</v>
      </c>
      <c r="K78" s="8">
        <f t="shared" ref="K78:K85" si="28">I78-J78</f>
        <v>43</v>
      </c>
      <c r="L78" s="710">
        <v>23</v>
      </c>
    </row>
    <row r="79" spans="1:25" x14ac:dyDescent="0.3">
      <c r="C79" s="205">
        <v>3</v>
      </c>
      <c r="D79" s="702" t="s">
        <v>1403</v>
      </c>
      <c r="E79" s="706">
        <v>16</v>
      </c>
      <c r="F79" s="707">
        <v>10</v>
      </c>
      <c r="G79" s="707">
        <v>1</v>
      </c>
      <c r="H79" s="707">
        <v>5</v>
      </c>
      <c r="I79" s="707">
        <v>99</v>
      </c>
      <c r="J79" s="707">
        <v>63</v>
      </c>
      <c r="K79" s="82">
        <f t="shared" si="28"/>
        <v>36</v>
      </c>
      <c r="L79" s="708">
        <v>21</v>
      </c>
    </row>
    <row r="80" spans="1:25" x14ac:dyDescent="0.3">
      <c r="C80" s="205">
        <v>4</v>
      </c>
      <c r="D80" s="702" t="s">
        <v>1639</v>
      </c>
      <c r="E80" s="709">
        <v>16</v>
      </c>
      <c r="F80" s="709">
        <v>9</v>
      </c>
      <c r="G80" s="709">
        <v>2</v>
      </c>
      <c r="H80" s="709">
        <v>5</v>
      </c>
      <c r="I80" s="709">
        <v>71</v>
      </c>
      <c r="J80" s="709">
        <v>63</v>
      </c>
      <c r="K80" s="8">
        <f t="shared" si="28"/>
        <v>8</v>
      </c>
      <c r="L80" s="710">
        <v>20</v>
      </c>
    </row>
    <row r="81" spans="2:26" x14ac:dyDescent="0.3">
      <c r="C81" s="205">
        <v>5</v>
      </c>
      <c r="D81" s="702" t="s">
        <v>1394</v>
      </c>
      <c r="E81" s="706">
        <v>16</v>
      </c>
      <c r="F81" s="707">
        <v>9</v>
      </c>
      <c r="G81" s="707">
        <v>1</v>
      </c>
      <c r="H81" s="707">
        <v>6</v>
      </c>
      <c r="I81" s="707">
        <v>64</v>
      </c>
      <c r="J81" s="707">
        <v>42</v>
      </c>
      <c r="K81" s="82">
        <f t="shared" si="28"/>
        <v>22</v>
      </c>
      <c r="L81" s="708">
        <v>19</v>
      </c>
    </row>
    <row r="82" spans="2:26" x14ac:dyDescent="0.3">
      <c r="C82" s="205">
        <v>6</v>
      </c>
      <c r="D82" s="702" t="s">
        <v>1396</v>
      </c>
      <c r="E82" s="709">
        <v>16</v>
      </c>
      <c r="F82" s="709">
        <v>7</v>
      </c>
      <c r="G82" s="709">
        <v>2</v>
      </c>
      <c r="H82" s="709">
        <v>7</v>
      </c>
      <c r="I82" s="709">
        <v>74</v>
      </c>
      <c r="J82" s="709">
        <v>70</v>
      </c>
      <c r="K82" s="8">
        <f t="shared" si="28"/>
        <v>4</v>
      </c>
      <c r="L82" s="710">
        <v>16</v>
      </c>
    </row>
    <row r="83" spans="2:26" x14ac:dyDescent="0.3">
      <c r="C83" s="205">
        <v>7</v>
      </c>
      <c r="D83" s="702" t="s">
        <v>0</v>
      </c>
      <c r="E83" s="706">
        <v>16</v>
      </c>
      <c r="F83" s="707">
        <v>5</v>
      </c>
      <c r="G83" s="707">
        <v>1</v>
      </c>
      <c r="H83" s="707">
        <v>10</v>
      </c>
      <c r="I83" s="707">
        <v>63</v>
      </c>
      <c r="J83" s="707">
        <v>75</v>
      </c>
      <c r="K83" s="82">
        <f t="shared" si="28"/>
        <v>-12</v>
      </c>
      <c r="L83" s="708">
        <v>11</v>
      </c>
    </row>
    <row r="84" spans="2:26" x14ac:dyDescent="0.3">
      <c r="C84" s="205">
        <v>8</v>
      </c>
      <c r="D84" s="702" t="s">
        <v>1584</v>
      </c>
      <c r="E84" s="709">
        <v>16</v>
      </c>
      <c r="F84" s="709">
        <v>3</v>
      </c>
      <c r="G84" s="709">
        <v>2</v>
      </c>
      <c r="H84" s="709">
        <v>11</v>
      </c>
      <c r="I84" s="709">
        <v>41</v>
      </c>
      <c r="J84" s="709">
        <v>96</v>
      </c>
      <c r="K84" s="8">
        <f t="shared" si="28"/>
        <v>-55</v>
      </c>
      <c r="L84" s="710">
        <v>8</v>
      </c>
    </row>
    <row r="85" spans="2:26" x14ac:dyDescent="0.3">
      <c r="C85" s="205">
        <v>9</v>
      </c>
      <c r="D85" s="702" t="s">
        <v>1638</v>
      </c>
      <c r="E85" s="706">
        <v>16</v>
      </c>
      <c r="F85" s="707">
        <v>0</v>
      </c>
      <c r="G85" s="707">
        <v>2</v>
      </c>
      <c r="H85" s="707">
        <v>14</v>
      </c>
      <c r="I85" s="707">
        <v>44</v>
      </c>
      <c r="J85" s="707">
        <v>118</v>
      </c>
      <c r="K85" s="82">
        <f t="shared" si="28"/>
        <v>-74</v>
      </c>
      <c r="L85" s="708">
        <v>2</v>
      </c>
    </row>
    <row r="93" spans="2:26" x14ac:dyDescent="0.3">
      <c r="B93" t="s">
        <v>1821</v>
      </c>
      <c r="C93" t="str">
        <f>$C$2</f>
        <v>2018-2019</v>
      </c>
      <c r="D93" t="str">
        <f>$E$2 &amp; $F$2</f>
        <v>IV-Divisioona</v>
      </c>
    </row>
    <row r="94" spans="2:26" x14ac:dyDescent="0.3">
      <c r="F94" s="8" t="s">
        <v>1826</v>
      </c>
      <c r="H94" s="265" t="s">
        <v>1825</v>
      </c>
      <c r="J94" s="8" t="s">
        <v>1822</v>
      </c>
      <c r="L94" s="8" t="s">
        <v>1823</v>
      </c>
      <c r="N94" s="8" t="s">
        <v>1824</v>
      </c>
      <c r="P94" s="8" t="s">
        <v>1557</v>
      </c>
      <c r="Q94" s="8" t="s">
        <v>1556</v>
      </c>
      <c r="R94" s="8" t="s">
        <v>1419</v>
      </c>
      <c r="S94" s="8" t="s">
        <v>1420</v>
      </c>
      <c r="T94" t="s">
        <v>1827</v>
      </c>
      <c r="U94" s="8" t="s">
        <v>1828</v>
      </c>
      <c r="V94" s="8" t="s">
        <v>1425</v>
      </c>
      <c r="W94" s="8" t="s">
        <v>1535</v>
      </c>
      <c r="X94" s="8" t="s">
        <v>1536</v>
      </c>
      <c r="Y94" s="8" t="s">
        <v>1559</v>
      </c>
      <c r="Z94" s="8" t="s">
        <v>19</v>
      </c>
    </row>
    <row r="95" spans="2:26" x14ac:dyDescent="0.3">
      <c r="B95" t="str">
        <f>B6</f>
        <v>Ottelu 1.</v>
      </c>
      <c r="C95" s="888" t="str">
        <f>B7</f>
        <v>6.10.2018 Klo 13:00</v>
      </c>
      <c r="D95" t="str">
        <f>C6</f>
        <v>Kisariihi Pöytyä</v>
      </c>
      <c r="E95" s="8" t="str">
        <f>I6</f>
        <v>Voitto</v>
      </c>
      <c r="F95" t="str">
        <f>IF(C7="Koti",D6,D7)</f>
        <v>Phantoms</v>
      </c>
      <c r="G95" t="str">
        <f>IF(C7="Koti",D7,D6)</f>
        <v>SekTa</v>
      </c>
      <c r="H95" s="8">
        <f>IF(C7="Koti",H6,H7)</f>
        <v>4</v>
      </c>
      <c r="I95" s="8">
        <f>IF(C7="Koti",H7,H6)</f>
        <v>6</v>
      </c>
      <c r="J95" s="8">
        <f>IF(C7="Koti",E6,E7)</f>
        <v>2</v>
      </c>
      <c r="K95" s="8">
        <f>IF(C7="Koti",E7,E6)</f>
        <v>2</v>
      </c>
      <c r="L95" s="8">
        <f>IF(C7="Koti",F6,F7)</f>
        <v>0</v>
      </c>
      <c r="M95" s="8">
        <f>IF(C7="Koti",F7,F6)</f>
        <v>2</v>
      </c>
      <c r="N95" s="8">
        <f>IF(C7="Koti",G6,G7)</f>
        <v>2</v>
      </c>
      <c r="O95" s="8">
        <f>IF(C7="Koti",G7,G6)</f>
        <v>2</v>
      </c>
      <c r="P95" s="8">
        <f t="shared" ref="P95:T95" si="29">J6</f>
        <v>0</v>
      </c>
      <c r="Q95" s="8">
        <f t="shared" si="29"/>
        <v>0</v>
      </c>
      <c r="R95" s="8">
        <f t="shared" si="29"/>
        <v>0</v>
      </c>
      <c r="S95" s="8">
        <f t="shared" si="29"/>
        <v>0</v>
      </c>
      <c r="T95" s="8">
        <f t="shared" si="29"/>
        <v>0</v>
      </c>
      <c r="V95" s="8">
        <f>O6</f>
        <v>0</v>
      </c>
      <c r="W95" s="8">
        <f>P6</f>
        <v>0</v>
      </c>
      <c r="X95" s="8">
        <f>Q6</f>
        <v>0</v>
      </c>
      <c r="Y95" s="8">
        <f>R6</f>
        <v>0</v>
      </c>
      <c r="Z95" s="8">
        <f>S6</f>
        <v>7.03</v>
      </c>
    </row>
    <row r="96" spans="2:26" x14ac:dyDescent="0.3">
      <c r="B96" t="str">
        <f>B9</f>
        <v>Ottelu 2.</v>
      </c>
      <c r="C96" s="888" t="str">
        <f>B10</f>
        <v>6.10.2018 Klo 16:00</v>
      </c>
      <c r="D96" t="str">
        <f>C9</f>
        <v>Kisariihi Pöytyä</v>
      </c>
      <c r="E96" s="8" t="str">
        <f>I9</f>
        <v>Häviö</v>
      </c>
      <c r="F96" t="str">
        <f>IF(C10="Koti",D9,D10)</f>
        <v>SekTa</v>
      </c>
      <c r="G96" t="str">
        <f>IF(C10="Koti",D10,D9)</f>
        <v>TA-631</v>
      </c>
      <c r="H96" s="8">
        <f>IF(C10="Koti",H9,H10)</f>
        <v>2</v>
      </c>
      <c r="I96" s="8">
        <f>IF(C10="Koti",H10,H9)</f>
        <v>6</v>
      </c>
      <c r="J96" s="8">
        <f>IF(C10="Koti",E9,E10)</f>
        <v>1</v>
      </c>
      <c r="K96" s="8">
        <f>IF(C10="Koti",E10,E9)</f>
        <v>3</v>
      </c>
      <c r="L96" s="8">
        <f>IF(C10="Koti",F9,F10)</f>
        <v>1</v>
      </c>
      <c r="M96" s="8">
        <f>IF(C10="Koti",F10,F9)</f>
        <v>2</v>
      </c>
      <c r="N96" s="8">
        <f>IF(C10="Koti",G9,G10)</f>
        <v>0</v>
      </c>
      <c r="O96" s="8">
        <f>IF(C10="Koti",G10,G9)</f>
        <v>1</v>
      </c>
      <c r="P96" s="8">
        <f>J9</f>
        <v>0</v>
      </c>
      <c r="Q96" s="8">
        <f>K9</f>
        <v>0</v>
      </c>
      <c r="R96" s="8">
        <f>L9</f>
        <v>0</v>
      </c>
      <c r="S96" s="8">
        <f>M9</f>
        <v>0</v>
      </c>
      <c r="T96" s="8">
        <f>N9</f>
        <v>0</v>
      </c>
      <c r="V96" s="8">
        <f>O9</f>
        <v>0</v>
      </c>
      <c r="W96" s="8">
        <f>P9</f>
        <v>0</v>
      </c>
      <c r="X96" s="8">
        <f>Q9</f>
        <v>0</v>
      </c>
      <c r="Y96" s="8">
        <f>R9</f>
        <v>0</v>
      </c>
      <c r="Z96" s="8">
        <f>S9</f>
        <v>4.25</v>
      </c>
    </row>
    <row r="97" spans="2:26" x14ac:dyDescent="0.3">
      <c r="B97" t="str">
        <f>B12</f>
        <v>Ottelu 3.</v>
      </c>
      <c r="C97" s="888" t="str">
        <f>B13</f>
        <v>20.10.2018 Klo 14:00</v>
      </c>
      <c r="D97" t="str">
        <f>C12</f>
        <v>PUNT Parainen</v>
      </c>
      <c r="E97" s="8" t="str">
        <f>I12</f>
        <v>Voitto</v>
      </c>
      <c r="F97" t="str">
        <f>IF(C13="Koti",D12,D13)</f>
        <v>KIK</v>
      </c>
      <c r="G97" t="str">
        <f>IF(C13="Koti",D13,D12)</f>
        <v>SekTa</v>
      </c>
      <c r="H97" s="8">
        <f>IF(C13="Koti",H12,H13)</f>
        <v>3</v>
      </c>
      <c r="I97" s="8">
        <f>IF(C13="Koti",H13,H12)</f>
        <v>4</v>
      </c>
      <c r="J97" s="8">
        <f>IF(C13="Koti",E12,E13)</f>
        <v>1</v>
      </c>
      <c r="K97" s="8">
        <f>IF(C13="Koti",E13,E12)</f>
        <v>2</v>
      </c>
      <c r="L97" s="8">
        <f>IF(C13="Koti",F12,F13)</f>
        <v>0</v>
      </c>
      <c r="M97" s="8">
        <f>IF(C13="Koti",F13,F12)</f>
        <v>1</v>
      </c>
      <c r="N97" s="8">
        <f>IF(C13="Koti",G12,G13)</f>
        <v>2</v>
      </c>
      <c r="O97" s="8">
        <f>IF(C13="Koti",G13,G12)</f>
        <v>1</v>
      </c>
      <c r="P97" s="8">
        <f>J12</f>
        <v>3</v>
      </c>
      <c r="Q97" s="8">
        <f>K12</f>
        <v>9</v>
      </c>
      <c r="R97" s="8">
        <f>L12</f>
        <v>0</v>
      </c>
      <c r="S97" s="8">
        <f>M12</f>
        <v>0</v>
      </c>
      <c r="T97" s="8">
        <f>N12</f>
        <v>0</v>
      </c>
      <c r="V97" s="8">
        <f>O12</f>
        <v>0</v>
      </c>
      <c r="W97" s="8">
        <f>P12</f>
        <v>0</v>
      </c>
      <c r="X97" s="8">
        <f>Q12</f>
        <v>0</v>
      </c>
      <c r="Y97" s="8">
        <f>R12</f>
        <v>0</v>
      </c>
      <c r="Z97" s="8">
        <f>S12</f>
        <v>6.52</v>
      </c>
    </row>
    <row r="98" spans="2:26" x14ac:dyDescent="0.3">
      <c r="B98" t="str">
        <f>B15</f>
        <v>Ottelu 4.</v>
      </c>
      <c r="C98" s="888" t="str">
        <f>B16</f>
        <v>20.10.2018 Klo 16:00</v>
      </c>
      <c r="D98" t="str">
        <f>C15</f>
        <v>PUNT Parainen</v>
      </c>
      <c r="E98" s="8" t="str">
        <f>I15</f>
        <v>Voitto</v>
      </c>
      <c r="F98" t="str">
        <f>IF(C16="Koti",D15,D16)</f>
        <v>SekTa</v>
      </c>
      <c r="G98" t="str">
        <f>IF(C16="Koti",D16,D15)</f>
        <v>PöU</v>
      </c>
      <c r="H98" s="8">
        <f>IF(C16="Koti",H15,H16)</f>
        <v>4</v>
      </c>
      <c r="I98" s="8">
        <f>IF(C16="Koti",H16,H15)</f>
        <v>2</v>
      </c>
      <c r="J98" s="8">
        <f>IF(C16="Koti",E15,E16)</f>
        <v>2</v>
      </c>
      <c r="K98" s="8">
        <f>IF(C16="Koti",E16,E15)</f>
        <v>0</v>
      </c>
      <c r="L98" s="8">
        <f>IF(C16="Koti",F15,F16)</f>
        <v>1</v>
      </c>
      <c r="M98" s="8">
        <f>IF(C16="Koti",F16,F15)</f>
        <v>2</v>
      </c>
      <c r="N98" s="8">
        <f>IF(C16="Koti",G15,G16)</f>
        <v>1</v>
      </c>
      <c r="O98" s="8">
        <f>IF(C16="Koti",G16,G15)</f>
        <v>0</v>
      </c>
      <c r="P98" s="8">
        <f>J15</f>
        <v>6</v>
      </c>
      <c r="Q98" s="8">
        <f>K15</f>
        <v>12</v>
      </c>
      <c r="R98" s="8">
        <f>L15</f>
        <v>0</v>
      </c>
      <c r="S98" s="8">
        <f>M15</f>
        <v>0</v>
      </c>
      <c r="T98" s="8" t="str">
        <f>N15</f>
        <v>0/1</v>
      </c>
      <c r="V98" s="8">
        <f>O15</f>
        <v>0</v>
      </c>
      <c r="W98" s="8">
        <f>P15</f>
        <v>0</v>
      </c>
      <c r="X98" s="8">
        <f>Q15</f>
        <v>0</v>
      </c>
      <c r="Y98" s="8">
        <f>R15</f>
        <v>0</v>
      </c>
      <c r="Z98" s="8">
        <f>S15</f>
        <v>9.2899999999999991</v>
      </c>
    </row>
    <row r="99" spans="2:26" x14ac:dyDescent="0.3">
      <c r="B99" t="str">
        <f>B18</f>
        <v>Ottelu 5.</v>
      </c>
      <c r="C99" s="888">
        <f>B19</f>
        <v>0</v>
      </c>
      <c r="D99" t="str">
        <f>C18</f>
        <v>Maijamäen LH, Naantali</v>
      </c>
      <c r="E99" s="8" t="str">
        <f>I18</f>
        <v>Tasapeli</v>
      </c>
      <c r="F99" t="str">
        <f>IF(C19="Koti",D18,D19)</f>
        <v>SekTa</v>
      </c>
      <c r="G99">
        <f>IF(C19="Koti",D19,D18)</f>
        <v>0</v>
      </c>
      <c r="H99" s="8">
        <f>IF(C19="Koti",H18,H19)</f>
        <v>0</v>
      </c>
      <c r="I99" s="8">
        <f>IF(C19="Koti",H19,H18)</f>
        <v>0</v>
      </c>
      <c r="J99" s="8">
        <f>IF(C19="Koti",E18,E19)</f>
        <v>0</v>
      </c>
      <c r="K99" s="8">
        <f>IF(C19="Koti",E19,E18)</f>
        <v>0</v>
      </c>
      <c r="L99" s="8">
        <f>IF(C19="Koti",F18,F19)</f>
        <v>0</v>
      </c>
      <c r="M99" s="8">
        <f>IF(C19="Koti",F19,F18)</f>
        <v>0</v>
      </c>
      <c r="N99" s="8">
        <f>IF(C19="Koti",G18,G19)</f>
        <v>0</v>
      </c>
      <c r="O99" s="8">
        <f>IF(C19="Koti",G19,G18)</f>
        <v>0</v>
      </c>
      <c r="P99" s="8">
        <f>J18</f>
        <v>0</v>
      </c>
      <c r="Q99" s="8">
        <f>K18</f>
        <v>0</v>
      </c>
      <c r="R99" s="8">
        <f>L18</f>
        <v>0</v>
      </c>
      <c r="S99" s="8">
        <f>M18</f>
        <v>0</v>
      </c>
      <c r="T99" s="8">
        <f>N18</f>
        <v>0</v>
      </c>
      <c r="V99" s="8">
        <f>O18</f>
        <v>0</v>
      </c>
      <c r="W99" s="8">
        <f>P18</f>
        <v>0</v>
      </c>
      <c r="X99" s="8">
        <f>Q18</f>
        <v>0</v>
      </c>
      <c r="Y99" s="8">
        <f>R18</f>
        <v>0</v>
      </c>
      <c r="Z99" s="8">
        <f>S18</f>
        <v>0</v>
      </c>
    </row>
    <row r="100" spans="2:26" x14ac:dyDescent="0.3">
      <c r="B100" t="str">
        <f>B21</f>
        <v>Ottelu 6.</v>
      </c>
      <c r="C100" s="888">
        <f>B22</f>
        <v>0</v>
      </c>
      <c r="D100" t="str">
        <f>C21</f>
        <v>Maijamäen LH, Naantali</v>
      </c>
      <c r="E100" s="8" t="str">
        <f>I21</f>
        <v>Tasapeli</v>
      </c>
      <c r="F100">
        <f>IF(C22="Koti",D21,D22)</f>
        <v>0</v>
      </c>
      <c r="G100" t="str">
        <f>IF(C22="Koti",D22,D21)</f>
        <v>SekTa</v>
      </c>
      <c r="H100" s="8">
        <f>IF(C22="Koti",H21,H22)</f>
        <v>0</v>
      </c>
      <c r="I100" s="8">
        <f>IF(C22="Koti",H22,H21)</f>
        <v>0</v>
      </c>
      <c r="J100" s="8">
        <f>IF(C22="Koti",E21,E22)</f>
        <v>0</v>
      </c>
      <c r="K100" s="8">
        <f>IF(C22="Koti",E22,E21)</f>
        <v>0</v>
      </c>
      <c r="L100" s="8">
        <f>IF(C22="Koti",F21,F22)</f>
        <v>0</v>
      </c>
      <c r="M100" s="8">
        <f>IF(C22="Koti",F22,F21)</f>
        <v>0</v>
      </c>
      <c r="N100" s="8">
        <f>IF(C22="Koti",G21,G22)</f>
        <v>0</v>
      </c>
      <c r="O100" s="8">
        <f>IF(C22="Koti",G22,G21)</f>
        <v>0</v>
      </c>
      <c r="P100" s="8">
        <f>J21</f>
        <v>0</v>
      </c>
      <c r="Q100" s="8">
        <f>K21</f>
        <v>0</v>
      </c>
      <c r="R100" s="8">
        <f>L21</f>
        <v>0</v>
      </c>
      <c r="S100" s="8">
        <f>M21</f>
        <v>0</v>
      </c>
      <c r="T100" s="8">
        <f>N21</f>
        <v>0</v>
      </c>
      <c r="V100" s="8">
        <f>O21</f>
        <v>0</v>
      </c>
      <c r="W100" s="8">
        <f>P21</f>
        <v>0</v>
      </c>
      <c r="X100" s="8">
        <f>Q21</f>
        <v>0</v>
      </c>
      <c r="Y100" s="8">
        <f>R21</f>
        <v>0</v>
      </c>
      <c r="Z100" s="8">
        <f>S21</f>
        <v>0</v>
      </c>
    </row>
    <row r="101" spans="2:26" x14ac:dyDescent="0.3">
      <c r="B101" t="str">
        <f>B24</f>
        <v>Ottelu 7.</v>
      </c>
      <c r="C101" s="888">
        <f>B25</f>
        <v>0</v>
      </c>
      <c r="D101" t="str">
        <f>C24</f>
        <v>Leaf-Areena</v>
      </c>
      <c r="E101" s="8" t="str">
        <f>I24</f>
        <v>Tasapeli</v>
      </c>
      <c r="F101">
        <f>IF(C25="Koti",D24,D25)</f>
        <v>0</v>
      </c>
      <c r="G101" t="str">
        <f>IF(C25="Koti",D25,D24)</f>
        <v>SekTa</v>
      </c>
      <c r="H101" s="8">
        <f>IF(C25="Koti",H24,H25)</f>
        <v>0</v>
      </c>
      <c r="I101" s="8">
        <f>IF(C25="Koti",H25,H24)</f>
        <v>0</v>
      </c>
      <c r="J101" s="8">
        <f>IF(C25="Koti",E24,E25)</f>
        <v>0</v>
      </c>
      <c r="K101" s="8">
        <f>IF(C25="Koti",E25,E24)</f>
        <v>0</v>
      </c>
      <c r="L101" s="8">
        <f>IF(C25="Koti",F24,F25)</f>
        <v>0</v>
      </c>
      <c r="M101" s="8">
        <f>IF(C25="Koti",F25,F24)</f>
        <v>0</v>
      </c>
      <c r="N101" s="8">
        <f>IF(C25="Koti",G24,G25)</f>
        <v>0</v>
      </c>
      <c r="O101" s="8">
        <f>IF(C25="Koti",G25,G24)</f>
        <v>0</v>
      </c>
      <c r="P101" s="8">
        <f>J24</f>
        <v>0</v>
      </c>
      <c r="Q101" s="8">
        <f>K24</f>
        <v>0</v>
      </c>
      <c r="R101" s="8">
        <f>L24</f>
        <v>0</v>
      </c>
      <c r="S101" s="8">
        <f>M24</f>
        <v>0</v>
      </c>
      <c r="T101" s="8">
        <f>N24</f>
        <v>0</v>
      </c>
      <c r="V101" s="8">
        <f>O24</f>
        <v>0</v>
      </c>
      <c r="W101" s="8">
        <f>P24</f>
        <v>0</v>
      </c>
      <c r="X101" s="8">
        <f>Q24</f>
        <v>0</v>
      </c>
      <c r="Y101" s="8">
        <f>R24</f>
        <v>0</v>
      </c>
      <c r="Z101" s="8">
        <f>S24</f>
        <v>0</v>
      </c>
    </row>
    <row r="102" spans="2:26" x14ac:dyDescent="0.3">
      <c r="B102" t="str">
        <f>B27</f>
        <v>Ottelu 8.</v>
      </c>
      <c r="C102" s="888">
        <f>B28</f>
        <v>0</v>
      </c>
      <c r="D102" t="str">
        <f>C27</f>
        <v>Leaf-Areena</v>
      </c>
      <c r="E102" s="8" t="str">
        <f>I27</f>
        <v>Tasapeli</v>
      </c>
      <c r="F102" t="str">
        <f>IF(C28="Koti",D27,D28)</f>
        <v>SekTa</v>
      </c>
      <c r="G102">
        <f>IF(C28="Koti",D28,D27)</f>
        <v>0</v>
      </c>
      <c r="H102" s="8">
        <f>IF(C28="Koti",H27,H28)</f>
        <v>0</v>
      </c>
      <c r="I102" s="8">
        <f>IF(C28="Koti",H28,H27)</f>
        <v>0</v>
      </c>
      <c r="J102" s="8">
        <f>IF(C28="Koti",E27,E28)</f>
        <v>0</v>
      </c>
      <c r="K102" s="8">
        <f>IF(C28="Koti",E28,E27)</f>
        <v>0</v>
      </c>
      <c r="L102" s="8">
        <f>IF(C28="Koti",F27,F28)</f>
        <v>0</v>
      </c>
      <c r="M102" s="8">
        <f>IF(C28="Koti",F28,F27)</f>
        <v>0</v>
      </c>
      <c r="N102" s="8">
        <f>IF(C28="Koti",G27,G28)</f>
        <v>0</v>
      </c>
      <c r="O102" s="8">
        <f>IF(C28="Koti",G28,G27)</f>
        <v>0</v>
      </c>
      <c r="P102" s="8">
        <f>J27</f>
        <v>0</v>
      </c>
      <c r="Q102" s="8">
        <f>K27</f>
        <v>0</v>
      </c>
      <c r="R102" s="8">
        <f>L27</f>
        <v>0</v>
      </c>
      <c r="S102" s="8">
        <f>M27</f>
        <v>0</v>
      </c>
      <c r="T102" s="8">
        <f>N27</f>
        <v>0</v>
      </c>
      <c r="V102" s="8">
        <f>O27</f>
        <v>0</v>
      </c>
      <c r="W102" s="8">
        <f>P27</f>
        <v>0</v>
      </c>
      <c r="X102" s="8">
        <f>Q27</f>
        <v>0</v>
      </c>
      <c r="Y102" s="8">
        <f>R27</f>
        <v>0</v>
      </c>
      <c r="Z102" s="8">
        <f>S27</f>
        <v>0</v>
      </c>
    </row>
    <row r="103" spans="2:26" x14ac:dyDescent="0.3">
      <c r="B103" t="str">
        <f>B30</f>
        <v>Ottelu 9.</v>
      </c>
      <c r="C103" s="888">
        <f>B31</f>
        <v>0</v>
      </c>
      <c r="D103" t="str">
        <f>C30</f>
        <v>Leaf-Areena</v>
      </c>
      <c r="E103" s="8" t="str">
        <f>I30</f>
        <v>Tasapeli</v>
      </c>
      <c r="F103" t="str">
        <f>IF(C31="Koti",D30,D31)</f>
        <v>SekTa</v>
      </c>
      <c r="G103">
        <f>IF(C31="Koti",D31,D30)</f>
        <v>0</v>
      </c>
      <c r="H103" s="8">
        <f>IF(C31="Koti",H30,H31)</f>
        <v>0</v>
      </c>
      <c r="I103" s="8">
        <f>IF(C31="Koti",H31,H30)</f>
        <v>0</v>
      </c>
      <c r="J103" s="8">
        <f>IF(C31="Koti",E30,E31)</f>
        <v>0</v>
      </c>
      <c r="K103" s="8">
        <f>IF(C31="Koti",E31,E30)</f>
        <v>0</v>
      </c>
      <c r="L103" s="8">
        <f>IF(C31="Koti",F30,F31)</f>
        <v>0</v>
      </c>
      <c r="M103" s="8">
        <f>IF(C31="Koti",F31,F30)</f>
        <v>0</v>
      </c>
      <c r="N103" s="8">
        <f>IF(C31="Koti",G30,G31)</f>
        <v>0</v>
      </c>
      <c r="O103" s="8">
        <f>IF(C31="Koti",G31,G30)</f>
        <v>0</v>
      </c>
      <c r="P103" s="8">
        <f>J30</f>
        <v>0</v>
      </c>
      <c r="Q103" s="8">
        <f>K30</f>
        <v>0</v>
      </c>
      <c r="R103" s="8">
        <f>L30</f>
        <v>0</v>
      </c>
      <c r="S103" s="8">
        <f>M30</f>
        <v>0</v>
      </c>
      <c r="T103" s="8">
        <f>N30</f>
        <v>0</v>
      </c>
      <c r="V103" s="8">
        <f>O30</f>
        <v>0</v>
      </c>
      <c r="W103" s="8">
        <f>P30</f>
        <v>0</v>
      </c>
      <c r="X103" s="8">
        <f>Q30</f>
        <v>0</v>
      </c>
      <c r="Y103" s="8">
        <f>R30</f>
        <v>0</v>
      </c>
      <c r="Z103" s="8">
        <f>S30</f>
        <v>0</v>
      </c>
    </row>
    <row r="104" spans="2:26" x14ac:dyDescent="0.3">
      <c r="B104" t="str">
        <f>B33</f>
        <v>Ottelu 10.</v>
      </c>
      <c r="C104" s="888">
        <f>B34</f>
        <v>0</v>
      </c>
      <c r="D104" t="str">
        <f>C33</f>
        <v>Leaf-Areena</v>
      </c>
      <c r="E104" s="8" t="str">
        <f>I33</f>
        <v>Tasapeli</v>
      </c>
      <c r="F104">
        <f>IF(C34="Koti",D33,D34)</f>
        <v>0</v>
      </c>
      <c r="G104" t="str">
        <f>IF(C34="Koti",D34,D33)</f>
        <v>SekTa</v>
      </c>
      <c r="H104" s="8">
        <f>IF(C34="Koti",H33,H34)</f>
        <v>0</v>
      </c>
      <c r="I104" s="8">
        <f>IF(C34="Koti",H34,H33)</f>
        <v>0</v>
      </c>
      <c r="J104" s="8">
        <f>IF(C34="Koti",E33,E34)</f>
        <v>0</v>
      </c>
      <c r="K104" s="8">
        <f>IF(C34="Koti",E34,E33)</f>
        <v>0</v>
      </c>
      <c r="L104" s="8">
        <f>IF(C34="Koti",F33,F34)</f>
        <v>0</v>
      </c>
      <c r="M104" s="8">
        <f>IF(C34="Koti",F34,F33)</f>
        <v>0</v>
      </c>
      <c r="N104" s="8">
        <f>IF(C34="Koti",G33,G34)</f>
        <v>0</v>
      </c>
      <c r="O104" s="8">
        <f>IF(C34="Koti",G34,G33)</f>
        <v>0</v>
      </c>
      <c r="P104" s="8">
        <f>J33</f>
        <v>0</v>
      </c>
      <c r="Q104" s="8">
        <f>K33</f>
        <v>0</v>
      </c>
      <c r="R104" s="8">
        <f>L33</f>
        <v>0</v>
      </c>
      <c r="S104" s="8">
        <f>M33</f>
        <v>0</v>
      </c>
      <c r="T104" s="8">
        <f>N33</f>
        <v>0</v>
      </c>
      <c r="V104" s="8">
        <f>O33</f>
        <v>0</v>
      </c>
      <c r="W104" s="8">
        <f>P33</f>
        <v>0</v>
      </c>
      <c r="X104" s="8">
        <f>Q33</f>
        <v>0</v>
      </c>
      <c r="Y104" s="8">
        <f>R33</f>
        <v>0</v>
      </c>
      <c r="Z104" s="8">
        <f>S33</f>
        <v>0</v>
      </c>
    </row>
    <row r="105" spans="2:26" x14ac:dyDescent="0.3">
      <c r="B105" t="str">
        <f>B36</f>
        <v>Ottelu 11.</v>
      </c>
      <c r="C105" s="888">
        <f>B37</f>
        <v>0</v>
      </c>
      <c r="D105" t="str">
        <f>C36</f>
        <v>Pohitullin koulu, Uusikaupunki</v>
      </c>
      <c r="E105" s="8" t="str">
        <f>I36</f>
        <v>Tasapeli</v>
      </c>
      <c r="F105">
        <f>IF(C37="Koti",D36,D37)</f>
        <v>0</v>
      </c>
      <c r="G105" t="str">
        <f>IF(C37="Koti",D37,D36)</f>
        <v>SekTa</v>
      </c>
      <c r="H105" s="8">
        <f>IF(C37="Koti",H36,H37)</f>
        <v>0</v>
      </c>
      <c r="I105" s="8">
        <f>IF(C37="Koti",H37,H36)</f>
        <v>0</v>
      </c>
      <c r="J105" s="8">
        <f>IF(C37="Koti",E36,E37)</f>
        <v>0</v>
      </c>
      <c r="K105" s="8">
        <f>IF(C37="Koti",E37,E36)</f>
        <v>0</v>
      </c>
      <c r="L105" s="8">
        <f>IF(C37="Koti",F36,F37)</f>
        <v>0</v>
      </c>
      <c r="M105" s="8">
        <f>IF(C37="Koti",F37,F36)</f>
        <v>0</v>
      </c>
      <c r="N105" s="8">
        <f>IF(C37="Koti",G36,G37)</f>
        <v>0</v>
      </c>
      <c r="O105" s="8">
        <f>IF(C37="Koti",G37,G36)</f>
        <v>0</v>
      </c>
      <c r="P105" s="8">
        <f>J36</f>
        <v>0</v>
      </c>
      <c r="Q105" s="8">
        <f>K36</f>
        <v>0</v>
      </c>
      <c r="R105" s="8">
        <f>L36</f>
        <v>0</v>
      </c>
      <c r="S105" s="8">
        <f>M36</f>
        <v>0</v>
      </c>
      <c r="T105" s="8">
        <f>N36</f>
        <v>0</v>
      </c>
      <c r="V105" s="8">
        <f>O36</f>
        <v>0</v>
      </c>
      <c r="W105" s="8">
        <f>P36</f>
        <v>0</v>
      </c>
      <c r="X105" s="8">
        <f>Q36</f>
        <v>0</v>
      </c>
      <c r="Y105" s="8">
        <f>R36</f>
        <v>0</v>
      </c>
      <c r="Z105" s="8">
        <f>S36</f>
        <v>0</v>
      </c>
    </row>
    <row r="106" spans="2:26" x14ac:dyDescent="0.3">
      <c r="B106" t="str">
        <f>B39</f>
        <v>Ottelu 12.</v>
      </c>
      <c r="C106" s="888">
        <f>B40</f>
        <v>0</v>
      </c>
      <c r="D106" t="str">
        <f>C39</f>
        <v>Pohitullin koulu, Uusikaupunki</v>
      </c>
      <c r="E106" s="8" t="str">
        <f>I39</f>
        <v>Tasapeli</v>
      </c>
      <c r="F106" t="str">
        <f>IF(C40="Koti",D39,D40)</f>
        <v>SekTa</v>
      </c>
      <c r="G106">
        <f>IF(C40="Koti",D40,D39)</f>
        <v>0</v>
      </c>
      <c r="H106" s="8">
        <f>IF(C40="Koti",H39,H40)</f>
        <v>0</v>
      </c>
      <c r="I106" s="8">
        <f>IF(C40="Koti",H40,H39)</f>
        <v>0</v>
      </c>
      <c r="J106" s="8">
        <f>IF(C40="Koti",E39,E40)</f>
        <v>0</v>
      </c>
      <c r="K106" s="8">
        <f>IF(C40="Koti",E40,E39)</f>
        <v>0</v>
      </c>
      <c r="L106" s="8">
        <f>IF(C40="Koti",F39,F40)</f>
        <v>0</v>
      </c>
      <c r="M106" s="8">
        <f>IF(C40="Koti",F40,F39)</f>
        <v>0</v>
      </c>
      <c r="N106" s="8">
        <f>IF(C40="Koti",G39,G40)</f>
        <v>0</v>
      </c>
      <c r="O106" s="8">
        <f>IF(C40="Koti",G40,G39)</f>
        <v>0</v>
      </c>
      <c r="P106" s="8">
        <f>J39</f>
        <v>0</v>
      </c>
      <c r="Q106" s="8">
        <f>K39</f>
        <v>0</v>
      </c>
      <c r="R106" s="8">
        <f>L39</f>
        <v>0</v>
      </c>
      <c r="S106" s="8">
        <f>M39</f>
        <v>0</v>
      </c>
      <c r="T106" s="8">
        <f>N39</f>
        <v>0</v>
      </c>
      <c r="V106" s="8">
        <f>O39</f>
        <v>0</v>
      </c>
      <c r="W106" s="8">
        <f>P39</f>
        <v>0</v>
      </c>
      <c r="X106" s="8">
        <f>Q39</f>
        <v>0</v>
      </c>
      <c r="Y106" s="8">
        <f>R39</f>
        <v>0</v>
      </c>
      <c r="Z106" s="8">
        <f>S39</f>
        <v>0</v>
      </c>
    </row>
    <row r="107" spans="2:26" x14ac:dyDescent="0.3">
      <c r="B107" t="str">
        <f>B42</f>
        <v>Ottelu 13.</v>
      </c>
      <c r="C107" s="888">
        <f>B43</f>
        <v>0</v>
      </c>
      <c r="D107" t="str">
        <f>C42</f>
        <v>SB-Areena</v>
      </c>
      <c r="E107" s="8" t="str">
        <f>I42</f>
        <v>Tasapeli</v>
      </c>
      <c r="F107" t="str">
        <f>IF(C43="Koti",D42,D43)</f>
        <v>SekTa</v>
      </c>
      <c r="G107">
        <f>IF(C43="Koti",D43,D42)</f>
        <v>0</v>
      </c>
      <c r="H107" s="8">
        <f>IF(C43="Koti",H42,H43)</f>
        <v>0</v>
      </c>
      <c r="I107" s="8">
        <f>IF(C43="Koti",H43,H42)</f>
        <v>0</v>
      </c>
      <c r="J107" s="8">
        <f>IF(C43="Koti",E42,E43)</f>
        <v>0</v>
      </c>
      <c r="K107" s="8">
        <f>IF(C43="Koti",E43,E42)</f>
        <v>0</v>
      </c>
      <c r="L107" s="8">
        <f>IF(C43="Koti",F42,F43)</f>
        <v>0</v>
      </c>
      <c r="M107" s="8">
        <f>IF(C43="Koti",F43,F42)</f>
        <v>0</v>
      </c>
      <c r="N107" s="8">
        <f>IF(C43="Koti",G42,G43)</f>
        <v>0</v>
      </c>
      <c r="O107" s="8">
        <f>IF(C43="Koti",G43,G42)</f>
        <v>0</v>
      </c>
      <c r="P107" s="8">
        <f>J42</f>
        <v>0</v>
      </c>
      <c r="Q107" s="8">
        <f>K42</f>
        <v>0</v>
      </c>
      <c r="R107" s="8">
        <f>L42</f>
        <v>0</v>
      </c>
      <c r="S107" s="8">
        <f>M42</f>
        <v>0</v>
      </c>
      <c r="T107" s="8">
        <f>N42</f>
        <v>0</v>
      </c>
      <c r="V107" s="8">
        <f>O42</f>
        <v>0</v>
      </c>
      <c r="W107" s="8">
        <f>P42</f>
        <v>0</v>
      </c>
      <c r="X107" s="8">
        <f>Q42</f>
        <v>0</v>
      </c>
      <c r="Y107" s="8">
        <f>R42</f>
        <v>0</v>
      </c>
      <c r="Z107" s="8">
        <f>S42</f>
        <v>0</v>
      </c>
    </row>
    <row r="108" spans="2:26" x14ac:dyDescent="0.3">
      <c r="B108" t="str">
        <f>B45</f>
        <v>Ottelu 14.</v>
      </c>
      <c r="C108" s="888">
        <f>B46</f>
        <v>0</v>
      </c>
      <c r="D108" t="str">
        <f>C45</f>
        <v>SB-Areena</v>
      </c>
      <c r="E108" s="8" t="str">
        <f>I45</f>
        <v>Tasapeli</v>
      </c>
      <c r="F108">
        <f>IF(C46="Koti",D45,D46)</f>
        <v>0</v>
      </c>
      <c r="G108" t="str">
        <f>IF(C46="Koti",D46,D45)</f>
        <v>SekTa</v>
      </c>
      <c r="H108" s="8">
        <f>IF(C46="Koti",H45,H46)</f>
        <v>0</v>
      </c>
      <c r="I108" s="8">
        <f>IF(C46="Koti",H46,H45)</f>
        <v>0</v>
      </c>
      <c r="J108" s="8">
        <f>IF(C46="Koti",E45,E46)</f>
        <v>0</v>
      </c>
      <c r="K108" s="8">
        <f>IF(C46="Koti",E46,E45)</f>
        <v>0</v>
      </c>
      <c r="L108" s="8">
        <f>IF(C46="Koti",F45,F46)</f>
        <v>0</v>
      </c>
      <c r="M108" s="8">
        <f>IF(C46="Koti",F46,F45)</f>
        <v>0</v>
      </c>
      <c r="N108" s="8">
        <f>IF(C46="Koti",G45,G46)</f>
        <v>0</v>
      </c>
      <c r="O108" s="8">
        <f>IF(C46="Koti",G46,G45)</f>
        <v>0</v>
      </c>
      <c r="P108" s="8">
        <f>J45</f>
        <v>0</v>
      </c>
      <c r="Q108" s="8">
        <f>K45</f>
        <v>0</v>
      </c>
      <c r="R108" s="8">
        <f>L45</f>
        <v>0</v>
      </c>
      <c r="S108" s="8">
        <f>M45</f>
        <v>0</v>
      </c>
      <c r="T108" s="8">
        <f>N45</f>
        <v>0</v>
      </c>
      <c r="V108" s="8">
        <f>O45</f>
        <v>0</v>
      </c>
      <c r="W108" s="8">
        <f>P45</f>
        <v>0</v>
      </c>
      <c r="X108" s="8">
        <f>Q45</f>
        <v>0</v>
      </c>
      <c r="Y108" s="8">
        <f>R45</f>
        <v>0</v>
      </c>
      <c r="Z108" s="8">
        <f>S45</f>
        <v>0</v>
      </c>
    </row>
    <row r="109" spans="2:26" x14ac:dyDescent="0.3">
      <c r="B109" t="str">
        <f>B48</f>
        <v>Ottelu 15.</v>
      </c>
      <c r="C109" s="888">
        <f>B49</f>
        <v>0</v>
      </c>
      <c r="D109" t="str">
        <f>C48</f>
        <v>Taivassalon Liikuntahalli</v>
      </c>
      <c r="E109" s="8" t="str">
        <f>I48</f>
        <v>Tasapeli</v>
      </c>
      <c r="F109" t="str">
        <f>IF(C49="Koti",D48,D49)</f>
        <v>SekTa</v>
      </c>
      <c r="G109">
        <f>IF(C49="Koti",D49,D48)</f>
        <v>0</v>
      </c>
      <c r="H109" s="8">
        <f>IF(C49="Koti",H48,H49)</f>
        <v>0</v>
      </c>
      <c r="I109" s="8">
        <f>IF(C49="Koti",H49,H48)</f>
        <v>0</v>
      </c>
      <c r="J109" s="8">
        <f>IF(C49="Koti",E48,E49)</f>
        <v>0</v>
      </c>
      <c r="K109" s="8">
        <f>IF(C49="Koti",E49,E48)</f>
        <v>0</v>
      </c>
      <c r="L109" s="8">
        <f>IF(C49="Koti",F48,F49)</f>
        <v>0</v>
      </c>
      <c r="M109" s="8">
        <f>IF(C49="Koti",F49,F48)</f>
        <v>0</v>
      </c>
      <c r="N109" s="8">
        <f>IF(C49="Koti",G48,G49)</f>
        <v>0</v>
      </c>
      <c r="O109" s="8">
        <f>IF(C49="Koti",G49,G48)</f>
        <v>0</v>
      </c>
      <c r="P109" s="8">
        <f>J48</f>
        <v>0</v>
      </c>
      <c r="Q109" s="8">
        <f>K48</f>
        <v>0</v>
      </c>
      <c r="R109" s="8">
        <f>L48</f>
        <v>0</v>
      </c>
      <c r="S109" s="8">
        <f>M48</f>
        <v>0</v>
      </c>
      <c r="T109" s="8">
        <f>N48</f>
        <v>0</v>
      </c>
      <c r="V109" s="8">
        <f>O48</f>
        <v>0</v>
      </c>
      <c r="W109" s="8">
        <f>P48</f>
        <v>0</v>
      </c>
      <c r="X109" s="8">
        <f>Q48</f>
        <v>0</v>
      </c>
      <c r="Y109" s="8">
        <f>R48</f>
        <v>0</v>
      </c>
      <c r="Z109" s="8">
        <f>S48</f>
        <v>0</v>
      </c>
    </row>
    <row r="110" spans="2:26" x14ac:dyDescent="0.3">
      <c r="B110" t="str">
        <f>B51</f>
        <v>Ottelu 16.</v>
      </c>
      <c r="C110" s="888">
        <f>B52</f>
        <v>0</v>
      </c>
      <c r="D110" t="str">
        <f>C51</f>
        <v>Taivassalon Liikuntahalli</v>
      </c>
      <c r="E110" s="8" t="str">
        <f>I51</f>
        <v>Tasapeli</v>
      </c>
      <c r="F110">
        <f>IF(C52="Koti",D51,D52)</f>
        <v>0</v>
      </c>
      <c r="G110" t="str">
        <f>IF(C52="Koti",D52,D51)</f>
        <v>SekTa</v>
      </c>
      <c r="H110" s="8">
        <f>IF(C52="Koti",H51,H52)</f>
        <v>0</v>
      </c>
      <c r="I110" s="8">
        <f>IF(C52="Koti",H52,H51)</f>
        <v>0</v>
      </c>
      <c r="J110" s="8">
        <f>IF(C52="Koti",E51,E52)</f>
        <v>0</v>
      </c>
      <c r="K110" s="8">
        <f>IF(C52="Koti",E52,E51)</f>
        <v>0</v>
      </c>
      <c r="L110" s="8">
        <f>IF(C52="Koti",F51,F52)</f>
        <v>0</v>
      </c>
      <c r="M110" s="8">
        <f>IF(C52="Koti",F52,F51)</f>
        <v>0</v>
      </c>
      <c r="N110" s="8">
        <f>IF(C52="Koti",G51,G52)</f>
        <v>0</v>
      </c>
      <c r="O110" s="8">
        <f>IF(C52="Koti",G52,G51)</f>
        <v>0</v>
      </c>
      <c r="P110" s="8">
        <f>J51</f>
        <v>0</v>
      </c>
      <c r="Q110" s="8">
        <f>K51</f>
        <v>0</v>
      </c>
      <c r="R110" s="8">
        <f>L51</f>
        <v>0</v>
      </c>
      <c r="S110" s="8">
        <f>M51</f>
        <v>0</v>
      </c>
      <c r="T110" s="8">
        <f>N51</f>
        <v>0</v>
      </c>
      <c r="V110" s="8">
        <f>O51</f>
        <v>0</v>
      </c>
      <c r="W110" s="8">
        <f>P51</f>
        <v>0</v>
      </c>
      <c r="X110" s="8">
        <f>Q51</f>
        <v>0</v>
      </c>
      <c r="Y110" s="8">
        <f>R51</f>
        <v>0</v>
      </c>
      <c r="Z110" s="8">
        <f>S51</f>
        <v>0</v>
      </c>
    </row>
    <row r="111" spans="2:26" x14ac:dyDescent="0.3">
      <c r="B111">
        <f>B54</f>
        <v>0</v>
      </c>
    </row>
    <row r="112" spans="2:26" x14ac:dyDescent="0.3">
      <c r="B112">
        <f>B57</f>
        <v>0</v>
      </c>
    </row>
  </sheetData>
  <dataValidations count="21">
    <dataValidation type="list" allowBlank="1" showInputMessage="1" showErrorMessage="1" sqref="D77:D85" xr:uid="{00000000-0002-0000-0900-000000000000}">
      <formula1>INDIRECT(VLOOKUP(#REF!,KausiVlookup,2,TRUE))</formula1>
    </dataValidation>
    <dataValidation type="list" allowBlank="1" showInputMessage="1" showErrorMessage="1" sqref="D52" xr:uid="{00000000-0002-0000-0900-000001000000}">
      <formula1>INDIRECT(VLOOKUP(C2,KausiVlookup,2,TRUE))</formula1>
    </dataValidation>
    <dataValidation type="list" allowBlank="1" showInputMessage="1" showErrorMessage="1" sqref="D49" xr:uid="{00000000-0002-0000-0900-000002000000}">
      <formula1>INDIRECT(VLOOKUP(C2,KausiVlookup,2,TRUE))</formula1>
    </dataValidation>
    <dataValidation type="list" allowBlank="1" showInputMessage="1" showErrorMessage="1" sqref="D46" xr:uid="{00000000-0002-0000-0900-000003000000}">
      <formula1>INDIRECT(VLOOKUP(C2,KausiVlookup,2,TRUE))</formula1>
    </dataValidation>
    <dataValidation type="list" allowBlank="1" showInputMessage="1" showErrorMessage="1" sqref="D43" xr:uid="{00000000-0002-0000-0900-000004000000}">
      <formula1>INDIRECT(VLOOKUP(C2,KausiVlookup,2,TRUE))</formula1>
    </dataValidation>
    <dataValidation type="list" allowBlank="1" showInputMessage="1" showErrorMessage="1" sqref="D40" xr:uid="{00000000-0002-0000-0900-000005000000}">
      <formula1>INDIRECT(VLOOKUP(C2,KausiVlookup,2,TRUE))</formula1>
    </dataValidation>
    <dataValidation type="list" allowBlank="1" showInputMessage="1" showErrorMessage="1" sqref="D37" xr:uid="{00000000-0002-0000-0900-000006000000}">
      <formula1>INDIRECT(VLOOKUP(C2,KausiVlookup,2,TRUE))</formula1>
    </dataValidation>
    <dataValidation type="list" allowBlank="1" showInputMessage="1" showErrorMessage="1" sqref="D34" xr:uid="{00000000-0002-0000-0900-000007000000}">
      <formula1>INDIRECT(VLOOKUP(C2,KausiVlookup,2,TRUE))</formula1>
    </dataValidation>
    <dataValidation type="list" allowBlank="1" showInputMessage="1" showErrorMessage="1" sqref="D31" xr:uid="{00000000-0002-0000-0900-000008000000}">
      <formula1>INDIRECT(VLOOKUP(C2,KausiVlookup,2,TRUE))</formula1>
    </dataValidation>
    <dataValidation type="list" allowBlank="1" showInputMessage="1" showErrorMessage="1" sqref="D28" xr:uid="{00000000-0002-0000-0900-000009000000}">
      <formula1>INDIRECT(VLOOKUP(C2,KausiVlookup,2,TRUE))</formula1>
    </dataValidation>
    <dataValidation type="list" allowBlank="1" showInputMessage="1" showErrorMessage="1" sqref="D25" xr:uid="{00000000-0002-0000-0900-00000A000000}">
      <formula1>INDIRECT(VLOOKUP(C2,KausiVlookup,2,TRUE))</formula1>
    </dataValidation>
    <dataValidation type="list" allowBlank="1" showInputMessage="1" showErrorMessage="1" sqref="D22" xr:uid="{00000000-0002-0000-0900-00000B000000}">
      <formula1>INDIRECT(VLOOKUP(C2,KausiVlookup,2,TRUE))</formula1>
    </dataValidation>
    <dataValidation type="list" allowBlank="1" showInputMessage="1" showErrorMessage="1" sqref="D19" xr:uid="{00000000-0002-0000-0900-00000C000000}">
      <formula1>INDIRECT(VLOOKUP(C2,KausiVlookup,2,TRUE))</formula1>
    </dataValidation>
    <dataValidation type="list" allowBlank="1" showInputMessage="1" showErrorMessage="1" sqref="D16" xr:uid="{00000000-0002-0000-0900-00000D000000}">
      <formula1>INDIRECT(VLOOKUP(C2,KausiVlookup,2,TRUE))</formula1>
    </dataValidation>
    <dataValidation type="list" allowBlank="1" showInputMessage="1" showErrorMessage="1" sqref="D13" xr:uid="{00000000-0002-0000-0900-00000E000000}">
      <formula1>INDIRECT(VLOOKUP(C2,KausiVlookup,2,TRUE))</formula1>
    </dataValidation>
    <dataValidation type="list" allowBlank="1" showInputMessage="1" showErrorMessage="1" sqref="D10" xr:uid="{00000000-0002-0000-0900-00000F000000}">
      <formula1>INDIRECT(VLOOKUP(C2,KausiVlookup,2,TRUE))</formula1>
    </dataValidation>
    <dataValidation type="list" allowBlank="1" showInputMessage="1" showErrorMessage="1" sqref="D7" xr:uid="{00000000-0002-0000-0900-000010000000}">
      <formula1>INDIRECT(VLOOKUP(C2,KausiVlookup,2,TRUE))</formula1>
    </dataValidation>
    <dataValidation type="list" allowBlank="1" showInputMessage="1" showErrorMessage="1" sqref="C7 C10 C13 C16 C19 C22 C25 C28 C31 C34 C37 C40 C43 C46 C49 C52" xr:uid="{00000000-0002-0000-0900-000011000000}">
      <formula1>Koti</formula1>
    </dataValidation>
    <dataValidation type="list" allowBlank="1" showInputMessage="1" showErrorMessage="1" sqref="C6 C9 C12 C15 C18 C21 C24 C27 C30 C33 C36 C39 C42 C45 C48 C51" xr:uid="{00000000-0002-0000-0900-000012000000}">
      <formula1>Hallit</formula1>
    </dataValidation>
    <dataValidation type="list" allowBlank="1" showInputMessage="1" showErrorMessage="1" sqref="C2" xr:uid="{00000000-0002-0000-0900-000013000000}">
      <formula1>Kaudet</formula1>
    </dataValidation>
    <dataValidation type="list" allowBlank="1" showInputMessage="1" showErrorMessage="1" sqref="E2" xr:uid="{00000000-0002-0000-0900-000014000000}">
      <formula1>Sarjat</formula1>
    </dataValidation>
  </dataValidations>
  <pageMargins left="0.19685039370078741" right="0.19685039370078741" top="0.19685039370078741" bottom="0.19685039370078741" header="0" footer="0"/>
  <pageSetup paperSize="9" scale="61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F17" sqref="F17"/>
    </sheetView>
  </sheetViews>
  <sheetFormatPr defaultRowHeight="14.4" x14ac:dyDescent="0.3"/>
  <cols>
    <col min="1" max="1" width="2.88671875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BN54"/>
  <sheetViews>
    <sheetView topLeftCell="A3" zoomScale="70" zoomScaleNormal="70" workbookViewId="0">
      <selection activeCell="M30" sqref="M30"/>
    </sheetView>
  </sheetViews>
  <sheetFormatPr defaultColWidth="9.109375" defaultRowHeight="14.4" x14ac:dyDescent="0.3"/>
  <cols>
    <col min="1" max="1" width="2.88671875" customWidth="1"/>
    <col min="2" max="2" width="3.88671875" bestFit="1" customWidth="1"/>
    <col min="3" max="3" width="7.33203125" customWidth="1"/>
    <col min="4" max="4" width="23.44140625" customWidth="1"/>
    <col min="5" max="7" width="3.6640625" customWidth="1"/>
    <col min="8" max="62" width="3.5546875" customWidth="1"/>
  </cols>
  <sheetData>
    <row r="2" spans="3:18" x14ac:dyDescent="0.3">
      <c r="D2" s="205" t="s">
        <v>1914</v>
      </c>
      <c r="E2" s="205" t="s">
        <v>740</v>
      </c>
    </row>
    <row r="4" spans="3:18" ht="15" thickBot="1" x14ac:dyDescent="0.35">
      <c r="E4" s="206" t="s">
        <v>877</v>
      </c>
      <c r="F4" s="207" t="s">
        <v>533</v>
      </c>
      <c r="G4" s="207" t="s">
        <v>534</v>
      </c>
      <c r="H4" s="207" t="s">
        <v>610</v>
      </c>
      <c r="I4" s="207" t="s">
        <v>535</v>
      </c>
      <c r="J4" s="207" t="s">
        <v>1476</v>
      </c>
      <c r="K4" s="207" t="s">
        <v>540</v>
      </c>
      <c r="L4" s="207" t="s">
        <v>545</v>
      </c>
      <c r="M4" s="373" t="s">
        <v>557</v>
      </c>
      <c r="N4" s="207">
        <v>0</v>
      </c>
      <c r="O4" s="207" t="s">
        <v>637</v>
      </c>
      <c r="P4" s="208" t="s">
        <v>693</v>
      </c>
      <c r="Q4" s="208" t="s">
        <v>1477</v>
      </c>
      <c r="R4" s="208" t="s">
        <v>139</v>
      </c>
    </row>
    <row r="5" spans="3:18" x14ac:dyDescent="0.3">
      <c r="C5" s="601" t="str">
        <f t="shared" ref="C5:D22" si="0">C29</f>
        <v>#13</v>
      </c>
      <c r="D5" s="602" t="str">
        <f t="shared" si="0"/>
        <v>Joni Vainio</v>
      </c>
      <c r="E5" s="253">
        <v>20</v>
      </c>
      <c r="F5" s="229">
        <f>COUNTIF(E29:BP29,"M")</f>
        <v>1</v>
      </c>
      <c r="G5" s="229">
        <f>COUNTIF(E29:BR29,"S")</f>
        <v>0</v>
      </c>
      <c r="H5" s="229">
        <f t="shared" ref="H5:H19" si="1">F5+G5</f>
        <v>1</v>
      </c>
      <c r="I5" s="229">
        <f t="shared" ref="I5:I19" si="2">COUNTIF(E29:H29,"J")</f>
        <v>0</v>
      </c>
      <c r="J5" s="229">
        <f t="shared" ref="J5:J19" si="3">COUNTIF(E29:H29,"RM")</f>
        <v>0</v>
      </c>
      <c r="K5" s="229">
        <f t="shared" ref="K5:K19" si="4">COUNTIF(E29:H29,"YV")</f>
        <v>0</v>
      </c>
      <c r="L5" s="229" t="s">
        <v>107</v>
      </c>
      <c r="M5" s="254" t="s">
        <v>107</v>
      </c>
      <c r="N5" s="229" t="s">
        <v>107</v>
      </c>
      <c r="O5" s="229" t="s">
        <v>107</v>
      </c>
      <c r="P5" s="229" t="s">
        <v>107</v>
      </c>
      <c r="Q5" s="229" t="s">
        <v>107</v>
      </c>
      <c r="R5" s="229" t="s">
        <v>107</v>
      </c>
    </row>
    <row r="6" spans="3:18" x14ac:dyDescent="0.3">
      <c r="C6" s="601" t="str">
        <f t="shared" si="0"/>
        <v>#14</v>
      </c>
      <c r="D6" s="602" t="str">
        <f t="shared" si="0"/>
        <v>Ville Koivisto</v>
      </c>
      <c r="E6" s="168">
        <v>20</v>
      </c>
      <c r="F6" s="229">
        <f>COUNTIF(E30:BP30,"M")</f>
        <v>1</v>
      </c>
      <c r="G6" s="229">
        <f t="shared" ref="G6:G19" si="5">COUNTIF(E30:BR30,"S")</f>
        <v>1</v>
      </c>
      <c r="H6" s="119">
        <f t="shared" si="1"/>
        <v>2</v>
      </c>
      <c r="I6" s="119">
        <f t="shared" si="2"/>
        <v>0</v>
      </c>
      <c r="J6" s="119">
        <f t="shared" si="3"/>
        <v>0</v>
      </c>
      <c r="K6" s="119">
        <f t="shared" si="4"/>
        <v>0</v>
      </c>
      <c r="L6" s="227" t="s">
        <v>107</v>
      </c>
      <c r="M6" s="227" t="s">
        <v>107</v>
      </c>
      <c r="N6" s="227" t="s">
        <v>107</v>
      </c>
      <c r="O6" s="227" t="s">
        <v>107</v>
      </c>
      <c r="P6" s="227" t="s">
        <v>107</v>
      </c>
      <c r="Q6" s="227" t="s">
        <v>107</v>
      </c>
      <c r="R6" s="227" t="s">
        <v>107</v>
      </c>
    </row>
    <row r="7" spans="3:18" x14ac:dyDescent="0.3">
      <c r="C7" s="601" t="str">
        <f t="shared" si="0"/>
        <v>#82</v>
      </c>
      <c r="D7" s="602" t="str">
        <f t="shared" si="0"/>
        <v>Matias Mäkilä</v>
      </c>
      <c r="E7" s="228">
        <v>20</v>
      </c>
      <c r="F7" s="229">
        <f t="shared" ref="F7:F19" si="6">COUNTIF(E31:BP31,"M")</f>
        <v>0</v>
      </c>
      <c r="G7" s="229">
        <f t="shared" si="5"/>
        <v>0</v>
      </c>
      <c r="H7" s="229">
        <f t="shared" si="1"/>
        <v>0</v>
      </c>
      <c r="I7" s="229">
        <f t="shared" si="2"/>
        <v>0</v>
      </c>
      <c r="J7" s="229">
        <f t="shared" si="3"/>
        <v>0</v>
      </c>
      <c r="K7" s="229">
        <f t="shared" si="4"/>
        <v>0</v>
      </c>
      <c r="L7" s="230" t="s">
        <v>107</v>
      </c>
      <c r="M7" s="254" t="s">
        <v>107</v>
      </c>
      <c r="N7" s="230" t="s">
        <v>107</v>
      </c>
      <c r="O7" s="230" t="s">
        <v>107</v>
      </c>
      <c r="P7" s="230" t="s">
        <v>107</v>
      </c>
      <c r="Q7" s="230" t="s">
        <v>107</v>
      </c>
      <c r="R7" s="230" t="s">
        <v>107</v>
      </c>
    </row>
    <row r="8" spans="3:18" x14ac:dyDescent="0.3">
      <c r="C8" s="601" t="str">
        <f t="shared" si="0"/>
        <v>#17</v>
      </c>
      <c r="D8" s="602" t="str">
        <f t="shared" si="0"/>
        <v>Mauri Kurri</v>
      </c>
      <c r="E8" s="168">
        <v>20</v>
      </c>
      <c r="F8" s="229">
        <f t="shared" si="6"/>
        <v>1</v>
      </c>
      <c r="G8" s="229">
        <f t="shared" si="5"/>
        <v>1</v>
      </c>
      <c r="H8" s="119">
        <f t="shared" si="1"/>
        <v>2</v>
      </c>
      <c r="I8" s="119">
        <f t="shared" si="2"/>
        <v>0</v>
      </c>
      <c r="J8" s="119">
        <f t="shared" si="3"/>
        <v>0</v>
      </c>
      <c r="K8" s="119">
        <f t="shared" si="4"/>
        <v>0</v>
      </c>
      <c r="L8" s="227" t="s">
        <v>107</v>
      </c>
      <c r="M8" s="227" t="s">
        <v>107</v>
      </c>
      <c r="N8" s="227" t="s">
        <v>107</v>
      </c>
      <c r="O8" s="119" t="s">
        <v>107</v>
      </c>
      <c r="P8" s="227" t="s">
        <v>107</v>
      </c>
      <c r="Q8" s="119" t="s">
        <v>107</v>
      </c>
      <c r="R8" s="119" t="s">
        <v>107</v>
      </c>
    </row>
    <row r="9" spans="3:18" x14ac:dyDescent="0.3">
      <c r="C9" s="601" t="str">
        <f t="shared" si="0"/>
        <v>#66</v>
      </c>
      <c r="D9" s="602" t="str">
        <f t="shared" si="0"/>
        <v>Miika Oja-Nisula</v>
      </c>
      <c r="E9" s="228">
        <v>20</v>
      </c>
      <c r="F9" s="229">
        <f t="shared" si="6"/>
        <v>0</v>
      </c>
      <c r="G9" s="229">
        <f t="shared" si="5"/>
        <v>0</v>
      </c>
      <c r="H9" s="229">
        <f t="shared" si="1"/>
        <v>0</v>
      </c>
      <c r="I9" s="229">
        <f t="shared" si="2"/>
        <v>0</v>
      </c>
      <c r="J9" s="229">
        <f t="shared" si="3"/>
        <v>0</v>
      </c>
      <c r="K9" s="229">
        <f t="shared" si="4"/>
        <v>0</v>
      </c>
      <c r="L9" s="229" t="s">
        <v>107</v>
      </c>
      <c r="M9" s="230" t="s">
        <v>107</v>
      </c>
      <c r="N9" s="230" t="s">
        <v>107</v>
      </c>
      <c r="O9" s="230" t="s">
        <v>107</v>
      </c>
      <c r="P9" s="230" t="s">
        <v>107</v>
      </c>
      <c r="Q9" s="229" t="s">
        <v>107</v>
      </c>
      <c r="R9" s="229" t="s">
        <v>107</v>
      </c>
    </row>
    <row r="10" spans="3:18" x14ac:dyDescent="0.3">
      <c r="C10" s="601" t="str">
        <f t="shared" si="0"/>
        <v>#19</v>
      </c>
      <c r="D10" s="602" t="str">
        <f t="shared" si="0"/>
        <v>Mika Aaltonen</v>
      </c>
      <c r="E10" s="168">
        <v>20</v>
      </c>
      <c r="F10" s="229">
        <f t="shared" si="6"/>
        <v>0</v>
      </c>
      <c r="G10" s="229">
        <f t="shared" si="5"/>
        <v>0</v>
      </c>
      <c r="H10" s="119">
        <f t="shared" si="1"/>
        <v>0</v>
      </c>
      <c r="I10" s="119">
        <f t="shared" si="2"/>
        <v>0</v>
      </c>
      <c r="J10" s="119">
        <f t="shared" si="3"/>
        <v>0</v>
      </c>
      <c r="K10" s="119">
        <f t="shared" si="4"/>
        <v>0</v>
      </c>
      <c r="L10" s="227" t="s">
        <v>107</v>
      </c>
      <c r="M10" s="227" t="s">
        <v>107</v>
      </c>
      <c r="N10" s="227" t="s">
        <v>107</v>
      </c>
      <c r="O10" s="227" t="s">
        <v>107</v>
      </c>
      <c r="P10" s="227" t="s">
        <v>107</v>
      </c>
      <c r="Q10" s="227" t="s">
        <v>107</v>
      </c>
      <c r="R10" s="227" t="s">
        <v>107</v>
      </c>
    </row>
    <row r="11" spans="3:18" x14ac:dyDescent="0.3">
      <c r="C11" s="601" t="str">
        <f t="shared" si="0"/>
        <v>#20</v>
      </c>
      <c r="D11" s="602" t="str">
        <f t="shared" si="0"/>
        <v>Jarno Peltola</v>
      </c>
      <c r="E11" s="228">
        <v>20</v>
      </c>
      <c r="F11" s="229">
        <f t="shared" si="6"/>
        <v>2</v>
      </c>
      <c r="G11" s="229">
        <f t="shared" si="5"/>
        <v>1</v>
      </c>
      <c r="H11" s="229">
        <f t="shared" si="1"/>
        <v>3</v>
      </c>
      <c r="I11" s="229">
        <f t="shared" si="2"/>
        <v>0</v>
      </c>
      <c r="J11" s="229">
        <f t="shared" si="3"/>
        <v>0</v>
      </c>
      <c r="K11" s="229">
        <f t="shared" si="4"/>
        <v>0</v>
      </c>
      <c r="L11" s="229" t="s">
        <v>107</v>
      </c>
      <c r="M11" s="230" t="s">
        <v>107</v>
      </c>
      <c r="N11" s="230" t="s">
        <v>107</v>
      </c>
      <c r="O11" s="230" t="s">
        <v>107</v>
      </c>
      <c r="P11" s="230" t="s">
        <v>107</v>
      </c>
      <c r="Q11" s="229" t="s">
        <v>107</v>
      </c>
      <c r="R11" s="229" t="s">
        <v>107</v>
      </c>
    </row>
    <row r="12" spans="3:18" x14ac:dyDescent="0.3">
      <c r="C12" s="601">
        <f t="shared" si="0"/>
        <v>0</v>
      </c>
      <c r="D12" s="602">
        <f t="shared" si="0"/>
        <v>0</v>
      </c>
      <c r="E12" s="168">
        <v>20</v>
      </c>
      <c r="F12" s="229">
        <f t="shared" si="6"/>
        <v>0</v>
      </c>
      <c r="G12" s="229">
        <f t="shared" si="5"/>
        <v>0</v>
      </c>
      <c r="H12" s="119">
        <f t="shared" si="1"/>
        <v>0</v>
      </c>
      <c r="I12" s="119">
        <f t="shared" si="2"/>
        <v>0</v>
      </c>
      <c r="J12" s="119">
        <f t="shared" si="3"/>
        <v>0</v>
      </c>
      <c r="K12" s="119">
        <f t="shared" si="4"/>
        <v>0</v>
      </c>
      <c r="L12" s="227" t="s">
        <v>107</v>
      </c>
      <c r="M12" s="227" t="s">
        <v>107</v>
      </c>
      <c r="N12" s="227" t="s">
        <v>107</v>
      </c>
      <c r="O12" s="227" t="s">
        <v>107</v>
      </c>
      <c r="P12" s="227" t="s">
        <v>107</v>
      </c>
      <c r="Q12" s="227" t="s">
        <v>107</v>
      </c>
      <c r="R12" s="227" t="s">
        <v>107</v>
      </c>
    </row>
    <row r="13" spans="3:18" x14ac:dyDescent="0.3">
      <c r="C13" s="601" t="str">
        <f t="shared" si="0"/>
        <v>#50</v>
      </c>
      <c r="D13" s="602" t="str">
        <f t="shared" si="0"/>
        <v>Tuukka Mettälä</v>
      </c>
      <c r="E13" s="228">
        <v>20</v>
      </c>
      <c r="F13" s="229">
        <f t="shared" si="6"/>
        <v>0</v>
      </c>
      <c r="G13" s="229">
        <f t="shared" si="5"/>
        <v>0</v>
      </c>
      <c r="H13" s="229">
        <f t="shared" si="1"/>
        <v>0</v>
      </c>
      <c r="I13" s="229">
        <f t="shared" si="2"/>
        <v>0</v>
      </c>
      <c r="J13" s="229">
        <f t="shared" si="3"/>
        <v>0</v>
      </c>
      <c r="K13" s="229">
        <f t="shared" si="4"/>
        <v>0</v>
      </c>
      <c r="L13" s="230" t="s">
        <v>107</v>
      </c>
      <c r="M13" s="230" t="s">
        <v>107</v>
      </c>
      <c r="N13" s="230" t="s">
        <v>107</v>
      </c>
      <c r="O13" s="230" t="s">
        <v>107</v>
      </c>
      <c r="P13" s="230" t="s">
        <v>107</v>
      </c>
      <c r="Q13" s="230" t="s">
        <v>107</v>
      </c>
      <c r="R13" s="230" t="s">
        <v>107</v>
      </c>
    </row>
    <row r="14" spans="3:18" x14ac:dyDescent="0.3">
      <c r="C14" s="601" t="str">
        <f t="shared" si="0"/>
        <v>#55</v>
      </c>
      <c r="D14" s="602" t="str">
        <f t="shared" si="0"/>
        <v>Henrik Lehtonen</v>
      </c>
      <c r="E14" s="168">
        <v>20</v>
      </c>
      <c r="F14" s="229">
        <f t="shared" si="6"/>
        <v>0</v>
      </c>
      <c r="G14" s="229">
        <f t="shared" si="5"/>
        <v>0</v>
      </c>
      <c r="H14" s="119">
        <f t="shared" si="1"/>
        <v>0</v>
      </c>
      <c r="I14" s="119">
        <f t="shared" si="2"/>
        <v>0</v>
      </c>
      <c r="J14" s="119">
        <f t="shared" si="3"/>
        <v>0</v>
      </c>
      <c r="K14" s="119">
        <f t="shared" si="4"/>
        <v>0</v>
      </c>
      <c r="L14" s="227" t="s">
        <v>107</v>
      </c>
      <c r="M14" s="227" t="s">
        <v>107</v>
      </c>
      <c r="N14" s="227" t="s">
        <v>107</v>
      </c>
      <c r="O14" s="227" t="s">
        <v>107</v>
      </c>
      <c r="P14" s="227" t="s">
        <v>107</v>
      </c>
      <c r="Q14" s="119" t="s">
        <v>107</v>
      </c>
      <c r="R14" s="119" t="s">
        <v>107</v>
      </c>
    </row>
    <row r="15" spans="3:18" x14ac:dyDescent="0.3">
      <c r="C15" s="601" t="str">
        <f t="shared" si="0"/>
        <v>#23</v>
      </c>
      <c r="D15" s="602" t="str">
        <f t="shared" si="0"/>
        <v>Sami Pöllänen</v>
      </c>
      <c r="E15" s="228">
        <v>20</v>
      </c>
      <c r="F15" s="229">
        <f t="shared" si="6"/>
        <v>0</v>
      </c>
      <c r="G15" s="229">
        <f t="shared" si="5"/>
        <v>2</v>
      </c>
      <c r="H15" s="229">
        <f t="shared" si="1"/>
        <v>2</v>
      </c>
      <c r="I15" s="229">
        <f t="shared" si="2"/>
        <v>0</v>
      </c>
      <c r="J15" s="229">
        <f t="shared" si="3"/>
        <v>0</v>
      </c>
      <c r="K15" s="229">
        <f t="shared" si="4"/>
        <v>0</v>
      </c>
      <c r="L15" s="230" t="s">
        <v>107</v>
      </c>
      <c r="M15" s="230" t="s">
        <v>107</v>
      </c>
      <c r="N15" s="230" t="s">
        <v>107</v>
      </c>
      <c r="O15" s="230" t="s">
        <v>107</v>
      </c>
      <c r="P15" s="230" t="s">
        <v>107</v>
      </c>
      <c r="Q15" s="230" t="s">
        <v>107</v>
      </c>
      <c r="R15" s="230" t="s">
        <v>107</v>
      </c>
    </row>
    <row r="16" spans="3:18" x14ac:dyDescent="0.3">
      <c r="C16" s="601" t="str">
        <f t="shared" si="0"/>
        <v>#9</v>
      </c>
      <c r="D16" s="602" t="str">
        <f t="shared" si="0"/>
        <v>Atte Nieminen</v>
      </c>
      <c r="E16" s="168">
        <v>20</v>
      </c>
      <c r="F16" s="229">
        <f t="shared" si="6"/>
        <v>0</v>
      </c>
      <c r="G16" s="229">
        <f t="shared" si="5"/>
        <v>0</v>
      </c>
      <c r="H16" s="119">
        <f t="shared" si="1"/>
        <v>0</v>
      </c>
      <c r="I16" s="119">
        <f t="shared" si="2"/>
        <v>0</v>
      </c>
      <c r="J16" s="119">
        <f t="shared" si="3"/>
        <v>0</v>
      </c>
      <c r="K16" s="119">
        <f t="shared" si="4"/>
        <v>0</v>
      </c>
      <c r="L16" s="227" t="s">
        <v>107</v>
      </c>
      <c r="M16" s="227" t="s">
        <v>107</v>
      </c>
      <c r="N16" s="227" t="s">
        <v>107</v>
      </c>
      <c r="O16" s="227" t="s">
        <v>107</v>
      </c>
      <c r="P16" s="227" t="s">
        <v>107</v>
      </c>
      <c r="Q16" s="227" t="s">
        <v>107</v>
      </c>
      <c r="R16" s="227" t="s">
        <v>107</v>
      </c>
    </row>
    <row r="17" spans="2:66" x14ac:dyDescent="0.3">
      <c r="C17" s="601" t="str">
        <f t="shared" si="0"/>
        <v>#96</v>
      </c>
      <c r="D17" s="602" t="str">
        <f t="shared" si="0"/>
        <v>Kaj Engblom</v>
      </c>
      <c r="E17" s="228">
        <v>21</v>
      </c>
      <c r="F17" s="229">
        <f t="shared" si="6"/>
        <v>2</v>
      </c>
      <c r="G17" s="229">
        <f t="shared" si="5"/>
        <v>1</v>
      </c>
      <c r="H17" s="229">
        <f t="shared" si="1"/>
        <v>3</v>
      </c>
      <c r="I17" s="229">
        <f t="shared" si="2"/>
        <v>0</v>
      </c>
      <c r="J17" s="229">
        <f t="shared" si="3"/>
        <v>0</v>
      </c>
      <c r="K17" s="229">
        <f t="shared" si="4"/>
        <v>0</v>
      </c>
      <c r="L17" s="230" t="s">
        <v>107</v>
      </c>
      <c r="M17" s="230" t="s">
        <v>107</v>
      </c>
      <c r="N17" s="230" t="s">
        <v>107</v>
      </c>
      <c r="O17" s="230" t="s">
        <v>107</v>
      </c>
      <c r="P17" s="230" t="s">
        <v>107</v>
      </c>
      <c r="Q17" s="229" t="s">
        <v>107</v>
      </c>
      <c r="R17" s="229" t="s">
        <v>107</v>
      </c>
    </row>
    <row r="18" spans="2:66" x14ac:dyDescent="0.3">
      <c r="C18" s="601" t="str">
        <f t="shared" si="0"/>
        <v>#44</v>
      </c>
      <c r="D18" s="602" t="str">
        <f t="shared" si="0"/>
        <v>Jesse Hyökinpuro</v>
      </c>
      <c r="E18" s="168">
        <v>20</v>
      </c>
      <c r="F18" s="229">
        <f t="shared" si="6"/>
        <v>1</v>
      </c>
      <c r="G18" s="229">
        <f t="shared" si="5"/>
        <v>1</v>
      </c>
      <c r="H18" s="119">
        <f t="shared" si="1"/>
        <v>2</v>
      </c>
      <c r="I18" s="119">
        <f t="shared" si="2"/>
        <v>0</v>
      </c>
      <c r="J18" s="119">
        <f t="shared" si="3"/>
        <v>0</v>
      </c>
      <c r="K18" s="119">
        <f t="shared" si="4"/>
        <v>0</v>
      </c>
      <c r="L18" s="227" t="s">
        <v>107</v>
      </c>
      <c r="M18" s="227" t="s">
        <v>107</v>
      </c>
      <c r="N18" s="227" t="s">
        <v>107</v>
      </c>
      <c r="O18" s="227" t="s">
        <v>107</v>
      </c>
      <c r="P18" s="227" t="s">
        <v>107</v>
      </c>
      <c r="Q18" s="227" t="s">
        <v>107</v>
      </c>
      <c r="R18" s="227" t="s">
        <v>107</v>
      </c>
    </row>
    <row r="19" spans="2:66" x14ac:dyDescent="0.3">
      <c r="C19" s="601">
        <f t="shared" si="0"/>
        <v>0</v>
      </c>
      <c r="D19" s="602" t="str">
        <f t="shared" si="0"/>
        <v>Lassi Liukkonen</v>
      </c>
      <c r="E19" s="228">
        <v>20</v>
      </c>
      <c r="F19" s="229">
        <f t="shared" si="6"/>
        <v>0</v>
      </c>
      <c r="G19" s="229">
        <f t="shared" si="5"/>
        <v>0</v>
      </c>
      <c r="H19" s="229">
        <f t="shared" si="1"/>
        <v>0</v>
      </c>
      <c r="I19" s="229">
        <f t="shared" si="2"/>
        <v>0</v>
      </c>
      <c r="J19" s="229">
        <f t="shared" si="3"/>
        <v>0</v>
      </c>
      <c r="K19" s="229">
        <f t="shared" si="4"/>
        <v>0</v>
      </c>
      <c r="L19" s="230" t="s">
        <v>107</v>
      </c>
      <c r="M19" s="230" t="s">
        <v>107</v>
      </c>
      <c r="N19" s="230" t="s">
        <v>107</v>
      </c>
      <c r="O19" s="230" t="s">
        <v>107</v>
      </c>
      <c r="P19" s="230" t="s">
        <v>107</v>
      </c>
      <c r="Q19" s="230" t="s">
        <v>107</v>
      </c>
      <c r="R19" s="230" t="s">
        <v>107</v>
      </c>
    </row>
    <row r="20" spans="2:66" x14ac:dyDescent="0.3">
      <c r="C20" s="601">
        <f t="shared" si="0"/>
        <v>0</v>
      </c>
      <c r="D20" s="602">
        <f t="shared" si="0"/>
        <v>0</v>
      </c>
      <c r="E20" s="168"/>
      <c r="F20" s="119"/>
      <c r="G20" s="119"/>
      <c r="H20" s="119"/>
      <c r="I20" s="119"/>
      <c r="J20" s="227"/>
      <c r="K20" s="227"/>
      <c r="L20" s="227"/>
      <c r="M20" s="227"/>
      <c r="N20" s="227"/>
      <c r="O20" s="227"/>
      <c r="P20" s="227"/>
      <c r="Q20" s="227"/>
      <c r="R20" s="227"/>
    </row>
    <row r="21" spans="2:66" x14ac:dyDescent="0.3">
      <c r="C21" s="601">
        <f t="shared" si="0"/>
        <v>0</v>
      </c>
      <c r="D21" s="602">
        <f t="shared" si="0"/>
        <v>0</v>
      </c>
      <c r="E21" s="228"/>
      <c r="F21" s="229"/>
      <c r="G21" s="229"/>
      <c r="H21" s="229"/>
      <c r="I21" s="229"/>
      <c r="J21" s="230"/>
      <c r="K21" s="230"/>
      <c r="L21" s="230"/>
      <c r="M21" s="230"/>
      <c r="N21" s="230"/>
      <c r="O21" s="230"/>
      <c r="P21" s="230"/>
      <c r="Q21" s="230"/>
      <c r="R21" s="230"/>
    </row>
    <row r="22" spans="2:66" x14ac:dyDescent="0.3">
      <c r="C22" s="601">
        <f t="shared" si="0"/>
        <v>0</v>
      </c>
      <c r="D22" s="602">
        <f t="shared" si="0"/>
        <v>0</v>
      </c>
      <c r="E22" s="168"/>
      <c r="F22" s="119"/>
      <c r="G22" s="119"/>
      <c r="H22" s="119"/>
      <c r="I22" s="119"/>
      <c r="J22" s="227"/>
      <c r="K22" s="227"/>
      <c r="L22" s="227"/>
      <c r="M22" s="227"/>
      <c r="N22" s="119"/>
      <c r="O22" s="227"/>
      <c r="P22" s="227"/>
      <c r="Q22" s="227"/>
      <c r="R22" s="227"/>
    </row>
    <row r="23" spans="2:66" x14ac:dyDescent="0.3">
      <c r="C23" s="601">
        <f t="shared" ref="C23:D23" si="7">C47</f>
        <v>0</v>
      </c>
      <c r="D23" s="602">
        <f t="shared" si="7"/>
        <v>0</v>
      </c>
      <c r="E23" s="228"/>
      <c r="F23" s="229"/>
      <c r="G23" s="229"/>
      <c r="H23" s="229"/>
      <c r="I23" s="229"/>
      <c r="J23" s="230"/>
      <c r="K23" s="230"/>
      <c r="L23" s="230"/>
      <c r="M23" s="230"/>
      <c r="N23" s="230"/>
      <c r="O23" s="230"/>
      <c r="P23" s="230"/>
      <c r="Q23" s="230"/>
      <c r="R23" s="230"/>
    </row>
    <row r="24" spans="2:66" x14ac:dyDescent="0.3">
      <c r="C24" s="601">
        <f t="shared" ref="C24:D24" si="8">C48</f>
        <v>0</v>
      </c>
      <c r="D24" s="603">
        <f t="shared" si="8"/>
        <v>0</v>
      </c>
      <c r="E24" s="168"/>
      <c r="F24" s="119"/>
      <c r="G24" s="119"/>
      <c r="H24" s="119"/>
      <c r="I24" s="119"/>
      <c r="J24" s="227"/>
      <c r="K24" s="227"/>
      <c r="L24" s="227"/>
      <c r="M24" s="227"/>
      <c r="N24" s="119"/>
      <c r="O24" s="227"/>
      <c r="P24" s="227"/>
      <c r="Q24" s="227"/>
      <c r="R24" s="227"/>
    </row>
    <row r="25" spans="2:66" x14ac:dyDescent="0.3">
      <c r="G25" s="8"/>
      <c r="H25" s="8"/>
      <c r="I25" s="8"/>
      <c r="J25" s="265"/>
      <c r="K25" s="265"/>
      <c r="L25" s="265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spans="2:66" x14ac:dyDescent="0.3">
      <c r="G26" s="8"/>
      <c r="H26" s="8"/>
      <c r="I26" s="8"/>
      <c r="J26" s="265"/>
      <c r="K26" s="265"/>
      <c r="L26" s="265"/>
      <c r="M26" s="8"/>
      <c r="N26" s="8"/>
      <c r="O26" s="8"/>
      <c r="P26" s="8"/>
      <c r="Q26" s="8"/>
      <c r="R26" s="8"/>
      <c r="S26" s="8"/>
      <c r="T26" s="8"/>
      <c r="U26" s="8"/>
      <c r="V26" s="8"/>
    </row>
    <row r="27" spans="2:66" x14ac:dyDescent="0.3">
      <c r="G27" s="8"/>
      <c r="H27" s="8"/>
      <c r="I27" s="8"/>
      <c r="J27" s="265"/>
      <c r="K27" s="265"/>
      <c r="L27" s="265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2:66" s="205" customFormat="1" x14ac:dyDescent="0.3">
      <c r="E28" s="372" t="s">
        <v>995</v>
      </c>
      <c r="I28" s="372" t="s">
        <v>997</v>
      </c>
      <c r="M28" s="370" t="s">
        <v>999</v>
      </c>
      <c r="N28" s="265"/>
      <c r="O28" s="265"/>
      <c r="P28" s="265"/>
      <c r="Q28" s="265"/>
      <c r="R28" s="370" t="s">
        <v>1001</v>
      </c>
      <c r="S28" s="265"/>
      <c r="T28" s="265"/>
      <c r="U28" s="265"/>
      <c r="V28" s="370" t="s">
        <v>1003</v>
      </c>
      <c r="W28" s="265"/>
      <c r="X28" s="370" t="s">
        <v>1004</v>
      </c>
      <c r="Y28" s="265"/>
      <c r="Z28" s="265"/>
      <c r="AA28" s="265"/>
      <c r="AB28" s="265"/>
      <c r="AC28" s="372" t="s">
        <v>1006</v>
      </c>
      <c r="AE28" s="372" t="s">
        <v>1008</v>
      </c>
      <c r="AG28" s="372" t="s">
        <v>1010</v>
      </c>
      <c r="AJ28" s="372" t="s">
        <v>1012</v>
      </c>
      <c r="AO28" s="372" t="s">
        <v>1465</v>
      </c>
      <c r="AQ28" s="372" t="s">
        <v>1466</v>
      </c>
      <c r="AS28" s="372" t="s">
        <v>1467</v>
      </c>
      <c r="AT28" s="372" t="s">
        <v>1468</v>
      </c>
      <c r="AY28" s="372" t="s">
        <v>1469</v>
      </c>
      <c r="BA28" s="372" t="s">
        <v>1470</v>
      </c>
      <c r="BC28" s="372" t="s">
        <v>1472</v>
      </c>
      <c r="BF28" s="372" t="s">
        <v>1473</v>
      </c>
      <c r="BK28" s="372" t="s">
        <v>1474</v>
      </c>
      <c r="BN28" s="372" t="s">
        <v>1475</v>
      </c>
    </row>
    <row r="29" spans="2:66" x14ac:dyDescent="0.3">
      <c r="B29" s="8">
        <v>1</v>
      </c>
      <c r="C29" s="30" t="s">
        <v>1460</v>
      </c>
      <c r="D29" t="s">
        <v>1459</v>
      </c>
      <c r="E29" s="300" t="s">
        <v>533</v>
      </c>
      <c r="I29" s="300"/>
      <c r="M29" s="371"/>
      <c r="N29" s="8"/>
      <c r="O29" s="8"/>
      <c r="P29" s="8"/>
      <c r="Q29" s="8"/>
      <c r="R29" s="371"/>
      <c r="S29" s="8"/>
      <c r="T29" s="8"/>
      <c r="U29" s="8"/>
      <c r="V29" s="371"/>
      <c r="W29" s="8"/>
      <c r="X29" s="371"/>
      <c r="Y29" s="8"/>
      <c r="Z29" s="8"/>
      <c r="AA29" s="8"/>
      <c r="AB29" s="8"/>
      <c r="AC29" s="300"/>
      <c r="AE29" s="300"/>
      <c r="AG29" s="300"/>
      <c r="AJ29" s="300"/>
      <c r="AO29" s="300"/>
      <c r="AQ29" s="300"/>
      <c r="AS29" s="300"/>
      <c r="AT29" s="300"/>
      <c r="AY29" s="300"/>
      <c r="BA29" s="300"/>
      <c r="BC29" s="300"/>
      <c r="BF29" s="300"/>
      <c r="BK29" s="300"/>
      <c r="BN29" s="300"/>
    </row>
    <row r="30" spans="2:66" x14ac:dyDescent="0.3">
      <c r="B30" s="8">
        <v>2</v>
      </c>
      <c r="C30" s="30" t="s">
        <v>672</v>
      </c>
      <c r="D30" t="s">
        <v>1075</v>
      </c>
      <c r="E30" s="300" t="s">
        <v>533</v>
      </c>
      <c r="F30" t="s">
        <v>534</v>
      </c>
      <c r="I30" s="300"/>
      <c r="M30" s="371"/>
      <c r="N30" s="8"/>
      <c r="O30" s="8"/>
      <c r="P30" s="8"/>
      <c r="Q30" s="8"/>
      <c r="R30" s="371"/>
      <c r="S30" s="8"/>
      <c r="T30" s="8"/>
      <c r="U30" s="8"/>
      <c r="V30" s="371"/>
      <c r="W30" s="8"/>
      <c r="X30" s="371"/>
      <c r="Y30" s="8"/>
      <c r="Z30" s="8"/>
      <c r="AA30" s="8"/>
      <c r="AB30" s="8"/>
      <c r="AC30" s="300"/>
      <c r="AE30" s="300"/>
      <c r="AG30" s="300"/>
      <c r="AJ30" s="300"/>
      <c r="AO30" s="300"/>
      <c r="AQ30" s="300"/>
      <c r="AS30" s="300"/>
      <c r="AT30" s="300"/>
      <c r="AY30" s="300"/>
      <c r="BA30" s="300"/>
      <c r="BC30" s="300"/>
      <c r="BF30" s="300"/>
      <c r="BK30" s="300"/>
      <c r="BN30" s="300"/>
    </row>
    <row r="31" spans="2:66" x14ac:dyDescent="0.3">
      <c r="B31" s="8">
        <v>3</v>
      </c>
      <c r="C31" s="30" t="s">
        <v>529</v>
      </c>
      <c r="D31" t="s">
        <v>47</v>
      </c>
      <c r="E31" s="300"/>
      <c r="I31" s="300"/>
      <c r="M31" s="371"/>
      <c r="N31" s="8"/>
      <c r="O31" s="8"/>
      <c r="P31" s="8"/>
      <c r="Q31" s="8"/>
      <c r="R31" s="371"/>
      <c r="S31" s="8"/>
      <c r="T31" s="8"/>
      <c r="U31" s="8"/>
      <c r="V31" s="371"/>
      <c r="W31" s="8"/>
      <c r="X31" s="371"/>
      <c r="Y31" s="8"/>
      <c r="Z31" s="8"/>
      <c r="AA31" s="8"/>
      <c r="AB31" s="8"/>
      <c r="AC31" s="300"/>
      <c r="AE31" s="300"/>
      <c r="AG31" s="300"/>
      <c r="AJ31" s="300"/>
      <c r="AO31" s="300"/>
      <c r="AQ31" s="300"/>
      <c r="AS31" s="300"/>
      <c r="AT31" s="300"/>
      <c r="AY31" s="300"/>
      <c r="BA31" s="300"/>
      <c r="BC31" s="300"/>
      <c r="BF31" s="300"/>
      <c r="BK31" s="300"/>
      <c r="BN31" s="300"/>
    </row>
    <row r="32" spans="2:66" x14ac:dyDescent="0.3">
      <c r="B32" s="8">
        <v>4</v>
      </c>
      <c r="C32" s="30" t="s">
        <v>524</v>
      </c>
      <c r="D32" t="s">
        <v>53</v>
      </c>
      <c r="E32" s="300" t="s">
        <v>533</v>
      </c>
      <c r="I32" s="300" t="s">
        <v>534</v>
      </c>
      <c r="M32" s="371"/>
      <c r="N32" s="8"/>
      <c r="O32" s="8"/>
      <c r="P32" s="8"/>
      <c r="Q32" s="8"/>
      <c r="R32" s="371"/>
      <c r="S32" s="8"/>
      <c r="T32" s="8"/>
      <c r="U32" s="8"/>
      <c r="V32" s="371"/>
      <c r="W32" s="8"/>
      <c r="X32" s="371"/>
      <c r="Y32" s="8"/>
      <c r="Z32" s="8"/>
      <c r="AA32" s="8"/>
      <c r="AB32" s="8"/>
      <c r="AC32" s="300"/>
      <c r="AE32" s="300"/>
      <c r="AG32" s="300"/>
      <c r="AJ32" s="300"/>
      <c r="AO32" s="300"/>
      <c r="AQ32" s="300"/>
      <c r="AS32" s="300"/>
      <c r="AT32" s="300"/>
      <c r="AY32" s="300"/>
      <c r="BA32" s="300"/>
      <c r="BC32" s="300"/>
      <c r="BF32" s="300"/>
      <c r="BK32" s="300"/>
      <c r="BN32" s="300"/>
    </row>
    <row r="33" spans="2:66" x14ac:dyDescent="0.3">
      <c r="B33" s="8">
        <v>5</v>
      </c>
      <c r="C33" s="30" t="s">
        <v>1461</v>
      </c>
      <c r="D33" t="s">
        <v>1379</v>
      </c>
      <c r="E33" s="300"/>
      <c r="I33" s="300"/>
      <c r="M33" s="371"/>
      <c r="N33" s="8"/>
      <c r="O33" s="8"/>
      <c r="P33" s="8"/>
      <c r="Q33" s="8"/>
      <c r="R33" s="371"/>
      <c r="S33" s="8"/>
      <c r="T33" s="8"/>
      <c r="U33" s="8"/>
      <c r="V33" s="371"/>
      <c r="W33" s="8"/>
      <c r="X33" s="371"/>
      <c r="Y33" s="8"/>
      <c r="Z33" s="8"/>
      <c r="AA33" s="8"/>
      <c r="AB33" s="8"/>
      <c r="AC33" s="300"/>
      <c r="AE33" s="300"/>
      <c r="AG33" s="300"/>
      <c r="AJ33" s="300"/>
      <c r="AO33" s="300"/>
      <c r="AQ33" s="300"/>
      <c r="AS33" s="300"/>
      <c r="AT33" s="300"/>
      <c r="AY33" s="300"/>
      <c r="BA33" s="300"/>
      <c r="BC33" s="300"/>
      <c r="BF33" s="300"/>
      <c r="BK33" s="300"/>
      <c r="BN33" s="300"/>
    </row>
    <row r="34" spans="2:66" x14ac:dyDescent="0.3">
      <c r="B34" s="8">
        <v>6</v>
      </c>
      <c r="C34" s="30" t="s">
        <v>525</v>
      </c>
      <c r="D34" t="s">
        <v>50</v>
      </c>
      <c r="E34" s="300"/>
      <c r="I34" s="300"/>
      <c r="M34" s="371"/>
      <c r="N34" s="8"/>
      <c r="O34" s="8"/>
      <c r="P34" s="8"/>
      <c r="Q34" s="8"/>
      <c r="R34" s="371"/>
      <c r="S34" s="8"/>
      <c r="T34" s="8"/>
      <c r="U34" s="8"/>
      <c r="V34" s="371"/>
      <c r="W34" s="8"/>
      <c r="X34" s="371"/>
      <c r="Y34" s="8"/>
      <c r="Z34" s="8"/>
      <c r="AA34" s="8"/>
      <c r="AB34" s="8"/>
      <c r="AC34" s="300"/>
      <c r="AE34" s="300"/>
      <c r="AG34" s="300"/>
      <c r="AJ34" s="300"/>
      <c r="AO34" s="300"/>
      <c r="AQ34" s="300"/>
      <c r="AS34" s="300"/>
      <c r="AT34" s="300"/>
      <c r="AY34" s="300"/>
      <c r="BA34" s="300"/>
      <c r="BC34" s="300"/>
      <c r="BF34" s="300"/>
      <c r="BK34" s="300"/>
      <c r="BN34" s="300"/>
    </row>
    <row r="35" spans="2:66" x14ac:dyDescent="0.3">
      <c r="B35" s="8">
        <v>7</v>
      </c>
      <c r="C35" s="30" t="s">
        <v>1462</v>
      </c>
      <c r="D35" t="s">
        <v>1124</v>
      </c>
      <c r="E35" s="300" t="s">
        <v>534</v>
      </c>
      <c r="I35" s="300" t="s">
        <v>533</v>
      </c>
      <c r="J35" t="s">
        <v>533</v>
      </c>
      <c r="M35" s="371"/>
      <c r="N35" s="8"/>
      <c r="O35" s="8"/>
      <c r="P35" s="8"/>
      <c r="Q35" s="8"/>
      <c r="R35" s="371"/>
      <c r="S35" s="8"/>
      <c r="T35" s="8"/>
      <c r="U35" s="8"/>
      <c r="V35" s="371"/>
      <c r="W35" s="8"/>
      <c r="X35" s="371"/>
      <c r="Y35" s="8"/>
      <c r="Z35" s="8"/>
      <c r="AA35" s="8"/>
      <c r="AB35" s="8"/>
      <c r="AC35" s="300"/>
      <c r="AE35" s="300"/>
      <c r="AG35" s="300"/>
      <c r="AJ35" s="300"/>
      <c r="AO35" s="300"/>
      <c r="AQ35" s="300"/>
      <c r="AS35" s="300"/>
      <c r="AT35" s="300"/>
      <c r="AY35" s="300"/>
      <c r="BA35" s="300"/>
      <c r="BC35" s="300"/>
      <c r="BF35" s="300"/>
      <c r="BK35" s="300"/>
      <c r="BN35" s="300"/>
    </row>
    <row r="36" spans="2:66" x14ac:dyDescent="0.3">
      <c r="B36" s="8">
        <v>8</v>
      </c>
      <c r="C36" s="30"/>
      <c r="E36" s="300"/>
      <c r="I36" s="300"/>
      <c r="M36" s="371"/>
      <c r="N36" s="8"/>
      <c r="O36" s="8"/>
      <c r="P36" s="8"/>
      <c r="Q36" s="8"/>
      <c r="R36" s="371"/>
      <c r="S36" s="8"/>
      <c r="T36" s="8"/>
      <c r="U36" s="8"/>
      <c r="V36" s="371"/>
      <c r="W36" s="8"/>
      <c r="X36" s="371"/>
      <c r="Y36" s="8"/>
      <c r="Z36" s="8"/>
      <c r="AA36" s="8"/>
      <c r="AB36" s="8"/>
      <c r="AC36" s="300"/>
      <c r="AE36" s="300"/>
      <c r="AG36" s="300"/>
      <c r="AJ36" s="300"/>
      <c r="AO36" s="300"/>
      <c r="AQ36" s="300"/>
      <c r="AS36" s="300"/>
      <c r="AT36" s="300"/>
      <c r="AY36" s="300"/>
      <c r="BA36" s="300"/>
      <c r="BC36" s="300"/>
      <c r="BF36" s="300"/>
      <c r="BK36" s="300"/>
      <c r="BN36" s="300"/>
    </row>
    <row r="37" spans="2:66" x14ac:dyDescent="0.3">
      <c r="B37" s="8">
        <v>9</v>
      </c>
      <c r="C37" s="30" t="s">
        <v>679</v>
      </c>
      <c r="D37" t="s">
        <v>680</v>
      </c>
      <c r="E37" s="300"/>
      <c r="I37" s="300"/>
      <c r="M37" s="371"/>
      <c r="N37" s="8"/>
      <c r="O37" s="8"/>
      <c r="P37" s="8"/>
      <c r="Q37" s="8"/>
      <c r="R37" s="371"/>
      <c r="S37" s="8"/>
      <c r="T37" s="8"/>
      <c r="U37" s="8"/>
      <c r="V37" s="371"/>
      <c r="W37" s="8"/>
      <c r="X37" s="371"/>
      <c r="Y37" s="8"/>
      <c r="Z37" s="8"/>
      <c r="AA37" s="8"/>
      <c r="AB37" s="8"/>
      <c r="AC37" s="300"/>
      <c r="AE37" s="300"/>
      <c r="AG37" s="300"/>
      <c r="AJ37" s="300"/>
      <c r="AO37" s="300"/>
      <c r="AQ37" s="300"/>
      <c r="AS37" s="300"/>
      <c r="AT37" s="300"/>
      <c r="AY37" s="300"/>
      <c r="BA37" s="300"/>
      <c r="BC37" s="300"/>
      <c r="BF37" s="300"/>
      <c r="BK37" s="300"/>
      <c r="BN37" s="300"/>
    </row>
    <row r="38" spans="2:66" x14ac:dyDescent="0.3">
      <c r="B38" s="8">
        <v>10</v>
      </c>
      <c r="C38" s="30" t="s">
        <v>943</v>
      </c>
      <c r="D38" t="s">
        <v>942</v>
      </c>
      <c r="E38" s="300"/>
      <c r="I38" s="300"/>
      <c r="M38" s="371"/>
      <c r="N38" s="8"/>
      <c r="O38" s="8"/>
      <c r="P38" s="8"/>
      <c r="Q38" s="8"/>
      <c r="R38" s="371"/>
      <c r="S38" s="8"/>
      <c r="T38" s="8"/>
      <c r="U38" s="8"/>
      <c r="V38" s="371"/>
      <c r="W38" s="8"/>
      <c r="X38" s="371"/>
      <c r="Y38" s="8"/>
      <c r="Z38" s="8"/>
      <c r="AA38" s="8"/>
      <c r="AB38" s="8"/>
      <c r="AC38" s="300"/>
      <c r="AE38" s="300"/>
      <c r="AG38" s="300"/>
      <c r="AJ38" s="300"/>
      <c r="AO38" s="300"/>
      <c r="AQ38" s="300"/>
      <c r="AS38" s="300"/>
      <c r="AT38" s="300"/>
      <c r="AY38" s="300"/>
      <c r="BA38" s="300"/>
      <c r="BC38" s="300"/>
      <c r="BF38" s="300"/>
      <c r="BK38" s="300"/>
      <c r="BN38" s="300"/>
    </row>
    <row r="39" spans="2:66" x14ac:dyDescent="0.3">
      <c r="B39" s="8">
        <v>11</v>
      </c>
      <c r="C39" s="30" t="s">
        <v>674</v>
      </c>
      <c r="D39" t="s">
        <v>1076</v>
      </c>
      <c r="E39" s="300" t="s">
        <v>534</v>
      </c>
      <c r="F39" t="s">
        <v>534</v>
      </c>
      <c r="I39" s="300"/>
      <c r="M39" s="371"/>
      <c r="N39" s="8"/>
      <c r="O39" s="8"/>
      <c r="P39" s="8"/>
      <c r="Q39" s="8"/>
      <c r="R39" s="371"/>
      <c r="S39" s="8"/>
      <c r="T39" s="8"/>
      <c r="U39" s="8"/>
      <c r="V39" s="371"/>
      <c r="W39" s="8"/>
      <c r="X39" s="371"/>
      <c r="Y39" s="8"/>
      <c r="Z39" s="8"/>
      <c r="AA39" s="8"/>
      <c r="AB39" s="8"/>
      <c r="AC39" s="300"/>
      <c r="AE39" s="300"/>
      <c r="AG39" s="300"/>
      <c r="AJ39" s="300"/>
      <c r="AO39" s="300"/>
      <c r="AQ39" s="300"/>
      <c r="AS39" s="300"/>
      <c r="AT39" s="300"/>
      <c r="AY39" s="300"/>
      <c r="BA39" s="300"/>
      <c r="BC39" s="300"/>
      <c r="BF39" s="300"/>
      <c r="BK39" s="300"/>
      <c r="BN39" s="300"/>
    </row>
    <row r="40" spans="2:66" x14ac:dyDescent="0.3">
      <c r="B40" s="8">
        <v>12</v>
      </c>
      <c r="C40" s="30" t="s">
        <v>522</v>
      </c>
      <c r="D40" t="s">
        <v>1077</v>
      </c>
      <c r="E40" s="300"/>
      <c r="I40" s="300"/>
      <c r="M40" s="371"/>
      <c r="N40" s="8"/>
      <c r="O40" s="8"/>
      <c r="P40" s="8"/>
      <c r="Q40" s="8"/>
      <c r="R40" s="371"/>
      <c r="S40" s="8"/>
      <c r="T40" s="8"/>
      <c r="U40" s="8"/>
      <c r="V40" s="371"/>
      <c r="W40" s="8"/>
      <c r="X40" s="371"/>
      <c r="Y40" s="8"/>
      <c r="Z40" s="8"/>
      <c r="AA40" s="8"/>
      <c r="AB40" s="8"/>
      <c r="AC40" s="300"/>
      <c r="AE40" s="300"/>
      <c r="AG40" s="300"/>
      <c r="AJ40" s="300"/>
      <c r="AO40" s="300"/>
      <c r="AQ40" s="300"/>
      <c r="AS40" s="300"/>
      <c r="AT40" s="300"/>
      <c r="AY40" s="300"/>
      <c r="BA40" s="300"/>
      <c r="BC40" s="300"/>
      <c r="BF40" s="300"/>
      <c r="BK40" s="300"/>
      <c r="BN40" s="300"/>
    </row>
    <row r="41" spans="2:66" x14ac:dyDescent="0.3">
      <c r="B41" s="8">
        <v>13</v>
      </c>
      <c r="C41" s="30" t="s">
        <v>1464</v>
      </c>
      <c r="D41" t="s">
        <v>185</v>
      </c>
      <c r="E41" s="300" t="s">
        <v>533</v>
      </c>
      <c r="F41" t="s">
        <v>533</v>
      </c>
      <c r="I41" s="300" t="s">
        <v>534</v>
      </c>
      <c r="M41" s="371"/>
      <c r="N41" s="8"/>
      <c r="O41" s="8"/>
      <c r="P41" s="265"/>
      <c r="Q41" s="265"/>
      <c r="R41" s="370"/>
      <c r="S41" s="8"/>
      <c r="T41" s="8"/>
      <c r="U41" s="8"/>
      <c r="V41" s="371"/>
      <c r="W41" s="8"/>
      <c r="X41" s="371"/>
      <c r="Y41" s="8"/>
      <c r="Z41" s="8"/>
      <c r="AA41" s="8"/>
      <c r="AB41" s="8"/>
      <c r="AC41" s="300"/>
      <c r="AE41" s="300"/>
      <c r="AG41" s="300"/>
      <c r="AJ41" s="300"/>
      <c r="AO41" s="300"/>
      <c r="AQ41" s="300"/>
      <c r="AS41" s="300"/>
      <c r="AT41" s="300"/>
      <c r="AY41" s="300"/>
      <c r="BA41" s="300"/>
      <c r="BC41" s="300"/>
      <c r="BF41" s="300"/>
      <c r="BK41" s="300"/>
      <c r="BN41" s="300"/>
    </row>
    <row r="42" spans="2:66" x14ac:dyDescent="0.3">
      <c r="B42" s="8">
        <v>14</v>
      </c>
      <c r="C42" s="30" t="s">
        <v>526</v>
      </c>
      <c r="D42" t="s">
        <v>1943</v>
      </c>
      <c r="E42" s="300" t="s">
        <v>534</v>
      </c>
      <c r="F42" t="s">
        <v>533</v>
      </c>
      <c r="I42" s="300"/>
      <c r="M42" s="300"/>
      <c r="R42" s="300"/>
      <c r="V42" s="300"/>
      <c r="X42" s="300"/>
      <c r="AC42" s="300"/>
      <c r="AE42" s="300"/>
      <c r="AG42" s="300"/>
      <c r="AJ42" s="300"/>
      <c r="AO42" s="300"/>
      <c r="AQ42" s="300"/>
      <c r="AS42" s="300"/>
      <c r="AT42" s="300"/>
      <c r="AY42" s="300"/>
      <c r="BA42" s="300"/>
      <c r="BC42" s="300"/>
      <c r="BF42" s="300"/>
      <c r="BK42" s="300"/>
      <c r="BN42" s="300"/>
    </row>
    <row r="43" spans="2:66" x14ac:dyDescent="0.3">
      <c r="B43" s="8">
        <v>15</v>
      </c>
      <c r="C43" s="30"/>
      <c r="D43" t="s">
        <v>1660</v>
      </c>
      <c r="E43" s="300"/>
      <c r="I43" s="300"/>
      <c r="M43" s="300"/>
      <c r="R43" s="300"/>
      <c r="V43" s="300"/>
      <c r="X43" s="300"/>
      <c r="AC43" s="300"/>
      <c r="AE43" s="300"/>
      <c r="AG43" s="300"/>
      <c r="AJ43" s="300"/>
      <c r="AO43" s="300"/>
      <c r="AQ43" s="300"/>
      <c r="AS43" s="300"/>
      <c r="AT43" s="300"/>
      <c r="AY43" s="300"/>
      <c r="BA43" s="300"/>
      <c r="BC43" s="300"/>
      <c r="BF43" s="300"/>
      <c r="BK43" s="300"/>
      <c r="BN43" s="300"/>
    </row>
    <row r="44" spans="2:66" x14ac:dyDescent="0.3">
      <c r="B44" s="8">
        <v>16</v>
      </c>
    </row>
    <row r="45" spans="2:66" x14ac:dyDescent="0.3">
      <c r="B45" s="8">
        <v>17</v>
      </c>
    </row>
    <row r="46" spans="2:66" x14ac:dyDescent="0.3">
      <c r="B46" s="8">
        <v>18</v>
      </c>
    </row>
    <row r="47" spans="2:66" x14ac:dyDescent="0.3">
      <c r="B47" s="8">
        <v>19</v>
      </c>
    </row>
    <row r="48" spans="2:66" x14ac:dyDescent="0.3">
      <c r="B48" s="8">
        <v>20</v>
      </c>
    </row>
    <row r="54" spans="7:10" x14ac:dyDescent="0.3">
      <c r="G54">
        <f>COUNTIF(M29:BN42,"M")</f>
        <v>0</v>
      </c>
      <c r="J54">
        <f>COUNTIF(E29:L42,"RM")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2:CP52"/>
  <sheetViews>
    <sheetView zoomScale="70" zoomScaleNormal="70" workbookViewId="0">
      <selection activeCell="D20" sqref="D20"/>
    </sheetView>
  </sheetViews>
  <sheetFormatPr defaultColWidth="9.109375" defaultRowHeight="13.8" x14ac:dyDescent="0.3"/>
  <cols>
    <col min="1" max="1" width="2.88671875" style="862" customWidth="1"/>
    <col min="2" max="2" width="7.33203125" style="862" customWidth="1"/>
    <col min="3" max="3" width="23.44140625" style="862" customWidth="1"/>
    <col min="4" max="6" width="3.6640625" style="862" customWidth="1"/>
    <col min="7" max="11" width="3.5546875" style="862" customWidth="1"/>
    <col min="12" max="12" width="2.88671875" style="862" customWidth="1"/>
    <col min="13" max="88" width="3.5546875" style="862" customWidth="1"/>
    <col min="89" max="94" width="2.88671875" style="862" customWidth="1"/>
    <col min="95" max="16384" width="9.109375" style="862"/>
  </cols>
  <sheetData>
    <row r="2" spans="2:18" x14ac:dyDescent="0.3">
      <c r="C2" s="863" t="s">
        <v>1664</v>
      </c>
      <c r="D2" s="863" t="s">
        <v>740</v>
      </c>
    </row>
    <row r="3" spans="2:18" x14ac:dyDescent="0.3">
      <c r="E3" s="864">
        <f>SUM(E5:E22)</f>
        <v>67</v>
      </c>
      <c r="F3" s="864">
        <f t="shared" ref="F3:M3" si="0">SUM(F5:F22)</f>
        <v>62</v>
      </c>
      <c r="G3" s="864">
        <f t="shared" si="0"/>
        <v>129</v>
      </c>
      <c r="H3" s="864">
        <f t="shared" si="0"/>
        <v>18</v>
      </c>
      <c r="I3" s="864">
        <f t="shared" si="0"/>
        <v>6</v>
      </c>
      <c r="J3" s="864">
        <f t="shared" si="0"/>
        <v>6</v>
      </c>
      <c r="K3" s="864">
        <f t="shared" si="0"/>
        <v>0</v>
      </c>
      <c r="L3" s="864">
        <f t="shared" si="0"/>
        <v>0</v>
      </c>
      <c r="M3" s="864">
        <f t="shared" si="0"/>
        <v>0</v>
      </c>
      <c r="N3" s="864">
        <f>SUM(N5:N22)</f>
        <v>0</v>
      </c>
      <c r="O3" s="864">
        <f>SUM(O5:O22)</f>
        <v>1</v>
      </c>
      <c r="P3" s="864">
        <f>SUM(P5:P22)</f>
        <v>0</v>
      </c>
      <c r="Q3" s="864">
        <f>SUM(Q5:Q22)</f>
        <v>2</v>
      </c>
      <c r="R3" s="864">
        <f>SUM(R5:R22)</f>
        <v>2</v>
      </c>
    </row>
    <row r="4" spans="2:18" ht="14.4" thickBot="1" x14ac:dyDescent="0.35">
      <c r="D4" s="865" t="s">
        <v>877</v>
      </c>
      <c r="E4" s="866" t="s">
        <v>533</v>
      </c>
      <c r="F4" s="866" t="s">
        <v>534</v>
      </c>
      <c r="G4" s="866" t="s">
        <v>610</v>
      </c>
      <c r="H4" s="866" t="s">
        <v>535</v>
      </c>
      <c r="I4" s="866" t="s">
        <v>1476</v>
      </c>
      <c r="J4" s="866" t="s">
        <v>540</v>
      </c>
      <c r="K4" s="866" t="s">
        <v>545</v>
      </c>
      <c r="L4" s="867" t="s">
        <v>556</v>
      </c>
      <c r="M4" s="866" t="s">
        <v>611</v>
      </c>
      <c r="N4" s="866">
        <v>0</v>
      </c>
      <c r="O4" s="866" t="s">
        <v>637</v>
      </c>
      <c r="P4" s="868" t="s">
        <v>693</v>
      </c>
      <c r="Q4" s="868" t="s">
        <v>1477</v>
      </c>
      <c r="R4" s="868" t="s">
        <v>139</v>
      </c>
    </row>
    <row r="5" spans="2:18" x14ac:dyDescent="0.3">
      <c r="B5" s="869" t="str">
        <f>B27</f>
        <v>#13</v>
      </c>
      <c r="C5" s="870" t="str">
        <f>C27</f>
        <v>Joni Vainio</v>
      </c>
      <c r="D5" s="871">
        <v>17</v>
      </c>
      <c r="E5" s="872">
        <f t="shared" ref="E5:E20" si="1">COUNTIF(D27:EB27,"M")</f>
        <v>7</v>
      </c>
      <c r="F5" s="872">
        <f t="shared" ref="F5:F20" si="2">COUNTIF(D27:EB27,"S")</f>
        <v>2</v>
      </c>
      <c r="G5" s="872">
        <f t="shared" ref="G5:G20" si="3">E5+F5</f>
        <v>9</v>
      </c>
      <c r="H5" s="872">
        <f t="shared" ref="H5:H20" si="4">COUNTIF(D27:EB27,"J")</f>
        <v>1</v>
      </c>
      <c r="I5" s="872" t="s">
        <v>107</v>
      </c>
      <c r="J5" s="872">
        <f>COUNTIF(F27:ED27,"YV")</f>
        <v>1</v>
      </c>
      <c r="K5" s="872" t="s">
        <v>107</v>
      </c>
      <c r="L5" s="873" t="s">
        <v>107</v>
      </c>
      <c r="M5" s="872"/>
      <c r="N5" s="872" t="s">
        <v>107</v>
      </c>
      <c r="O5" s="872" t="s">
        <v>107</v>
      </c>
      <c r="P5" s="872" t="s">
        <v>107</v>
      </c>
      <c r="Q5" s="872" t="s">
        <v>107</v>
      </c>
      <c r="R5" s="872" t="s">
        <v>107</v>
      </c>
    </row>
    <row r="6" spans="2:18" x14ac:dyDescent="0.3">
      <c r="B6" s="869" t="str">
        <f t="shared" ref="B6:C21" si="5">B28</f>
        <v>#14</v>
      </c>
      <c r="C6" s="870" t="str">
        <f t="shared" si="5"/>
        <v>Ville Koivisto</v>
      </c>
      <c r="D6" s="874">
        <v>17</v>
      </c>
      <c r="E6" s="875">
        <f t="shared" si="1"/>
        <v>7</v>
      </c>
      <c r="F6" s="875">
        <f t="shared" si="2"/>
        <v>9</v>
      </c>
      <c r="G6" s="875">
        <f t="shared" si="3"/>
        <v>16</v>
      </c>
      <c r="H6" s="875">
        <f t="shared" si="4"/>
        <v>3</v>
      </c>
      <c r="I6" s="875" t="s">
        <v>107</v>
      </c>
      <c r="J6" s="875" t="s">
        <v>107</v>
      </c>
      <c r="K6" s="876" t="s">
        <v>107</v>
      </c>
      <c r="L6" s="877" t="s">
        <v>107</v>
      </c>
      <c r="M6" s="876"/>
      <c r="N6" s="876" t="s">
        <v>107</v>
      </c>
      <c r="O6" s="875">
        <f>COUNTIF($D28:EB28,"SR")</f>
        <v>1</v>
      </c>
      <c r="P6" s="876" t="s">
        <v>107</v>
      </c>
      <c r="Q6" s="875">
        <f>COUNTIF(D28:EB28,"HT")</f>
        <v>1</v>
      </c>
      <c r="R6" s="876">
        <f>COUNTIF(D28:EB28,"TM")</f>
        <v>1</v>
      </c>
    </row>
    <row r="7" spans="2:18" x14ac:dyDescent="0.3">
      <c r="B7" s="869" t="str">
        <f t="shared" si="5"/>
        <v>#82</v>
      </c>
      <c r="C7" s="870" t="str">
        <f t="shared" si="5"/>
        <v>Matias Mäkilä</v>
      </c>
      <c r="D7" s="878">
        <v>17</v>
      </c>
      <c r="E7" s="872">
        <f t="shared" si="1"/>
        <v>5</v>
      </c>
      <c r="F7" s="872">
        <f t="shared" si="2"/>
        <v>3</v>
      </c>
      <c r="G7" s="872">
        <f t="shared" si="3"/>
        <v>8</v>
      </c>
      <c r="H7" s="872">
        <f t="shared" si="4"/>
        <v>2</v>
      </c>
      <c r="I7" s="872">
        <f t="shared" ref="I7:I19" si="6">COUNTIF(D29:EB29,"RM")</f>
        <v>1</v>
      </c>
      <c r="J7" s="872">
        <f>COUNTIF($D$29:$EB$29,"YV")</f>
        <v>1</v>
      </c>
      <c r="K7" s="879" t="s">
        <v>107</v>
      </c>
      <c r="L7" s="873" t="s">
        <v>107</v>
      </c>
      <c r="M7" s="879"/>
      <c r="N7" s="879" t="s">
        <v>107</v>
      </c>
      <c r="O7" s="879" t="s">
        <v>107</v>
      </c>
      <c r="P7" s="879" t="s">
        <v>107</v>
      </c>
      <c r="Q7" s="872" t="s">
        <v>107</v>
      </c>
      <c r="R7" s="872" t="s">
        <v>107</v>
      </c>
    </row>
    <row r="8" spans="2:18" x14ac:dyDescent="0.3">
      <c r="B8" s="869" t="str">
        <f t="shared" si="5"/>
        <v>#17</v>
      </c>
      <c r="C8" s="870" t="str">
        <f t="shared" si="5"/>
        <v>Mauri Kurri</v>
      </c>
      <c r="D8" s="874">
        <v>17</v>
      </c>
      <c r="E8" s="875">
        <f t="shared" si="1"/>
        <v>3</v>
      </c>
      <c r="F8" s="875">
        <f t="shared" si="2"/>
        <v>4</v>
      </c>
      <c r="G8" s="875">
        <f t="shared" si="3"/>
        <v>7</v>
      </c>
      <c r="H8" s="875">
        <f t="shared" si="4"/>
        <v>1</v>
      </c>
      <c r="I8" s="875" t="s">
        <v>107</v>
      </c>
      <c r="J8" s="875">
        <f t="shared" ref="J8:J19" si="7">COUNTIF(D30:EB30,"YV")</f>
        <v>1</v>
      </c>
      <c r="K8" s="876" t="s">
        <v>107</v>
      </c>
      <c r="L8" s="876" t="s">
        <v>107</v>
      </c>
      <c r="M8" s="876"/>
      <c r="N8" s="876" t="s">
        <v>107</v>
      </c>
      <c r="O8" s="875" t="s">
        <v>107</v>
      </c>
      <c r="P8" s="876" t="s">
        <v>107</v>
      </c>
      <c r="Q8" s="875" t="s">
        <v>107</v>
      </c>
      <c r="R8" s="875" t="s">
        <v>107</v>
      </c>
    </row>
    <row r="9" spans="2:18" x14ac:dyDescent="0.3">
      <c r="B9" s="869" t="str">
        <f t="shared" si="5"/>
        <v>#66</v>
      </c>
      <c r="C9" s="870" t="str">
        <f t="shared" si="5"/>
        <v>Miika Oja-Nisula</v>
      </c>
      <c r="D9" s="878">
        <v>17</v>
      </c>
      <c r="E9" s="872">
        <f t="shared" si="1"/>
        <v>0</v>
      </c>
      <c r="F9" s="872">
        <f t="shared" si="2"/>
        <v>1</v>
      </c>
      <c r="G9" s="872">
        <f t="shared" si="3"/>
        <v>1</v>
      </c>
      <c r="H9" s="872">
        <f t="shared" si="4"/>
        <v>0</v>
      </c>
      <c r="I9" s="872" t="s">
        <v>107</v>
      </c>
      <c r="J9" s="872" t="s">
        <v>107</v>
      </c>
      <c r="K9" s="872" t="s">
        <v>107</v>
      </c>
      <c r="L9" s="879" t="s">
        <v>107</v>
      </c>
      <c r="M9" s="879"/>
      <c r="N9" s="879" t="s">
        <v>107</v>
      </c>
      <c r="O9" s="879" t="s">
        <v>107</v>
      </c>
      <c r="P9" s="879" t="s">
        <v>107</v>
      </c>
      <c r="Q9" s="872" t="s">
        <v>107</v>
      </c>
      <c r="R9" s="872" t="s">
        <v>107</v>
      </c>
    </row>
    <row r="10" spans="2:18" x14ac:dyDescent="0.3">
      <c r="B10" s="869" t="str">
        <f t="shared" si="5"/>
        <v>#19</v>
      </c>
      <c r="C10" s="870" t="str">
        <f t="shared" si="5"/>
        <v>Mika Aaltonen</v>
      </c>
      <c r="D10" s="874">
        <v>17</v>
      </c>
      <c r="E10" s="875">
        <f t="shared" si="1"/>
        <v>12</v>
      </c>
      <c r="F10" s="875">
        <f t="shared" si="2"/>
        <v>8</v>
      </c>
      <c r="G10" s="875">
        <f t="shared" si="3"/>
        <v>20</v>
      </c>
      <c r="H10" s="875">
        <f t="shared" si="4"/>
        <v>1</v>
      </c>
      <c r="I10" s="875">
        <f t="shared" si="6"/>
        <v>2</v>
      </c>
      <c r="J10" s="875" t="s">
        <v>107</v>
      </c>
      <c r="K10" s="876" t="s">
        <v>107</v>
      </c>
      <c r="L10" s="876" t="s">
        <v>107</v>
      </c>
      <c r="M10" s="876"/>
      <c r="N10" s="876" t="s">
        <v>107</v>
      </c>
      <c r="O10" s="876" t="s">
        <v>107</v>
      </c>
      <c r="P10" s="876" t="s">
        <v>107</v>
      </c>
      <c r="Q10" s="875">
        <f>COUNTIF(D32:EB32,"HT")</f>
        <v>1</v>
      </c>
      <c r="R10" s="876" t="s">
        <v>107</v>
      </c>
    </row>
    <row r="11" spans="2:18" x14ac:dyDescent="0.3">
      <c r="B11" s="869" t="str">
        <f t="shared" si="5"/>
        <v>#20</v>
      </c>
      <c r="C11" s="870" t="str">
        <f t="shared" si="5"/>
        <v>Jarno Peltola</v>
      </c>
      <c r="D11" s="878">
        <v>17</v>
      </c>
      <c r="E11" s="872">
        <f t="shared" si="1"/>
        <v>4</v>
      </c>
      <c r="F11" s="872">
        <f t="shared" si="2"/>
        <v>4</v>
      </c>
      <c r="G11" s="872">
        <f t="shared" si="3"/>
        <v>8</v>
      </c>
      <c r="H11" s="872">
        <f t="shared" si="4"/>
        <v>4</v>
      </c>
      <c r="I11" s="872" t="s">
        <v>107</v>
      </c>
      <c r="J11" s="872" t="s">
        <v>107</v>
      </c>
      <c r="K11" s="872" t="s">
        <v>107</v>
      </c>
      <c r="L11" s="879" t="s">
        <v>107</v>
      </c>
      <c r="M11" s="879"/>
      <c r="N11" s="879" t="s">
        <v>107</v>
      </c>
      <c r="O11" s="879" t="s">
        <v>107</v>
      </c>
      <c r="P11" s="879" t="s">
        <v>107</v>
      </c>
      <c r="Q11" s="872" t="s">
        <v>107</v>
      </c>
      <c r="R11" s="872" t="s">
        <v>107</v>
      </c>
    </row>
    <row r="12" spans="2:18" x14ac:dyDescent="0.3">
      <c r="B12" s="869" t="str">
        <f t="shared" si="5"/>
        <v>#25</v>
      </c>
      <c r="C12" s="870" t="str">
        <f t="shared" si="5"/>
        <v>Ville Mettälä</v>
      </c>
      <c r="D12" s="874">
        <v>17</v>
      </c>
      <c r="E12" s="875">
        <f t="shared" si="1"/>
        <v>0</v>
      </c>
      <c r="F12" s="875">
        <f t="shared" si="2"/>
        <v>0</v>
      </c>
      <c r="G12" s="875">
        <f t="shared" si="3"/>
        <v>0</v>
      </c>
      <c r="H12" s="875">
        <f t="shared" si="4"/>
        <v>0</v>
      </c>
      <c r="I12" s="875" t="s">
        <v>107</v>
      </c>
      <c r="J12" s="875" t="s">
        <v>107</v>
      </c>
      <c r="K12" s="876" t="s">
        <v>107</v>
      </c>
      <c r="L12" s="876" t="s">
        <v>107</v>
      </c>
      <c r="M12" s="876"/>
      <c r="N12" s="876" t="s">
        <v>107</v>
      </c>
      <c r="O12" s="876" t="s">
        <v>107</v>
      </c>
      <c r="P12" s="876" t="s">
        <v>107</v>
      </c>
      <c r="Q12" s="876" t="s">
        <v>107</v>
      </c>
      <c r="R12" s="876" t="s">
        <v>107</v>
      </c>
    </row>
    <row r="13" spans="2:18" x14ac:dyDescent="0.3">
      <c r="B13" s="869" t="str">
        <f t="shared" si="5"/>
        <v>#50</v>
      </c>
      <c r="C13" s="870" t="str">
        <f t="shared" si="5"/>
        <v>Tuukka Mettälä</v>
      </c>
      <c r="D13" s="878">
        <v>17</v>
      </c>
      <c r="E13" s="872">
        <f t="shared" si="1"/>
        <v>0</v>
      </c>
      <c r="F13" s="872">
        <f t="shared" si="2"/>
        <v>8</v>
      </c>
      <c r="G13" s="872">
        <f t="shared" si="3"/>
        <v>8</v>
      </c>
      <c r="H13" s="872">
        <f t="shared" si="4"/>
        <v>1</v>
      </c>
      <c r="I13" s="872" t="s">
        <v>107</v>
      </c>
      <c r="J13" s="872" t="s">
        <v>107</v>
      </c>
      <c r="K13" s="879" t="s">
        <v>107</v>
      </c>
      <c r="L13" s="879" t="s">
        <v>107</v>
      </c>
      <c r="M13" s="879"/>
      <c r="N13" s="879" t="s">
        <v>107</v>
      </c>
      <c r="O13" s="879" t="s">
        <v>107</v>
      </c>
      <c r="P13" s="879" t="s">
        <v>107</v>
      </c>
      <c r="Q13" s="879" t="s">
        <v>107</v>
      </c>
      <c r="R13" s="879" t="s">
        <v>107</v>
      </c>
    </row>
    <row r="14" spans="2:18" x14ac:dyDescent="0.3">
      <c r="B14" s="869" t="str">
        <f t="shared" si="5"/>
        <v>#55</v>
      </c>
      <c r="C14" s="870" t="str">
        <f t="shared" si="5"/>
        <v>Henrik Lehtonen</v>
      </c>
      <c r="D14" s="874">
        <v>17</v>
      </c>
      <c r="E14" s="875">
        <f t="shared" si="1"/>
        <v>2</v>
      </c>
      <c r="F14" s="875">
        <f t="shared" si="2"/>
        <v>2</v>
      </c>
      <c r="G14" s="875">
        <f t="shared" si="3"/>
        <v>4</v>
      </c>
      <c r="H14" s="875">
        <f t="shared" si="4"/>
        <v>1</v>
      </c>
      <c r="I14" s="875" t="s">
        <v>107</v>
      </c>
      <c r="J14" s="875" t="s">
        <v>107</v>
      </c>
      <c r="K14" s="876" t="s">
        <v>107</v>
      </c>
      <c r="L14" s="876" t="s">
        <v>107</v>
      </c>
      <c r="M14" s="876"/>
      <c r="N14" s="876" t="s">
        <v>107</v>
      </c>
      <c r="O14" s="876" t="s">
        <v>107</v>
      </c>
      <c r="P14" s="876" t="s">
        <v>107</v>
      </c>
      <c r="Q14" s="875" t="s">
        <v>107</v>
      </c>
      <c r="R14" s="875" t="s">
        <v>107</v>
      </c>
    </row>
    <row r="15" spans="2:18" x14ac:dyDescent="0.3">
      <c r="B15" s="869" t="str">
        <f t="shared" si="5"/>
        <v>#23</v>
      </c>
      <c r="C15" s="870" t="str">
        <f t="shared" si="5"/>
        <v>Sami Pöllänen</v>
      </c>
      <c r="D15" s="878">
        <v>17</v>
      </c>
      <c r="E15" s="872">
        <f t="shared" si="1"/>
        <v>7</v>
      </c>
      <c r="F15" s="872">
        <f t="shared" si="2"/>
        <v>5</v>
      </c>
      <c r="G15" s="872">
        <f t="shared" si="3"/>
        <v>12</v>
      </c>
      <c r="H15" s="872">
        <f t="shared" si="4"/>
        <v>1</v>
      </c>
      <c r="I15" s="872">
        <f t="shared" si="6"/>
        <v>1</v>
      </c>
      <c r="J15" s="872">
        <f>COUNTIF(E37:EC37,"YV")</f>
        <v>1</v>
      </c>
      <c r="K15" s="879" t="s">
        <v>107</v>
      </c>
      <c r="L15" s="879" t="s">
        <v>107</v>
      </c>
      <c r="M15" s="879"/>
      <c r="N15" s="879" t="s">
        <v>107</v>
      </c>
      <c r="O15" s="879" t="s">
        <v>107</v>
      </c>
      <c r="P15" s="879" t="s">
        <v>107</v>
      </c>
      <c r="Q15" s="879" t="s">
        <v>107</v>
      </c>
      <c r="R15" s="879" t="s">
        <v>107</v>
      </c>
    </row>
    <row r="16" spans="2:18" x14ac:dyDescent="0.3">
      <c r="B16" s="869" t="str">
        <f t="shared" si="5"/>
        <v>#9</v>
      </c>
      <c r="C16" s="870" t="str">
        <f t="shared" si="5"/>
        <v>Atte Nieminen</v>
      </c>
      <c r="D16" s="874">
        <v>17</v>
      </c>
      <c r="E16" s="875">
        <f t="shared" si="1"/>
        <v>1</v>
      </c>
      <c r="F16" s="875">
        <f t="shared" si="2"/>
        <v>0</v>
      </c>
      <c r="G16" s="875">
        <f t="shared" si="3"/>
        <v>1</v>
      </c>
      <c r="H16" s="875">
        <f t="shared" si="4"/>
        <v>0</v>
      </c>
      <c r="I16" s="875" t="s">
        <v>107</v>
      </c>
      <c r="J16" s="875" t="s">
        <v>107</v>
      </c>
      <c r="K16" s="876" t="s">
        <v>107</v>
      </c>
      <c r="L16" s="876" t="s">
        <v>107</v>
      </c>
      <c r="M16" s="876"/>
      <c r="N16" s="876" t="s">
        <v>107</v>
      </c>
      <c r="O16" s="876" t="s">
        <v>107</v>
      </c>
      <c r="P16" s="876" t="s">
        <v>107</v>
      </c>
      <c r="Q16" s="876" t="s">
        <v>107</v>
      </c>
      <c r="R16" s="876" t="s">
        <v>107</v>
      </c>
    </row>
    <row r="17" spans="2:94" x14ac:dyDescent="0.3">
      <c r="B17" s="869" t="str">
        <f t="shared" si="5"/>
        <v>#96</v>
      </c>
      <c r="C17" s="870" t="str">
        <f t="shared" si="5"/>
        <v>Kaj Engblom</v>
      </c>
      <c r="D17" s="878">
        <v>17</v>
      </c>
      <c r="E17" s="872">
        <f t="shared" si="1"/>
        <v>7</v>
      </c>
      <c r="F17" s="872">
        <f t="shared" si="2"/>
        <v>9</v>
      </c>
      <c r="G17" s="872">
        <f t="shared" si="3"/>
        <v>16</v>
      </c>
      <c r="H17" s="872">
        <f t="shared" si="4"/>
        <v>2</v>
      </c>
      <c r="I17" s="872" t="s">
        <v>107</v>
      </c>
      <c r="J17" s="872">
        <f t="shared" si="7"/>
        <v>1</v>
      </c>
      <c r="K17" s="872" t="s">
        <v>107</v>
      </c>
      <c r="L17" s="880" t="s">
        <v>107</v>
      </c>
      <c r="M17" s="879"/>
      <c r="N17" s="879" t="s">
        <v>107</v>
      </c>
      <c r="O17" s="879" t="s">
        <v>107</v>
      </c>
      <c r="P17" s="879" t="s">
        <v>107</v>
      </c>
      <c r="Q17" s="872" t="s">
        <v>107</v>
      </c>
      <c r="R17" s="872" t="s">
        <v>107</v>
      </c>
    </row>
    <row r="18" spans="2:94" x14ac:dyDescent="0.3">
      <c r="B18" s="869" t="str">
        <f t="shared" si="5"/>
        <v>#1</v>
      </c>
      <c r="C18" s="870" t="str">
        <f t="shared" si="5"/>
        <v>(MV) Matias Virta</v>
      </c>
      <c r="D18" s="874">
        <v>17</v>
      </c>
      <c r="E18" s="875">
        <f t="shared" si="1"/>
        <v>0</v>
      </c>
      <c r="F18" s="875">
        <f t="shared" si="2"/>
        <v>0</v>
      </c>
      <c r="G18" s="875">
        <f t="shared" si="3"/>
        <v>0</v>
      </c>
      <c r="H18" s="875">
        <f t="shared" si="4"/>
        <v>0</v>
      </c>
      <c r="I18" s="875" t="s">
        <v>107</v>
      </c>
      <c r="J18" s="875" t="s">
        <v>107</v>
      </c>
      <c r="K18" s="876" t="s">
        <v>107</v>
      </c>
      <c r="L18" s="876" t="s">
        <v>107</v>
      </c>
      <c r="M18" s="876"/>
      <c r="N18" s="876" t="s">
        <v>107</v>
      </c>
      <c r="O18" s="876" t="s">
        <v>107</v>
      </c>
      <c r="P18" s="876" t="s">
        <v>107</v>
      </c>
      <c r="Q18" s="876" t="s">
        <v>107</v>
      </c>
      <c r="R18" s="876" t="s">
        <v>107</v>
      </c>
    </row>
    <row r="19" spans="2:94" x14ac:dyDescent="0.3">
      <c r="B19" s="869" t="str">
        <f t="shared" si="5"/>
        <v>#44</v>
      </c>
      <c r="C19" s="870" t="str">
        <f t="shared" si="5"/>
        <v>Jesse Höykinpuro</v>
      </c>
      <c r="D19" s="878">
        <v>17</v>
      </c>
      <c r="E19" s="872">
        <f t="shared" si="1"/>
        <v>7</v>
      </c>
      <c r="F19" s="872">
        <f t="shared" si="2"/>
        <v>3</v>
      </c>
      <c r="G19" s="872">
        <f t="shared" si="3"/>
        <v>10</v>
      </c>
      <c r="H19" s="872">
        <f t="shared" si="4"/>
        <v>1</v>
      </c>
      <c r="I19" s="872">
        <f t="shared" si="6"/>
        <v>2</v>
      </c>
      <c r="J19" s="872">
        <f t="shared" si="7"/>
        <v>1</v>
      </c>
      <c r="K19" s="879" t="s">
        <v>107</v>
      </c>
      <c r="L19" s="879" t="s">
        <v>107</v>
      </c>
      <c r="M19" s="879"/>
      <c r="N19" s="879" t="s">
        <v>107</v>
      </c>
      <c r="O19" s="879" t="s">
        <v>107</v>
      </c>
      <c r="P19" s="879" t="s">
        <v>107</v>
      </c>
      <c r="Q19" s="879" t="s">
        <v>107</v>
      </c>
      <c r="R19" s="879">
        <f>COUNTIF(D41:EB41,"TM")</f>
        <v>1</v>
      </c>
    </row>
    <row r="20" spans="2:94" x14ac:dyDescent="0.3">
      <c r="B20" s="869" t="str">
        <f t="shared" si="5"/>
        <v>#5</v>
      </c>
      <c r="C20" s="870" t="str">
        <f t="shared" si="5"/>
        <v>Robin Mattila</v>
      </c>
      <c r="D20" s="874">
        <v>17</v>
      </c>
      <c r="E20" s="875">
        <f t="shared" si="1"/>
        <v>5</v>
      </c>
      <c r="F20" s="875">
        <f t="shared" si="2"/>
        <v>4</v>
      </c>
      <c r="G20" s="875">
        <f t="shared" si="3"/>
        <v>9</v>
      </c>
      <c r="H20" s="875">
        <f t="shared" si="4"/>
        <v>0</v>
      </c>
      <c r="I20" s="875" t="s">
        <v>107</v>
      </c>
      <c r="J20" s="875" t="s">
        <v>107</v>
      </c>
      <c r="K20" s="876" t="s">
        <v>107</v>
      </c>
      <c r="L20" s="876" t="s">
        <v>107</v>
      </c>
      <c r="M20" s="876"/>
      <c r="N20" s="876" t="s">
        <v>107</v>
      </c>
      <c r="O20" s="876" t="s">
        <v>107</v>
      </c>
      <c r="P20" s="876" t="s">
        <v>107</v>
      </c>
      <c r="Q20" s="876" t="s">
        <v>107</v>
      </c>
      <c r="R20" s="876" t="s">
        <v>107</v>
      </c>
    </row>
    <row r="21" spans="2:94" x14ac:dyDescent="0.3">
      <c r="B21" s="869" t="str">
        <f t="shared" si="5"/>
        <v>#32</v>
      </c>
      <c r="C21" s="870" t="str">
        <f t="shared" si="5"/>
        <v>Lassi Liukkonen</v>
      </c>
      <c r="D21" s="878">
        <v>17</v>
      </c>
      <c r="E21" s="872">
        <f t="shared" ref="E21" si="8">COUNTIF(D43:EB43,"M")</f>
        <v>0</v>
      </c>
      <c r="F21" s="872">
        <f t="shared" ref="F21" si="9">COUNTIF(D43:EB43,"S")</f>
        <v>0</v>
      </c>
      <c r="G21" s="872">
        <f t="shared" ref="G21" si="10">E21+F21</f>
        <v>0</v>
      </c>
      <c r="H21" s="872">
        <f t="shared" ref="H21" si="11">COUNTIF(D43:EB43,"J")</f>
        <v>0</v>
      </c>
      <c r="I21" s="879" t="s">
        <v>107</v>
      </c>
      <c r="J21" s="879" t="s">
        <v>107</v>
      </c>
      <c r="K21" s="879" t="s">
        <v>107</v>
      </c>
      <c r="L21" s="879" t="s">
        <v>107</v>
      </c>
      <c r="M21" s="879"/>
      <c r="N21" s="879" t="s">
        <v>107</v>
      </c>
      <c r="O21" s="879" t="s">
        <v>107</v>
      </c>
      <c r="P21" s="879" t="s">
        <v>107</v>
      </c>
      <c r="Q21" s="879" t="s">
        <v>107</v>
      </c>
      <c r="R21" s="879" t="s">
        <v>107</v>
      </c>
    </row>
    <row r="22" spans="2:94" x14ac:dyDescent="0.3">
      <c r="B22" s="869">
        <f t="shared" ref="B22:C22" si="12">B44</f>
        <v>0</v>
      </c>
      <c r="C22" s="881">
        <f t="shared" si="12"/>
        <v>0</v>
      </c>
      <c r="D22" s="874"/>
      <c r="E22" s="875"/>
      <c r="F22" s="875"/>
      <c r="G22" s="875"/>
      <c r="H22" s="875"/>
      <c r="I22" s="876"/>
      <c r="J22" s="876"/>
      <c r="K22" s="876"/>
      <c r="L22" s="876"/>
      <c r="M22" s="875"/>
      <c r="N22" s="875"/>
      <c r="O22" s="876"/>
      <c r="P22" s="876"/>
      <c r="Q22" s="876"/>
      <c r="R22" s="876"/>
    </row>
    <row r="23" spans="2:94" x14ac:dyDescent="0.3">
      <c r="F23" s="864"/>
      <c r="G23" s="864"/>
      <c r="H23" s="864"/>
      <c r="I23" s="223"/>
      <c r="J23" s="223"/>
      <c r="K23" s="223"/>
      <c r="L23" s="864"/>
      <c r="M23" s="864"/>
      <c r="N23" s="864"/>
      <c r="O23" s="864"/>
      <c r="P23" s="864"/>
      <c r="Q23" s="864"/>
      <c r="R23" s="864"/>
      <c r="S23" s="864"/>
      <c r="T23" s="864"/>
      <c r="U23" s="864"/>
      <c r="V23" s="864"/>
      <c r="W23" s="864"/>
      <c r="X23" s="864"/>
      <c r="Y23" s="864"/>
      <c r="Z23" s="864"/>
    </row>
    <row r="24" spans="2:94" x14ac:dyDescent="0.3">
      <c r="F24" s="864"/>
      <c r="G24" s="864"/>
      <c r="H24" s="864"/>
      <c r="I24" s="223"/>
      <c r="J24" s="223"/>
      <c r="K24" s="223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</row>
    <row r="25" spans="2:94" x14ac:dyDescent="0.3">
      <c r="F25" s="864"/>
      <c r="G25" s="864"/>
      <c r="H25" s="864"/>
      <c r="I25" s="223"/>
      <c r="J25" s="223"/>
      <c r="K25" s="223"/>
      <c r="L25" s="864"/>
      <c r="M25" s="864"/>
      <c r="N25" s="864"/>
      <c r="O25" s="864"/>
      <c r="P25" s="864"/>
      <c r="Q25" s="864"/>
      <c r="R25" s="864"/>
      <c r="S25" s="864"/>
      <c r="T25" s="864"/>
      <c r="U25" s="864"/>
      <c r="V25" s="864"/>
      <c r="W25" s="864"/>
      <c r="X25" s="864"/>
      <c r="Y25" s="864"/>
      <c r="Z25" s="864"/>
      <c r="CD25" s="862" t="s">
        <v>1661</v>
      </c>
    </row>
    <row r="26" spans="2:94" s="863" customFormat="1" x14ac:dyDescent="0.3">
      <c r="D26" s="882" t="s">
        <v>995</v>
      </c>
      <c r="I26" s="882" t="s">
        <v>997</v>
      </c>
      <c r="N26" s="883" t="s">
        <v>999</v>
      </c>
      <c r="O26" s="223"/>
      <c r="P26" s="223"/>
      <c r="Q26" s="223"/>
      <c r="R26" s="223"/>
      <c r="S26" s="883" t="s">
        <v>1001</v>
      </c>
      <c r="T26" s="223"/>
      <c r="U26" s="223"/>
      <c r="V26" s="223"/>
      <c r="W26" s="883" t="s">
        <v>1003</v>
      </c>
      <c r="X26" s="223"/>
      <c r="Y26" s="223"/>
      <c r="Z26" s="223"/>
      <c r="AA26" s="223"/>
      <c r="AB26" s="223"/>
      <c r="AC26" s="223"/>
      <c r="AD26" s="883" t="s">
        <v>1004</v>
      </c>
      <c r="AE26" s="223"/>
      <c r="AF26" s="223"/>
      <c r="AG26" s="223"/>
      <c r="AH26" s="223"/>
      <c r="AI26" s="882" t="s">
        <v>1006</v>
      </c>
      <c r="AP26" s="882" t="s">
        <v>1008</v>
      </c>
      <c r="AS26" s="882" t="s">
        <v>1010</v>
      </c>
      <c r="AV26" s="882" t="s">
        <v>1012</v>
      </c>
      <c r="BA26" s="882" t="s">
        <v>1465</v>
      </c>
      <c r="BE26" s="882" t="s">
        <v>1466</v>
      </c>
      <c r="BI26" s="882" t="s">
        <v>1467</v>
      </c>
      <c r="BJ26" s="882"/>
      <c r="BM26" s="882" t="s">
        <v>1468</v>
      </c>
      <c r="BT26" s="882" t="s">
        <v>1469</v>
      </c>
      <c r="BY26" s="882" t="s">
        <v>1470</v>
      </c>
      <c r="CD26" s="882" t="s">
        <v>1472</v>
      </c>
      <c r="CH26" s="882" t="s">
        <v>1473</v>
      </c>
      <c r="CM26" s="882" t="s">
        <v>1474</v>
      </c>
      <c r="CP26" s="882" t="s">
        <v>1475</v>
      </c>
    </row>
    <row r="27" spans="2:94" x14ac:dyDescent="0.3">
      <c r="B27" s="884" t="s">
        <v>1460</v>
      </c>
      <c r="C27" s="862" t="s">
        <v>1459</v>
      </c>
      <c r="D27" s="885" t="s">
        <v>533</v>
      </c>
      <c r="I27" s="885"/>
      <c r="N27" s="886" t="s">
        <v>534</v>
      </c>
      <c r="O27" s="864"/>
      <c r="P27" s="864"/>
      <c r="Q27" s="864"/>
      <c r="R27" s="864"/>
      <c r="S27" s="886" t="s">
        <v>534</v>
      </c>
      <c r="T27" s="864" t="s">
        <v>533</v>
      </c>
      <c r="U27" s="864" t="s">
        <v>540</v>
      </c>
      <c r="V27" s="864"/>
      <c r="W27" s="886" t="s">
        <v>533</v>
      </c>
      <c r="X27" s="864"/>
      <c r="Y27" s="864"/>
      <c r="Z27" s="864"/>
      <c r="AA27" s="864"/>
      <c r="AB27" s="864"/>
      <c r="AC27" s="864"/>
      <c r="AD27" s="886" t="s">
        <v>533</v>
      </c>
      <c r="AE27" s="864"/>
      <c r="AF27" s="864"/>
      <c r="AG27" s="864"/>
      <c r="AH27" s="864"/>
      <c r="AI27" s="885" t="s">
        <v>533</v>
      </c>
      <c r="AJ27" s="862" t="s">
        <v>533</v>
      </c>
      <c r="AP27" s="885"/>
      <c r="AS27" s="885" t="s">
        <v>533</v>
      </c>
      <c r="AV27" s="885" t="s">
        <v>535</v>
      </c>
      <c r="BA27" s="885"/>
      <c r="BE27" s="885"/>
      <c r="BI27" s="885"/>
      <c r="BL27" s="887"/>
      <c r="BM27" s="885"/>
      <c r="BT27" s="885"/>
      <c r="BY27" s="885"/>
      <c r="CD27" s="885"/>
      <c r="CH27" s="885"/>
      <c r="CM27" s="885"/>
      <c r="CP27" s="885"/>
    </row>
    <row r="28" spans="2:94" x14ac:dyDescent="0.3">
      <c r="B28" s="884" t="s">
        <v>672</v>
      </c>
      <c r="C28" s="862" t="s">
        <v>1075</v>
      </c>
      <c r="D28" s="885" t="s">
        <v>534</v>
      </c>
      <c r="I28" s="885"/>
      <c r="N28" s="886" t="s">
        <v>533</v>
      </c>
      <c r="O28" s="864" t="s">
        <v>637</v>
      </c>
      <c r="P28" s="864"/>
      <c r="Q28" s="864"/>
      <c r="R28" s="864"/>
      <c r="S28" s="886"/>
      <c r="T28" s="864"/>
      <c r="U28" s="864"/>
      <c r="V28" s="864"/>
      <c r="W28" s="886" t="s">
        <v>533</v>
      </c>
      <c r="X28" s="864"/>
      <c r="Y28" s="864"/>
      <c r="Z28" s="864"/>
      <c r="AA28" s="864"/>
      <c r="AB28" s="864"/>
      <c r="AC28" s="864"/>
      <c r="AD28" s="886"/>
      <c r="AE28" s="864"/>
      <c r="AF28" s="864"/>
      <c r="AG28" s="864"/>
      <c r="AH28" s="864"/>
      <c r="AI28" s="885" t="s">
        <v>535</v>
      </c>
      <c r="AJ28" s="864" t="s">
        <v>534</v>
      </c>
      <c r="AK28" s="864"/>
      <c r="AL28" s="864"/>
      <c r="AM28" s="864"/>
      <c r="AN28" s="864"/>
      <c r="AO28" s="864"/>
      <c r="AP28" s="885" t="s">
        <v>534</v>
      </c>
      <c r="AQ28" s="862" t="s">
        <v>535</v>
      </c>
      <c r="AS28" s="885" t="s">
        <v>534</v>
      </c>
      <c r="AV28" s="885" t="s">
        <v>533</v>
      </c>
      <c r="BA28" s="885"/>
      <c r="BE28" s="885" t="s">
        <v>535</v>
      </c>
      <c r="BF28" s="862" t="s">
        <v>533</v>
      </c>
      <c r="BI28" s="885"/>
      <c r="BL28" s="887"/>
      <c r="BM28" s="885" t="s">
        <v>533</v>
      </c>
      <c r="BN28" s="862" t="s">
        <v>533</v>
      </c>
      <c r="BO28" s="862" t="s">
        <v>533</v>
      </c>
      <c r="BP28" s="862" t="s">
        <v>534</v>
      </c>
      <c r="BQ28" s="862" t="s">
        <v>534</v>
      </c>
      <c r="BR28" s="862" t="s">
        <v>139</v>
      </c>
      <c r="BS28" s="862" t="s">
        <v>1595</v>
      </c>
      <c r="BT28" s="885" t="s">
        <v>534</v>
      </c>
      <c r="BY28" s="885" t="s">
        <v>534</v>
      </c>
      <c r="CD28" s="885" t="s">
        <v>534</v>
      </c>
      <c r="CH28" s="885"/>
      <c r="CM28" s="885"/>
      <c r="CP28" s="885"/>
    </row>
    <row r="29" spans="2:94" x14ac:dyDescent="0.3">
      <c r="B29" s="884" t="s">
        <v>529</v>
      </c>
      <c r="C29" s="862" t="s">
        <v>47</v>
      </c>
      <c r="D29" s="885"/>
      <c r="I29" s="885" t="s">
        <v>533</v>
      </c>
      <c r="N29" s="886"/>
      <c r="O29" s="864"/>
      <c r="P29" s="864"/>
      <c r="Q29" s="864"/>
      <c r="R29" s="864"/>
      <c r="S29" s="886"/>
      <c r="T29" s="864"/>
      <c r="U29" s="864"/>
      <c r="V29" s="864"/>
      <c r="W29" s="886"/>
      <c r="X29" s="864"/>
      <c r="Y29" s="864"/>
      <c r="Z29" s="864"/>
      <c r="AA29" s="864"/>
      <c r="AB29" s="864"/>
      <c r="AC29" s="864"/>
      <c r="AD29" s="886"/>
      <c r="AE29" s="864"/>
      <c r="AF29" s="864"/>
      <c r="AG29" s="864"/>
      <c r="AH29" s="864"/>
      <c r="AI29" s="885" t="s">
        <v>534</v>
      </c>
      <c r="AP29" s="885" t="s">
        <v>533</v>
      </c>
      <c r="AS29" s="885" t="s">
        <v>534</v>
      </c>
      <c r="AV29" s="885" t="s">
        <v>535</v>
      </c>
      <c r="AW29" s="862" t="s">
        <v>533</v>
      </c>
      <c r="AX29" s="862" t="s">
        <v>540</v>
      </c>
      <c r="BA29" s="885" t="s">
        <v>533</v>
      </c>
      <c r="BE29" s="885" t="s">
        <v>534</v>
      </c>
      <c r="BI29" s="885"/>
      <c r="BL29" s="887"/>
      <c r="BM29" s="885" t="s">
        <v>533</v>
      </c>
      <c r="BT29" s="885"/>
      <c r="BY29" s="885" t="s">
        <v>535</v>
      </c>
      <c r="BZ29" s="862" t="s">
        <v>1476</v>
      </c>
      <c r="CD29" s="885"/>
      <c r="CH29" s="885"/>
      <c r="CM29" s="885"/>
      <c r="CP29" s="885"/>
    </row>
    <row r="30" spans="2:94" x14ac:dyDescent="0.3">
      <c r="B30" s="884" t="s">
        <v>524</v>
      </c>
      <c r="C30" s="862" t="s">
        <v>53</v>
      </c>
      <c r="D30" s="885" t="s">
        <v>533</v>
      </c>
      <c r="E30" s="862" t="s">
        <v>540</v>
      </c>
      <c r="I30" s="885" t="s">
        <v>534</v>
      </c>
      <c r="N30" s="886" t="s">
        <v>534</v>
      </c>
      <c r="O30" s="864"/>
      <c r="P30" s="864"/>
      <c r="Q30" s="864"/>
      <c r="R30" s="864"/>
      <c r="S30" s="886" t="s">
        <v>533</v>
      </c>
      <c r="T30" s="864"/>
      <c r="U30" s="864"/>
      <c r="V30" s="864"/>
      <c r="W30" s="886"/>
      <c r="X30" s="864"/>
      <c r="Y30" s="864"/>
      <c r="Z30" s="864"/>
      <c r="AA30" s="864"/>
      <c r="AB30" s="864"/>
      <c r="AC30" s="864"/>
      <c r="AD30" s="886"/>
      <c r="AE30" s="864"/>
      <c r="AF30" s="864"/>
      <c r="AG30" s="864"/>
      <c r="AH30" s="864"/>
      <c r="AI30" s="885" t="s">
        <v>535</v>
      </c>
      <c r="AP30" s="885" t="s">
        <v>533</v>
      </c>
      <c r="AQ30" s="862" t="s">
        <v>534</v>
      </c>
      <c r="AS30" s="885"/>
      <c r="AV30" s="885"/>
      <c r="BA30" s="885" t="s">
        <v>534</v>
      </c>
      <c r="BE30" s="885"/>
      <c r="BI30" s="885"/>
      <c r="BL30" s="887"/>
      <c r="BM30" s="885"/>
      <c r="BT30" s="885"/>
      <c r="BY30" s="885"/>
      <c r="CD30" s="885"/>
      <c r="CH30" s="885"/>
      <c r="CM30" s="885"/>
      <c r="CP30" s="885"/>
    </row>
    <row r="31" spans="2:94" x14ac:dyDescent="0.3">
      <c r="B31" s="884" t="s">
        <v>1461</v>
      </c>
      <c r="C31" s="862" t="s">
        <v>1379</v>
      </c>
      <c r="D31" s="885" t="s">
        <v>534</v>
      </c>
      <c r="I31" s="885"/>
      <c r="N31" s="886"/>
      <c r="O31" s="864"/>
      <c r="P31" s="864"/>
      <c r="Q31" s="864"/>
      <c r="R31" s="864"/>
      <c r="S31" s="886"/>
      <c r="T31" s="864"/>
      <c r="U31" s="864"/>
      <c r="V31" s="864"/>
      <c r="W31" s="886"/>
      <c r="X31" s="864"/>
      <c r="Y31" s="864"/>
      <c r="Z31" s="864"/>
      <c r="AA31" s="864"/>
      <c r="AB31" s="864"/>
      <c r="AC31" s="864"/>
      <c r="AD31" s="886"/>
      <c r="AE31" s="864"/>
      <c r="AF31" s="864"/>
      <c r="AG31" s="864"/>
      <c r="AH31" s="864"/>
      <c r="AI31" s="885"/>
      <c r="AP31" s="885"/>
      <c r="AS31" s="885"/>
      <c r="AV31" s="885"/>
      <c r="BA31" s="885"/>
      <c r="BE31" s="885"/>
      <c r="BI31" s="885"/>
      <c r="BL31" s="887"/>
      <c r="BM31" s="885"/>
      <c r="BT31" s="885"/>
      <c r="BY31" s="885"/>
      <c r="CD31" s="885"/>
      <c r="CH31" s="885"/>
      <c r="CM31" s="885"/>
      <c r="CP31" s="885"/>
    </row>
    <row r="32" spans="2:94" x14ac:dyDescent="0.3">
      <c r="B32" s="884" t="s">
        <v>525</v>
      </c>
      <c r="C32" s="862" t="s">
        <v>50</v>
      </c>
      <c r="D32" s="885" t="s">
        <v>534</v>
      </c>
      <c r="I32" s="885" t="s">
        <v>533</v>
      </c>
      <c r="J32" s="862" t="s">
        <v>534</v>
      </c>
      <c r="N32" s="886"/>
      <c r="O32" s="864"/>
      <c r="P32" s="864"/>
      <c r="Q32" s="864"/>
      <c r="R32" s="864"/>
      <c r="S32" s="886" t="s">
        <v>533</v>
      </c>
      <c r="T32" s="864" t="s">
        <v>534</v>
      </c>
      <c r="U32" s="864" t="s">
        <v>534</v>
      </c>
      <c r="V32" s="864"/>
      <c r="W32" s="886" t="s">
        <v>533</v>
      </c>
      <c r="X32" s="864" t="s">
        <v>533</v>
      </c>
      <c r="Y32" s="864" t="s">
        <v>533</v>
      </c>
      <c r="Z32" s="864" t="s">
        <v>1595</v>
      </c>
      <c r="AA32" s="864" t="s">
        <v>1476</v>
      </c>
      <c r="AB32" s="864"/>
      <c r="AC32" s="864"/>
      <c r="AD32" s="886"/>
      <c r="AE32" s="864"/>
      <c r="AF32" s="864"/>
      <c r="AG32" s="864"/>
      <c r="AH32" s="864"/>
      <c r="AI32" s="885" t="s">
        <v>533</v>
      </c>
      <c r="AP32" s="885" t="s">
        <v>534</v>
      </c>
      <c r="AQ32" s="862" t="s">
        <v>535</v>
      </c>
      <c r="AS32" s="885"/>
      <c r="AV32" s="885" t="s">
        <v>534</v>
      </c>
      <c r="BA32" s="885"/>
      <c r="BE32" s="885"/>
      <c r="BI32" s="885" t="s">
        <v>533</v>
      </c>
      <c r="BJ32" s="862" t="s">
        <v>533</v>
      </c>
      <c r="BL32" s="887"/>
      <c r="BM32" s="885" t="s">
        <v>533</v>
      </c>
      <c r="BN32" s="862" t="s">
        <v>534</v>
      </c>
      <c r="BT32" s="885" t="s">
        <v>533</v>
      </c>
      <c r="BU32" s="862" t="s">
        <v>1476</v>
      </c>
      <c r="BY32" s="885" t="s">
        <v>533</v>
      </c>
      <c r="BZ32" s="862" t="s">
        <v>534</v>
      </c>
      <c r="CD32" s="885" t="s">
        <v>533</v>
      </c>
      <c r="CH32" s="885"/>
      <c r="CM32" s="885"/>
      <c r="CP32" s="885"/>
    </row>
    <row r="33" spans="2:94" x14ac:dyDescent="0.3">
      <c r="B33" s="884" t="s">
        <v>1462</v>
      </c>
      <c r="C33" s="862" t="s">
        <v>1124</v>
      </c>
      <c r="D33" s="885"/>
      <c r="I33" s="885" t="s">
        <v>534</v>
      </c>
      <c r="N33" s="886" t="s">
        <v>533</v>
      </c>
      <c r="O33" s="864" t="s">
        <v>535</v>
      </c>
      <c r="P33" s="864"/>
      <c r="Q33" s="864"/>
      <c r="R33" s="864"/>
      <c r="S33" s="886" t="s">
        <v>533</v>
      </c>
      <c r="T33" s="864"/>
      <c r="U33" s="864"/>
      <c r="V33" s="864"/>
      <c r="W33" s="886"/>
      <c r="X33" s="864"/>
      <c r="Y33" s="864"/>
      <c r="Z33" s="864"/>
      <c r="AA33" s="864"/>
      <c r="AB33" s="864"/>
      <c r="AC33" s="864"/>
      <c r="AD33" s="886"/>
      <c r="AE33" s="864"/>
      <c r="AF33" s="864"/>
      <c r="AG33" s="864"/>
      <c r="AH33" s="864"/>
      <c r="AI33" s="885"/>
      <c r="AP33" s="885" t="s">
        <v>533</v>
      </c>
      <c r="AS33" s="885" t="s">
        <v>535</v>
      </c>
      <c r="AV33" s="885"/>
      <c r="BA33" s="885" t="s">
        <v>533</v>
      </c>
      <c r="BE33" s="885" t="s">
        <v>535</v>
      </c>
      <c r="BI33" s="885" t="s">
        <v>534</v>
      </c>
      <c r="BL33" s="887"/>
      <c r="BM33" s="885" t="s">
        <v>534</v>
      </c>
      <c r="BN33" s="862" t="s">
        <v>534</v>
      </c>
      <c r="BT33" s="885"/>
      <c r="BY33" s="885" t="s">
        <v>535</v>
      </c>
      <c r="CD33" s="885"/>
      <c r="CH33" s="885"/>
      <c r="CM33" s="885"/>
      <c r="CP33" s="885"/>
    </row>
    <row r="34" spans="2:94" x14ac:dyDescent="0.3">
      <c r="B34" s="884" t="s">
        <v>1463</v>
      </c>
      <c r="C34" s="862" t="s">
        <v>1164</v>
      </c>
      <c r="D34" s="885"/>
      <c r="I34" s="885"/>
      <c r="N34" s="886"/>
      <c r="O34" s="864"/>
      <c r="P34" s="864"/>
      <c r="Q34" s="864"/>
      <c r="R34" s="864"/>
      <c r="S34" s="886"/>
      <c r="T34" s="864"/>
      <c r="U34" s="864"/>
      <c r="V34" s="864"/>
      <c r="W34" s="886"/>
      <c r="X34" s="864"/>
      <c r="Y34" s="864"/>
      <c r="Z34" s="864"/>
      <c r="AA34" s="864"/>
      <c r="AB34" s="864"/>
      <c r="AC34" s="864"/>
      <c r="AD34" s="886"/>
      <c r="AE34" s="864"/>
      <c r="AF34" s="864"/>
      <c r="AG34" s="864"/>
      <c r="AH34" s="864"/>
      <c r="AI34" s="885"/>
      <c r="AP34" s="885"/>
      <c r="AS34" s="885"/>
      <c r="AV34" s="885"/>
      <c r="BA34" s="885"/>
      <c r="BE34" s="885"/>
      <c r="BI34" s="885"/>
      <c r="BL34" s="887"/>
      <c r="BM34" s="885"/>
      <c r="BT34" s="885"/>
      <c r="BY34" s="885"/>
      <c r="CD34" s="885"/>
      <c r="CH34" s="885"/>
      <c r="CM34" s="885"/>
      <c r="CP34" s="885"/>
    </row>
    <row r="35" spans="2:94" x14ac:dyDescent="0.3">
      <c r="B35" s="884" t="s">
        <v>679</v>
      </c>
      <c r="C35" s="862" t="s">
        <v>680</v>
      </c>
      <c r="D35" s="885"/>
      <c r="I35" s="885"/>
      <c r="N35" s="886"/>
      <c r="O35" s="864"/>
      <c r="P35" s="864"/>
      <c r="Q35" s="864"/>
      <c r="R35" s="864"/>
      <c r="S35" s="886" t="s">
        <v>534</v>
      </c>
      <c r="T35" s="864" t="s">
        <v>534</v>
      </c>
      <c r="U35" s="864"/>
      <c r="V35" s="864"/>
      <c r="W35" s="886" t="s">
        <v>534</v>
      </c>
      <c r="X35" s="864" t="s">
        <v>534</v>
      </c>
      <c r="Y35" s="864"/>
      <c r="Z35" s="864"/>
      <c r="AA35" s="864"/>
      <c r="AB35" s="864"/>
      <c r="AC35" s="864"/>
      <c r="AD35" s="886"/>
      <c r="AE35" s="864"/>
      <c r="AF35" s="864"/>
      <c r="AG35" s="864"/>
      <c r="AH35" s="864"/>
      <c r="AI35" s="885"/>
      <c r="AP35" s="885"/>
      <c r="AS35" s="885"/>
      <c r="AV35" s="885"/>
      <c r="BA35" s="885"/>
      <c r="BE35" s="885"/>
      <c r="BI35" s="885" t="s">
        <v>534</v>
      </c>
      <c r="BL35" s="887"/>
      <c r="BM35" s="885"/>
      <c r="BT35" s="885" t="s">
        <v>534</v>
      </c>
      <c r="BY35" s="885" t="s">
        <v>535</v>
      </c>
      <c r="CD35" s="885" t="s">
        <v>534</v>
      </c>
      <c r="CE35" s="862" t="s">
        <v>534</v>
      </c>
      <c r="CH35" s="885"/>
      <c r="CM35" s="885"/>
      <c r="CP35" s="885"/>
    </row>
    <row r="36" spans="2:94" x14ac:dyDescent="0.3">
      <c r="B36" s="884" t="s">
        <v>943</v>
      </c>
      <c r="C36" s="862" t="s">
        <v>942</v>
      </c>
      <c r="D36" s="885"/>
      <c r="I36" s="885" t="s">
        <v>533</v>
      </c>
      <c r="N36" s="886" t="s">
        <v>534</v>
      </c>
      <c r="O36" s="864"/>
      <c r="P36" s="864"/>
      <c r="Q36" s="864"/>
      <c r="R36" s="864"/>
      <c r="S36" s="886" t="s">
        <v>535</v>
      </c>
      <c r="T36" s="864"/>
      <c r="U36" s="864"/>
      <c r="V36" s="864"/>
      <c r="W36" s="886"/>
      <c r="X36" s="864"/>
      <c r="Y36" s="864"/>
      <c r="Z36" s="864"/>
      <c r="AA36" s="864"/>
      <c r="AB36" s="864"/>
      <c r="AC36" s="864"/>
      <c r="AD36" s="886"/>
      <c r="AE36" s="864"/>
      <c r="AF36" s="864"/>
      <c r="AG36" s="864"/>
      <c r="AH36" s="864"/>
      <c r="AI36" s="885"/>
      <c r="AP36" s="885"/>
      <c r="AS36" s="885"/>
      <c r="AV36" s="885"/>
      <c r="BA36" s="885"/>
      <c r="BE36" s="885"/>
      <c r="BI36" s="885"/>
      <c r="BL36" s="887"/>
      <c r="BM36" s="885" t="s">
        <v>533</v>
      </c>
      <c r="BN36" s="862" t="s">
        <v>534</v>
      </c>
      <c r="BT36" s="885"/>
      <c r="BY36" s="885"/>
      <c r="CD36" s="885"/>
      <c r="CH36" s="885"/>
      <c r="CM36" s="885"/>
      <c r="CP36" s="885"/>
    </row>
    <row r="37" spans="2:94" x14ac:dyDescent="0.3">
      <c r="B37" s="884" t="s">
        <v>674</v>
      </c>
      <c r="C37" s="862" t="s">
        <v>1076</v>
      </c>
      <c r="D37" s="885" t="s">
        <v>533</v>
      </c>
      <c r="I37" s="885"/>
      <c r="N37" s="886"/>
      <c r="O37" s="864"/>
      <c r="P37" s="864"/>
      <c r="Q37" s="864"/>
      <c r="R37" s="864"/>
      <c r="S37" s="886" t="s">
        <v>534</v>
      </c>
      <c r="T37" s="864" t="s">
        <v>533</v>
      </c>
      <c r="U37" s="864" t="s">
        <v>540</v>
      </c>
      <c r="V37" s="864"/>
      <c r="W37" s="886" t="s">
        <v>533</v>
      </c>
      <c r="X37" s="864"/>
      <c r="Y37" s="864"/>
      <c r="Z37" s="864"/>
      <c r="AA37" s="864"/>
      <c r="AB37" s="864"/>
      <c r="AC37" s="864"/>
      <c r="AD37" s="886" t="s">
        <v>534</v>
      </c>
      <c r="AE37" s="864"/>
      <c r="AF37" s="864"/>
      <c r="AG37" s="864"/>
      <c r="AH37" s="864"/>
      <c r="AI37" s="885"/>
      <c r="AP37" s="885" t="s">
        <v>534</v>
      </c>
      <c r="AS37" s="885"/>
      <c r="AV37" s="885"/>
      <c r="BA37" s="885" t="s">
        <v>534</v>
      </c>
      <c r="BB37" s="862" t="s">
        <v>534</v>
      </c>
      <c r="BE37" s="885"/>
      <c r="BI37" s="885"/>
      <c r="BL37" s="887"/>
      <c r="BM37" s="885"/>
      <c r="BT37" s="885" t="s">
        <v>533</v>
      </c>
      <c r="BY37" s="885" t="s">
        <v>533</v>
      </c>
      <c r="CD37" s="885" t="s">
        <v>533</v>
      </c>
      <c r="CE37" s="862" t="s">
        <v>533</v>
      </c>
      <c r="CF37" s="862" t="s">
        <v>535</v>
      </c>
      <c r="CG37" s="862" t="s">
        <v>1476</v>
      </c>
      <c r="CH37" s="885"/>
      <c r="CM37" s="885"/>
      <c r="CP37" s="885"/>
    </row>
    <row r="38" spans="2:94" x14ac:dyDescent="0.3">
      <c r="B38" s="884" t="s">
        <v>522</v>
      </c>
      <c r="C38" s="862" t="s">
        <v>1077</v>
      </c>
      <c r="D38" s="885"/>
      <c r="I38" s="885" t="s">
        <v>533</v>
      </c>
      <c r="N38" s="886"/>
      <c r="O38" s="864"/>
      <c r="P38" s="864"/>
      <c r="Q38" s="864"/>
      <c r="R38" s="864"/>
      <c r="S38" s="886"/>
      <c r="T38" s="864"/>
      <c r="U38" s="864"/>
      <c r="V38" s="864"/>
      <c r="W38" s="886"/>
      <c r="X38" s="864"/>
      <c r="Y38" s="864"/>
      <c r="Z38" s="864"/>
      <c r="AA38" s="864"/>
      <c r="AB38" s="864"/>
      <c r="AC38" s="864"/>
      <c r="AD38" s="886"/>
      <c r="AE38" s="864"/>
      <c r="AF38" s="864"/>
      <c r="AG38" s="864"/>
      <c r="AH38" s="864"/>
      <c r="AI38" s="885"/>
      <c r="AP38" s="885"/>
      <c r="AS38" s="885"/>
      <c r="AV38" s="885"/>
      <c r="BA38" s="885"/>
      <c r="BE38" s="885"/>
      <c r="BI38" s="885"/>
      <c r="BL38" s="887"/>
      <c r="BM38" s="885"/>
      <c r="BT38" s="885"/>
      <c r="BY38" s="885"/>
      <c r="CD38" s="885"/>
      <c r="CH38" s="885"/>
      <c r="CM38" s="885"/>
      <c r="CP38" s="885"/>
    </row>
    <row r="39" spans="2:94" x14ac:dyDescent="0.3">
      <c r="B39" s="884" t="s">
        <v>1464</v>
      </c>
      <c r="C39" s="862" t="s">
        <v>185</v>
      </c>
      <c r="D39" s="885" t="s">
        <v>533</v>
      </c>
      <c r="E39" s="862" t="s">
        <v>540</v>
      </c>
      <c r="F39" s="862" t="s">
        <v>534</v>
      </c>
      <c r="I39" s="885"/>
      <c r="N39" s="886" t="s">
        <v>533</v>
      </c>
      <c r="O39" s="864" t="s">
        <v>534</v>
      </c>
      <c r="P39" s="864" t="s">
        <v>533</v>
      </c>
      <c r="Q39" s="223"/>
      <c r="R39" s="223"/>
      <c r="S39" s="886"/>
      <c r="T39" s="864"/>
      <c r="U39" s="864"/>
      <c r="V39" s="864"/>
      <c r="W39" s="886" t="s">
        <v>534</v>
      </c>
      <c r="X39" s="864" t="s">
        <v>534</v>
      </c>
      <c r="Y39" s="864" t="s">
        <v>534</v>
      </c>
      <c r="Z39" s="864" t="s">
        <v>534</v>
      </c>
      <c r="AA39" s="864"/>
      <c r="AB39" s="864"/>
      <c r="AC39" s="864"/>
      <c r="AD39" s="886" t="s">
        <v>535</v>
      </c>
      <c r="AE39" s="864" t="s">
        <v>535</v>
      </c>
      <c r="AF39" s="864"/>
      <c r="AG39" s="864"/>
      <c r="AH39" s="864"/>
      <c r="AI39" s="885"/>
      <c r="AP39" s="885"/>
      <c r="AS39" s="885"/>
      <c r="AV39" s="885" t="s">
        <v>533</v>
      </c>
      <c r="BA39" s="885"/>
      <c r="BE39" s="885"/>
      <c r="BI39" s="885" t="s">
        <v>533</v>
      </c>
      <c r="BJ39" s="862" t="s">
        <v>534</v>
      </c>
      <c r="BL39" s="887"/>
      <c r="BM39" s="885"/>
      <c r="BT39" s="885" t="s">
        <v>533</v>
      </c>
      <c r="BY39" s="885" t="s">
        <v>533</v>
      </c>
      <c r="BZ39" s="862" t="s">
        <v>534</v>
      </c>
      <c r="CA39" s="862" t="s">
        <v>534</v>
      </c>
      <c r="CD39" s="885"/>
      <c r="CH39" s="885"/>
      <c r="CM39" s="885"/>
      <c r="CP39" s="885"/>
    </row>
    <row r="40" spans="2:94" x14ac:dyDescent="0.3">
      <c r="B40" s="884" t="s">
        <v>778</v>
      </c>
      <c r="C40" s="862" t="s">
        <v>1590</v>
      </c>
      <c r="D40" s="885"/>
      <c r="I40" s="885"/>
      <c r="N40" s="885"/>
      <c r="S40" s="885"/>
      <c r="W40" s="885"/>
      <c r="AD40" s="885"/>
      <c r="AI40" s="885"/>
      <c r="AP40" s="885"/>
      <c r="AS40" s="885"/>
      <c r="AV40" s="885"/>
      <c r="BA40" s="885"/>
      <c r="BE40" s="885"/>
      <c r="BI40" s="885"/>
      <c r="BL40" s="887"/>
      <c r="BM40" s="885"/>
      <c r="BT40" s="885"/>
      <c r="BY40" s="885"/>
      <c r="CD40" s="885"/>
      <c r="CH40" s="885"/>
      <c r="CM40" s="885"/>
      <c r="CP40" s="885"/>
    </row>
    <row r="41" spans="2:94" x14ac:dyDescent="0.3">
      <c r="B41" s="884" t="s">
        <v>526</v>
      </c>
      <c r="C41" s="862" t="s">
        <v>1591</v>
      </c>
      <c r="D41" s="885"/>
      <c r="I41" s="885" t="s">
        <v>535</v>
      </c>
      <c r="N41" s="885"/>
      <c r="S41" s="885" t="s">
        <v>533</v>
      </c>
      <c r="T41" s="862" t="s">
        <v>1476</v>
      </c>
      <c r="W41" s="885"/>
      <c r="AD41" s="885"/>
      <c r="AI41" s="885"/>
      <c r="AP41" s="885"/>
      <c r="AS41" s="885" t="s">
        <v>534</v>
      </c>
      <c r="AV41" s="885"/>
      <c r="BA41" s="885" t="s">
        <v>533</v>
      </c>
      <c r="BB41" s="862" t="s">
        <v>533</v>
      </c>
      <c r="BE41" s="885"/>
      <c r="BI41" s="885"/>
      <c r="BL41" s="887"/>
      <c r="BM41" s="885" t="s">
        <v>533</v>
      </c>
      <c r="BN41" s="862" t="s">
        <v>1476</v>
      </c>
      <c r="BT41" s="885" t="s">
        <v>533</v>
      </c>
      <c r="BU41" s="862" t="s">
        <v>534</v>
      </c>
      <c r="BV41" s="862" t="s">
        <v>540</v>
      </c>
      <c r="BW41" s="862" t="s">
        <v>139</v>
      </c>
      <c r="BY41" s="885" t="s">
        <v>533</v>
      </c>
      <c r="BZ41" s="862" t="s">
        <v>534</v>
      </c>
      <c r="CD41" s="885" t="s">
        <v>533</v>
      </c>
      <c r="CH41" s="885"/>
      <c r="CM41" s="885"/>
      <c r="CP41" s="885"/>
    </row>
    <row r="42" spans="2:94" x14ac:dyDescent="0.3">
      <c r="B42" s="884" t="s">
        <v>521</v>
      </c>
      <c r="C42" s="862" t="s">
        <v>1659</v>
      </c>
      <c r="S42" s="862" t="s">
        <v>533</v>
      </c>
      <c r="AS42" s="862" t="s">
        <v>533</v>
      </c>
      <c r="AT42" s="862" t="s">
        <v>533</v>
      </c>
      <c r="AV42" s="862" t="s">
        <v>534</v>
      </c>
      <c r="AW42" s="862" t="s">
        <v>534</v>
      </c>
      <c r="BM42" s="862" t="s">
        <v>533</v>
      </c>
      <c r="BN42" s="862" t="s">
        <v>534</v>
      </c>
      <c r="BY42" s="885" t="s">
        <v>533</v>
      </c>
      <c r="CD42" s="862" t="s">
        <v>534</v>
      </c>
    </row>
    <row r="43" spans="2:94" x14ac:dyDescent="0.3">
      <c r="B43" s="884" t="s">
        <v>1663</v>
      </c>
      <c r="C43" s="862" t="s">
        <v>1660</v>
      </c>
    </row>
    <row r="52" spans="9:9" x14ac:dyDescent="0.3">
      <c r="I52" s="862">
        <f>COUNTIF(D27:CQ40,"RM")</f>
        <v>4</v>
      </c>
    </row>
  </sheetData>
  <pageMargins left="0.7" right="0.7" top="0.75" bottom="0.75" header="0.3" footer="0.3"/>
  <pageSetup paperSize="9" scale="3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12"/>
  <sheetViews>
    <sheetView zoomScale="80" zoomScaleNormal="80" workbookViewId="0">
      <pane ySplit="4" topLeftCell="A5" activePane="bottomLeft" state="frozen"/>
      <selection pane="bottomLeft" activeCell="C60" sqref="C60"/>
    </sheetView>
  </sheetViews>
  <sheetFormatPr defaultColWidth="9.109375" defaultRowHeight="14.4" x14ac:dyDescent="0.3"/>
  <cols>
    <col min="1" max="1" width="2.88671875" customWidth="1"/>
    <col min="2" max="2" width="17.88671875" customWidth="1"/>
    <col min="3" max="3" width="19.6640625" customWidth="1"/>
    <col min="4" max="4" width="16.33203125" customWidth="1"/>
    <col min="5" max="7" width="8" style="8" customWidth="1"/>
    <col min="8" max="8" width="8" style="265" customWidth="1"/>
    <col min="9" max="9" width="9.33203125" style="265" customWidth="1"/>
    <col min="10" max="19" width="8.5546875" style="8" customWidth="1"/>
    <col min="20" max="20" width="8.5546875" customWidth="1"/>
    <col min="21" max="25" width="8" style="8" customWidth="1"/>
    <col min="26" max="28" width="8" customWidth="1"/>
  </cols>
  <sheetData>
    <row r="1" spans="1:25" x14ac:dyDescent="0.3">
      <c r="A1" s="357"/>
      <c r="B1" s="357"/>
      <c r="C1" s="357"/>
      <c r="D1" s="357"/>
      <c r="E1" s="358"/>
      <c r="F1" s="358"/>
      <c r="G1" s="358"/>
      <c r="H1" s="359"/>
      <c r="I1" s="359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7"/>
      <c r="U1" s="358"/>
      <c r="V1" s="358"/>
      <c r="W1" s="358"/>
      <c r="X1" s="358"/>
      <c r="Y1" s="358"/>
    </row>
    <row r="2" spans="1:25" x14ac:dyDescent="0.3">
      <c r="A2" s="357"/>
      <c r="B2" s="608" t="s">
        <v>1511</v>
      </c>
      <c r="C2" s="640" t="s">
        <v>1635</v>
      </c>
      <c r="D2" s="604" t="s">
        <v>1504</v>
      </c>
      <c r="E2" s="640" t="s">
        <v>1505</v>
      </c>
      <c r="F2" s="605" t="s">
        <v>1506</v>
      </c>
      <c r="G2" s="606"/>
      <c r="H2" s="604"/>
      <c r="I2" s="609" t="s">
        <v>1507</v>
      </c>
      <c r="J2" s="641">
        <v>12</v>
      </c>
      <c r="K2" s="606"/>
      <c r="L2" s="606"/>
      <c r="M2" s="606"/>
      <c r="N2" s="606"/>
      <c r="O2" s="606"/>
      <c r="P2" s="606"/>
      <c r="Q2" s="606"/>
      <c r="R2" s="606"/>
      <c r="S2" s="607"/>
      <c r="T2" s="357"/>
      <c r="U2" s="358"/>
      <c r="V2" s="358"/>
      <c r="W2" s="358"/>
      <c r="X2" s="358"/>
      <c r="Y2" s="358"/>
    </row>
    <row r="3" spans="1:25" x14ac:dyDescent="0.3">
      <c r="A3" s="357"/>
      <c r="B3" s="357"/>
      <c r="C3" s="357"/>
      <c r="D3" s="357"/>
      <c r="E3" s="358"/>
      <c r="F3" s="358"/>
      <c r="G3" s="358"/>
      <c r="H3" s="359"/>
      <c r="I3" s="359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7"/>
      <c r="U3" s="358"/>
      <c r="V3" s="358"/>
      <c r="W3" s="358"/>
      <c r="X3" s="358"/>
      <c r="Y3" s="358"/>
    </row>
    <row r="4" spans="1:25" s="617" customFormat="1" ht="10.199999999999999" x14ac:dyDescent="0.2">
      <c r="A4" s="644"/>
      <c r="B4" s="614" t="s">
        <v>1502</v>
      </c>
      <c r="C4" s="615" t="s">
        <v>1501</v>
      </c>
      <c r="D4" s="615" t="s">
        <v>1503</v>
      </c>
      <c r="E4" s="616" t="s">
        <v>1416</v>
      </c>
      <c r="F4" s="616" t="s">
        <v>1417</v>
      </c>
      <c r="G4" s="616" t="s">
        <v>1418</v>
      </c>
      <c r="H4" s="616" t="s">
        <v>1408</v>
      </c>
      <c r="I4" s="616"/>
      <c r="J4" s="616" t="s">
        <v>1557</v>
      </c>
      <c r="K4" s="616" t="s">
        <v>1556</v>
      </c>
      <c r="L4" s="616" t="s">
        <v>1419</v>
      </c>
      <c r="M4" s="616" t="s">
        <v>1420</v>
      </c>
      <c r="N4" s="616" t="s">
        <v>1424</v>
      </c>
      <c r="O4" s="616" t="s">
        <v>1425</v>
      </c>
      <c r="P4" s="616" t="s">
        <v>1535</v>
      </c>
      <c r="Q4" s="616" t="s">
        <v>1536</v>
      </c>
      <c r="R4" s="616" t="s">
        <v>1559</v>
      </c>
      <c r="S4" s="626" t="s">
        <v>19</v>
      </c>
      <c r="T4" s="644"/>
      <c r="U4" s="625"/>
      <c r="V4" s="625"/>
      <c r="W4" s="625"/>
      <c r="X4" s="625"/>
      <c r="Y4" s="625"/>
    </row>
    <row r="5" spans="1:25" s="617" customFormat="1" ht="3.75" customHeight="1" x14ac:dyDescent="0.2">
      <c r="A5" s="644"/>
      <c r="B5" s="644"/>
      <c r="C5" s="644"/>
      <c r="D5" s="64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44"/>
      <c r="U5" s="625"/>
      <c r="V5" s="625"/>
      <c r="W5" s="625"/>
      <c r="X5" s="625"/>
      <c r="Y5" s="625"/>
    </row>
    <row r="6" spans="1:25" s="140" customFormat="1" ht="10.199999999999999" x14ac:dyDescent="0.2">
      <c r="A6" s="519"/>
      <c r="B6" s="618" t="s">
        <v>1516</v>
      </c>
      <c r="C6" s="643" t="s">
        <v>44</v>
      </c>
      <c r="D6" s="619" t="s">
        <v>0</v>
      </c>
      <c r="E6" s="642">
        <v>1</v>
      </c>
      <c r="F6" s="642">
        <v>1</v>
      </c>
      <c r="G6" s="642">
        <v>2</v>
      </c>
      <c r="H6" s="620">
        <f>SUM(E6:G6)</f>
        <v>4</v>
      </c>
      <c r="I6" s="621" t="str">
        <f>IF(H6&gt;H7,"Voitto",IF(H6=H7,"Tasapeli","Häviö"))</f>
        <v>Häviö</v>
      </c>
      <c r="J6" s="642">
        <v>0</v>
      </c>
      <c r="K6" s="642">
        <v>0</v>
      </c>
      <c r="L6" s="642">
        <v>2</v>
      </c>
      <c r="M6" s="642">
        <v>0</v>
      </c>
      <c r="N6" s="642">
        <v>0</v>
      </c>
      <c r="O6" s="642">
        <v>0</v>
      </c>
      <c r="P6" s="642">
        <v>0</v>
      </c>
      <c r="Q6" s="642">
        <v>0</v>
      </c>
      <c r="R6" s="642">
        <v>0</v>
      </c>
      <c r="S6" s="642">
        <v>13.24</v>
      </c>
      <c r="T6" s="519"/>
      <c r="U6" s="624">
        <f>H6</f>
        <v>4</v>
      </c>
      <c r="V6" s="624"/>
      <c r="W6" s="624" t="str">
        <f>IF((J6=0)*AND(J7=0),"1","0")</f>
        <v>0</v>
      </c>
      <c r="X6" s="624" t="str">
        <f>IF((J6=0)*AND(J7&gt;0),"1","0")</f>
        <v>1</v>
      </c>
      <c r="Y6" s="624" t="str">
        <f>IF((J6&gt;0)*AND(J7=0),"1","0")</f>
        <v>0</v>
      </c>
    </row>
    <row r="7" spans="1:25" s="140" customFormat="1" ht="10.199999999999999" x14ac:dyDescent="0.2">
      <c r="A7" s="519"/>
      <c r="B7" s="673" t="s">
        <v>1640</v>
      </c>
      <c r="C7" s="643" t="s">
        <v>1514</v>
      </c>
      <c r="D7" s="643" t="s">
        <v>1403</v>
      </c>
      <c r="E7" s="642">
        <v>1</v>
      </c>
      <c r="F7" s="642">
        <v>2</v>
      </c>
      <c r="G7" s="642">
        <v>3</v>
      </c>
      <c r="H7" s="622">
        <f>SUM(E7:G7)</f>
        <v>6</v>
      </c>
      <c r="I7" s="623"/>
      <c r="J7" s="642">
        <v>2</v>
      </c>
      <c r="K7" s="642">
        <v>4</v>
      </c>
      <c r="L7" s="642">
        <v>0</v>
      </c>
      <c r="M7" s="642">
        <v>0</v>
      </c>
      <c r="N7" s="642">
        <v>0</v>
      </c>
      <c r="O7" s="642">
        <v>0</v>
      </c>
      <c r="P7" s="642">
        <v>0</v>
      </c>
      <c r="Q7" s="642">
        <v>0</v>
      </c>
      <c r="R7" s="642">
        <v>0</v>
      </c>
      <c r="S7" s="642">
        <v>8.14</v>
      </c>
      <c r="T7" s="519"/>
      <c r="U7" s="624"/>
      <c r="V7" s="624">
        <f>H7</f>
        <v>6</v>
      </c>
      <c r="W7" s="624"/>
      <c r="X7" s="624"/>
      <c r="Y7" s="624"/>
    </row>
    <row r="8" spans="1:25" s="140" customFormat="1" ht="3.75" customHeight="1" x14ac:dyDescent="0.2">
      <c r="E8" s="675"/>
      <c r="F8" s="675"/>
      <c r="G8" s="675"/>
      <c r="H8" s="676"/>
      <c r="I8" s="676"/>
      <c r="J8" s="675"/>
      <c r="K8" s="675"/>
      <c r="L8" s="675"/>
      <c r="M8" s="675"/>
      <c r="N8" s="675"/>
      <c r="O8" s="675"/>
      <c r="P8" s="675"/>
      <c r="Q8" s="675"/>
      <c r="R8" s="675"/>
      <c r="S8" s="675"/>
      <c r="U8" s="675"/>
      <c r="V8" s="675"/>
      <c r="W8" s="675"/>
      <c r="X8" s="675"/>
      <c r="Y8" s="675"/>
    </row>
    <row r="9" spans="1:25" s="140" customFormat="1" ht="10.199999999999999" x14ac:dyDescent="0.2">
      <c r="A9" s="519"/>
      <c r="B9" s="618" t="s">
        <v>1537</v>
      </c>
      <c r="C9" s="643" t="s">
        <v>44</v>
      </c>
      <c r="D9" s="619" t="s">
        <v>0</v>
      </c>
      <c r="E9" s="642">
        <v>0</v>
      </c>
      <c r="F9" s="642">
        <v>3</v>
      </c>
      <c r="G9" s="642">
        <v>1</v>
      </c>
      <c r="H9" s="620">
        <f>SUM(E9:G9)</f>
        <v>4</v>
      </c>
      <c r="I9" s="621" t="str">
        <f>IF(H9&gt;H10,"Voitto",IF(H9=H10,"Tasapeli","Häviö"))</f>
        <v>Häviö</v>
      </c>
      <c r="J9" s="642">
        <v>3</v>
      </c>
      <c r="K9" s="642">
        <v>6</v>
      </c>
      <c r="L9" s="642">
        <v>0</v>
      </c>
      <c r="M9" s="642">
        <v>0</v>
      </c>
      <c r="N9" s="642">
        <v>0</v>
      </c>
      <c r="O9" s="642">
        <v>0</v>
      </c>
      <c r="P9" s="642">
        <v>0</v>
      </c>
      <c r="Q9" s="642">
        <v>0</v>
      </c>
      <c r="R9" s="642">
        <v>0</v>
      </c>
      <c r="S9" s="642">
        <v>22.49</v>
      </c>
      <c r="T9" s="519"/>
      <c r="U9" s="624">
        <f>H9</f>
        <v>4</v>
      </c>
      <c r="V9" s="624"/>
      <c r="W9" s="624" t="str">
        <f>IF((J9=0)*AND(J10=0),"1","0")</f>
        <v>0</v>
      </c>
      <c r="X9" s="624" t="str">
        <f>IF((J9=0)*AND(J10&gt;0),"1","0")</f>
        <v>0</v>
      </c>
      <c r="Y9" s="624" t="str">
        <f>IF((J9&gt;0)*AND(J10=0),"1","0")</f>
        <v>0</v>
      </c>
    </row>
    <row r="10" spans="1:25" s="140" customFormat="1" ht="10.199999999999999" x14ac:dyDescent="0.2">
      <c r="A10" s="519"/>
      <c r="B10" s="673" t="s">
        <v>1641</v>
      </c>
      <c r="C10" s="643" t="s">
        <v>1515</v>
      </c>
      <c r="D10" s="643" t="s">
        <v>1220</v>
      </c>
      <c r="E10" s="642">
        <v>4</v>
      </c>
      <c r="F10" s="642">
        <v>2</v>
      </c>
      <c r="G10" s="642">
        <v>4</v>
      </c>
      <c r="H10" s="622">
        <f>SUM(E10:G10)</f>
        <v>10</v>
      </c>
      <c r="I10" s="623"/>
      <c r="J10" s="642">
        <v>1</v>
      </c>
      <c r="K10" s="642">
        <v>2</v>
      </c>
      <c r="L10" s="642">
        <v>0</v>
      </c>
      <c r="M10" s="642">
        <v>0</v>
      </c>
      <c r="N10" s="642">
        <v>0</v>
      </c>
      <c r="O10" s="642">
        <v>0</v>
      </c>
      <c r="P10" s="642">
        <v>0</v>
      </c>
      <c r="Q10" s="642">
        <v>0</v>
      </c>
      <c r="R10" s="642">
        <v>0</v>
      </c>
      <c r="S10" s="642">
        <v>0.5</v>
      </c>
      <c r="T10" s="519"/>
      <c r="U10" s="624"/>
      <c r="V10" s="624">
        <f>H10</f>
        <v>10</v>
      </c>
      <c r="W10" s="624"/>
      <c r="X10" s="624"/>
      <c r="Y10" s="624"/>
    </row>
    <row r="11" spans="1:25" s="140" customFormat="1" ht="3.75" customHeight="1" x14ac:dyDescent="0.2">
      <c r="E11" s="675"/>
      <c r="F11" s="675"/>
      <c r="G11" s="675"/>
      <c r="H11" s="676"/>
      <c r="I11" s="676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U11" s="675"/>
      <c r="V11" s="675"/>
      <c r="W11" s="675"/>
      <c r="X11" s="675"/>
      <c r="Y11" s="675"/>
    </row>
    <row r="12" spans="1:25" s="140" customFormat="1" ht="10.199999999999999" x14ac:dyDescent="0.2">
      <c r="A12" s="519"/>
      <c r="B12" s="618" t="s">
        <v>1538</v>
      </c>
      <c r="C12" s="643" t="s">
        <v>1643</v>
      </c>
      <c r="D12" s="619" t="s">
        <v>0</v>
      </c>
      <c r="E12" s="642">
        <v>1</v>
      </c>
      <c r="F12" s="642">
        <v>2</v>
      </c>
      <c r="G12" s="642">
        <v>1</v>
      </c>
      <c r="H12" s="620">
        <f>SUM(E12:G12)</f>
        <v>4</v>
      </c>
      <c r="I12" s="621" t="str">
        <f>IF(H12&gt;H13,"Voitto",IF(H12=H13,"Tasapeli","Häviö"))</f>
        <v>Tasapeli</v>
      </c>
      <c r="J12" s="642">
        <v>1</v>
      </c>
      <c r="K12" s="642">
        <v>2</v>
      </c>
      <c r="L12" s="642">
        <v>0</v>
      </c>
      <c r="M12" s="642">
        <v>0</v>
      </c>
      <c r="N12" s="642">
        <v>0</v>
      </c>
      <c r="O12" s="642">
        <v>0</v>
      </c>
      <c r="P12" s="642">
        <v>0</v>
      </c>
      <c r="Q12" s="642">
        <v>1</v>
      </c>
      <c r="R12" s="642">
        <v>0</v>
      </c>
      <c r="S12" s="642">
        <v>9.31</v>
      </c>
      <c r="T12" s="519"/>
      <c r="U12" s="624">
        <f t="shared" ref="U12" si="0">H12</f>
        <v>4</v>
      </c>
      <c r="V12" s="624"/>
      <c r="W12" s="624" t="str">
        <f>IF((J12=0)*AND(J13=0),"1","0")</f>
        <v>0</v>
      </c>
      <c r="X12" s="624" t="str">
        <f>IF((J12=0)*AND(J13&gt;0),"1","0")</f>
        <v>0</v>
      </c>
      <c r="Y12" s="624" t="str">
        <f>IF((J12&gt;0)*AND(J13=0),"1","0")</f>
        <v>0</v>
      </c>
    </row>
    <row r="13" spans="1:25" s="140" customFormat="1" ht="10.199999999999999" x14ac:dyDescent="0.2">
      <c r="A13" s="519"/>
      <c r="B13" s="673" t="s">
        <v>1642</v>
      </c>
      <c r="C13" s="643" t="s">
        <v>1515</v>
      </c>
      <c r="D13" s="643" t="s">
        <v>1584</v>
      </c>
      <c r="E13" s="642">
        <v>3</v>
      </c>
      <c r="F13" s="642">
        <v>1</v>
      </c>
      <c r="G13" s="642">
        <v>0</v>
      </c>
      <c r="H13" s="622">
        <f>SUM(E13:G13)</f>
        <v>4</v>
      </c>
      <c r="I13" s="623"/>
      <c r="J13" s="642">
        <v>2</v>
      </c>
      <c r="K13" s="642">
        <v>4</v>
      </c>
      <c r="L13" s="642">
        <v>0</v>
      </c>
      <c r="M13" s="642">
        <v>0</v>
      </c>
      <c r="N13" s="642">
        <v>0</v>
      </c>
      <c r="O13" s="642">
        <v>0</v>
      </c>
      <c r="P13" s="642">
        <v>0</v>
      </c>
      <c r="Q13" s="642">
        <v>0</v>
      </c>
      <c r="R13" s="642">
        <v>0</v>
      </c>
      <c r="S13" s="642">
        <v>5.14</v>
      </c>
      <c r="T13" s="519"/>
      <c r="U13" s="624"/>
      <c r="V13" s="624">
        <f t="shared" ref="V13" si="1">H13</f>
        <v>4</v>
      </c>
      <c r="W13" s="624"/>
      <c r="X13" s="624"/>
      <c r="Y13" s="624"/>
    </row>
    <row r="14" spans="1:25" s="140" customFormat="1" ht="3.75" customHeight="1" x14ac:dyDescent="0.2">
      <c r="E14" s="675"/>
      <c r="F14" s="675"/>
      <c r="G14" s="675"/>
      <c r="H14" s="676"/>
      <c r="I14" s="676"/>
      <c r="J14" s="675"/>
      <c r="K14" s="675"/>
      <c r="L14" s="675"/>
      <c r="M14" s="675"/>
      <c r="N14" s="675"/>
      <c r="O14" s="675"/>
      <c r="P14" s="675"/>
      <c r="Q14" s="675"/>
      <c r="R14" s="675"/>
      <c r="S14" s="675"/>
      <c r="U14" s="675"/>
      <c r="V14" s="675"/>
      <c r="W14" s="675"/>
      <c r="X14" s="675"/>
      <c r="Y14" s="675"/>
    </row>
    <row r="15" spans="1:25" s="140" customFormat="1" ht="10.199999999999999" x14ac:dyDescent="0.2">
      <c r="A15" s="519"/>
      <c r="B15" s="618" t="s">
        <v>1539</v>
      </c>
      <c r="C15" s="643" t="s">
        <v>1643</v>
      </c>
      <c r="D15" s="619" t="s">
        <v>0</v>
      </c>
      <c r="E15" s="642">
        <v>2</v>
      </c>
      <c r="F15" s="642">
        <v>3</v>
      </c>
      <c r="G15" s="642">
        <v>2</v>
      </c>
      <c r="H15" s="620">
        <f>SUM(E15:G15)</f>
        <v>7</v>
      </c>
      <c r="I15" s="621" t="str">
        <f>IF(H15&gt;H16,"Voitto",IF(H15=H16,"Tasapeli","Häviö"))</f>
        <v>Voitto</v>
      </c>
      <c r="J15" s="642">
        <v>1</v>
      </c>
      <c r="K15" s="642">
        <v>2</v>
      </c>
      <c r="L15" s="642">
        <v>2</v>
      </c>
      <c r="M15" s="642">
        <v>0</v>
      </c>
      <c r="N15" s="642">
        <v>0</v>
      </c>
      <c r="O15" s="642">
        <v>0</v>
      </c>
      <c r="P15" s="642">
        <v>0</v>
      </c>
      <c r="Q15" s="642">
        <v>0</v>
      </c>
      <c r="R15" s="642">
        <v>0</v>
      </c>
      <c r="S15" s="642">
        <v>4.01</v>
      </c>
      <c r="T15" s="519"/>
      <c r="U15" s="624">
        <f t="shared" ref="U15" si="2">H15</f>
        <v>7</v>
      </c>
      <c r="V15" s="624"/>
      <c r="W15" s="624" t="str">
        <f>IF((J15=0)*AND(J16=0),"1","0")</f>
        <v>0</v>
      </c>
      <c r="X15" s="624" t="str">
        <f>IF((J15=0)*AND(J16&gt;0),"1","0")</f>
        <v>0</v>
      </c>
      <c r="Y15" s="624" t="str">
        <f>IF((J15&gt;0)*AND(J16=0),"1","0")</f>
        <v>0</v>
      </c>
    </row>
    <row r="16" spans="1:25" s="140" customFormat="1" ht="10.199999999999999" x14ac:dyDescent="0.2">
      <c r="A16" s="519"/>
      <c r="B16" s="673" t="s">
        <v>1644</v>
      </c>
      <c r="C16" s="643" t="s">
        <v>1514</v>
      </c>
      <c r="D16" s="643" t="s">
        <v>1245</v>
      </c>
      <c r="E16" s="642">
        <v>1</v>
      </c>
      <c r="F16" s="642">
        <v>0</v>
      </c>
      <c r="G16" s="642">
        <v>0</v>
      </c>
      <c r="H16" s="622">
        <f>SUM(E16:G16)</f>
        <v>1</v>
      </c>
      <c r="I16" s="623"/>
      <c r="J16" s="642">
        <v>1</v>
      </c>
      <c r="K16" s="642">
        <v>5</v>
      </c>
      <c r="L16" s="642">
        <v>0</v>
      </c>
      <c r="M16" s="642">
        <v>0</v>
      </c>
      <c r="N16" s="642">
        <v>0</v>
      </c>
      <c r="O16" s="642">
        <v>0</v>
      </c>
      <c r="P16" s="642">
        <v>0</v>
      </c>
      <c r="Q16" s="642">
        <v>0</v>
      </c>
      <c r="R16" s="642">
        <v>0</v>
      </c>
      <c r="S16" s="642">
        <v>14.27</v>
      </c>
      <c r="T16" s="519"/>
      <c r="U16" s="624"/>
      <c r="V16" s="624">
        <f t="shared" ref="V16" si="3">H16</f>
        <v>1</v>
      </c>
      <c r="W16" s="624"/>
      <c r="X16" s="624"/>
      <c r="Y16" s="624"/>
    </row>
    <row r="17" spans="1:25" s="140" customFormat="1" ht="3.75" customHeight="1" x14ac:dyDescent="0.2">
      <c r="E17" s="675"/>
      <c r="F17" s="675"/>
      <c r="G17" s="675"/>
      <c r="H17" s="676"/>
      <c r="I17" s="676"/>
      <c r="J17" s="675"/>
      <c r="K17" s="675"/>
      <c r="L17" s="675"/>
      <c r="M17" s="675"/>
      <c r="N17" s="675"/>
      <c r="O17" s="675"/>
      <c r="P17" s="675"/>
      <c r="Q17" s="675"/>
      <c r="R17" s="675"/>
      <c r="S17" s="675"/>
      <c r="U17" s="675"/>
      <c r="V17" s="675"/>
      <c r="W17" s="675"/>
      <c r="X17" s="675"/>
      <c r="Y17" s="675"/>
    </row>
    <row r="18" spans="1:25" s="140" customFormat="1" ht="10.199999999999999" x14ac:dyDescent="0.2">
      <c r="A18" s="519"/>
      <c r="B18" s="618" t="s">
        <v>1540</v>
      </c>
      <c r="C18" s="643" t="s">
        <v>1049</v>
      </c>
      <c r="D18" s="619" t="s">
        <v>0</v>
      </c>
      <c r="E18" s="642">
        <v>5</v>
      </c>
      <c r="F18" s="642">
        <v>1</v>
      </c>
      <c r="G18" s="642">
        <v>0</v>
      </c>
      <c r="H18" s="620">
        <f>SUM(E18:G18)</f>
        <v>6</v>
      </c>
      <c r="I18" s="621" t="str">
        <f>IF(H18&gt;H19,"Voitto",IF(H18=H19,"Tasapeli","Häviö"))</f>
        <v>Voitto</v>
      </c>
      <c r="J18" s="642">
        <v>0</v>
      </c>
      <c r="K18" s="642">
        <v>0</v>
      </c>
      <c r="L18" s="642">
        <v>0</v>
      </c>
      <c r="M18" s="642">
        <v>0</v>
      </c>
      <c r="N18" s="642">
        <v>0</v>
      </c>
      <c r="O18" s="642">
        <v>0</v>
      </c>
      <c r="P18" s="642">
        <v>0</v>
      </c>
      <c r="Q18" s="642">
        <v>0</v>
      </c>
      <c r="R18" s="642">
        <v>0</v>
      </c>
      <c r="S18" s="642">
        <v>6.35</v>
      </c>
      <c r="T18" s="519"/>
      <c r="U18" s="624">
        <f t="shared" ref="U18" si="4">H18</f>
        <v>6</v>
      </c>
      <c r="V18" s="624"/>
      <c r="W18" s="624" t="str">
        <f>IF((J18=0)*AND(J19=0),"1","0")</f>
        <v>1</v>
      </c>
      <c r="X18" s="624" t="str">
        <f>IF((J18=0)*AND(J19&gt;0),"1","0")</f>
        <v>0</v>
      </c>
      <c r="Y18" s="624" t="str">
        <f>IF((J18&gt;0)*AND(J19=0),"1","0")</f>
        <v>0</v>
      </c>
    </row>
    <row r="19" spans="1:25" s="140" customFormat="1" ht="10.199999999999999" x14ac:dyDescent="0.2">
      <c r="A19" s="519"/>
      <c r="B19" s="673" t="s">
        <v>1647</v>
      </c>
      <c r="C19" s="643" t="s">
        <v>1514</v>
      </c>
      <c r="D19" s="643" t="s">
        <v>1638</v>
      </c>
      <c r="E19" s="642">
        <v>3</v>
      </c>
      <c r="F19" s="642">
        <v>0</v>
      </c>
      <c r="G19" s="642">
        <v>0</v>
      </c>
      <c r="H19" s="622">
        <f>SUM(E19:G19)</f>
        <v>3</v>
      </c>
      <c r="I19" s="623"/>
      <c r="J19" s="642">
        <v>0</v>
      </c>
      <c r="K19" s="642">
        <v>0</v>
      </c>
      <c r="L19" s="642">
        <v>0</v>
      </c>
      <c r="M19" s="642">
        <v>0</v>
      </c>
      <c r="N19" s="642">
        <v>0</v>
      </c>
      <c r="O19" s="642">
        <v>0</v>
      </c>
      <c r="P19" s="642">
        <v>0</v>
      </c>
      <c r="Q19" s="642">
        <v>0</v>
      </c>
      <c r="R19" s="642">
        <v>0</v>
      </c>
      <c r="S19" s="642">
        <v>3.13</v>
      </c>
      <c r="T19" s="519"/>
      <c r="U19" s="624"/>
      <c r="V19" s="624">
        <f t="shared" ref="V19" si="5">H19</f>
        <v>3</v>
      </c>
      <c r="W19" s="624"/>
      <c r="X19" s="624"/>
      <c r="Y19" s="624"/>
    </row>
    <row r="20" spans="1:25" s="140" customFormat="1" ht="3.75" customHeight="1" x14ac:dyDescent="0.2">
      <c r="E20" s="675"/>
      <c r="F20" s="675"/>
      <c r="G20" s="675"/>
      <c r="H20" s="676"/>
      <c r="I20" s="676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U20" s="675"/>
      <c r="V20" s="675"/>
      <c r="W20" s="675"/>
      <c r="X20" s="675"/>
      <c r="Y20" s="675"/>
    </row>
    <row r="21" spans="1:25" s="140" customFormat="1" ht="10.199999999999999" x14ac:dyDescent="0.2">
      <c r="A21" s="519"/>
      <c r="B21" s="618" t="s">
        <v>1541</v>
      </c>
      <c r="C21" s="643" t="s">
        <v>1049</v>
      </c>
      <c r="D21" s="619" t="s">
        <v>0</v>
      </c>
      <c r="E21" s="642">
        <v>1</v>
      </c>
      <c r="F21" s="642">
        <v>0</v>
      </c>
      <c r="G21" s="642">
        <v>0</v>
      </c>
      <c r="H21" s="620">
        <f>SUM(E21:G21)</f>
        <v>1</v>
      </c>
      <c r="I21" s="621" t="str">
        <f>IF(H21&gt;H22,"Voitto",IF(H21=H22,"Tasapeli","Häviö"))</f>
        <v>Häviö</v>
      </c>
      <c r="J21" s="642">
        <v>2</v>
      </c>
      <c r="K21" s="642">
        <v>12</v>
      </c>
      <c r="L21" s="642">
        <v>0</v>
      </c>
      <c r="M21" s="642">
        <v>0</v>
      </c>
      <c r="N21" s="642">
        <v>0</v>
      </c>
      <c r="O21" s="642">
        <v>0</v>
      </c>
      <c r="P21" s="642">
        <v>0</v>
      </c>
      <c r="Q21" s="642">
        <v>0</v>
      </c>
      <c r="R21" s="642">
        <v>0</v>
      </c>
      <c r="S21" s="642">
        <v>13.58</v>
      </c>
      <c r="T21" s="519"/>
      <c r="U21" s="624">
        <f t="shared" ref="U21" si="6">H21</f>
        <v>1</v>
      </c>
      <c r="V21" s="624"/>
      <c r="W21" s="624" t="str">
        <f>IF((J21=0)*AND(J22=0),"1","0")</f>
        <v>0</v>
      </c>
      <c r="X21" s="624" t="str">
        <f>IF((J21=0)*AND(J22&gt;0),"1","0")</f>
        <v>0</v>
      </c>
      <c r="Y21" s="624" t="str">
        <f>IF((J21&gt;0)*AND(J22=0),"1","0")</f>
        <v>0</v>
      </c>
    </row>
    <row r="22" spans="1:25" s="140" customFormat="1" ht="10.199999999999999" x14ac:dyDescent="0.2">
      <c r="A22" s="519"/>
      <c r="B22" s="673" t="s">
        <v>1648</v>
      </c>
      <c r="C22" s="643" t="s">
        <v>1515</v>
      </c>
      <c r="D22" s="643" t="s">
        <v>1396</v>
      </c>
      <c r="E22" s="642">
        <v>3</v>
      </c>
      <c r="F22" s="642">
        <v>1</v>
      </c>
      <c r="G22" s="642">
        <v>1</v>
      </c>
      <c r="H22" s="622">
        <f>SUM(E22:G22)</f>
        <v>5</v>
      </c>
      <c r="I22" s="623"/>
      <c r="J22" s="642">
        <v>2</v>
      </c>
      <c r="K22" s="642">
        <v>4</v>
      </c>
      <c r="L22" s="642">
        <v>0</v>
      </c>
      <c r="M22" s="642">
        <v>0</v>
      </c>
      <c r="N22" s="642">
        <v>0</v>
      </c>
      <c r="O22" s="642">
        <v>0</v>
      </c>
      <c r="P22" s="642">
        <v>0</v>
      </c>
      <c r="Q22" s="642">
        <v>0</v>
      </c>
      <c r="R22" s="642">
        <v>0</v>
      </c>
      <c r="S22" s="642">
        <v>4.47</v>
      </c>
      <c r="T22" s="519"/>
      <c r="U22" s="624"/>
      <c r="V22" s="624">
        <f t="shared" ref="V22" si="7">H22</f>
        <v>5</v>
      </c>
      <c r="W22" s="624"/>
      <c r="X22" s="624"/>
      <c r="Y22" s="624"/>
    </row>
    <row r="23" spans="1:25" s="140" customFormat="1" ht="3.75" customHeight="1" x14ac:dyDescent="0.2">
      <c r="E23" s="675"/>
      <c r="F23" s="675"/>
      <c r="G23" s="675"/>
      <c r="H23" s="676"/>
      <c r="I23" s="676"/>
      <c r="J23" s="675"/>
      <c r="K23" s="675"/>
      <c r="L23" s="675"/>
      <c r="M23" s="675"/>
      <c r="N23" s="675"/>
      <c r="O23" s="675"/>
      <c r="P23" s="675"/>
      <c r="Q23" s="675"/>
      <c r="R23" s="675"/>
      <c r="S23" s="675"/>
      <c r="U23" s="675"/>
      <c r="V23" s="675"/>
      <c r="W23" s="675"/>
      <c r="X23" s="675"/>
      <c r="Y23" s="675"/>
    </row>
    <row r="24" spans="1:25" s="140" customFormat="1" ht="10.199999999999999" x14ac:dyDescent="0.2">
      <c r="A24" s="519"/>
      <c r="B24" s="618" t="s">
        <v>1542</v>
      </c>
      <c r="C24" s="643" t="s">
        <v>1398</v>
      </c>
      <c r="D24" s="619" t="s">
        <v>0</v>
      </c>
      <c r="E24" s="642">
        <v>0</v>
      </c>
      <c r="F24" s="642">
        <v>1</v>
      </c>
      <c r="G24" s="642">
        <v>2</v>
      </c>
      <c r="H24" s="620">
        <f>SUM(E24:G24)</f>
        <v>3</v>
      </c>
      <c r="I24" s="621" t="str">
        <f>IF(H24&gt;H25,"Voitto",IF(H24=H25,"Tasapeli","Häviö"))</f>
        <v>Häviö</v>
      </c>
      <c r="J24" s="642">
        <v>2</v>
      </c>
      <c r="K24" s="642">
        <v>4</v>
      </c>
      <c r="L24" s="642">
        <v>0</v>
      </c>
      <c r="M24" s="642">
        <v>0</v>
      </c>
      <c r="N24" s="642">
        <v>0</v>
      </c>
      <c r="O24" s="642">
        <v>0</v>
      </c>
      <c r="P24" s="642">
        <v>0</v>
      </c>
      <c r="Q24" s="642">
        <v>0</v>
      </c>
      <c r="R24" s="642">
        <v>0</v>
      </c>
      <c r="S24" s="642">
        <v>25.54</v>
      </c>
      <c r="T24" s="519"/>
      <c r="U24" s="624">
        <f t="shared" ref="U24" si="8">H24</f>
        <v>3</v>
      </c>
      <c r="V24" s="624"/>
      <c r="W24" s="624" t="str">
        <f>IF((J24=0)*AND(J25=0),"1","0")</f>
        <v>0</v>
      </c>
      <c r="X24" s="624" t="str">
        <f>IF((J24=0)*AND(J25&gt;0),"1","0")</f>
        <v>0</v>
      </c>
      <c r="Y24" s="624" t="str">
        <f>IF((J24&gt;0)*AND(J25=0),"1","0")</f>
        <v>0</v>
      </c>
    </row>
    <row r="25" spans="1:25" s="140" customFormat="1" ht="10.199999999999999" x14ac:dyDescent="0.2">
      <c r="A25" s="519"/>
      <c r="B25" s="673" t="s">
        <v>1649</v>
      </c>
      <c r="C25" s="643" t="s">
        <v>1515</v>
      </c>
      <c r="D25" s="643" t="s">
        <v>1394</v>
      </c>
      <c r="E25" s="642">
        <v>0</v>
      </c>
      <c r="F25" s="642">
        <v>2</v>
      </c>
      <c r="G25" s="642">
        <v>3</v>
      </c>
      <c r="H25" s="622">
        <f>SUM(E25:G25)</f>
        <v>5</v>
      </c>
      <c r="I25" s="623"/>
      <c r="J25" s="642">
        <v>1</v>
      </c>
      <c r="K25" s="642">
        <v>2</v>
      </c>
      <c r="L25" s="642">
        <v>1</v>
      </c>
      <c r="M25" s="642">
        <v>0</v>
      </c>
      <c r="N25" s="642">
        <v>0</v>
      </c>
      <c r="O25" s="642">
        <v>0</v>
      </c>
      <c r="P25" s="642">
        <v>0</v>
      </c>
      <c r="Q25" s="642">
        <v>0</v>
      </c>
      <c r="R25" s="642">
        <v>0</v>
      </c>
      <c r="S25" s="642">
        <v>15.59</v>
      </c>
      <c r="T25" s="519"/>
      <c r="U25" s="624"/>
      <c r="V25" s="624">
        <f t="shared" ref="V25" si="9">H25</f>
        <v>5</v>
      </c>
      <c r="W25" s="624"/>
      <c r="X25" s="624"/>
      <c r="Y25" s="624"/>
    </row>
    <row r="26" spans="1:25" s="140" customFormat="1" ht="3.75" customHeight="1" x14ac:dyDescent="0.2">
      <c r="E26" s="675"/>
      <c r="F26" s="675"/>
      <c r="G26" s="675"/>
      <c r="H26" s="676"/>
      <c r="I26" s="676"/>
      <c r="J26" s="675"/>
      <c r="K26" s="675"/>
      <c r="L26" s="675"/>
      <c r="M26" s="675"/>
      <c r="N26" s="675"/>
      <c r="O26" s="675"/>
      <c r="P26" s="675"/>
      <c r="Q26" s="675"/>
      <c r="R26" s="675"/>
      <c r="S26" s="675"/>
      <c r="U26" s="675"/>
      <c r="V26" s="675"/>
      <c r="W26" s="675"/>
      <c r="X26" s="675"/>
      <c r="Y26" s="675"/>
    </row>
    <row r="27" spans="1:25" s="140" customFormat="1" ht="10.199999999999999" x14ac:dyDescent="0.2">
      <c r="A27" s="519"/>
      <c r="B27" s="618" t="s">
        <v>1543</v>
      </c>
      <c r="C27" s="643" t="s">
        <v>1398</v>
      </c>
      <c r="D27" s="619" t="s">
        <v>0</v>
      </c>
      <c r="E27" s="642">
        <v>1</v>
      </c>
      <c r="F27" s="642">
        <v>2</v>
      </c>
      <c r="G27" s="642">
        <v>0</v>
      </c>
      <c r="H27" s="620">
        <f>SUM(E27:G27)</f>
        <v>3</v>
      </c>
      <c r="I27" s="621" t="str">
        <f>IF(H27&gt;H28,"Voitto",IF(H27=H28,"Tasapeli","Häviö"))</f>
        <v>Häviö</v>
      </c>
      <c r="J27" s="642">
        <v>2</v>
      </c>
      <c r="K27" s="642">
        <v>4</v>
      </c>
      <c r="L27" s="642">
        <v>0</v>
      </c>
      <c r="M27" s="642">
        <v>0</v>
      </c>
      <c r="N27" s="642">
        <v>0</v>
      </c>
      <c r="O27" s="642">
        <v>0</v>
      </c>
      <c r="P27" s="642">
        <v>0</v>
      </c>
      <c r="Q27" s="642">
        <v>0</v>
      </c>
      <c r="R27" s="642">
        <v>0</v>
      </c>
      <c r="S27" s="642">
        <v>11.55</v>
      </c>
      <c r="T27" s="519"/>
      <c r="U27" s="624">
        <f t="shared" ref="U27" si="10">H27</f>
        <v>3</v>
      </c>
      <c r="V27" s="624"/>
      <c r="W27" s="624" t="str">
        <f>IF((J27=0)*AND(J28=0),"1","0")</f>
        <v>0</v>
      </c>
      <c r="X27" s="624" t="str">
        <f>IF((J27=0)*AND(J28&gt;0),"1","0")</f>
        <v>0</v>
      </c>
      <c r="Y27" s="624" t="str">
        <f>IF((J27&gt;0)*AND(J28=0),"1","0")</f>
        <v>0</v>
      </c>
    </row>
    <row r="28" spans="1:25" s="140" customFormat="1" ht="10.199999999999999" x14ac:dyDescent="0.2">
      <c r="A28" s="519"/>
      <c r="B28" s="673" t="s">
        <v>1650</v>
      </c>
      <c r="C28" s="643" t="s">
        <v>1514</v>
      </c>
      <c r="D28" s="643" t="s">
        <v>1639</v>
      </c>
      <c r="E28" s="642">
        <v>2</v>
      </c>
      <c r="F28" s="642">
        <v>1</v>
      </c>
      <c r="G28" s="642">
        <v>2</v>
      </c>
      <c r="H28" s="622">
        <f>SUM(E28:G28)</f>
        <v>5</v>
      </c>
      <c r="I28" s="623"/>
      <c r="J28" s="642">
        <v>1</v>
      </c>
      <c r="K28" s="642">
        <v>2</v>
      </c>
      <c r="L28" s="642">
        <v>0</v>
      </c>
      <c r="M28" s="642">
        <v>0</v>
      </c>
      <c r="N28" s="642">
        <v>0</v>
      </c>
      <c r="O28" s="642">
        <v>0</v>
      </c>
      <c r="P28" s="642">
        <v>0</v>
      </c>
      <c r="Q28" s="642">
        <v>0</v>
      </c>
      <c r="R28" s="642">
        <v>1</v>
      </c>
      <c r="S28" s="642">
        <v>4.05</v>
      </c>
      <c r="T28" s="519"/>
      <c r="U28" s="624"/>
      <c r="V28" s="624">
        <f t="shared" ref="V28" si="11">H28</f>
        <v>5</v>
      </c>
      <c r="W28" s="624"/>
      <c r="X28" s="624"/>
      <c r="Y28" s="624"/>
    </row>
    <row r="29" spans="1:25" s="140" customFormat="1" ht="3.75" customHeight="1" x14ac:dyDescent="0.2">
      <c r="E29" s="675"/>
      <c r="F29" s="675"/>
      <c r="G29" s="675"/>
      <c r="H29" s="676"/>
      <c r="I29" s="676"/>
      <c r="J29" s="675"/>
      <c r="K29" s="675"/>
      <c r="L29" s="675"/>
      <c r="M29" s="675"/>
      <c r="N29" s="675"/>
      <c r="O29" s="675"/>
      <c r="P29" s="675"/>
      <c r="Q29" s="675"/>
      <c r="R29" s="675"/>
      <c r="S29" s="675"/>
      <c r="U29" s="675"/>
      <c r="V29" s="675"/>
      <c r="W29" s="675"/>
      <c r="X29" s="675"/>
      <c r="Y29" s="675"/>
    </row>
    <row r="30" spans="1:25" s="140" customFormat="1" ht="10.199999999999999" x14ac:dyDescent="0.2">
      <c r="A30" s="519"/>
      <c r="B30" s="618" t="s">
        <v>1544</v>
      </c>
      <c r="C30" s="643" t="s">
        <v>1398</v>
      </c>
      <c r="D30" s="619" t="s">
        <v>0</v>
      </c>
      <c r="E30" s="642">
        <v>0</v>
      </c>
      <c r="F30" s="642">
        <v>2</v>
      </c>
      <c r="G30" s="642">
        <v>1</v>
      </c>
      <c r="H30" s="620">
        <f>SUM(E30:G30)</f>
        <v>3</v>
      </c>
      <c r="I30" s="621" t="str">
        <f>IF(H30&gt;H31,"Voitto",IF(H30=H31,"Tasapeli","Häviö"))</f>
        <v>Häviö</v>
      </c>
      <c r="J30" s="642">
        <v>1</v>
      </c>
      <c r="K30" s="642">
        <v>2</v>
      </c>
      <c r="L30" s="642">
        <v>0</v>
      </c>
      <c r="M30" s="642">
        <v>0</v>
      </c>
      <c r="N30" s="642">
        <v>0</v>
      </c>
      <c r="O30" s="642">
        <v>0</v>
      </c>
      <c r="P30" s="642">
        <v>0</v>
      </c>
      <c r="Q30" s="642">
        <v>0</v>
      </c>
      <c r="R30" s="642">
        <v>0</v>
      </c>
      <c r="S30" s="642">
        <v>15.5</v>
      </c>
      <c r="T30" s="519"/>
      <c r="U30" s="624">
        <f t="shared" ref="U30" si="12">H30</f>
        <v>3</v>
      </c>
      <c r="V30" s="624"/>
      <c r="W30" s="624" t="str">
        <f>IF((J30=0)*AND(J31=0),"1","0")</f>
        <v>0</v>
      </c>
      <c r="X30" s="624" t="str">
        <f>IF((J30=0)*AND(J31&gt;0),"1","0")</f>
        <v>0</v>
      </c>
      <c r="Y30" s="624" t="str">
        <f>IF((J30&gt;0)*AND(J31=0),"1","0")</f>
        <v>0</v>
      </c>
    </row>
    <row r="31" spans="1:25" s="140" customFormat="1" ht="10.199999999999999" x14ac:dyDescent="0.2">
      <c r="A31" s="519"/>
      <c r="B31" s="673" t="s">
        <v>1651</v>
      </c>
      <c r="C31" s="643" t="s">
        <v>1514</v>
      </c>
      <c r="D31" s="643" t="s">
        <v>1220</v>
      </c>
      <c r="E31" s="642">
        <v>0</v>
      </c>
      <c r="F31" s="642">
        <v>1</v>
      </c>
      <c r="G31" s="642">
        <v>3</v>
      </c>
      <c r="H31" s="622">
        <f>SUM(E31:G31)</f>
        <v>4</v>
      </c>
      <c r="I31" s="623"/>
      <c r="J31" s="642">
        <v>3</v>
      </c>
      <c r="K31" s="642">
        <v>6</v>
      </c>
      <c r="L31" s="642">
        <v>0</v>
      </c>
      <c r="M31" s="642">
        <v>0</v>
      </c>
      <c r="N31" s="642">
        <v>0</v>
      </c>
      <c r="O31" s="642">
        <v>0</v>
      </c>
      <c r="P31" s="642">
        <v>0</v>
      </c>
      <c r="Q31" s="642">
        <v>0</v>
      </c>
      <c r="R31" s="642">
        <v>1</v>
      </c>
      <c r="S31" s="642">
        <v>16.22</v>
      </c>
      <c r="T31" s="519"/>
      <c r="U31" s="624"/>
      <c r="V31" s="624">
        <f t="shared" ref="V31" si="13">H31</f>
        <v>4</v>
      </c>
      <c r="W31" s="624"/>
      <c r="X31" s="624"/>
      <c r="Y31" s="624"/>
    </row>
    <row r="32" spans="1:25" s="140" customFormat="1" ht="3.75" customHeight="1" x14ac:dyDescent="0.2">
      <c r="E32" s="675"/>
      <c r="F32" s="675"/>
      <c r="G32" s="675"/>
      <c r="H32" s="676"/>
      <c r="I32" s="676"/>
      <c r="J32" s="675"/>
      <c r="K32" s="675"/>
      <c r="L32" s="675"/>
      <c r="M32" s="675"/>
      <c r="N32" s="675"/>
      <c r="O32" s="675"/>
      <c r="P32" s="675"/>
      <c r="Q32" s="675"/>
      <c r="R32" s="675"/>
      <c r="S32" s="675"/>
      <c r="U32" s="675"/>
      <c r="V32" s="675"/>
      <c r="W32" s="675"/>
      <c r="X32" s="675"/>
      <c r="Y32" s="675"/>
    </row>
    <row r="33" spans="1:25" s="140" customFormat="1" ht="10.199999999999999" x14ac:dyDescent="0.2">
      <c r="A33" s="519"/>
      <c r="B33" s="618" t="s">
        <v>1545</v>
      </c>
      <c r="C33" s="643" t="s">
        <v>1398</v>
      </c>
      <c r="D33" s="619" t="s">
        <v>0</v>
      </c>
      <c r="E33" s="642">
        <v>1</v>
      </c>
      <c r="F33" s="642">
        <v>1</v>
      </c>
      <c r="G33" s="642">
        <v>1</v>
      </c>
      <c r="H33" s="620">
        <f>SUM(E33:G33)</f>
        <v>3</v>
      </c>
      <c r="I33" s="621" t="str">
        <f>IF(H33&gt;H34,"Voitto",IF(H33=H34,"Tasapeli","Häviö"))</f>
        <v>Häviö</v>
      </c>
      <c r="J33" s="642">
        <v>2</v>
      </c>
      <c r="K33" s="642">
        <v>4</v>
      </c>
      <c r="L33" s="642">
        <v>1</v>
      </c>
      <c r="M33" s="642">
        <v>0</v>
      </c>
      <c r="N33" s="642">
        <v>0</v>
      </c>
      <c r="O33" s="642">
        <v>0</v>
      </c>
      <c r="P33" s="642">
        <v>0</v>
      </c>
      <c r="Q33" s="642">
        <v>0</v>
      </c>
      <c r="R33" s="642">
        <v>0</v>
      </c>
      <c r="S33" s="642">
        <v>6.32</v>
      </c>
      <c r="T33" s="519"/>
      <c r="U33" s="624">
        <f t="shared" ref="U33" si="14">H33</f>
        <v>3</v>
      </c>
      <c r="V33" s="624"/>
      <c r="W33" s="624" t="str">
        <f>IF((J33=0)*AND(J34=0),"1","0")</f>
        <v>0</v>
      </c>
      <c r="X33" s="624" t="str">
        <f>IF((J33=0)*AND(J34&gt;0),"1","0")</f>
        <v>0</v>
      </c>
      <c r="Y33" s="624" t="str">
        <f>IF((J33&gt;0)*AND(J34=0),"1","0")</f>
        <v>0</v>
      </c>
    </row>
    <row r="34" spans="1:25" s="140" customFormat="1" ht="10.199999999999999" x14ac:dyDescent="0.2">
      <c r="A34" s="519"/>
      <c r="B34" s="673" t="s">
        <v>1652</v>
      </c>
      <c r="C34" s="643" t="s">
        <v>1515</v>
      </c>
      <c r="D34" s="643" t="s">
        <v>1403</v>
      </c>
      <c r="E34" s="642">
        <v>1</v>
      </c>
      <c r="F34" s="642">
        <v>1</v>
      </c>
      <c r="G34" s="642">
        <v>4</v>
      </c>
      <c r="H34" s="622">
        <f>SUM(E34:G34)</f>
        <v>6</v>
      </c>
      <c r="I34" s="623"/>
      <c r="J34" s="642">
        <v>2</v>
      </c>
      <c r="K34" s="642">
        <v>4</v>
      </c>
      <c r="L34" s="642">
        <v>0</v>
      </c>
      <c r="M34" s="642">
        <v>0</v>
      </c>
      <c r="N34" s="642">
        <v>0</v>
      </c>
      <c r="O34" s="642">
        <v>0</v>
      </c>
      <c r="P34" s="642">
        <v>0</v>
      </c>
      <c r="Q34" s="642">
        <v>0</v>
      </c>
      <c r="R34" s="642">
        <v>1</v>
      </c>
      <c r="S34" s="642">
        <v>6.05</v>
      </c>
      <c r="T34" s="519"/>
      <c r="U34" s="624"/>
      <c r="V34" s="624">
        <f t="shared" ref="V34" si="15">H34</f>
        <v>6</v>
      </c>
      <c r="W34" s="624"/>
      <c r="X34" s="624"/>
      <c r="Y34" s="624"/>
    </row>
    <row r="35" spans="1:25" s="140" customFormat="1" ht="3.75" customHeight="1" x14ac:dyDescent="0.2">
      <c r="E35" s="675"/>
      <c r="F35" s="675"/>
      <c r="G35" s="675"/>
      <c r="H35" s="676"/>
      <c r="I35" s="676"/>
      <c r="J35" s="675"/>
      <c r="K35" s="675"/>
      <c r="L35" s="675"/>
      <c r="M35" s="675"/>
      <c r="N35" s="675"/>
      <c r="O35" s="675"/>
      <c r="P35" s="675"/>
      <c r="Q35" s="675"/>
      <c r="R35" s="675"/>
      <c r="S35" s="675"/>
      <c r="U35" s="675"/>
      <c r="V35" s="675"/>
      <c r="W35" s="675"/>
      <c r="X35" s="675"/>
      <c r="Y35" s="675"/>
    </row>
    <row r="36" spans="1:25" s="140" customFormat="1" ht="10.199999999999999" x14ac:dyDescent="0.2">
      <c r="A36" s="519"/>
      <c r="B36" s="618" t="s">
        <v>1546</v>
      </c>
      <c r="C36" s="643" t="s">
        <v>1643</v>
      </c>
      <c r="D36" s="619" t="s">
        <v>0</v>
      </c>
      <c r="E36" s="642">
        <v>0</v>
      </c>
      <c r="F36" s="642">
        <v>3</v>
      </c>
      <c r="G36" s="642">
        <v>1</v>
      </c>
      <c r="H36" s="620">
        <f>SUM(E36:G36)</f>
        <v>4</v>
      </c>
      <c r="I36" s="621" t="str">
        <f>IF(H36&gt;H37,"Voitto",IF(H36=H37,"Tasapeli","Häviö"))</f>
        <v>Häviö</v>
      </c>
      <c r="J36" s="642">
        <v>0</v>
      </c>
      <c r="K36" s="642">
        <v>0</v>
      </c>
      <c r="L36" s="642">
        <v>0</v>
      </c>
      <c r="M36" s="642">
        <v>0</v>
      </c>
      <c r="N36" s="642">
        <v>0</v>
      </c>
      <c r="O36" s="642">
        <v>0</v>
      </c>
      <c r="P36" s="642">
        <v>0</v>
      </c>
      <c r="Q36" s="642">
        <v>0</v>
      </c>
      <c r="R36" s="642">
        <v>0</v>
      </c>
      <c r="S36" s="642">
        <v>21.46</v>
      </c>
      <c r="T36" s="519"/>
      <c r="U36" s="624">
        <f t="shared" ref="U36" si="16">H36</f>
        <v>4</v>
      </c>
      <c r="V36" s="624"/>
      <c r="W36" s="624" t="str">
        <f>IF((J36=0)*AND(J37=0),"1","0")</f>
        <v>0</v>
      </c>
      <c r="X36" s="624" t="str">
        <f>IF((J36=0)*AND(J37&gt;0),"1","0")</f>
        <v>1</v>
      </c>
      <c r="Y36" s="624" t="str">
        <f>IF((J36&gt;0)*AND(J37=0),"1","0")</f>
        <v>0</v>
      </c>
    </row>
    <row r="37" spans="1:25" s="140" customFormat="1" ht="10.199999999999999" x14ac:dyDescent="0.2">
      <c r="A37" s="519"/>
      <c r="B37" s="673" t="s">
        <v>1653</v>
      </c>
      <c r="C37" s="643" t="s">
        <v>1515</v>
      </c>
      <c r="D37" s="643" t="s">
        <v>1245</v>
      </c>
      <c r="E37" s="642">
        <v>5</v>
      </c>
      <c r="F37" s="642">
        <v>4</v>
      </c>
      <c r="G37" s="642">
        <v>2</v>
      </c>
      <c r="H37" s="622">
        <f>SUM(E37:G37)</f>
        <v>11</v>
      </c>
      <c r="I37" s="623"/>
      <c r="J37" s="642">
        <v>1</v>
      </c>
      <c r="K37" s="642">
        <v>2</v>
      </c>
      <c r="L37" s="642">
        <v>0</v>
      </c>
      <c r="M37" s="642">
        <v>0</v>
      </c>
      <c r="N37" s="642">
        <v>0</v>
      </c>
      <c r="O37" s="642">
        <v>0</v>
      </c>
      <c r="P37" s="642">
        <v>0</v>
      </c>
      <c r="Q37" s="642">
        <v>0</v>
      </c>
      <c r="R37" s="642">
        <v>0</v>
      </c>
      <c r="S37" s="642">
        <v>10.37</v>
      </c>
      <c r="T37" s="519"/>
      <c r="U37" s="624"/>
      <c r="V37" s="624">
        <f t="shared" ref="V37" si="17">H37</f>
        <v>11</v>
      </c>
      <c r="W37" s="624"/>
      <c r="X37" s="624"/>
      <c r="Y37" s="624"/>
    </row>
    <row r="38" spans="1:25" s="140" customFormat="1" ht="3.75" customHeight="1" x14ac:dyDescent="0.2">
      <c r="E38" s="675"/>
      <c r="F38" s="675"/>
      <c r="G38" s="675"/>
      <c r="H38" s="676"/>
      <c r="I38" s="676"/>
      <c r="J38" s="675"/>
      <c r="K38" s="675"/>
      <c r="L38" s="675"/>
      <c r="M38" s="675"/>
      <c r="N38" s="675"/>
      <c r="O38" s="675"/>
      <c r="P38" s="675"/>
      <c r="Q38" s="675"/>
      <c r="R38" s="675"/>
      <c r="S38" s="675"/>
      <c r="U38" s="675"/>
      <c r="V38" s="675"/>
      <c r="W38" s="675"/>
      <c r="X38" s="675"/>
      <c r="Y38" s="675"/>
    </row>
    <row r="39" spans="1:25" s="140" customFormat="1" ht="10.199999999999999" x14ac:dyDescent="0.2">
      <c r="A39" s="519"/>
      <c r="B39" s="618" t="s">
        <v>1547</v>
      </c>
      <c r="C39" s="643" t="s">
        <v>1643</v>
      </c>
      <c r="D39" s="619" t="s">
        <v>0</v>
      </c>
      <c r="E39" s="642">
        <v>1</v>
      </c>
      <c r="F39" s="642">
        <v>0</v>
      </c>
      <c r="G39" s="642">
        <v>0</v>
      </c>
      <c r="H39" s="620">
        <f>SUM(E39:G39)</f>
        <v>1</v>
      </c>
      <c r="I39" s="621" t="str">
        <f>IF(H39&gt;H40,"Voitto",IF(H39=H40,"Tasapeli","Häviö"))</f>
        <v>Häviö</v>
      </c>
      <c r="J39" s="642">
        <v>2</v>
      </c>
      <c r="K39" s="642">
        <v>4</v>
      </c>
      <c r="L39" s="642">
        <v>0</v>
      </c>
      <c r="M39" s="642">
        <v>0</v>
      </c>
      <c r="N39" s="642">
        <v>0</v>
      </c>
      <c r="O39" s="642">
        <v>0</v>
      </c>
      <c r="P39" s="642">
        <v>0</v>
      </c>
      <c r="Q39" s="642">
        <v>0</v>
      </c>
      <c r="R39" s="642">
        <v>0</v>
      </c>
      <c r="S39" s="642">
        <v>0.43</v>
      </c>
      <c r="T39" s="519"/>
      <c r="U39" s="624">
        <f>H39</f>
        <v>1</v>
      </c>
      <c r="V39" s="624"/>
      <c r="W39" s="624" t="str">
        <f>IF((J39=0)*AND(J40=0),"1","0")</f>
        <v>0</v>
      </c>
      <c r="X39" s="624" t="str">
        <f>IF((J39=0)*AND(J40&gt;0),"1","0")</f>
        <v>0</v>
      </c>
      <c r="Y39" s="624" t="str">
        <f>IF((J39&gt;0)*AND(J40=0),"1","0")</f>
        <v>1</v>
      </c>
    </row>
    <row r="40" spans="1:25" s="140" customFormat="1" ht="10.199999999999999" x14ac:dyDescent="0.2">
      <c r="A40" s="519"/>
      <c r="B40" s="673" t="s">
        <v>1654</v>
      </c>
      <c r="C40" s="643" t="s">
        <v>1514</v>
      </c>
      <c r="D40" s="643" t="s">
        <v>1584</v>
      </c>
      <c r="E40" s="642">
        <v>1</v>
      </c>
      <c r="F40" s="642">
        <v>0</v>
      </c>
      <c r="G40" s="642">
        <v>1</v>
      </c>
      <c r="H40" s="622">
        <f>SUM(E40:G40)</f>
        <v>2</v>
      </c>
      <c r="I40" s="623"/>
      <c r="J40" s="642">
        <v>0</v>
      </c>
      <c r="K40" s="642">
        <v>0</v>
      </c>
      <c r="L40" s="642">
        <v>0</v>
      </c>
      <c r="M40" s="642">
        <v>0</v>
      </c>
      <c r="N40" s="642">
        <v>0</v>
      </c>
      <c r="O40" s="642">
        <v>0</v>
      </c>
      <c r="P40" s="642">
        <v>0</v>
      </c>
      <c r="Q40" s="642">
        <v>0</v>
      </c>
      <c r="R40" s="642">
        <v>0</v>
      </c>
      <c r="S40" s="642">
        <v>12.59</v>
      </c>
      <c r="T40" s="519"/>
      <c r="U40" s="624"/>
      <c r="V40" s="624">
        <f t="shared" ref="V40" si="18">H40</f>
        <v>2</v>
      </c>
      <c r="W40" s="624"/>
      <c r="X40" s="624"/>
      <c r="Y40" s="624"/>
    </row>
    <row r="41" spans="1:25" s="140" customFormat="1" ht="3.75" customHeight="1" x14ac:dyDescent="0.2">
      <c r="E41" s="675"/>
      <c r="F41" s="675"/>
      <c r="G41" s="675"/>
      <c r="H41" s="676"/>
      <c r="I41" s="676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U41" s="675"/>
      <c r="V41" s="675"/>
      <c r="W41" s="675"/>
      <c r="X41" s="675"/>
      <c r="Y41" s="675"/>
    </row>
    <row r="42" spans="1:25" s="140" customFormat="1" ht="10.199999999999999" x14ac:dyDescent="0.2">
      <c r="A42" s="519"/>
      <c r="B42" s="618" t="s">
        <v>1548</v>
      </c>
      <c r="C42" s="643" t="s">
        <v>44</v>
      </c>
      <c r="D42" s="619" t="s">
        <v>0</v>
      </c>
      <c r="E42" s="642">
        <v>1</v>
      </c>
      <c r="F42" s="642">
        <v>0</v>
      </c>
      <c r="G42" s="642">
        <v>2</v>
      </c>
      <c r="H42" s="620">
        <f>SUM(E42:G42)</f>
        <v>3</v>
      </c>
      <c r="I42" s="621" t="str">
        <f>IF(H42&gt;H43,"Voitto",IF(H42=H43,"Tasapeli","Häviö"))</f>
        <v>Häviö</v>
      </c>
      <c r="J42" s="642">
        <v>0</v>
      </c>
      <c r="K42" s="642">
        <v>0</v>
      </c>
      <c r="L42" s="642">
        <v>0</v>
      </c>
      <c r="M42" s="642">
        <v>0</v>
      </c>
      <c r="N42" s="642">
        <v>0</v>
      </c>
      <c r="O42" s="642">
        <v>0</v>
      </c>
      <c r="P42" s="642">
        <v>0</v>
      </c>
      <c r="Q42" s="642">
        <v>0</v>
      </c>
      <c r="R42" s="642">
        <v>0</v>
      </c>
      <c r="S42" s="642">
        <v>14.5</v>
      </c>
      <c r="T42" s="519"/>
      <c r="U42" s="624">
        <f>H42</f>
        <v>3</v>
      </c>
      <c r="V42" s="624"/>
      <c r="W42" s="624" t="str">
        <f>IF((J42=0)*AND(J43=0),"1","0")</f>
        <v>0</v>
      </c>
      <c r="X42" s="624" t="str">
        <f>IF((J42=0)*AND(J43&gt;0),"1","0")</f>
        <v>1</v>
      </c>
      <c r="Y42" s="624" t="str">
        <f>IF((J42&gt;0)*AND(J43=0),"1","0")</f>
        <v>0</v>
      </c>
    </row>
    <row r="43" spans="1:25" s="140" customFormat="1" ht="10.199999999999999" x14ac:dyDescent="0.2">
      <c r="A43" s="519"/>
      <c r="B43" s="673" t="s">
        <v>1655</v>
      </c>
      <c r="C43" s="643" t="s">
        <v>1514</v>
      </c>
      <c r="D43" s="643" t="s">
        <v>1396</v>
      </c>
      <c r="E43" s="642">
        <v>2</v>
      </c>
      <c r="F43" s="642">
        <v>0</v>
      </c>
      <c r="G43" s="642">
        <v>2</v>
      </c>
      <c r="H43" s="622">
        <f>SUM(E43:G43)</f>
        <v>4</v>
      </c>
      <c r="I43" s="623"/>
      <c r="J43" s="642">
        <v>1</v>
      </c>
      <c r="K43" s="642">
        <v>2</v>
      </c>
      <c r="L43" s="642">
        <v>0</v>
      </c>
      <c r="M43" s="642">
        <v>0</v>
      </c>
      <c r="N43" s="642">
        <v>0</v>
      </c>
      <c r="O43" s="642">
        <v>0</v>
      </c>
      <c r="P43" s="642">
        <v>0</v>
      </c>
      <c r="Q43" s="642">
        <v>0</v>
      </c>
      <c r="R43" s="642">
        <v>0</v>
      </c>
      <c r="S43" s="642">
        <v>6.48</v>
      </c>
      <c r="T43" s="519"/>
      <c r="U43" s="624"/>
      <c r="V43" s="624">
        <f t="shared" ref="V43" si="19">H43</f>
        <v>4</v>
      </c>
      <c r="W43" s="624"/>
      <c r="X43" s="624"/>
      <c r="Y43" s="624"/>
    </row>
    <row r="44" spans="1:25" s="140" customFormat="1" ht="3.75" customHeight="1" x14ac:dyDescent="0.2">
      <c r="E44" s="675"/>
      <c r="F44" s="675"/>
      <c r="G44" s="675"/>
      <c r="H44" s="676"/>
      <c r="I44" s="676"/>
      <c r="J44" s="675"/>
      <c r="K44" s="675"/>
      <c r="L44" s="675"/>
      <c r="M44" s="675"/>
      <c r="N44" s="675"/>
      <c r="O44" s="675"/>
      <c r="P44" s="675"/>
      <c r="Q44" s="675"/>
      <c r="R44" s="675"/>
      <c r="S44" s="675"/>
      <c r="U44" s="675"/>
      <c r="V44" s="675"/>
      <c r="W44" s="675"/>
      <c r="X44" s="675"/>
      <c r="Y44" s="675"/>
    </row>
    <row r="45" spans="1:25" s="140" customFormat="1" ht="10.199999999999999" x14ac:dyDescent="0.2">
      <c r="A45" s="519"/>
      <c r="B45" s="618" t="s">
        <v>1549</v>
      </c>
      <c r="C45" s="643" t="s">
        <v>44</v>
      </c>
      <c r="D45" s="619" t="s">
        <v>0</v>
      </c>
      <c r="E45" s="642">
        <v>2</v>
      </c>
      <c r="F45" s="642">
        <v>2</v>
      </c>
      <c r="G45" s="642">
        <v>4</v>
      </c>
      <c r="H45" s="620">
        <f>SUM(E45:G45)</f>
        <v>8</v>
      </c>
      <c r="I45" s="621" t="str">
        <f>IF(H45&gt;H46,"Voitto",IF(H45=H46,"Tasapeli","Häviö"))</f>
        <v>Voitto</v>
      </c>
      <c r="J45" s="642">
        <v>0</v>
      </c>
      <c r="K45" s="642">
        <v>0</v>
      </c>
      <c r="L45" s="642">
        <v>0</v>
      </c>
      <c r="M45" s="642">
        <v>0</v>
      </c>
      <c r="N45" s="642">
        <v>0</v>
      </c>
      <c r="O45" s="642">
        <v>0</v>
      </c>
      <c r="P45" s="642">
        <v>0</v>
      </c>
      <c r="Q45" s="642">
        <v>0</v>
      </c>
      <c r="R45" s="642">
        <v>1</v>
      </c>
      <c r="S45" s="642">
        <v>10.130000000000001</v>
      </c>
      <c r="T45" s="519"/>
      <c r="U45" s="624">
        <f t="shared" ref="U45" si="20">H45</f>
        <v>8</v>
      </c>
      <c r="V45" s="624"/>
      <c r="W45" s="624" t="str">
        <f>IF((J45=0)*AND(J46=0),"1","0")</f>
        <v>1</v>
      </c>
      <c r="X45" s="624" t="str">
        <f>IF((J45=0)*AND(J46&gt;0),"1","0")</f>
        <v>0</v>
      </c>
      <c r="Y45" s="624" t="str">
        <f>IF((J45&gt;0)*AND(J46=0),"1","0")</f>
        <v>0</v>
      </c>
    </row>
    <row r="46" spans="1:25" s="140" customFormat="1" ht="10.199999999999999" x14ac:dyDescent="0.2">
      <c r="A46" s="519"/>
      <c r="B46" s="673" t="s">
        <v>1656</v>
      </c>
      <c r="C46" s="643" t="s">
        <v>1515</v>
      </c>
      <c r="D46" s="643" t="s">
        <v>1638</v>
      </c>
      <c r="E46" s="642">
        <v>1</v>
      </c>
      <c r="F46" s="642">
        <v>0</v>
      </c>
      <c r="G46" s="642">
        <v>3</v>
      </c>
      <c r="H46" s="622">
        <f>SUM(E46:G46)</f>
        <v>4</v>
      </c>
      <c r="I46" s="623"/>
      <c r="J46" s="642">
        <v>0</v>
      </c>
      <c r="K46" s="642">
        <v>0</v>
      </c>
      <c r="L46" s="642">
        <v>0</v>
      </c>
      <c r="M46" s="642">
        <v>0</v>
      </c>
      <c r="N46" s="642">
        <v>0</v>
      </c>
      <c r="O46" s="642">
        <v>0</v>
      </c>
      <c r="P46" s="642">
        <v>0</v>
      </c>
      <c r="Q46" s="642">
        <v>0</v>
      </c>
      <c r="R46" s="642">
        <v>0</v>
      </c>
      <c r="S46" s="642">
        <v>10.4</v>
      </c>
      <c r="T46" s="519"/>
      <c r="U46" s="624"/>
      <c r="V46" s="624">
        <f t="shared" ref="V46" si="21">H46</f>
        <v>4</v>
      </c>
      <c r="W46" s="624"/>
      <c r="X46" s="624"/>
      <c r="Y46" s="624"/>
    </row>
    <row r="47" spans="1:25" s="140" customFormat="1" ht="3.75" customHeight="1" x14ac:dyDescent="0.2">
      <c r="E47" s="675"/>
      <c r="F47" s="675"/>
      <c r="G47" s="675"/>
      <c r="H47" s="676"/>
      <c r="I47" s="676"/>
      <c r="J47" s="675"/>
      <c r="K47" s="675"/>
      <c r="L47" s="675"/>
      <c r="M47" s="675"/>
      <c r="N47" s="675"/>
      <c r="O47" s="675"/>
      <c r="P47" s="675"/>
      <c r="Q47" s="675"/>
      <c r="R47" s="675"/>
      <c r="S47" s="675"/>
      <c r="U47" s="675"/>
      <c r="V47" s="675"/>
      <c r="W47" s="675"/>
      <c r="X47" s="675"/>
      <c r="Y47" s="675"/>
    </row>
    <row r="48" spans="1:25" s="140" customFormat="1" ht="10.199999999999999" x14ac:dyDescent="0.2">
      <c r="A48" s="519"/>
      <c r="B48" s="618" t="s">
        <v>1550</v>
      </c>
      <c r="C48" s="643" t="s">
        <v>1399</v>
      </c>
      <c r="D48" s="619" t="s">
        <v>0</v>
      </c>
      <c r="E48" s="642">
        <v>0</v>
      </c>
      <c r="F48" s="642">
        <v>0</v>
      </c>
      <c r="G48" s="642">
        <v>4</v>
      </c>
      <c r="H48" s="620">
        <f>SUM(E48:G48)</f>
        <v>4</v>
      </c>
      <c r="I48" s="621" t="str">
        <f>IF(H48&gt;H49,"Voitto",IF(H48=H49,"Tasapeli","Häviö"))</f>
        <v>Voitto</v>
      </c>
      <c r="J48" s="642">
        <v>2</v>
      </c>
      <c r="K48" s="642">
        <v>4</v>
      </c>
      <c r="L48" s="642">
        <v>1</v>
      </c>
      <c r="M48" s="642">
        <v>0</v>
      </c>
      <c r="N48" s="642">
        <v>0</v>
      </c>
      <c r="O48" s="642">
        <v>0</v>
      </c>
      <c r="P48" s="642">
        <v>0</v>
      </c>
      <c r="Q48" s="642">
        <v>0</v>
      </c>
      <c r="R48" s="642">
        <v>1</v>
      </c>
      <c r="S48" s="642">
        <v>34.11</v>
      </c>
      <c r="T48" s="519"/>
      <c r="U48" s="624">
        <f t="shared" ref="U48" si="22">H48</f>
        <v>4</v>
      </c>
      <c r="V48" s="624"/>
      <c r="W48" s="624" t="str">
        <f>IF((J48=0)*AND(J49=0),"1","0")</f>
        <v>0</v>
      </c>
      <c r="X48" s="624" t="str">
        <f>IF((J48=0)*AND(J49&gt;0),"1","0")</f>
        <v>0</v>
      </c>
      <c r="Y48" s="624" t="str">
        <f>IF((J48&gt;0)*AND(J49=0),"1","0")</f>
        <v>0</v>
      </c>
    </row>
    <row r="49" spans="1:25" s="140" customFormat="1" ht="10.199999999999999" x14ac:dyDescent="0.2">
      <c r="A49" s="519"/>
      <c r="B49" s="673" t="s">
        <v>1657</v>
      </c>
      <c r="C49" s="643" t="s">
        <v>1514</v>
      </c>
      <c r="D49" s="643" t="s">
        <v>1394</v>
      </c>
      <c r="E49" s="642">
        <v>1</v>
      </c>
      <c r="F49" s="642">
        <v>0</v>
      </c>
      <c r="G49" s="642">
        <v>0</v>
      </c>
      <c r="H49" s="622">
        <f>SUM(E49:G49)</f>
        <v>1</v>
      </c>
      <c r="I49" s="623"/>
      <c r="J49" s="642">
        <v>1</v>
      </c>
      <c r="K49" s="642">
        <v>2</v>
      </c>
      <c r="L49" s="642">
        <v>0</v>
      </c>
      <c r="M49" s="642">
        <v>0</v>
      </c>
      <c r="N49" s="642">
        <v>0</v>
      </c>
      <c r="O49" s="642">
        <v>0</v>
      </c>
      <c r="P49" s="642">
        <v>0</v>
      </c>
      <c r="Q49" s="642">
        <v>0</v>
      </c>
      <c r="R49" s="642">
        <v>0</v>
      </c>
      <c r="S49" s="642">
        <v>13.52</v>
      </c>
      <c r="T49" s="519"/>
      <c r="U49" s="624"/>
      <c r="V49" s="624">
        <f t="shared" ref="V49" si="23">H49</f>
        <v>1</v>
      </c>
      <c r="W49" s="624"/>
      <c r="X49" s="624"/>
      <c r="Y49" s="624"/>
    </row>
    <row r="50" spans="1:25" s="140" customFormat="1" ht="3.75" customHeight="1" x14ac:dyDescent="0.2">
      <c r="E50" s="675"/>
      <c r="F50" s="675"/>
      <c r="G50" s="675"/>
      <c r="H50" s="676"/>
      <c r="I50" s="676"/>
      <c r="J50" s="675"/>
      <c r="K50" s="675"/>
      <c r="L50" s="675"/>
      <c r="M50" s="675"/>
      <c r="N50" s="675"/>
      <c r="O50" s="675"/>
      <c r="P50" s="675"/>
      <c r="Q50" s="675"/>
      <c r="R50" s="675"/>
      <c r="S50" s="675"/>
      <c r="U50" s="675"/>
      <c r="V50" s="675"/>
      <c r="W50" s="675"/>
      <c r="X50" s="675"/>
      <c r="Y50" s="675"/>
    </row>
    <row r="51" spans="1:25" s="140" customFormat="1" ht="10.199999999999999" x14ac:dyDescent="0.2">
      <c r="A51" s="519"/>
      <c r="B51" s="618" t="s">
        <v>1551</v>
      </c>
      <c r="C51" s="643" t="s">
        <v>1399</v>
      </c>
      <c r="D51" s="619" t="s">
        <v>0</v>
      </c>
      <c r="E51" s="642">
        <v>3</v>
      </c>
      <c r="F51" s="642">
        <v>0</v>
      </c>
      <c r="G51" s="642">
        <v>2</v>
      </c>
      <c r="H51" s="620">
        <f>SUM(E51:G51)</f>
        <v>5</v>
      </c>
      <c r="I51" s="621" t="str">
        <f>IF(H51&gt;H52,"Voitto",IF(H51=H52,"Tasapeli","Häviö"))</f>
        <v>Voitto</v>
      </c>
      <c r="J51" s="642">
        <v>3</v>
      </c>
      <c r="K51" s="642">
        <v>6</v>
      </c>
      <c r="L51" s="642">
        <v>0</v>
      </c>
      <c r="M51" s="642">
        <v>0</v>
      </c>
      <c r="N51" s="642">
        <v>0</v>
      </c>
      <c r="O51" s="642">
        <v>0</v>
      </c>
      <c r="P51" s="642">
        <v>0</v>
      </c>
      <c r="Q51" s="642">
        <v>0</v>
      </c>
      <c r="R51" s="642">
        <v>0</v>
      </c>
      <c r="S51" s="642">
        <v>1.5</v>
      </c>
      <c r="T51" s="519"/>
      <c r="U51" s="624">
        <f t="shared" ref="U51" si="24">H51</f>
        <v>5</v>
      </c>
      <c r="V51" s="624"/>
      <c r="W51" s="624" t="str">
        <f>IF((J51=0)*AND(J52=0),"1","0")</f>
        <v>0</v>
      </c>
      <c r="X51" s="624" t="str">
        <f>IF((J51=0)*AND(J52&gt;0),"1","0")</f>
        <v>0</v>
      </c>
      <c r="Y51" s="624" t="str">
        <f>IF((J51&gt;0)*AND(J52=0),"1","0")</f>
        <v>0</v>
      </c>
    </row>
    <row r="52" spans="1:25" s="140" customFormat="1" ht="10.199999999999999" x14ac:dyDescent="0.2">
      <c r="A52" s="519"/>
      <c r="B52" s="673" t="s">
        <v>1658</v>
      </c>
      <c r="C52" s="643" t="s">
        <v>1515</v>
      </c>
      <c r="D52" s="643" t="s">
        <v>1639</v>
      </c>
      <c r="E52" s="642">
        <v>1</v>
      </c>
      <c r="F52" s="642">
        <v>3</v>
      </c>
      <c r="G52" s="642">
        <v>0</v>
      </c>
      <c r="H52" s="622">
        <f>SUM(E52:G52)</f>
        <v>4</v>
      </c>
      <c r="I52" s="623"/>
      <c r="J52" s="642">
        <v>1</v>
      </c>
      <c r="K52" s="642">
        <v>2</v>
      </c>
      <c r="L52" s="642">
        <v>1</v>
      </c>
      <c r="M52" s="642">
        <v>0</v>
      </c>
      <c r="N52" s="642">
        <v>0</v>
      </c>
      <c r="O52" s="642">
        <v>0</v>
      </c>
      <c r="P52" s="642">
        <v>0</v>
      </c>
      <c r="Q52" s="642">
        <v>0</v>
      </c>
      <c r="R52" s="642">
        <v>0</v>
      </c>
      <c r="S52" s="642">
        <v>12.03</v>
      </c>
      <c r="T52" s="519"/>
      <c r="U52" s="624"/>
      <c r="V52" s="624">
        <f t="shared" ref="V52" si="25">H52</f>
        <v>4</v>
      </c>
      <c r="W52" s="624"/>
      <c r="X52" s="624"/>
      <c r="Y52" s="624"/>
    </row>
    <row r="53" spans="1:25" s="140" customFormat="1" ht="3.75" customHeight="1" thickBot="1" x14ac:dyDescent="0.25">
      <c r="B53" s="677"/>
      <c r="E53" s="675"/>
      <c r="F53" s="675"/>
      <c r="G53" s="675"/>
      <c r="H53" s="676"/>
      <c r="I53" s="676"/>
      <c r="J53" s="675"/>
      <c r="K53" s="675"/>
      <c r="L53" s="675"/>
      <c r="M53" s="675"/>
      <c r="N53" s="675"/>
      <c r="O53" s="675"/>
      <c r="P53" s="675"/>
      <c r="Q53" s="675"/>
      <c r="R53" s="675"/>
      <c r="S53" s="675"/>
      <c r="U53" s="675"/>
      <c r="V53" s="675"/>
      <c r="W53" s="675"/>
      <c r="X53" s="675"/>
      <c r="Y53" s="675"/>
    </row>
    <row r="54" spans="1:25" x14ac:dyDescent="0.3">
      <c r="A54" s="357"/>
      <c r="B54" s="357"/>
      <c r="C54" s="357"/>
      <c r="D54" s="668"/>
      <c r="E54" s="627"/>
      <c r="F54" s="669"/>
      <c r="G54" s="669"/>
      <c r="H54" s="669"/>
      <c r="I54" s="670"/>
      <c r="J54" s="669"/>
      <c r="K54" s="669"/>
      <c r="L54" s="669"/>
      <c r="M54" s="669"/>
      <c r="N54" s="669"/>
      <c r="O54" s="669"/>
      <c r="P54" s="669"/>
      <c r="Q54" s="669"/>
      <c r="R54" s="669"/>
      <c r="S54" s="628"/>
      <c r="T54" s="357"/>
      <c r="U54" s="358"/>
      <c r="V54" s="358"/>
      <c r="W54" s="358"/>
      <c r="X54" s="358"/>
      <c r="Y54" s="358"/>
    </row>
    <row r="55" spans="1:25" x14ac:dyDescent="0.3">
      <c r="A55" s="357"/>
      <c r="B55" s="357"/>
      <c r="C55" s="357"/>
      <c r="D55" s="665" t="str">
        <f>C2</f>
        <v>2017-2018</v>
      </c>
      <c r="E55" s="630"/>
      <c r="F55" s="666"/>
      <c r="G55" s="655" t="s">
        <v>0</v>
      </c>
      <c r="H55" s="611">
        <f>SUM(H6,H9,H12,H15,H18,H21,H24,H27,H30,H33,H36,H39,H42,H45,H48,H51)</f>
        <v>63</v>
      </c>
      <c r="I55" s="671"/>
      <c r="J55" s="656">
        <f t="shared" ref="J55:M56" si="26">SUM(J6,J9,J12,J15,J18,J21,J24,J27,J30,J33,J36,J39,J42,J45,J48,J51)</f>
        <v>21</v>
      </c>
      <c r="K55" s="613">
        <f t="shared" si="26"/>
        <v>50</v>
      </c>
      <c r="L55" s="613">
        <f t="shared" si="26"/>
        <v>6</v>
      </c>
      <c r="M55" s="613">
        <f t="shared" si="26"/>
        <v>0</v>
      </c>
      <c r="N55" s="667" t="s">
        <v>1567</v>
      </c>
      <c r="O55" s="613">
        <f t="shared" ref="O55:R56" si="27">SUM(O6,O9,O12,O15,O18,O21,O24,O27,O30,O33,O36,O39,O42,O45,O48,O51)</f>
        <v>0</v>
      </c>
      <c r="P55" s="613">
        <f t="shared" si="27"/>
        <v>0</v>
      </c>
      <c r="Q55" s="613">
        <f t="shared" si="27"/>
        <v>1</v>
      </c>
      <c r="R55" s="613">
        <f t="shared" si="27"/>
        <v>2</v>
      </c>
      <c r="S55" s="632"/>
      <c r="T55" s="357"/>
      <c r="U55" s="358"/>
      <c r="V55" s="358"/>
      <c r="W55" s="358"/>
      <c r="X55" s="358"/>
      <c r="Y55" s="358"/>
    </row>
    <row r="56" spans="1:25" x14ac:dyDescent="0.3">
      <c r="A56" s="357"/>
      <c r="B56" s="357"/>
      <c r="C56" s="357"/>
      <c r="D56" s="629"/>
      <c r="E56" s="630"/>
      <c r="F56" s="518"/>
      <c r="G56" s="657" t="s">
        <v>1436</v>
      </c>
      <c r="H56" s="658">
        <f>SUM(H7,H10,H13,H16,H19,H22,H25,H28,H31,H34,H37,H40,H43,H46,H49,H52)</f>
        <v>75</v>
      </c>
      <c r="I56" s="671"/>
      <c r="J56" s="647">
        <f t="shared" si="26"/>
        <v>19</v>
      </c>
      <c r="K56" s="659">
        <f t="shared" si="26"/>
        <v>41</v>
      </c>
      <c r="L56" s="659">
        <f t="shared" si="26"/>
        <v>2</v>
      </c>
      <c r="M56" s="659">
        <f t="shared" si="26"/>
        <v>0</v>
      </c>
      <c r="N56" s="660" t="s">
        <v>1567</v>
      </c>
      <c r="O56" s="659">
        <f t="shared" si="27"/>
        <v>0</v>
      </c>
      <c r="P56" s="659">
        <f t="shared" si="27"/>
        <v>0</v>
      </c>
      <c r="Q56" s="659">
        <f t="shared" si="27"/>
        <v>0</v>
      </c>
      <c r="R56" s="659">
        <f t="shared" si="27"/>
        <v>3</v>
      </c>
      <c r="S56" s="632"/>
      <c r="T56" s="357"/>
      <c r="U56" s="358"/>
      <c r="V56" s="358"/>
      <c r="W56" s="358"/>
      <c r="X56" s="358"/>
      <c r="Y56" s="358"/>
    </row>
    <row r="57" spans="1:25" x14ac:dyDescent="0.3">
      <c r="A57" s="357"/>
      <c r="B57" s="357"/>
      <c r="C57" s="357"/>
      <c r="D57" s="629"/>
      <c r="E57" s="631"/>
      <c r="F57" s="631"/>
      <c r="G57" s="631"/>
      <c r="H57" s="631"/>
      <c r="I57" s="631"/>
      <c r="J57" s="613" t="s">
        <v>1557</v>
      </c>
      <c r="K57" s="613" t="s">
        <v>1556</v>
      </c>
      <c r="L57" s="613" t="s">
        <v>1419</v>
      </c>
      <c r="M57" s="613" t="s">
        <v>1420</v>
      </c>
      <c r="N57" s="659" t="s">
        <v>1424</v>
      </c>
      <c r="O57" s="613" t="s">
        <v>1425</v>
      </c>
      <c r="P57" s="613" t="s">
        <v>1535</v>
      </c>
      <c r="Q57" s="613" t="s">
        <v>1536</v>
      </c>
      <c r="R57" s="613" t="s">
        <v>1559</v>
      </c>
      <c r="S57" s="632"/>
      <c r="T57" s="357"/>
      <c r="U57" s="358"/>
      <c r="V57" s="358"/>
      <c r="W57" s="358"/>
      <c r="X57" s="358"/>
      <c r="Y57" s="358"/>
    </row>
    <row r="58" spans="1:25" x14ac:dyDescent="0.3">
      <c r="A58" s="357"/>
      <c r="B58" s="357"/>
      <c r="C58" s="357"/>
      <c r="D58" s="629"/>
      <c r="E58" s="631"/>
      <c r="F58" s="645"/>
      <c r="G58" s="646" t="s">
        <v>1558</v>
      </c>
      <c r="H58" s="647">
        <f>H55-H56</f>
        <v>-12</v>
      </c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2"/>
      <c r="T58" s="357"/>
      <c r="U58" s="358"/>
      <c r="V58" s="358"/>
      <c r="W58" s="358"/>
      <c r="X58" s="358"/>
      <c r="Y58" s="358"/>
    </row>
    <row r="59" spans="1:25" x14ac:dyDescent="0.3">
      <c r="A59" s="357"/>
      <c r="B59" s="357"/>
      <c r="C59" s="357"/>
      <c r="D59" s="629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2"/>
      <c r="T59" s="357"/>
      <c r="U59" s="358"/>
      <c r="V59" s="358"/>
      <c r="W59" s="358"/>
      <c r="X59" s="358"/>
      <c r="Y59" s="358"/>
    </row>
    <row r="60" spans="1:25" x14ac:dyDescent="0.3">
      <c r="A60" s="357"/>
      <c r="B60" s="357"/>
      <c r="C60" s="357"/>
      <c r="D60" s="629"/>
      <c r="E60" s="631"/>
      <c r="F60" s="648"/>
      <c r="G60" s="649" t="s">
        <v>135</v>
      </c>
      <c r="H60" s="650">
        <f>COUNTIF(I6:I53,"Voitto")</f>
        <v>5</v>
      </c>
      <c r="I60" s="631"/>
      <c r="J60" s="648">
        <f>COUNTIF(W6:W53,"1")</f>
        <v>2</v>
      </c>
      <c r="K60" s="661" t="s">
        <v>696</v>
      </c>
      <c r="L60" s="610"/>
      <c r="M60" s="610"/>
      <c r="N60" s="610"/>
      <c r="O60" s="650"/>
      <c r="P60" s="631"/>
      <c r="Q60" s="631"/>
      <c r="R60" s="631"/>
      <c r="S60" s="632"/>
      <c r="T60" s="357"/>
      <c r="U60" s="358"/>
      <c r="V60" s="358"/>
      <c r="W60" s="358"/>
      <c r="X60" s="358"/>
      <c r="Y60" s="358"/>
    </row>
    <row r="61" spans="1:25" x14ac:dyDescent="0.3">
      <c r="A61" s="357"/>
      <c r="B61" s="357"/>
      <c r="C61" s="357"/>
      <c r="D61" s="629"/>
      <c r="E61" s="631"/>
      <c r="F61" s="651"/>
      <c r="G61" s="652" t="s">
        <v>137</v>
      </c>
      <c r="H61" s="653">
        <f>COUNTIF(I6:I53,"Tasapeli")</f>
        <v>1</v>
      </c>
      <c r="I61" s="631"/>
      <c r="J61" s="651">
        <f>COUNTIF(X6:X53,"1")</f>
        <v>3</v>
      </c>
      <c r="K61" s="318" t="s">
        <v>1561</v>
      </c>
      <c r="L61" s="324"/>
      <c r="M61" s="324"/>
      <c r="N61" s="324"/>
      <c r="O61" s="653"/>
      <c r="P61" s="631"/>
      <c r="Q61" s="631"/>
      <c r="R61" s="631"/>
      <c r="S61" s="632"/>
      <c r="T61" s="357"/>
      <c r="U61" s="358"/>
      <c r="V61" s="358"/>
      <c r="W61" s="358"/>
      <c r="X61" s="358"/>
      <c r="Y61" s="358"/>
    </row>
    <row r="62" spans="1:25" x14ac:dyDescent="0.3">
      <c r="A62" s="357"/>
      <c r="B62" s="357"/>
      <c r="C62" s="357"/>
      <c r="D62" s="629"/>
      <c r="E62" s="631"/>
      <c r="F62" s="654"/>
      <c r="G62" s="655" t="s">
        <v>136</v>
      </c>
      <c r="H62" s="656">
        <f>COUNTIF(I6:I53,"Häviö")</f>
        <v>10</v>
      </c>
      <c r="I62" s="631"/>
      <c r="J62" s="654">
        <f>COUNTIF(Y6:Y53,"1")</f>
        <v>1</v>
      </c>
      <c r="K62" s="662" t="s">
        <v>1562</v>
      </c>
      <c r="L62" s="611"/>
      <c r="M62" s="611"/>
      <c r="N62" s="611"/>
      <c r="O62" s="656"/>
      <c r="P62" s="631"/>
      <c r="Q62" s="631"/>
      <c r="R62" s="631"/>
      <c r="S62" s="632"/>
      <c r="T62" s="357"/>
      <c r="U62" s="358"/>
      <c r="V62" s="358"/>
      <c r="W62" s="358"/>
      <c r="X62" s="358"/>
      <c r="Y62" s="358"/>
    </row>
    <row r="63" spans="1:25" x14ac:dyDescent="0.3">
      <c r="A63" s="357"/>
      <c r="B63" s="357"/>
      <c r="C63" s="357"/>
      <c r="D63" s="629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2"/>
      <c r="T63" s="357"/>
      <c r="U63" s="358"/>
      <c r="V63" s="358"/>
      <c r="W63" s="358"/>
      <c r="X63" s="358"/>
      <c r="Y63" s="358"/>
    </row>
    <row r="64" spans="1:25" x14ac:dyDescent="0.3">
      <c r="A64" s="357"/>
      <c r="B64" s="357"/>
      <c r="C64" s="357"/>
      <c r="D64" s="629"/>
      <c r="E64" s="631"/>
      <c r="F64" s="648" t="s">
        <v>1560</v>
      </c>
      <c r="G64" s="610" t="s">
        <v>0</v>
      </c>
      <c r="H64" s="650">
        <f>COUNTIF(U6:U53,"0")</f>
        <v>0</v>
      </c>
      <c r="I64" s="631"/>
      <c r="J64" s="648">
        <f>MIN(S6,S9,S12,S15,S18,S21,S24,S27,S30,S33,S36,S39,S42,S45,S48,S51)</f>
        <v>0.43</v>
      </c>
      <c r="K64" s="661" t="s">
        <v>1564</v>
      </c>
      <c r="L64" s="610"/>
      <c r="M64" s="610"/>
      <c r="N64" s="610"/>
      <c r="O64" s="650"/>
      <c r="P64" s="631"/>
      <c r="Q64" s="631"/>
      <c r="R64" s="631"/>
      <c r="S64" s="632"/>
      <c r="T64" s="357"/>
      <c r="U64" s="358"/>
      <c r="V64" s="358"/>
      <c r="W64" s="358"/>
      <c r="X64" s="358"/>
      <c r="Y64" s="358"/>
    </row>
    <row r="65" spans="1:25" x14ac:dyDescent="0.3">
      <c r="A65" s="357"/>
      <c r="B65" s="357"/>
      <c r="C65" s="357"/>
      <c r="D65" s="629"/>
      <c r="E65" s="631"/>
      <c r="F65" s="654"/>
      <c r="G65" s="611" t="s">
        <v>543</v>
      </c>
      <c r="H65" s="656">
        <f>COUNTIF(V6:V53,"0")</f>
        <v>0</v>
      </c>
      <c r="I65" s="631"/>
      <c r="J65" s="654">
        <f>MAX(S6,S9,S12,S15,S18,S21,S24,S27,S30,S33,S36,S39,S42,S45,S48,S51)</f>
        <v>34.11</v>
      </c>
      <c r="K65" s="662" t="s">
        <v>1563</v>
      </c>
      <c r="L65" s="435"/>
      <c r="M65" s="435"/>
      <c r="N65" s="611"/>
      <c r="O65" s="656"/>
      <c r="P65" s="631"/>
      <c r="Q65" s="631"/>
      <c r="R65" s="631"/>
      <c r="S65" s="632"/>
      <c r="T65" s="357"/>
      <c r="U65" s="358"/>
      <c r="V65" s="358"/>
      <c r="W65" s="358"/>
      <c r="X65" s="358"/>
      <c r="Y65" s="358"/>
    </row>
    <row r="66" spans="1:25" x14ac:dyDescent="0.3">
      <c r="A66" s="357"/>
      <c r="B66" s="357"/>
      <c r="C66" s="357"/>
      <c r="D66" s="629"/>
      <c r="E66" s="631"/>
      <c r="F66" s="631"/>
      <c r="G66" s="631"/>
      <c r="H66" s="631"/>
      <c r="I66" s="631"/>
      <c r="J66" s="274"/>
      <c r="K66" s="633"/>
      <c r="L66" s="274"/>
      <c r="M66" s="274"/>
      <c r="N66" s="631"/>
      <c r="O66" s="631"/>
      <c r="P66" s="631"/>
      <c r="Q66" s="631"/>
      <c r="R66" s="631"/>
      <c r="S66" s="632"/>
      <c r="T66" s="357"/>
      <c r="U66" s="358"/>
      <c r="V66" s="358"/>
      <c r="W66" s="358"/>
      <c r="X66" s="358"/>
      <c r="Y66" s="358"/>
    </row>
    <row r="67" spans="1:25" x14ac:dyDescent="0.3">
      <c r="A67" s="357"/>
      <c r="B67" s="357"/>
      <c r="C67" s="357"/>
      <c r="D67" s="634"/>
      <c r="E67" s="274"/>
      <c r="F67" s="274"/>
      <c r="G67" s="274"/>
      <c r="H67" s="631"/>
      <c r="I67" s="631"/>
      <c r="J67" s="648">
        <f>MAX(S7,S10,S13,S16,S19,S22,S25,S28,S31,S34,S37,S40,S43,S46,S49,S52)</f>
        <v>16.22</v>
      </c>
      <c r="K67" s="661" t="s">
        <v>1565</v>
      </c>
      <c r="L67" s="430"/>
      <c r="M67" s="430"/>
      <c r="N67" s="430"/>
      <c r="O67" s="663"/>
      <c r="P67" s="274"/>
      <c r="Q67" s="274"/>
      <c r="R67" s="274"/>
      <c r="S67" s="635"/>
      <c r="T67" s="357"/>
      <c r="U67" s="358"/>
      <c r="V67" s="358"/>
      <c r="W67" s="358"/>
      <c r="X67" s="358"/>
      <c r="Y67" s="358"/>
    </row>
    <row r="68" spans="1:25" x14ac:dyDescent="0.3">
      <c r="A68" s="357"/>
      <c r="B68" s="357"/>
      <c r="C68" s="357"/>
      <c r="D68" s="634"/>
      <c r="E68" s="274"/>
      <c r="F68" s="274"/>
      <c r="G68" s="274"/>
      <c r="H68" s="631"/>
      <c r="I68" s="631"/>
      <c r="J68" s="654">
        <f>MIN(S7,S10,S13,S16,S19,S22,S25,S28,S31,S34,S37,S40,S43,S46,S49,S52)</f>
        <v>0.5</v>
      </c>
      <c r="K68" s="662" t="s">
        <v>1566</v>
      </c>
      <c r="L68" s="611"/>
      <c r="M68" s="611"/>
      <c r="N68" s="435"/>
      <c r="O68" s="664"/>
      <c r="P68" s="274"/>
      <c r="Q68" s="274"/>
      <c r="R68" s="274"/>
      <c r="S68" s="635"/>
      <c r="T68" s="357"/>
      <c r="U68" s="358"/>
      <c r="V68" s="358"/>
      <c r="W68" s="358"/>
      <c r="X68" s="358"/>
      <c r="Y68" s="358"/>
    </row>
    <row r="69" spans="1:25" ht="15" thickBot="1" x14ac:dyDescent="0.35">
      <c r="A69" s="357"/>
      <c r="B69" s="357"/>
      <c r="C69" s="357"/>
      <c r="D69" s="636"/>
      <c r="E69" s="637"/>
      <c r="F69" s="637"/>
      <c r="G69" s="637"/>
      <c r="H69" s="638"/>
      <c r="I69" s="638"/>
      <c r="J69" s="637"/>
      <c r="K69" s="637"/>
      <c r="L69" s="637"/>
      <c r="M69" s="637"/>
      <c r="N69" s="637"/>
      <c r="O69" s="637"/>
      <c r="P69" s="637"/>
      <c r="Q69" s="637"/>
      <c r="R69" s="637"/>
      <c r="S69" s="639"/>
      <c r="T69" s="357"/>
      <c r="U69" s="358"/>
      <c r="V69" s="358"/>
      <c r="W69" s="358"/>
      <c r="X69" s="358"/>
      <c r="Y69" s="358"/>
    </row>
    <row r="70" spans="1:25" x14ac:dyDescent="0.3">
      <c r="A70" s="357"/>
      <c r="B70" s="357"/>
      <c r="C70" s="357"/>
      <c r="D70" s="357"/>
      <c r="E70" s="358"/>
      <c r="F70" s="358"/>
      <c r="G70" s="358"/>
      <c r="H70" s="359"/>
      <c r="I70" s="359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7"/>
      <c r="U70" s="358"/>
      <c r="V70" s="358"/>
      <c r="W70" s="358"/>
      <c r="X70" s="358"/>
      <c r="Y70" s="358"/>
    </row>
    <row r="74" spans="1:25" x14ac:dyDescent="0.3">
      <c r="C74" s="205" t="s">
        <v>1645</v>
      </c>
      <c r="E74" s="265" t="str">
        <f>C2</f>
        <v>2017-2018</v>
      </c>
      <c r="G74" s="356" t="str">
        <f>E2</f>
        <v>IV-</v>
      </c>
      <c r="H74" s="266" t="str">
        <f>F2</f>
        <v>Divisioona</v>
      </c>
      <c r="J74" s="356" t="s">
        <v>1646</v>
      </c>
      <c r="K74" s="266">
        <f>J2</f>
        <v>12</v>
      </c>
    </row>
    <row r="75" spans="1:25" x14ac:dyDescent="0.3">
      <c r="C75" s="205"/>
    </row>
    <row r="76" spans="1:25" x14ac:dyDescent="0.3">
      <c r="C76" s="205"/>
      <c r="D76" s="205"/>
      <c r="E76" s="703" t="s">
        <v>877</v>
      </c>
      <c r="F76" s="704" t="s">
        <v>990</v>
      </c>
      <c r="G76" s="704" t="s">
        <v>991</v>
      </c>
      <c r="H76" s="704" t="s">
        <v>992</v>
      </c>
      <c r="I76" s="704" t="s">
        <v>139</v>
      </c>
      <c r="J76" s="704" t="s">
        <v>993</v>
      </c>
      <c r="K76" s="704" t="s">
        <v>994</v>
      </c>
      <c r="L76" s="705" t="s">
        <v>610</v>
      </c>
    </row>
    <row r="77" spans="1:25" x14ac:dyDescent="0.3">
      <c r="C77" s="205">
        <v>1</v>
      </c>
      <c r="D77" s="702" t="s">
        <v>1245</v>
      </c>
      <c r="E77" s="706">
        <v>16</v>
      </c>
      <c r="F77" s="707">
        <v>11</v>
      </c>
      <c r="G77" s="707">
        <v>2</v>
      </c>
      <c r="H77" s="707">
        <v>3</v>
      </c>
      <c r="I77" s="707">
        <v>92</v>
      </c>
      <c r="J77" s="707">
        <v>64</v>
      </c>
      <c r="K77" s="82">
        <f>I77-J77</f>
        <v>28</v>
      </c>
      <c r="L77" s="708">
        <v>24</v>
      </c>
    </row>
    <row r="78" spans="1:25" x14ac:dyDescent="0.3">
      <c r="C78" s="205">
        <v>2</v>
      </c>
      <c r="D78" s="702" t="s">
        <v>1220</v>
      </c>
      <c r="E78" s="709">
        <v>16</v>
      </c>
      <c r="F78" s="709">
        <v>10</v>
      </c>
      <c r="G78" s="709">
        <v>3</v>
      </c>
      <c r="H78" s="709">
        <v>3</v>
      </c>
      <c r="I78" s="709">
        <v>97</v>
      </c>
      <c r="J78" s="709">
        <v>54</v>
      </c>
      <c r="K78" s="8">
        <f t="shared" ref="K78:K85" si="28">I78-J78</f>
        <v>43</v>
      </c>
      <c r="L78" s="710">
        <v>23</v>
      </c>
    </row>
    <row r="79" spans="1:25" x14ac:dyDescent="0.3">
      <c r="C79" s="205">
        <v>3</v>
      </c>
      <c r="D79" s="702" t="s">
        <v>1403</v>
      </c>
      <c r="E79" s="706">
        <v>16</v>
      </c>
      <c r="F79" s="707">
        <v>10</v>
      </c>
      <c r="G79" s="707">
        <v>1</v>
      </c>
      <c r="H79" s="707">
        <v>5</v>
      </c>
      <c r="I79" s="707">
        <v>99</v>
      </c>
      <c r="J79" s="707">
        <v>63</v>
      </c>
      <c r="K79" s="82">
        <f t="shared" si="28"/>
        <v>36</v>
      </c>
      <c r="L79" s="708">
        <v>21</v>
      </c>
    </row>
    <row r="80" spans="1:25" x14ac:dyDescent="0.3">
      <c r="C80" s="205">
        <v>4</v>
      </c>
      <c r="D80" s="702" t="s">
        <v>1639</v>
      </c>
      <c r="E80" s="709">
        <v>16</v>
      </c>
      <c r="F80" s="709">
        <v>9</v>
      </c>
      <c r="G80" s="709">
        <v>2</v>
      </c>
      <c r="H80" s="709">
        <v>5</v>
      </c>
      <c r="I80" s="709">
        <v>71</v>
      </c>
      <c r="J80" s="709">
        <v>63</v>
      </c>
      <c r="K80" s="8">
        <f t="shared" si="28"/>
        <v>8</v>
      </c>
      <c r="L80" s="710">
        <v>20</v>
      </c>
    </row>
    <row r="81" spans="2:26" x14ac:dyDescent="0.3">
      <c r="C81" s="205">
        <v>5</v>
      </c>
      <c r="D81" s="702" t="s">
        <v>1394</v>
      </c>
      <c r="E81" s="706">
        <v>16</v>
      </c>
      <c r="F81" s="707">
        <v>9</v>
      </c>
      <c r="G81" s="707">
        <v>1</v>
      </c>
      <c r="H81" s="707">
        <v>6</v>
      </c>
      <c r="I81" s="707">
        <v>64</v>
      </c>
      <c r="J81" s="707">
        <v>42</v>
      </c>
      <c r="K81" s="82">
        <f t="shared" si="28"/>
        <v>22</v>
      </c>
      <c r="L81" s="708">
        <v>19</v>
      </c>
    </row>
    <row r="82" spans="2:26" x14ac:dyDescent="0.3">
      <c r="C82" s="205">
        <v>6</v>
      </c>
      <c r="D82" s="702" t="s">
        <v>1396</v>
      </c>
      <c r="E82" s="709">
        <v>16</v>
      </c>
      <c r="F82" s="709">
        <v>7</v>
      </c>
      <c r="G82" s="709">
        <v>2</v>
      </c>
      <c r="H82" s="709">
        <v>7</v>
      </c>
      <c r="I82" s="709">
        <v>74</v>
      </c>
      <c r="J82" s="709">
        <v>70</v>
      </c>
      <c r="K82" s="8">
        <f t="shared" si="28"/>
        <v>4</v>
      </c>
      <c r="L82" s="710">
        <v>16</v>
      </c>
    </row>
    <row r="83" spans="2:26" x14ac:dyDescent="0.3">
      <c r="C83" s="205">
        <v>7</v>
      </c>
      <c r="D83" s="702" t="s">
        <v>0</v>
      </c>
      <c r="E83" s="706">
        <v>16</v>
      </c>
      <c r="F83" s="707">
        <v>5</v>
      </c>
      <c r="G83" s="707">
        <v>1</v>
      </c>
      <c r="H83" s="707">
        <v>10</v>
      </c>
      <c r="I83" s="707">
        <v>63</v>
      </c>
      <c r="J83" s="707">
        <v>75</v>
      </c>
      <c r="K83" s="82">
        <f t="shared" si="28"/>
        <v>-12</v>
      </c>
      <c r="L83" s="708">
        <v>11</v>
      </c>
    </row>
    <row r="84" spans="2:26" x14ac:dyDescent="0.3">
      <c r="C84" s="205">
        <v>8</v>
      </c>
      <c r="D84" s="702" t="s">
        <v>1584</v>
      </c>
      <c r="E84" s="709">
        <v>16</v>
      </c>
      <c r="F84" s="709">
        <v>3</v>
      </c>
      <c r="G84" s="709">
        <v>2</v>
      </c>
      <c r="H84" s="709">
        <v>11</v>
      </c>
      <c r="I84" s="709">
        <v>41</v>
      </c>
      <c r="J84" s="709">
        <v>96</v>
      </c>
      <c r="K84" s="8">
        <f t="shared" si="28"/>
        <v>-55</v>
      </c>
      <c r="L84" s="710">
        <v>8</v>
      </c>
    </row>
    <row r="85" spans="2:26" x14ac:dyDescent="0.3">
      <c r="C85" s="205">
        <v>9</v>
      </c>
      <c r="D85" s="702" t="s">
        <v>1638</v>
      </c>
      <c r="E85" s="706">
        <v>16</v>
      </c>
      <c r="F85" s="707">
        <v>0</v>
      </c>
      <c r="G85" s="707">
        <v>2</v>
      </c>
      <c r="H85" s="707">
        <v>14</v>
      </c>
      <c r="I85" s="707">
        <v>44</v>
      </c>
      <c r="J85" s="707">
        <v>118</v>
      </c>
      <c r="K85" s="82">
        <f t="shared" si="28"/>
        <v>-74</v>
      </c>
      <c r="L85" s="708">
        <v>2</v>
      </c>
    </row>
    <row r="93" spans="2:26" x14ac:dyDescent="0.3">
      <c r="B93" t="s">
        <v>1821</v>
      </c>
      <c r="C93" t="str">
        <f>$C$2</f>
        <v>2017-2018</v>
      </c>
      <c r="D93" t="str">
        <f>$E$2 &amp; $F$2</f>
        <v>IV-Divisioona</v>
      </c>
    </row>
    <row r="94" spans="2:26" x14ac:dyDescent="0.3">
      <c r="F94" s="8" t="s">
        <v>1826</v>
      </c>
      <c r="H94" s="265" t="s">
        <v>1825</v>
      </c>
      <c r="J94" s="8" t="s">
        <v>1822</v>
      </c>
      <c r="L94" s="8" t="s">
        <v>1823</v>
      </c>
      <c r="N94" s="8" t="s">
        <v>1824</v>
      </c>
      <c r="P94" s="8" t="s">
        <v>1557</v>
      </c>
      <c r="Q94" s="8" t="s">
        <v>1556</v>
      </c>
      <c r="R94" s="8" t="s">
        <v>1419</v>
      </c>
      <c r="S94" s="8" t="s">
        <v>1420</v>
      </c>
      <c r="T94" t="s">
        <v>1827</v>
      </c>
      <c r="U94" s="8" t="s">
        <v>1828</v>
      </c>
      <c r="V94" s="8" t="s">
        <v>1425</v>
      </c>
      <c r="W94" s="8" t="s">
        <v>1535</v>
      </c>
      <c r="X94" s="8" t="s">
        <v>1536</v>
      </c>
      <c r="Y94" s="8" t="s">
        <v>1559</v>
      </c>
      <c r="Z94" s="8" t="s">
        <v>19</v>
      </c>
    </row>
    <row r="95" spans="2:26" x14ac:dyDescent="0.3">
      <c r="B95" t="str">
        <f>B6</f>
        <v>Ottelu 1.</v>
      </c>
      <c r="C95" s="888" t="str">
        <f>B7</f>
        <v>14.10.2017 Klo 13.00</v>
      </c>
      <c r="D95" t="str">
        <f>C6</f>
        <v>SB-Areena</v>
      </c>
      <c r="E95" s="8" t="str">
        <f>I6</f>
        <v>Häviö</v>
      </c>
      <c r="F95" t="str">
        <f>IF(C7="Koti",D6,D7)</f>
        <v>SekTa</v>
      </c>
      <c r="G95" t="str">
        <f>IF(C7="Koti",D7,D6)</f>
        <v>Pyövelit 2</v>
      </c>
      <c r="H95" s="8">
        <f>IF(C7="Koti",H6,H7)</f>
        <v>4</v>
      </c>
      <c r="I95" s="8">
        <f>IF(C7="Koti",H7,H6)</f>
        <v>6</v>
      </c>
      <c r="J95" s="8">
        <f>IF(C7="Koti",E6,E7)</f>
        <v>1</v>
      </c>
      <c r="K95" s="8">
        <f>IF(C7="Koti",E7,E6)</f>
        <v>1</v>
      </c>
      <c r="L95" s="8">
        <f>IF(C7="Koti",F6,F7)</f>
        <v>1</v>
      </c>
      <c r="M95" s="8">
        <f>IF(C7="Koti",F7,F6)</f>
        <v>2</v>
      </c>
      <c r="N95" s="8">
        <f>IF(C7="Koti",G6,G7)</f>
        <v>2</v>
      </c>
      <c r="O95" s="8">
        <f>IF(C7="Koti",G7,G6)</f>
        <v>3</v>
      </c>
      <c r="P95" s="8">
        <f t="shared" ref="P95:T95" si="29">J6</f>
        <v>0</v>
      </c>
      <c r="Q95" s="8">
        <f t="shared" si="29"/>
        <v>0</v>
      </c>
      <c r="R95" s="8">
        <f t="shared" si="29"/>
        <v>2</v>
      </c>
      <c r="S95" s="8">
        <f t="shared" si="29"/>
        <v>0</v>
      </c>
      <c r="T95" s="8">
        <f t="shared" si="29"/>
        <v>0</v>
      </c>
      <c r="V95" s="8">
        <f>O6</f>
        <v>0</v>
      </c>
      <c r="W95" s="8">
        <f>P6</f>
        <v>0</v>
      </c>
      <c r="X95" s="8">
        <f>Q6</f>
        <v>0</v>
      </c>
      <c r="Y95" s="8">
        <f>R6</f>
        <v>0</v>
      </c>
      <c r="Z95" s="8">
        <f>S6</f>
        <v>13.24</v>
      </c>
    </row>
    <row r="96" spans="2:26" x14ac:dyDescent="0.3">
      <c r="B96" t="str">
        <f>B9</f>
        <v>Ottelu 2.</v>
      </c>
      <c r="C96" s="888" t="str">
        <f>B10</f>
        <v>14.10.2017 Klo 15.00</v>
      </c>
      <c r="D96" t="str">
        <f>C9</f>
        <v>SB-Areena</v>
      </c>
      <c r="E96" s="8" t="str">
        <f>I9</f>
        <v>Häviö</v>
      </c>
      <c r="F96" t="str">
        <f>IF(C10="Koti",D9,D10)</f>
        <v>TBS</v>
      </c>
      <c r="G96" t="str">
        <f>IF(C10="Koti",D10,D9)</f>
        <v>SekTa</v>
      </c>
      <c r="H96" s="8">
        <f>IF(C10="Koti",H9,H10)</f>
        <v>10</v>
      </c>
      <c r="I96" s="8">
        <f>IF(C10="Koti",H10,H9)</f>
        <v>4</v>
      </c>
      <c r="J96" s="8">
        <f>IF(C10="Koti",E9,E10)</f>
        <v>4</v>
      </c>
      <c r="K96" s="8">
        <f>IF(C10="Koti",E10,E9)</f>
        <v>0</v>
      </c>
      <c r="L96" s="8">
        <f>IF(C10="Koti",F9,F10)</f>
        <v>2</v>
      </c>
      <c r="M96" s="8">
        <f>IF(C10="Koti",F10,F9)</f>
        <v>3</v>
      </c>
      <c r="N96" s="8">
        <f>IF(C10="Koti",G9,G10)</f>
        <v>4</v>
      </c>
      <c r="O96" s="8">
        <f>IF(C10="Koti",G10,G9)</f>
        <v>1</v>
      </c>
      <c r="P96" s="8">
        <f>J9</f>
        <v>3</v>
      </c>
      <c r="Q96" s="8">
        <f>K9</f>
        <v>6</v>
      </c>
      <c r="R96" s="8">
        <f>L9</f>
        <v>0</v>
      </c>
      <c r="S96" s="8">
        <f>M9</f>
        <v>0</v>
      </c>
      <c r="T96" s="8">
        <f>N9</f>
        <v>0</v>
      </c>
      <c r="V96" s="8">
        <f>O9</f>
        <v>0</v>
      </c>
      <c r="W96" s="8">
        <f>P9</f>
        <v>0</v>
      </c>
      <c r="X96" s="8">
        <f>Q9</f>
        <v>0</v>
      </c>
      <c r="Y96" s="8">
        <f>R9</f>
        <v>0</v>
      </c>
      <c r="Z96" s="8">
        <f>S9</f>
        <v>22.49</v>
      </c>
    </row>
    <row r="97" spans="2:26" x14ac:dyDescent="0.3">
      <c r="B97" t="str">
        <f>B12</f>
        <v>Ottelu 3.</v>
      </c>
      <c r="C97" s="888" t="str">
        <f>B13</f>
        <v>4.11.2017 Klo 11.00</v>
      </c>
      <c r="D97" t="str">
        <f>C12</f>
        <v>Pohitullin koulu, Uusikaupunki</v>
      </c>
      <c r="E97" s="8" t="str">
        <f>I12</f>
        <v>Tasapeli</v>
      </c>
      <c r="F97" t="str">
        <f>IF(C13="Koti",D12,D13)</f>
        <v>RK Rangers</v>
      </c>
      <c r="G97" t="str">
        <f>IF(C13="Koti",D13,D12)</f>
        <v>SekTa</v>
      </c>
      <c r="H97" s="8">
        <f>IF(C13="Koti",H12,H13)</f>
        <v>4</v>
      </c>
      <c r="I97" s="8">
        <f>IF(C13="Koti",H13,H12)</f>
        <v>4</v>
      </c>
      <c r="J97" s="8">
        <f>IF(C13="Koti",E12,E13)</f>
        <v>3</v>
      </c>
      <c r="K97" s="8">
        <f>IF(C13="Koti",E13,E12)</f>
        <v>1</v>
      </c>
      <c r="L97" s="8">
        <f>IF(C13="Koti",F12,F13)</f>
        <v>1</v>
      </c>
      <c r="M97" s="8">
        <f>IF(C13="Koti",F13,F12)</f>
        <v>2</v>
      </c>
      <c r="N97" s="8">
        <f>IF(C13="Koti",G12,G13)</f>
        <v>0</v>
      </c>
      <c r="O97" s="8">
        <f>IF(C13="Koti",G13,G12)</f>
        <v>1</v>
      </c>
      <c r="P97" s="8">
        <f>J12</f>
        <v>1</v>
      </c>
      <c r="Q97" s="8">
        <f>K12</f>
        <v>2</v>
      </c>
      <c r="R97" s="8">
        <f>L12</f>
        <v>0</v>
      </c>
      <c r="S97" s="8">
        <f>M12</f>
        <v>0</v>
      </c>
      <c r="T97" s="8">
        <f>N12</f>
        <v>0</v>
      </c>
      <c r="V97" s="8">
        <f>O12</f>
        <v>0</v>
      </c>
      <c r="W97" s="8">
        <f>P12</f>
        <v>0</v>
      </c>
      <c r="X97" s="8">
        <f>Q12</f>
        <v>1</v>
      </c>
      <c r="Y97" s="8">
        <f>R12</f>
        <v>0</v>
      </c>
      <c r="Z97" s="8">
        <f>S12</f>
        <v>9.31</v>
      </c>
    </row>
    <row r="98" spans="2:26" x14ac:dyDescent="0.3">
      <c r="B98" t="str">
        <f>B15</f>
        <v>Ottelu 4.</v>
      </c>
      <c r="C98" s="888" t="str">
        <f>B16</f>
        <v>4.11.2017 Klo 14.00</v>
      </c>
      <c r="D98" t="str">
        <f>C15</f>
        <v>Pohitullin koulu, Uusikaupunki</v>
      </c>
      <c r="E98" s="8" t="str">
        <f>I15</f>
        <v>Voitto</v>
      </c>
      <c r="F98" t="str">
        <f>IF(C16="Koti",D15,D16)</f>
        <v>SekTa</v>
      </c>
      <c r="G98" t="str">
        <f>IF(C16="Koti",D16,D15)</f>
        <v>Yrmyt</v>
      </c>
      <c r="H98" s="8">
        <f>IF(C16="Koti",H15,H16)</f>
        <v>7</v>
      </c>
      <c r="I98" s="8">
        <f>IF(C16="Koti",H16,H15)</f>
        <v>1</v>
      </c>
      <c r="J98" s="8">
        <f>IF(C16="Koti",E15,E16)</f>
        <v>2</v>
      </c>
      <c r="K98" s="8">
        <f>IF(C16="Koti",E16,E15)</f>
        <v>1</v>
      </c>
      <c r="L98" s="8">
        <f>IF(C16="Koti",F15,F16)</f>
        <v>3</v>
      </c>
      <c r="M98" s="8">
        <f>IF(C16="Koti",F16,F15)</f>
        <v>0</v>
      </c>
      <c r="N98" s="8">
        <f>IF(C16="Koti",G15,G16)</f>
        <v>2</v>
      </c>
      <c r="O98" s="8">
        <f>IF(C16="Koti",G16,G15)</f>
        <v>0</v>
      </c>
      <c r="P98" s="8">
        <f>J15</f>
        <v>1</v>
      </c>
      <c r="Q98" s="8">
        <f>K15</f>
        <v>2</v>
      </c>
      <c r="R98" s="8">
        <f>L15</f>
        <v>2</v>
      </c>
      <c r="S98" s="8">
        <f>M15</f>
        <v>0</v>
      </c>
      <c r="T98" s="8">
        <f>N15</f>
        <v>0</v>
      </c>
      <c r="V98" s="8">
        <f>O15</f>
        <v>0</v>
      </c>
      <c r="W98" s="8">
        <f>P15</f>
        <v>0</v>
      </c>
      <c r="X98" s="8">
        <f>Q15</f>
        <v>0</v>
      </c>
      <c r="Y98" s="8">
        <f>R15</f>
        <v>0</v>
      </c>
      <c r="Z98" s="8">
        <f>S15</f>
        <v>4.01</v>
      </c>
    </row>
    <row r="99" spans="2:26" x14ac:dyDescent="0.3">
      <c r="B99" t="str">
        <f>B18</f>
        <v>Ottelu 5.</v>
      </c>
      <c r="C99" s="888" t="str">
        <f>B19</f>
        <v>26.11.2017 Klo 13.00</v>
      </c>
      <c r="D99" t="str">
        <f>C18</f>
        <v>Maijamäen LH, Naantali</v>
      </c>
      <c r="E99" s="8" t="str">
        <f>I18</f>
        <v>Voitto</v>
      </c>
      <c r="F99" t="str">
        <f>IF(C19="Koti",D18,D19)</f>
        <v>SekTa</v>
      </c>
      <c r="G99" t="str">
        <f>IF(C19="Koti",D19,D18)</f>
        <v>KaPa-65</v>
      </c>
      <c r="H99" s="8">
        <f>IF(C19="Koti",H18,H19)</f>
        <v>6</v>
      </c>
      <c r="I99" s="8">
        <f>IF(C19="Koti",H19,H18)</f>
        <v>3</v>
      </c>
      <c r="J99" s="8">
        <f>IF(C19="Koti",E18,E19)</f>
        <v>5</v>
      </c>
      <c r="K99" s="8">
        <f>IF(C19="Koti",E19,E18)</f>
        <v>3</v>
      </c>
      <c r="L99" s="8">
        <f>IF(C19="Koti",F18,F19)</f>
        <v>1</v>
      </c>
      <c r="M99" s="8">
        <f>IF(C19="Koti",F19,F18)</f>
        <v>0</v>
      </c>
      <c r="N99" s="8">
        <f>IF(C19="Koti",G18,G19)</f>
        <v>0</v>
      </c>
      <c r="O99" s="8">
        <f>IF(C19="Koti",G19,G18)</f>
        <v>0</v>
      </c>
      <c r="P99" s="8">
        <f>J18</f>
        <v>0</v>
      </c>
      <c r="Q99" s="8">
        <f>K18</f>
        <v>0</v>
      </c>
      <c r="R99" s="8">
        <f>L18</f>
        <v>0</v>
      </c>
      <c r="S99" s="8">
        <f>M18</f>
        <v>0</v>
      </c>
      <c r="T99" s="8">
        <f>N18</f>
        <v>0</v>
      </c>
      <c r="V99" s="8">
        <f>O18</f>
        <v>0</v>
      </c>
      <c r="W99" s="8">
        <f>P18</f>
        <v>0</v>
      </c>
      <c r="X99" s="8">
        <f>Q18</f>
        <v>0</v>
      </c>
      <c r="Y99" s="8">
        <f>R18</f>
        <v>0</v>
      </c>
      <c r="Z99" s="8">
        <f>S18</f>
        <v>6.35</v>
      </c>
    </row>
    <row r="100" spans="2:26" x14ac:dyDescent="0.3">
      <c r="B100" t="str">
        <f>B21</f>
        <v>Ottelu 6.</v>
      </c>
      <c r="C100" s="888" t="str">
        <f>B22</f>
        <v>26.11.2017 Klo 16.00</v>
      </c>
      <c r="D100" t="str">
        <f>C21</f>
        <v>Maijamäen LH, Naantali</v>
      </c>
      <c r="E100" s="8" t="str">
        <f>I21</f>
        <v>Häviö</v>
      </c>
      <c r="F100" t="str">
        <f>IF(C22="Koti",D21,D22)</f>
        <v>SB Naantali 3</v>
      </c>
      <c r="G100" t="str">
        <f>IF(C22="Koti",D22,D21)</f>
        <v>SekTa</v>
      </c>
      <c r="H100" s="8">
        <f>IF(C22="Koti",H21,H22)</f>
        <v>5</v>
      </c>
      <c r="I100" s="8">
        <f>IF(C22="Koti",H22,H21)</f>
        <v>1</v>
      </c>
      <c r="J100" s="8">
        <f>IF(C22="Koti",E21,E22)</f>
        <v>3</v>
      </c>
      <c r="K100" s="8">
        <f>IF(C22="Koti",E22,E21)</f>
        <v>1</v>
      </c>
      <c r="L100" s="8">
        <f>IF(C22="Koti",F21,F22)</f>
        <v>1</v>
      </c>
      <c r="M100" s="8">
        <f>IF(C22="Koti",F22,F21)</f>
        <v>0</v>
      </c>
      <c r="N100" s="8">
        <f>IF(C22="Koti",G21,G22)</f>
        <v>1</v>
      </c>
      <c r="O100" s="8">
        <f>IF(C22="Koti",G22,G21)</f>
        <v>0</v>
      </c>
      <c r="P100" s="8">
        <f>J21</f>
        <v>2</v>
      </c>
      <c r="Q100" s="8">
        <f>K21</f>
        <v>12</v>
      </c>
      <c r="R100" s="8">
        <f>L21</f>
        <v>0</v>
      </c>
      <c r="S100" s="8">
        <f>M21</f>
        <v>0</v>
      </c>
      <c r="T100" s="8">
        <f>N21</f>
        <v>0</v>
      </c>
      <c r="V100" s="8">
        <f>O21</f>
        <v>0</v>
      </c>
      <c r="W100" s="8">
        <f>P21</f>
        <v>0</v>
      </c>
      <c r="X100" s="8">
        <f>Q21</f>
        <v>0</v>
      </c>
      <c r="Y100" s="8">
        <f>R21</f>
        <v>0</v>
      </c>
      <c r="Z100" s="8">
        <f>S21</f>
        <v>13.58</v>
      </c>
    </row>
    <row r="101" spans="2:26" x14ac:dyDescent="0.3">
      <c r="B101" t="str">
        <f>B24</f>
        <v>Ottelu 7.</v>
      </c>
      <c r="C101" s="888" t="str">
        <f>B25</f>
        <v>16.12.2017 Klo 15.00</v>
      </c>
      <c r="D101" t="str">
        <f>C24</f>
        <v>Leaf-Areena</v>
      </c>
      <c r="E101" s="8" t="str">
        <f>I24</f>
        <v>Häviö</v>
      </c>
      <c r="F101" t="str">
        <f>IF(C25="Koti",D24,D25)</f>
        <v>TA-631</v>
      </c>
      <c r="G101" t="str">
        <f>IF(C25="Koti",D25,D24)</f>
        <v>SekTa</v>
      </c>
      <c r="H101" s="8">
        <f>IF(C25="Koti",H24,H25)</f>
        <v>5</v>
      </c>
      <c r="I101" s="8">
        <f>IF(C25="Koti",H25,H24)</f>
        <v>3</v>
      </c>
      <c r="J101" s="8">
        <f>IF(C25="Koti",E24,E25)</f>
        <v>0</v>
      </c>
      <c r="K101" s="8">
        <f>IF(C25="Koti",E25,E24)</f>
        <v>0</v>
      </c>
      <c r="L101" s="8">
        <f>IF(C25="Koti",F24,F25)</f>
        <v>2</v>
      </c>
      <c r="M101" s="8">
        <f>IF(C25="Koti",F25,F24)</f>
        <v>1</v>
      </c>
      <c r="N101" s="8">
        <f>IF(C25="Koti",G24,G25)</f>
        <v>3</v>
      </c>
      <c r="O101" s="8">
        <f>IF(C25="Koti",G25,G24)</f>
        <v>2</v>
      </c>
      <c r="P101" s="8">
        <f>J24</f>
        <v>2</v>
      </c>
      <c r="Q101" s="8">
        <f>K24</f>
        <v>4</v>
      </c>
      <c r="R101" s="8">
        <f>L24</f>
        <v>0</v>
      </c>
      <c r="S101" s="8">
        <f>M24</f>
        <v>0</v>
      </c>
      <c r="T101" s="8">
        <f>N24</f>
        <v>0</v>
      </c>
      <c r="V101" s="8">
        <f>O24</f>
        <v>0</v>
      </c>
      <c r="W101" s="8">
        <f>P24</f>
        <v>0</v>
      </c>
      <c r="X101" s="8">
        <f>Q24</f>
        <v>0</v>
      </c>
      <c r="Y101" s="8">
        <f>R24</f>
        <v>0</v>
      </c>
      <c r="Z101" s="8">
        <f>S24</f>
        <v>25.54</v>
      </c>
    </row>
    <row r="102" spans="2:26" x14ac:dyDescent="0.3">
      <c r="B102" t="str">
        <f>B27</f>
        <v>Ottelu 8.</v>
      </c>
      <c r="C102" s="888" t="str">
        <f>B28</f>
        <v>16.12.2017 Klo 18.00</v>
      </c>
      <c r="D102" t="str">
        <f>C27</f>
        <v>Leaf-Areena</v>
      </c>
      <c r="E102" s="8" t="str">
        <f>I27</f>
        <v>Häviö</v>
      </c>
      <c r="F102" t="str">
        <f>IF(C28="Koti",D27,D28)</f>
        <v>SekTa</v>
      </c>
      <c r="G102" t="str">
        <f>IF(C28="Koti",D28,D27)</f>
        <v>SBT Shadows</v>
      </c>
      <c r="H102" s="8">
        <f>IF(C28="Koti",H27,H28)</f>
        <v>3</v>
      </c>
      <c r="I102" s="8">
        <f>IF(C28="Koti",H28,H27)</f>
        <v>5</v>
      </c>
      <c r="J102" s="8">
        <f>IF(C28="Koti",E27,E28)</f>
        <v>1</v>
      </c>
      <c r="K102" s="8">
        <f>IF(C28="Koti",E28,E27)</f>
        <v>2</v>
      </c>
      <c r="L102" s="8">
        <f>IF(C28="Koti",F27,F28)</f>
        <v>2</v>
      </c>
      <c r="M102" s="8">
        <f>IF(C28="Koti",F28,F27)</f>
        <v>1</v>
      </c>
      <c r="N102" s="8">
        <f>IF(C28="Koti",G27,G28)</f>
        <v>0</v>
      </c>
      <c r="O102" s="8">
        <f>IF(C28="Koti",G28,G27)</f>
        <v>2</v>
      </c>
      <c r="P102" s="8">
        <f>J27</f>
        <v>2</v>
      </c>
      <c r="Q102" s="8">
        <f>K27</f>
        <v>4</v>
      </c>
      <c r="R102" s="8">
        <f>L27</f>
        <v>0</v>
      </c>
      <c r="S102" s="8">
        <f>M27</f>
        <v>0</v>
      </c>
      <c r="T102" s="8">
        <f>N27</f>
        <v>0</v>
      </c>
      <c r="V102" s="8">
        <f>O27</f>
        <v>0</v>
      </c>
      <c r="W102" s="8">
        <f>P27</f>
        <v>0</v>
      </c>
      <c r="X102" s="8">
        <f>Q27</f>
        <v>0</v>
      </c>
      <c r="Y102" s="8">
        <f>R27</f>
        <v>0</v>
      </c>
      <c r="Z102" s="8">
        <f>S27</f>
        <v>11.55</v>
      </c>
    </row>
    <row r="103" spans="2:26" x14ac:dyDescent="0.3">
      <c r="B103" t="str">
        <f>B30</f>
        <v>Ottelu 9.</v>
      </c>
      <c r="C103" s="888" t="str">
        <f>B31</f>
        <v>7.1.2018 Klo 15.00</v>
      </c>
      <c r="D103" t="str">
        <f>C30</f>
        <v>Leaf-Areena</v>
      </c>
      <c r="E103" s="8" t="str">
        <f>I30</f>
        <v>Häviö</v>
      </c>
      <c r="F103" t="str">
        <f>IF(C31="Koti",D30,D31)</f>
        <v>SekTa</v>
      </c>
      <c r="G103" t="str">
        <f>IF(C31="Koti",D31,D30)</f>
        <v>TBS</v>
      </c>
      <c r="H103" s="8">
        <f>IF(C31="Koti",H30,H31)</f>
        <v>3</v>
      </c>
      <c r="I103" s="8">
        <f>IF(C31="Koti",H31,H30)</f>
        <v>4</v>
      </c>
      <c r="J103" s="8">
        <f>IF(C31="Koti",E30,E31)</f>
        <v>0</v>
      </c>
      <c r="K103" s="8">
        <f>IF(C31="Koti",E31,E30)</f>
        <v>0</v>
      </c>
      <c r="L103" s="8">
        <f>IF(C31="Koti",F30,F31)</f>
        <v>2</v>
      </c>
      <c r="M103" s="8">
        <f>IF(C31="Koti",F31,F30)</f>
        <v>1</v>
      </c>
      <c r="N103" s="8">
        <f>IF(C31="Koti",G30,G31)</f>
        <v>1</v>
      </c>
      <c r="O103" s="8">
        <f>IF(C31="Koti",G31,G30)</f>
        <v>3</v>
      </c>
      <c r="P103" s="8">
        <f>J30</f>
        <v>1</v>
      </c>
      <c r="Q103" s="8">
        <f>K30</f>
        <v>2</v>
      </c>
      <c r="R103" s="8">
        <f>L30</f>
        <v>0</v>
      </c>
      <c r="S103" s="8">
        <f>M30</f>
        <v>0</v>
      </c>
      <c r="T103" s="8">
        <f>N30</f>
        <v>0</v>
      </c>
      <c r="V103" s="8">
        <f>O30</f>
        <v>0</v>
      </c>
      <c r="W103" s="8">
        <f>P30</f>
        <v>0</v>
      </c>
      <c r="X103" s="8">
        <f>Q30</f>
        <v>0</v>
      </c>
      <c r="Y103" s="8">
        <f>R30</f>
        <v>0</v>
      </c>
      <c r="Z103" s="8">
        <f>S30</f>
        <v>15.5</v>
      </c>
    </row>
    <row r="104" spans="2:26" x14ac:dyDescent="0.3">
      <c r="B104" t="str">
        <f>B33</f>
        <v>Ottelu 10.</v>
      </c>
      <c r="C104" s="888" t="str">
        <f>B34</f>
        <v>7.1.2018 Klo 17.00</v>
      </c>
      <c r="D104" t="str">
        <f>C33</f>
        <v>Leaf-Areena</v>
      </c>
      <c r="E104" s="8" t="str">
        <f>I33</f>
        <v>Häviö</v>
      </c>
      <c r="F104" t="str">
        <f>IF(C34="Koti",D33,D34)</f>
        <v>Pyövelit 2</v>
      </c>
      <c r="G104" t="str">
        <f>IF(C34="Koti",D34,D33)</f>
        <v>SekTa</v>
      </c>
      <c r="H104" s="8">
        <f>IF(C34="Koti",H33,H34)</f>
        <v>6</v>
      </c>
      <c r="I104" s="8">
        <f>IF(C34="Koti",H34,H33)</f>
        <v>3</v>
      </c>
      <c r="J104" s="8">
        <f>IF(C34="Koti",E33,E34)</f>
        <v>1</v>
      </c>
      <c r="K104" s="8">
        <f>IF(C34="Koti",E34,E33)</f>
        <v>1</v>
      </c>
      <c r="L104" s="8">
        <f>IF(C34="Koti",F33,F34)</f>
        <v>1</v>
      </c>
      <c r="M104" s="8">
        <f>IF(C34="Koti",F34,F33)</f>
        <v>1</v>
      </c>
      <c r="N104" s="8">
        <f>IF(C34="Koti",G33,G34)</f>
        <v>4</v>
      </c>
      <c r="O104" s="8">
        <f>IF(C34="Koti",G34,G33)</f>
        <v>1</v>
      </c>
      <c r="P104" s="8">
        <f>J33</f>
        <v>2</v>
      </c>
      <c r="Q104" s="8">
        <f>K33</f>
        <v>4</v>
      </c>
      <c r="R104" s="8">
        <f>L33</f>
        <v>1</v>
      </c>
      <c r="S104" s="8">
        <f>M33</f>
        <v>0</v>
      </c>
      <c r="T104" s="8">
        <f>N33</f>
        <v>0</v>
      </c>
      <c r="V104" s="8">
        <f>O33</f>
        <v>0</v>
      </c>
      <c r="W104" s="8">
        <f>P33</f>
        <v>0</v>
      </c>
      <c r="X104" s="8">
        <f>Q33</f>
        <v>0</v>
      </c>
      <c r="Y104" s="8">
        <f>R33</f>
        <v>0</v>
      </c>
      <c r="Z104" s="8">
        <f>S33</f>
        <v>6.32</v>
      </c>
    </row>
    <row r="105" spans="2:26" x14ac:dyDescent="0.3">
      <c r="B105" t="str">
        <f>B36</f>
        <v>Ottelu 11.</v>
      </c>
      <c r="C105" s="888" t="str">
        <f>B37</f>
        <v>27.1.2018 Klo 15.00</v>
      </c>
      <c r="D105" t="str">
        <f>C36</f>
        <v>Pohitullin koulu, Uusikaupunki</v>
      </c>
      <c r="E105" s="8" t="str">
        <f>I36</f>
        <v>Häviö</v>
      </c>
      <c r="F105" t="str">
        <f>IF(C37="Koti",D36,D37)</f>
        <v>Yrmyt</v>
      </c>
      <c r="G105" t="str">
        <f>IF(C37="Koti",D37,D36)</f>
        <v>SekTa</v>
      </c>
      <c r="H105" s="8">
        <f>IF(C37="Koti",H36,H37)</f>
        <v>11</v>
      </c>
      <c r="I105" s="8">
        <f>IF(C37="Koti",H37,H36)</f>
        <v>4</v>
      </c>
      <c r="J105" s="8">
        <f>IF(C37="Koti",E36,E37)</f>
        <v>5</v>
      </c>
      <c r="K105" s="8">
        <f>IF(C37="Koti",E37,E36)</f>
        <v>0</v>
      </c>
      <c r="L105" s="8">
        <f>IF(C37="Koti",F36,F37)</f>
        <v>4</v>
      </c>
      <c r="M105" s="8">
        <f>IF(C37="Koti",F37,F36)</f>
        <v>3</v>
      </c>
      <c r="N105" s="8">
        <f>IF(C37="Koti",G36,G37)</f>
        <v>2</v>
      </c>
      <c r="O105" s="8">
        <f>IF(C37="Koti",G37,G36)</f>
        <v>1</v>
      </c>
      <c r="P105" s="8">
        <f>J36</f>
        <v>0</v>
      </c>
      <c r="Q105" s="8">
        <f>K36</f>
        <v>0</v>
      </c>
      <c r="R105" s="8">
        <f>L36</f>
        <v>0</v>
      </c>
      <c r="S105" s="8">
        <f>M36</f>
        <v>0</v>
      </c>
      <c r="T105" s="8">
        <f>N36</f>
        <v>0</v>
      </c>
      <c r="V105" s="8">
        <f>O36</f>
        <v>0</v>
      </c>
      <c r="W105" s="8">
        <f>P36</f>
        <v>0</v>
      </c>
      <c r="X105" s="8">
        <f>Q36</f>
        <v>0</v>
      </c>
      <c r="Y105" s="8">
        <f>R36</f>
        <v>0</v>
      </c>
      <c r="Z105" s="8">
        <f>S36</f>
        <v>21.46</v>
      </c>
    </row>
    <row r="106" spans="2:26" x14ac:dyDescent="0.3">
      <c r="B106" t="str">
        <f>B39</f>
        <v>Ottelu 12.</v>
      </c>
      <c r="C106" s="888" t="str">
        <f>B40</f>
        <v>27.1.2018 Klo 18.00</v>
      </c>
      <c r="D106" t="str">
        <f>C39</f>
        <v>Pohitullin koulu, Uusikaupunki</v>
      </c>
      <c r="E106" s="8" t="str">
        <f>I39</f>
        <v>Häviö</v>
      </c>
      <c r="F106" t="str">
        <f>IF(C40="Koti",D39,D40)</f>
        <v>SekTa</v>
      </c>
      <c r="G106" t="str">
        <f>IF(C40="Koti",D40,D39)</f>
        <v>RK Rangers</v>
      </c>
      <c r="H106" s="8">
        <f>IF(C40="Koti",H39,H40)</f>
        <v>1</v>
      </c>
      <c r="I106" s="8">
        <f>IF(C40="Koti",H40,H39)</f>
        <v>2</v>
      </c>
      <c r="J106" s="8">
        <f>IF(C40="Koti",E39,E40)</f>
        <v>1</v>
      </c>
      <c r="K106" s="8">
        <f>IF(C40="Koti",E40,E39)</f>
        <v>1</v>
      </c>
      <c r="L106" s="8">
        <f>IF(C40="Koti",F39,F40)</f>
        <v>0</v>
      </c>
      <c r="M106" s="8">
        <f>IF(C40="Koti",F40,F39)</f>
        <v>0</v>
      </c>
      <c r="N106" s="8">
        <f>IF(C40="Koti",G39,G40)</f>
        <v>0</v>
      </c>
      <c r="O106" s="8">
        <f>IF(C40="Koti",G40,G39)</f>
        <v>1</v>
      </c>
      <c r="P106" s="8">
        <f>J39</f>
        <v>2</v>
      </c>
      <c r="Q106" s="8">
        <f>K39</f>
        <v>4</v>
      </c>
      <c r="R106" s="8">
        <f>L39</f>
        <v>0</v>
      </c>
      <c r="S106" s="8">
        <f>M39</f>
        <v>0</v>
      </c>
      <c r="T106" s="8">
        <f>N39</f>
        <v>0</v>
      </c>
      <c r="V106" s="8">
        <f>O39</f>
        <v>0</v>
      </c>
      <c r="W106" s="8">
        <f>P39</f>
        <v>0</v>
      </c>
      <c r="X106" s="8">
        <f>Q39</f>
        <v>0</v>
      </c>
      <c r="Y106" s="8">
        <f>R39</f>
        <v>0</v>
      </c>
      <c r="Z106" s="8">
        <f>S39</f>
        <v>0.43</v>
      </c>
    </row>
    <row r="107" spans="2:26" x14ac:dyDescent="0.3">
      <c r="B107" t="str">
        <f>B42</f>
        <v>Ottelu 13.</v>
      </c>
      <c r="C107" s="888" t="str">
        <f>B43</f>
        <v>17.2.2018 Klo 10.00</v>
      </c>
      <c r="D107" t="str">
        <f>C42</f>
        <v>SB-Areena</v>
      </c>
      <c r="E107" s="8" t="str">
        <f>I42</f>
        <v>Häviö</v>
      </c>
      <c r="F107" t="str">
        <f>IF(C43="Koti",D42,D43)</f>
        <v>SekTa</v>
      </c>
      <c r="G107" t="str">
        <f>IF(C43="Koti",D43,D42)</f>
        <v>SB Naantali 3</v>
      </c>
      <c r="H107" s="8">
        <f>IF(C43="Koti",H42,H43)</f>
        <v>3</v>
      </c>
      <c r="I107" s="8">
        <f>IF(C43="Koti",H43,H42)</f>
        <v>4</v>
      </c>
      <c r="J107" s="8">
        <f>IF(C43="Koti",E42,E43)</f>
        <v>1</v>
      </c>
      <c r="K107" s="8">
        <f>IF(C43="Koti",E43,E42)</f>
        <v>2</v>
      </c>
      <c r="L107" s="8">
        <f>IF(C43="Koti",F42,F43)</f>
        <v>0</v>
      </c>
      <c r="M107" s="8">
        <f>IF(C43="Koti",F43,F42)</f>
        <v>0</v>
      </c>
      <c r="N107" s="8">
        <f>IF(C43="Koti",G42,G43)</f>
        <v>2</v>
      </c>
      <c r="O107" s="8">
        <f>IF(C43="Koti",G43,G42)</f>
        <v>2</v>
      </c>
      <c r="P107" s="8">
        <f>J42</f>
        <v>0</v>
      </c>
      <c r="Q107" s="8">
        <f>K42</f>
        <v>0</v>
      </c>
      <c r="R107" s="8">
        <f>L42</f>
        <v>0</v>
      </c>
      <c r="S107" s="8">
        <f>M42</f>
        <v>0</v>
      </c>
      <c r="T107" s="8">
        <f>N42</f>
        <v>0</v>
      </c>
      <c r="V107" s="8">
        <f>O42</f>
        <v>0</v>
      </c>
      <c r="W107" s="8">
        <f>P42</f>
        <v>0</v>
      </c>
      <c r="X107" s="8">
        <f>Q42</f>
        <v>0</v>
      </c>
      <c r="Y107" s="8">
        <f>R42</f>
        <v>0</v>
      </c>
      <c r="Z107" s="8">
        <f>S42</f>
        <v>14.5</v>
      </c>
    </row>
    <row r="108" spans="2:26" x14ac:dyDescent="0.3">
      <c r="B108" t="str">
        <f>B45</f>
        <v>Ottelu 14.</v>
      </c>
      <c r="C108" s="888" t="str">
        <f>B46</f>
        <v>17.2.2018 Klo 18.00</v>
      </c>
      <c r="D108" t="str">
        <f>C45</f>
        <v>SB-Areena</v>
      </c>
      <c r="E108" s="8" t="str">
        <f>I45</f>
        <v>Voitto</v>
      </c>
      <c r="F108" t="str">
        <f>IF(C46="Koti",D45,D46)</f>
        <v>KaPa-65</v>
      </c>
      <c r="G108" t="str">
        <f>IF(C46="Koti",D46,D45)</f>
        <v>SekTa</v>
      </c>
      <c r="H108" s="8">
        <f>IF(C46="Koti",H45,H46)</f>
        <v>4</v>
      </c>
      <c r="I108" s="8">
        <f>IF(C46="Koti",H46,H45)</f>
        <v>8</v>
      </c>
      <c r="J108" s="8">
        <f>IF(C46="Koti",E45,E46)</f>
        <v>1</v>
      </c>
      <c r="K108" s="8">
        <f>IF(C46="Koti",E46,E45)</f>
        <v>2</v>
      </c>
      <c r="L108" s="8">
        <f>IF(C46="Koti",F45,F46)</f>
        <v>0</v>
      </c>
      <c r="M108" s="8">
        <f>IF(C46="Koti",F46,F45)</f>
        <v>2</v>
      </c>
      <c r="N108" s="8">
        <f>IF(C46="Koti",G45,G46)</f>
        <v>3</v>
      </c>
      <c r="O108" s="8">
        <f>IF(C46="Koti",G46,G45)</f>
        <v>4</v>
      </c>
      <c r="P108" s="8">
        <f>J45</f>
        <v>0</v>
      </c>
      <c r="Q108" s="8">
        <f>K45</f>
        <v>0</v>
      </c>
      <c r="R108" s="8">
        <f>L45</f>
        <v>0</v>
      </c>
      <c r="S108" s="8">
        <f>M45</f>
        <v>0</v>
      </c>
      <c r="T108" s="8">
        <f>N45</f>
        <v>0</v>
      </c>
      <c r="V108" s="8">
        <f>O45</f>
        <v>0</v>
      </c>
      <c r="W108" s="8">
        <f>P45</f>
        <v>0</v>
      </c>
      <c r="X108" s="8">
        <f>Q45</f>
        <v>0</v>
      </c>
      <c r="Y108" s="8">
        <f>R45</f>
        <v>1</v>
      </c>
      <c r="Z108" s="8">
        <f>S45</f>
        <v>10.130000000000001</v>
      </c>
    </row>
    <row r="109" spans="2:26" x14ac:dyDescent="0.3">
      <c r="B109" t="str">
        <f>B48</f>
        <v>Ottelu 15.</v>
      </c>
      <c r="C109" s="888" t="str">
        <f>B49</f>
        <v>10.3.2018 Klo 10.00</v>
      </c>
      <c r="D109" t="str">
        <f>C48</f>
        <v>Taivassalon Liikuntahalli</v>
      </c>
      <c r="E109" s="8" t="str">
        <f>I48</f>
        <v>Voitto</v>
      </c>
      <c r="F109" t="str">
        <f>IF(C49="Koti",D48,D49)</f>
        <v>SekTa</v>
      </c>
      <c r="G109" t="str">
        <f>IF(C49="Koti",D49,D48)</f>
        <v>TA-631</v>
      </c>
      <c r="H109" s="8">
        <f>IF(C49="Koti",H48,H49)</f>
        <v>4</v>
      </c>
      <c r="I109" s="8">
        <f>IF(C49="Koti",H49,H48)</f>
        <v>1</v>
      </c>
      <c r="J109" s="8">
        <f>IF(C49="Koti",E48,E49)</f>
        <v>0</v>
      </c>
      <c r="K109" s="8">
        <f>IF(C49="Koti",E49,E48)</f>
        <v>1</v>
      </c>
      <c r="L109" s="8">
        <f>IF(C49="Koti",F48,F49)</f>
        <v>0</v>
      </c>
      <c r="M109" s="8">
        <f>IF(C49="Koti",F49,F48)</f>
        <v>0</v>
      </c>
      <c r="N109" s="8">
        <f>IF(C49="Koti",G48,G49)</f>
        <v>4</v>
      </c>
      <c r="O109" s="8">
        <f>IF(C49="Koti",G49,G48)</f>
        <v>0</v>
      </c>
      <c r="P109" s="8">
        <f>J48</f>
        <v>2</v>
      </c>
      <c r="Q109" s="8">
        <f>K48</f>
        <v>4</v>
      </c>
      <c r="R109" s="8">
        <f>L48</f>
        <v>1</v>
      </c>
      <c r="S109" s="8">
        <f>M48</f>
        <v>0</v>
      </c>
      <c r="T109" s="8">
        <f>N48</f>
        <v>0</v>
      </c>
      <c r="V109" s="8">
        <f>O48</f>
        <v>0</v>
      </c>
      <c r="W109" s="8">
        <f>P48</f>
        <v>0</v>
      </c>
      <c r="X109" s="8">
        <f>Q48</f>
        <v>0</v>
      </c>
      <c r="Y109" s="8">
        <f>R48</f>
        <v>1</v>
      </c>
      <c r="Z109" s="8">
        <f>S48</f>
        <v>34.11</v>
      </c>
    </row>
    <row r="110" spans="2:26" x14ac:dyDescent="0.3">
      <c r="B110" t="str">
        <f>B51</f>
        <v>Ottelu 16.</v>
      </c>
      <c r="C110" s="888" t="str">
        <f>B52</f>
        <v>10.3.2018 Klo 12.00</v>
      </c>
      <c r="D110" t="str">
        <f>C51</f>
        <v>Taivassalon Liikuntahalli</v>
      </c>
      <c r="E110" s="8" t="str">
        <f>I51</f>
        <v>Voitto</v>
      </c>
      <c r="F110" t="str">
        <f>IF(C52="Koti",D51,D52)</f>
        <v>SBT Shadows</v>
      </c>
      <c r="G110" t="str">
        <f>IF(C52="Koti",D52,D51)</f>
        <v>SekTa</v>
      </c>
      <c r="H110" s="8">
        <f>IF(C52="Koti",H51,H52)</f>
        <v>4</v>
      </c>
      <c r="I110" s="8">
        <f>IF(C52="Koti",H52,H51)</f>
        <v>5</v>
      </c>
      <c r="J110" s="8">
        <f>IF(C52="Koti",E51,E52)</f>
        <v>1</v>
      </c>
      <c r="K110" s="8">
        <f>IF(C52="Koti",E52,E51)</f>
        <v>3</v>
      </c>
      <c r="L110" s="8">
        <f>IF(C52="Koti",F51,F52)</f>
        <v>3</v>
      </c>
      <c r="M110" s="8">
        <f>IF(C52="Koti",F52,F51)</f>
        <v>0</v>
      </c>
      <c r="N110" s="8">
        <f>IF(C52="Koti",G51,G52)</f>
        <v>0</v>
      </c>
      <c r="O110" s="8">
        <f>IF(C52="Koti",G52,G51)</f>
        <v>2</v>
      </c>
      <c r="P110" s="8">
        <f>J51</f>
        <v>3</v>
      </c>
      <c r="Q110" s="8">
        <f>K51</f>
        <v>6</v>
      </c>
      <c r="R110" s="8">
        <f>L51</f>
        <v>0</v>
      </c>
      <c r="S110" s="8">
        <f>M51</f>
        <v>0</v>
      </c>
      <c r="T110" s="8">
        <f>N51</f>
        <v>0</v>
      </c>
      <c r="V110" s="8">
        <f>O51</f>
        <v>0</v>
      </c>
      <c r="W110" s="8">
        <f>P51</f>
        <v>0</v>
      </c>
      <c r="X110" s="8">
        <f>Q51</f>
        <v>0</v>
      </c>
      <c r="Y110" s="8">
        <f>R51</f>
        <v>0</v>
      </c>
      <c r="Z110" s="8">
        <f>S51</f>
        <v>1.5</v>
      </c>
    </row>
    <row r="111" spans="2:26" x14ac:dyDescent="0.3">
      <c r="B111">
        <f>B54</f>
        <v>0</v>
      </c>
    </row>
    <row r="112" spans="2:26" x14ac:dyDescent="0.3">
      <c r="B112">
        <f>B57</f>
        <v>0</v>
      </c>
    </row>
  </sheetData>
  <dataValidations count="21">
    <dataValidation type="list" allowBlank="1" showInputMessage="1" showErrorMessage="1" sqref="E2" xr:uid="{00000000-0002-0000-0D00-000000000000}">
      <formula1>Sarjat</formula1>
    </dataValidation>
    <dataValidation type="list" allowBlank="1" showInputMessage="1" showErrorMessage="1" sqref="C2" xr:uid="{00000000-0002-0000-0D00-000001000000}">
      <formula1>Kaudet</formula1>
    </dataValidation>
    <dataValidation type="list" allowBlank="1" showInputMessage="1" showErrorMessage="1" sqref="C6 C9 C12 C15 C18 C21 C24 C27 C30 C33 C36 C39 C42 C45 C48 C51" xr:uid="{00000000-0002-0000-0D00-000002000000}">
      <formula1>Hallit</formula1>
    </dataValidation>
    <dataValidation type="list" allowBlank="1" showInputMessage="1" showErrorMessage="1" sqref="C7 C10 C13 C16 C19 C22 C25 C28 C31 C34 C37 C40 C43 C46 C49 C52" xr:uid="{00000000-0002-0000-0D00-000003000000}">
      <formula1>Koti</formula1>
    </dataValidation>
    <dataValidation type="list" allowBlank="1" showInputMessage="1" showErrorMessage="1" sqref="D7" xr:uid="{00000000-0002-0000-0D00-000004000000}">
      <formula1>INDIRECT(VLOOKUP(C2,KausiVlookup,2,TRUE))</formula1>
    </dataValidation>
    <dataValidation type="list" allowBlank="1" showInputMessage="1" showErrorMessage="1" sqref="D10" xr:uid="{00000000-0002-0000-0D00-000005000000}">
      <formula1>INDIRECT(VLOOKUP(C2,KausiVlookup,2,TRUE))</formula1>
    </dataValidation>
    <dataValidation type="list" allowBlank="1" showInputMessage="1" showErrorMessage="1" sqref="D13" xr:uid="{00000000-0002-0000-0D00-000006000000}">
      <formula1>INDIRECT(VLOOKUP(C2,KausiVlookup,2,TRUE))</formula1>
    </dataValidation>
    <dataValidation type="list" allowBlank="1" showInputMessage="1" showErrorMessage="1" sqref="D16" xr:uid="{00000000-0002-0000-0D00-000007000000}">
      <formula1>INDIRECT(VLOOKUP(C2,KausiVlookup,2,TRUE))</formula1>
    </dataValidation>
    <dataValidation type="list" allowBlank="1" showInputMessage="1" showErrorMessage="1" sqref="D19" xr:uid="{00000000-0002-0000-0D00-000008000000}">
      <formula1>INDIRECT(VLOOKUP(C2,KausiVlookup,2,TRUE))</formula1>
    </dataValidation>
    <dataValidation type="list" allowBlank="1" showInputMessage="1" showErrorMessage="1" sqref="D22" xr:uid="{00000000-0002-0000-0D00-000009000000}">
      <formula1>INDIRECT(VLOOKUP(C2,KausiVlookup,2,TRUE))</formula1>
    </dataValidation>
    <dataValidation type="list" allowBlank="1" showInputMessage="1" showErrorMessage="1" sqref="D25" xr:uid="{00000000-0002-0000-0D00-00000A000000}">
      <formula1>INDIRECT(VLOOKUP(C2,KausiVlookup,2,TRUE))</formula1>
    </dataValidation>
    <dataValidation type="list" allowBlank="1" showInputMessage="1" showErrorMessage="1" sqref="D28" xr:uid="{00000000-0002-0000-0D00-00000B000000}">
      <formula1>INDIRECT(VLOOKUP(C2,KausiVlookup,2,TRUE))</formula1>
    </dataValidation>
    <dataValidation type="list" allowBlank="1" showInputMessage="1" showErrorMessage="1" sqref="D31" xr:uid="{00000000-0002-0000-0D00-00000C000000}">
      <formula1>INDIRECT(VLOOKUP(C2,KausiVlookup,2,TRUE))</formula1>
    </dataValidation>
    <dataValidation type="list" allowBlank="1" showInputMessage="1" showErrorMessage="1" sqref="D34" xr:uid="{00000000-0002-0000-0D00-00000D000000}">
      <formula1>INDIRECT(VLOOKUP(C2,KausiVlookup,2,TRUE))</formula1>
    </dataValidation>
    <dataValidation type="list" allowBlank="1" showInputMessage="1" showErrorMessage="1" sqref="D37" xr:uid="{00000000-0002-0000-0D00-00000E000000}">
      <formula1>INDIRECT(VLOOKUP(C2,KausiVlookup,2,TRUE))</formula1>
    </dataValidation>
    <dataValidation type="list" allowBlank="1" showInputMessage="1" showErrorMessage="1" sqref="D40" xr:uid="{00000000-0002-0000-0D00-00000F000000}">
      <formula1>INDIRECT(VLOOKUP(C2,KausiVlookup,2,TRUE))</formula1>
    </dataValidation>
    <dataValidation type="list" allowBlank="1" showInputMessage="1" showErrorMessage="1" sqref="D43" xr:uid="{00000000-0002-0000-0D00-000010000000}">
      <formula1>INDIRECT(VLOOKUP(C2,KausiVlookup,2,TRUE))</formula1>
    </dataValidation>
    <dataValidation type="list" allowBlank="1" showInputMessage="1" showErrorMessage="1" sqref="D46" xr:uid="{00000000-0002-0000-0D00-000011000000}">
      <formula1>INDIRECT(VLOOKUP(C2,KausiVlookup,2,TRUE))</formula1>
    </dataValidation>
    <dataValidation type="list" allowBlank="1" showInputMessage="1" showErrorMessage="1" sqref="D49" xr:uid="{00000000-0002-0000-0D00-000012000000}">
      <formula1>INDIRECT(VLOOKUP(C2,KausiVlookup,2,TRUE))</formula1>
    </dataValidation>
    <dataValidation type="list" allowBlank="1" showInputMessage="1" showErrorMessage="1" sqref="D52" xr:uid="{00000000-0002-0000-0D00-000013000000}">
      <formula1>INDIRECT(VLOOKUP(C2,KausiVlookup,2,TRUE))</formula1>
    </dataValidation>
    <dataValidation type="list" allowBlank="1" showInputMessage="1" showErrorMessage="1" sqref="D77:D85" xr:uid="{00000000-0002-0000-0D00-000014000000}">
      <formula1>INDIRECT(VLOOKUP(#REF!,KausiVlookup,2,TRUE))</formula1>
    </dataValidation>
  </dataValidations>
  <pageMargins left="0.19685039370078741" right="0.19685039370078741" top="0.19685039370078741" bottom="0.19685039370078741" header="0" footer="0"/>
  <pageSetup paperSize="9" scale="61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4F0B8-2CB0-40D0-A823-E6DEFE33DA0B}">
  <sheetPr>
    <pageSetUpPr fitToPage="1"/>
  </sheetPr>
  <dimension ref="B2:JN138"/>
  <sheetViews>
    <sheetView zoomScale="70" zoomScaleNormal="70" workbookViewId="0">
      <pane xSplit="3" topLeftCell="D1" activePane="topRight" state="frozen"/>
      <selection pane="topRight" activeCell="DY66" sqref="DY66"/>
    </sheetView>
  </sheetViews>
  <sheetFormatPr defaultRowHeight="14.4" x14ac:dyDescent="0.3"/>
  <cols>
    <col min="1" max="1" width="2.88671875" customWidth="1"/>
    <col min="2" max="2" width="5.6640625" customWidth="1"/>
    <col min="3" max="3" width="27.88671875" bestFit="1" customWidth="1"/>
    <col min="4" max="29" width="5.6640625" customWidth="1"/>
    <col min="31" max="33" width="3.6640625" customWidth="1"/>
    <col min="34" max="274" width="3.5546875" customWidth="1"/>
  </cols>
  <sheetData>
    <row r="2" spans="2:70" x14ac:dyDescent="0.3">
      <c r="C2" s="205" t="s">
        <v>2412</v>
      </c>
      <c r="D2" s="205" t="s">
        <v>2525</v>
      </c>
      <c r="AE2" s="205"/>
    </row>
    <row r="4" spans="2:70" x14ac:dyDescent="0.3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0" ht="15" thickBot="1" x14ac:dyDescent="0.35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2229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0" x14ac:dyDescent="0.3">
      <c r="B6" s="601"/>
      <c r="C6" s="602" t="s">
        <v>48</v>
      </c>
      <c r="D6" s="253">
        <v>17</v>
      </c>
      <c r="E6" s="229">
        <f t="shared" ref="E6:F23" si="1">COUNTIF(80:80,E$5)</f>
        <v>1</v>
      </c>
      <c r="F6" s="229">
        <f t="shared" si="1"/>
        <v>4</v>
      </c>
      <c r="G6" s="229">
        <f>E6+F6</f>
        <v>5</v>
      </c>
      <c r="H6" s="229">
        <f t="shared" ref="H6:T6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0" x14ac:dyDescent="0.3">
      <c r="B7" s="601"/>
      <c r="C7" s="602" t="s">
        <v>2281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ref="H7:T7" si="4">COUNTIF(81:81,H$5)</f>
        <v>1</v>
      </c>
      <c r="I7" s="119">
        <f t="shared" si="4"/>
        <v>0</v>
      </c>
      <c r="J7" s="119">
        <f t="shared" si="4"/>
        <v>0</v>
      </c>
      <c r="K7" s="227">
        <f t="shared" si="4"/>
        <v>0</v>
      </c>
      <c r="L7" s="227">
        <f t="shared" si="4"/>
        <v>0</v>
      </c>
      <c r="M7" s="227">
        <f t="shared" si="4"/>
        <v>0</v>
      </c>
      <c r="N7" s="227">
        <f t="shared" si="4"/>
        <v>0</v>
      </c>
      <c r="O7" s="227">
        <f t="shared" si="4"/>
        <v>0</v>
      </c>
      <c r="P7" s="227">
        <f t="shared" si="4"/>
        <v>0</v>
      </c>
      <c r="Q7" s="227">
        <f t="shared" si="4"/>
        <v>0</v>
      </c>
      <c r="R7" s="227">
        <f t="shared" si="4"/>
        <v>0</v>
      </c>
      <c r="S7" s="227">
        <f t="shared" si="4"/>
        <v>3</v>
      </c>
      <c r="T7" s="227">
        <f t="shared" si="4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0" x14ac:dyDescent="0.3">
      <c r="B8" s="601"/>
      <c r="C8" s="602" t="s">
        <v>2441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ref="H8:T8" si="5">COUNTIF(82:82,H$5)</f>
        <v>0</v>
      </c>
      <c r="I8" s="229">
        <f t="shared" si="5"/>
        <v>1</v>
      </c>
      <c r="J8" s="229">
        <f t="shared" si="5"/>
        <v>0</v>
      </c>
      <c r="K8" s="230">
        <f t="shared" si="5"/>
        <v>0</v>
      </c>
      <c r="L8" s="254">
        <f t="shared" si="5"/>
        <v>0</v>
      </c>
      <c r="M8" s="230">
        <f t="shared" si="5"/>
        <v>0</v>
      </c>
      <c r="N8" s="230">
        <f t="shared" si="5"/>
        <v>0</v>
      </c>
      <c r="O8" s="230">
        <f t="shared" si="5"/>
        <v>0</v>
      </c>
      <c r="P8" s="230">
        <f t="shared" si="5"/>
        <v>0</v>
      </c>
      <c r="Q8" s="230">
        <f t="shared" si="5"/>
        <v>1</v>
      </c>
      <c r="R8" s="230">
        <f t="shared" si="5"/>
        <v>0</v>
      </c>
      <c r="S8" s="230">
        <f t="shared" si="5"/>
        <v>0</v>
      </c>
      <c r="T8" s="230">
        <f t="shared" si="5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0" x14ac:dyDescent="0.3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ref="H9:T9" si="6">COUNTIF(83:83,H$5)</f>
        <v>0</v>
      </c>
      <c r="I9" s="119">
        <f t="shared" si="6"/>
        <v>1</v>
      </c>
      <c r="J9" s="119">
        <f t="shared" si="6"/>
        <v>0</v>
      </c>
      <c r="K9" s="227">
        <f t="shared" si="6"/>
        <v>0</v>
      </c>
      <c r="L9" s="227">
        <f t="shared" si="6"/>
        <v>0</v>
      </c>
      <c r="M9" s="227">
        <f t="shared" si="6"/>
        <v>0</v>
      </c>
      <c r="N9" s="119">
        <f t="shared" si="6"/>
        <v>0</v>
      </c>
      <c r="O9" s="227">
        <f t="shared" si="6"/>
        <v>0</v>
      </c>
      <c r="P9" s="119">
        <f t="shared" si="6"/>
        <v>0</v>
      </c>
      <c r="Q9" s="119">
        <f t="shared" si="6"/>
        <v>0</v>
      </c>
      <c r="R9" s="119">
        <f t="shared" si="6"/>
        <v>0</v>
      </c>
      <c r="S9" s="119">
        <f t="shared" si="6"/>
        <v>0</v>
      </c>
      <c r="T9" s="119">
        <f t="shared" si="6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</row>
    <row r="10" spans="2:70" x14ac:dyDescent="0.3">
      <c r="B10" s="601"/>
      <c r="C10" s="602" t="s">
        <v>2180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ref="H10:T10" si="7">COUNTIF(84:84,H$5)</f>
        <v>1</v>
      </c>
      <c r="I10" s="229">
        <f t="shared" si="7"/>
        <v>1</v>
      </c>
      <c r="J10" s="229">
        <f t="shared" si="7"/>
        <v>0</v>
      </c>
      <c r="K10" s="229">
        <f t="shared" si="7"/>
        <v>0</v>
      </c>
      <c r="L10" s="230">
        <f t="shared" si="7"/>
        <v>0</v>
      </c>
      <c r="M10" s="230">
        <f t="shared" si="7"/>
        <v>0</v>
      </c>
      <c r="N10" s="230">
        <f t="shared" si="7"/>
        <v>0</v>
      </c>
      <c r="O10" s="230">
        <f t="shared" si="7"/>
        <v>0</v>
      </c>
      <c r="P10" s="229">
        <f t="shared" si="7"/>
        <v>0</v>
      </c>
      <c r="Q10" s="229">
        <f t="shared" si="7"/>
        <v>0</v>
      </c>
      <c r="R10" s="229">
        <f t="shared" si="7"/>
        <v>0</v>
      </c>
      <c r="S10" s="229">
        <f t="shared" si="7"/>
        <v>0</v>
      </c>
      <c r="T10" s="229">
        <f t="shared" si="7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1"/>
      <c r="AJ10" s="1301"/>
      <c r="BQ10" s="1301"/>
      <c r="BR10" s="1301"/>
    </row>
    <row r="11" spans="2:70" x14ac:dyDescent="0.3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ref="H11:T11" si="8">COUNTIF(85:85,H$5)</f>
        <v>0</v>
      </c>
      <c r="I11" s="119">
        <f t="shared" si="8"/>
        <v>0</v>
      </c>
      <c r="J11" s="119">
        <f t="shared" si="8"/>
        <v>0</v>
      </c>
      <c r="K11" s="227">
        <f t="shared" si="8"/>
        <v>0</v>
      </c>
      <c r="L11" s="227">
        <f t="shared" si="8"/>
        <v>0</v>
      </c>
      <c r="M11" s="227">
        <f t="shared" si="8"/>
        <v>0</v>
      </c>
      <c r="N11" s="227">
        <f t="shared" si="8"/>
        <v>0</v>
      </c>
      <c r="O11" s="227">
        <f t="shared" si="8"/>
        <v>0</v>
      </c>
      <c r="P11" s="227">
        <f t="shared" si="8"/>
        <v>0</v>
      </c>
      <c r="Q11" s="227">
        <f t="shared" si="8"/>
        <v>0</v>
      </c>
      <c r="R11" s="227">
        <f t="shared" si="8"/>
        <v>0</v>
      </c>
      <c r="S11" s="227">
        <f t="shared" si="8"/>
        <v>0</v>
      </c>
      <c r="T11" s="227">
        <f t="shared" si="8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0" x14ac:dyDescent="0.3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ref="H12:T12" si="9">COUNTIF(86:86,H$5)</f>
        <v>0</v>
      </c>
      <c r="I12" s="229">
        <f t="shared" si="9"/>
        <v>3</v>
      </c>
      <c r="J12" s="229">
        <f t="shared" si="9"/>
        <v>0</v>
      </c>
      <c r="K12" s="229">
        <f t="shared" si="9"/>
        <v>0</v>
      </c>
      <c r="L12" s="230">
        <f t="shared" si="9"/>
        <v>0</v>
      </c>
      <c r="M12" s="230">
        <f t="shared" si="9"/>
        <v>0</v>
      </c>
      <c r="N12" s="230">
        <f t="shared" si="9"/>
        <v>0</v>
      </c>
      <c r="O12" s="230">
        <f t="shared" si="9"/>
        <v>0</v>
      </c>
      <c r="P12" s="229">
        <f t="shared" si="9"/>
        <v>3</v>
      </c>
      <c r="Q12" s="229">
        <f t="shared" si="9"/>
        <v>0</v>
      </c>
      <c r="R12" s="229">
        <f t="shared" si="9"/>
        <v>0</v>
      </c>
      <c r="S12" s="229">
        <f t="shared" si="9"/>
        <v>0</v>
      </c>
      <c r="T12" s="229">
        <f t="shared" si="9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0" x14ac:dyDescent="0.3">
      <c r="B13" s="601"/>
      <c r="C13" s="602" t="s">
        <v>2148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ref="H13:T13" si="10">COUNTIF(87:87,H$5)</f>
        <v>0</v>
      </c>
      <c r="I13" s="119">
        <f t="shared" si="10"/>
        <v>1</v>
      </c>
      <c r="J13" s="119">
        <f t="shared" si="10"/>
        <v>0</v>
      </c>
      <c r="K13" s="227">
        <f t="shared" si="10"/>
        <v>0</v>
      </c>
      <c r="L13" s="227">
        <f t="shared" si="10"/>
        <v>0</v>
      </c>
      <c r="M13" s="227">
        <f t="shared" si="10"/>
        <v>0</v>
      </c>
      <c r="N13" s="227">
        <f t="shared" si="10"/>
        <v>1</v>
      </c>
      <c r="O13" s="227">
        <f t="shared" si="10"/>
        <v>1</v>
      </c>
      <c r="P13" s="227">
        <f t="shared" si="10"/>
        <v>2</v>
      </c>
      <c r="Q13" s="227">
        <f t="shared" si="10"/>
        <v>0</v>
      </c>
      <c r="R13" s="227">
        <f t="shared" si="10"/>
        <v>0</v>
      </c>
      <c r="S13" s="227">
        <f t="shared" si="10"/>
        <v>0</v>
      </c>
      <c r="T13" s="227">
        <f t="shared" si="10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0" x14ac:dyDescent="0.3">
      <c r="B14" s="601"/>
      <c r="C14" s="602" t="s">
        <v>2184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ref="H14:T14" si="11">COUNTIF(88:88,H$5)</f>
        <v>2</v>
      </c>
      <c r="I14" s="229">
        <f t="shared" si="11"/>
        <v>1</v>
      </c>
      <c r="J14" s="229">
        <f t="shared" si="11"/>
        <v>0</v>
      </c>
      <c r="K14" s="230">
        <f t="shared" si="11"/>
        <v>0</v>
      </c>
      <c r="L14" s="230">
        <f t="shared" si="11"/>
        <v>0</v>
      </c>
      <c r="M14" s="230">
        <f t="shared" si="11"/>
        <v>0</v>
      </c>
      <c r="N14" s="230">
        <f t="shared" si="11"/>
        <v>0</v>
      </c>
      <c r="O14" s="230">
        <f t="shared" si="11"/>
        <v>0</v>
      </c>
      <c r="P14" s="230">
        <f t="shared" si="11"/>
        <v>0</v>
      </c>
      <c r="Q14" s="230">
        <f t="shared" si="11"/>
        <v>0</v>
      </c>
      <c r="R14" s="230">
        <f t="shared" si="11"/>
        <v>0</v>
      </c>
      <c r="S14" s="230">
        <f t="shared" si="11"/>
        <v>0</v>
      </c>
      <c r="T14" s="230">
        <f t="shared" si="11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1"/>
      <c r="AJ14" s="1301"/>
    </row>
    <row r="15" spans="2:70" x14ac:dyDescent="0.3">
      <c r="B15" s="601"/>
      <c r="C15" s="602" t="s">
        <v>2283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ref="H15:T15" si="12">COUNTIF(89:89,H$5)</f>
        <v>5</v>
      </c>
      <c r="I15" s="119">
        <f t="shared" si="12"/>
        <v>2</v>
      </c>
      <c r="J15" s="119">
        <f t="shared" si="12"/>
        <v>0</v>
      </c>
      <c r="K15" s="227">
        <f t="shared" si="12"/>
        <v>0</v>
      </c>
      <c r="L15" s="227">
        <f t="shared" si="12"/>
        <v>0</v>
      </c>
      <c r="M15" s="227">
        <f t="shared" si="12"/>
        <v>0</v>
      </c>
      <c r="N15" s="227">
        <f t="shared" si="12"/>
        <v>0</v>
      </c>
      <c r="O15" s="227">
        <f t="shared" si="12"/>
        <v>0</v>
      </c>
      <c r="P15" s="119">
        <f t="shared" si="12"/>
        <v>0</v>
      </c>
      <c r="Q15" s="119">
        <f t="shared" si="12"/>
        <v>0</v>
      </c>
      <c r="R15" s="119">
        <f t="shared" si="12"/>
        <v>0</v>
      </c>
      <c r="S15" s="119">
        <f t="shared" si="12"/>
        <v>0</v>
      </c>
      <c r="T15" s="119">
        <f t="shared" si="1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0" x14ac:dyDescent="0.3">
      <c r="B16" s="601"/>
      <c r="C16" s="602" t="s">
        <v>2280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ref="H16:T16" si="13">COUNTIF(90:90,H$5)</f>
        <v>1</v>
      </c>
      <c r="I16" s="229">
        <f t="shared" si="13"/>
        <v>0</v>
      </c>
      <c r="J16" s="229">
        <f t="shared" si="13"/>
        <v>0</v>
      </c>
      <c r="K16" s="230">
        <f t="shared" si="13"/>
        <v>0</v>
      </c>
      <c r="L16" s="230">
        <f t="shared" si="13"/>
        <v>0</v>
      </c>
      <c r="M16" s="230">
        <f t="shared" si="13"/>
        <v>0</v>
      </c>
      <c r="N16" s="230">
        <f t="shared" si="13"/>
        <v>0</v>
      </c>
      <c r="O16" s="230">
        <f t="shared" si="13"/>
        <v>0</v>
      </c>
      <c r="P16" s="230">
        <f t="shared" si="13"/>
        <v>0</v>
      </c>
      <c r="Q16" s="230">
        <f t="shared" si="13"/>
        <v>0</v>
      </c>
      <c r="R16" s="230">
        <f t="shared" si="13"/>
        <v>0</v>
      </c>
      <c r="S16" s="230">
        <f t="shared" si="13"/>
        <v>0</v>
      </c>
      <c r="T16" s="230">
        <f t="shared" si="13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48" x14ac:dyDescent="0.3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ref="H17:T17" si="14">COUNTIF(91:91,H$5)</f>
        <v>2</v>
      </c>
      <c r="I17" s="119">
        <f t="shared" si="14"/>
        <v>0</v>
      </c>
      <c r="J17" s="119">
        <f t="shared" si="14"/>
        <v>0</v>
      </c>
      <c r="K17" s="227">
        <f t="shared" si="14"/>
        <v>0</v>
      </c>
      <c r="L17" s="227">
        <f t="shared" si="14"/>
        <v>0</v>
      </c>
      <c r="M17" s="227">
        <f t="shared" si="14"/>
        <v>0</v>
      </c>
      <c r="N17" s="227">
        <f t="shared" si="14"/>
        <v>0</v>
      </c>
      <c r="O17" s="227">
        <f t="shared" si="14"/>
        <v>0</v>
      </c>
      <c r="P17" s="227">
        <f t="shared" si="14"/>
        <v>0</v>
      </c>
      <c r="Q17" s="227">
        <f t="shared" si="14"/>
        <v>0</v>
      </c>
      <c r="R17" s="227">
        <f t="shared" si="14"/>
        <v>0</v>
      </c>
      <c r="S17" s="227">
        <f t="shared" si="14"/>
        <v>0</v>
      </c>
      <c r="T17" s="227">
        <f t="shared" si="14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48" x14ac:dyDescent="0.3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ref="H18:T18" si="15">COUNTIF(92:92,H$5)</f>
        <v>2</v>
      </c>
      <c r="I18" s="229">
        <f t="shared" si="15"/>
        <v>0</v>
      </c>
      <c r="J18" s="229">
        <f t="shared" si="15"/>
        <v>1</v>
      </c>
      <c r="K18" s="230">
        <f t="shared" si="15"/>
        <v>1</v>
      </c>
      <c r="L18" s="230">
        <f t="shared" si="15"/>
        <v>0</v>
      </c>
      <c r="M18" s="230">
        <f t="shared" si="15"/>
        <v>0</v>
      </c>
      <c r="N18" s="230">
        <f t="shared" si="15"/>
        <v>0</v>
      </c>
      <c r="O18" s="230">
        <f t="shared" si="15"/>
        <v>0</v>
      </c>
      <c r="P18" s="229">
        <f t="shared" si="15"/>
        <v>0</v>
      </c>
      <c r="Q18" s="229">
        <f t="shared" si="15"/>
        <v>1</v>
      </c>
      <c r="R18" s="229">
        <f t="shared" si="15"/>
        <v>0</v>
      </c>
      <c r="S18" s="229">
        <f t="shared" si="15"/>
        <v>0</v>
      </c>
      <c r="T18" s="229">
        <f t="shared" si="15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48" x14ac:dyDescent="0.3">
      <c r="B19" s="601"/>
      <c r="C19" s="602" t="s">
        <v>2442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ref="H19:T19" si="16">COUNTIF(93:93,H$5)</f>
        <v>0</v>
      </c>
      <c r="I19" s="119">
        <f t="shared" si="16"/>
        <v>2</v>
      </c>
      <c r="J19" s="119">
        <f t="shared" si="16"/>
        <v>0</v>
      </c>
      <c r="K19" s="227">
        <f t="shared" si="16"/>
        <v>0</v>
      </c>
      <c r="L19" s="227">
        <f t="shared" si="16"/>
        <v>0</v>
      </c>
      <c r="M19" s="227">
        <f t="shared" si="16"/>
        <v>0</v>
      </c>
      <c r="N19" s="227">
        <f t="shared" si="16"/>
        <v>0</v>
      </c>
      <c r="O19" s="227">
        <f t="shared" si="16"/>
        <v>0</v>
      </c>
      <c r="P19" s="227">
        <f t="shared" si="16"/>
        <v>0</v>
      </c>
      <c r="Q19" s="227">
        <f t="shared" si="16"/>
        <v>0</v>
      </c>
      <c r="R19" s="227">
        <f t="shared" si="16"/>
        <v>0</v>
      </c>
      <c r="S19" s="227">
        <f t="shared" si="16"/>
        <v>0</v>
      </c>
      <c r="T19" s="227">
        <f t="shared" si="16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48" x14ac:dyDescent="0.3">
      <c r="B20" s="601"/>
      <c r="C20" s="602" t="s">
        <v>2282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ref="H20:T20" si="17">COUNTIF(94:94,H$5)</f>
        <v>3</v>
      </c>
      <c r="I20" s="229">
        <f t="shared" si="17"/>
        <v>0</v>
      </c>
      <c r="J20" s="229">
        <f t="shared" si="17"/>
        <v>0</v>
      </c>
      <c r="K20" s="230">
        <f t="shared" si="17"/>
        <v>0</v>
      </c>
      <c r="L20" s="230">
        <f t="shared" si="17"/>
        <v>0</v>
      </c>
      <c r="M20" s="230">
        <f t="shared" si="17"/>
        <v>0</v>
      </c>
      <c r="N20" s="230">
        <f t="shared" si="17"/>
        <v>0</v>
      </c>
      <c r="O20" s="230">
        <f t="shared" si="17"/>
        <v>0</v>
      </c>
      <c r="P20" s="230">
        <f t="shared" si="17"/>
        <v>0</v>
      </c>
      <c r="Q20" s="230">
        <f t="shared" si="17"/>
        <v>0</v>
      </c>
      <c r="R20" s="230">
        <f t="shared" si="17"/>
        <v>0</v>
      </c>
      <c r="S20" s="230">
        <f t="shared" si="17"/>
        <v>0</v>
      </c>
      <c r="T20" s="230">
        <f t="shared" si="17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48" x14ac:dyDescent="0.3">
      <c r="B21" s="601"/>
      <c r="C21" s="602" t="s">
        <v>2443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ref="H21:T21" si="18">COUNTIF(95:95,H$5)</f>
        <v>3</v>
      </c>
      <c r="I21" s="227">
        <f t="shared" si="18"/>
        <v>0</v>
      </c>
      <c r="J21" s="227">
        <f t="shared" si="18"/>
        <v>0</v>
      </c>
      <c r="K21" s="227">
        <f t="shared" si="18"/>
        <v>0</v>
      </c>
      <c r="L21" s="227">
        <f t="shared" si="18"/>
        <v>0</v>
      </c>
      <c r="M21" s="227">
        <f t="shared" si="18"/>
        <v>0</v>
      </c>
      <c r="N21" s="227">
        <f t="shared" si="18"/>
        <v>0</v>
      </c>
      <c r="O21" s="227">
        <f t="shared" si="18"/>
        <v>0</v>
      </c>
      <c r="P21" s="227">
        <f t="shared" si="18"/>
        <v>0</v>
      </c>
      <c r="Q21" s="227">
        <f t="shared" si="18"/>
        <v>0</v>
      </c>
      <c r="R21" s="227">
        <f t="shared" si="18"/>
        <v>0</v>
      </c>
      <c r="S21" s="227">
        <f t="shared" si="18"/>
        <v>0</v>
      </c>
      <c r="T21" s="227">
        <f t="shared" si="18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48" x14ac:dyDescent="0.3">
      <c r="B22" s="601"/>
      <c r="C22" s="602" t="s">
        <v>2444</v>
      </c>
      <c r="D22" s="228">
        <v>18</v>
      </c>
      <c r="E22" s="229">
        <f t="shared" si="1"/>
        <v>17</v>
      </c>
      <c r="F22" s="229">
        <f t="shared" si="1"/>
        <v>4</v>
      </c>
      <c r="G22" s="229">
        <f t="shared" si="3"/>
        <v>21</v>
      </c>
      <c r="H22" s="229">
        <f t="shared" ref="H22:T22" si="19">COUNTIF(96:96,H$5)</f>
        <v>4</v>
      </c>
      <c r="I22" s="230">
        <f t="shared" si="19"/>
        <v>2</v>
      </c>
      <c r="J22" s="230">
        <f t="shared" si="19"/>
        <v>0</v>
      </c>
      <c r="K22" s="230">
        <f t="shared" si="19"/>
        <v>0</v>
      </c>
      <c r="L22" s="230">
        <f t="shared" si="19"/>
        <v>0</v>
      </c>
      <c r="M22" s="230">
        <f t="shared" si="19"/>
        <v>0</v>
      </c>
      <c r="N22" s="230">
        <f t="shared" si="19"/>
        <v>0</v>
      </c>
      <c r="O22" s="230">
        <f t="shared" si="19"/>
        <v>0</v>
      </c>
      <c r="P22" s="230">
        <f t="shared" si="19"/>
        <v>1</v>
      </c>
      <c r="Q22" s="230">
        <f t="shared" si="19"/>
        <v>0</v>
      </c>
      <c r="R22" s="230">
        <f t="shared" si="19"/>
        <v>0</v>
      </c>
      <c r="S22" s="230">
        <f t="shared" si="19"/>
        <v>0</v>
      </c>
      <c r="T22" s="230">
        <f t="shared" si="19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48" x14ac:dyDescent="0.3">
      <c r="B23" s="601"/>
      <c r="C23" s="603"/>
      <c r="D23" s="168"/>
      <c r="E23" s="119">
        <f t="shared" si="1"/>
        <v>0</v>
      </c>
      <c r="F23" s="119">
        <f t="shared" si="1"/>
        <v>0</v>
      </c>
      <c r="G23" s="119">
        <f t="shared" si="3"/>
        <v>0</v>
      </c>
      <c r="H23" s="119">
        <f t="shared" ref="H23:T23" si="20">COUNTIF(97:97,H$5)</f>
        <v>0</v>
      </c>
      <c r="I23" s="227">
        <f t="shared" si="20"/>
        <v>0</v>
      </c>
      <c r="J23" s="227">
        <f t="shared" si="20"/>
        <v>0</v>
      </c>
      <c r="K23" s="227">
        <f t="shared" si="20"/>
        <v>0</v>
      </c>
      <c r="L23" s="227">
        <f t="shared" si="20"/>
        <v>0</v>
      </c>
      <c r="M23" s="119">
        <f t="shared" si="20"/>
        <v>0</v>
      </c>
      <c r="N23" s="227">
        <f t="shared" si="20"/>
        <v>0</v>
      </c>
      <c r="O23" s="227">
        <f t="shared" si="20"/>
        <v>0</v>
      </c>
      <c r="P23" s="227">
        <f t="shared" si="20"/>
        <v>0</v>
      </c>
      <c r="Q23" s="227">
        <f t="shared" si="20"/>
        <v>0</v>
      </c>
      <c r="R23" s="227">
        <f t="shared" si="20"/>
        <v>0</v>
      </c>
      <c r="S23" s="227">
        <f t="shared" si="20"/>
        <v>0</v>
      </c>
      <c r="T23" s="227">
        <f t="shared" si="20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48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V24" s="8"/>
    </row>
    <row r="25" spans="2:48" x14ac:dyDescent="0.3">
      <c r="C25" s="478" t="s">
        <v>2475</v>
      </c>
      <c r="D25" s="8"/>
      <c r="E25" s="8">
        <f>SUM(E27:E44)</f>
        <v>24</v>
      </c>
      <c r="F25" s="8">
        <f t="shared" ref="F25:T25" si="21">SUM(F27:F44)</f>
        <v>20</v>
      </c>
      <c r="G25" s="8">
        <f t="shared" si="21"/>
        <v>44</v>
      </c>
      <c r="H25" s="8">
        <f t="shared" si="21"/>
        <v>4</v>
      </c>
      <c r="I25" s="8">
        <f t="shared" si="21"/>
        <v>3</v>
      </c>
      <c r="J25" s="8">
        <f t="shared" si="21"/>
        <v>1</v>
      </c>
      <c r="K25" s="8">
        <f t="shared" si="21"/>
        <v>1</v>
      </c>
      <c r="L25" s="8">
        <f t="shared" si="21"/>
        <v>0</v>
      </c>
      <c r="M25" s="8">
        <f t="shared" si="21"/>
        <v>1</v>
      </c>
      <c r="N25" s="8">
        <f t="shared" si="21"/>
        <v>0</v>
      </c>
      <c r="O25" s="8">
        <f t="shared" si="21"/>
        <v>0</v>
      </c>
      <c r="P25" s="8">
        <f t="shared" si="21"/>
        <v>2</v>
      </c>
      <c r="Q25" s="8">
        <f t="shared" si="21"/>
        <v>0</v>
      </c>
      <c r="R25" s="8">
        <f t="shared" si="21"/>
        <v>0</v>
      </c>
      <c r="S25" s="8">
        <f t="shared" si="21"/>
        <v>0</v>
      </c>
      <c r="T25" s="8">
        <f t="shared" si="21"/>
        <v>2</v>
      </c>
      <c r="U25" s="8"/>
      <c r="V25" s="8"/>
      <c r="W25" s="8"/>
      <c r="X25" s="8"/>
      <c r="Y25" s="8"/>
      <c r="Z25" s="8"/>
      <c r="AA25" s="8"/>
      <c r="AB25" s="8"/>
      <c r="AC25" s="8"/>
      <c r="AV25" s="8"/>
    </row>
    <row r="26" spans="2:48" ht="15" thickBot="1" x14ac:dyDescent="0.35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2229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V26" s="8"/>
    </row>
    <row r="27" spans="2:48" x14ac:dyDescent="0.3">
      <c r="B27" s="601"/>
      <c r="C27" s="602" t="s">
        <v>48</v>
      </c>
      <c r="D27" s="229">
        <f t="shared" ref="D27:F44" si="22">COUNTIF(107:107,D$5)</f>
        <v>4</v>
      </c>
      <c r="E27" s="229">
        <f t="shared" si="22"/>
        <v>1</v>
      </c>
      <c r="F27" s="229">
        <f t="shared" si="22"/>
        <v>0</v>
      </c>
      <c r="G27" s="229">
        <f>E27+F27</f>
        <v>1</v>
      </c>
      <c r="H27" s="229">
        <f t="shared" ref="H27:T27" si="23">COUNTIF(107:107,H$5)</f>
        <v>0</v>
      </c>
      <c r="I27" s="229">
        <f t="shared" si="23"/>
        <v>0</v>
      </c>
      <c r="J27" s="229">
        <f t="shared" si="23"/>
        <v>0</v>
      </c>
      <c r="K27" s="229">
        <f t="shared" si="23"/>
        <v>0</v>
      </c>
      <c r="L27" s="254">
        <f t="shared" si="23"/>
        <v>0</v>
      </c>
      <c r="M27" s="229">
        <f t="shared" si="23"/>
        <v>0</v>
      </c>
      <c r="N27" s="229">
        <f t="shared" si="23"/>
        <v>0</v>
      </c>
      <c r="O27" s="229">
        <f t="shared" si="23"/>
        <v>0</v>
      </c>
      <c r="P27" s="229">
        <f t="shared" si="23"/>
        <v>0</v>
      </c>
      <c r="Q27" s="229">
        <f t="shared" si="23"/>
        <v>0</v>
      </c>
      <c r="R27" s="229">
        <f t="shared" si="23"/>
        <v>0</v>
      </c>
      <c r="S27" s="229">
        <f t="shared" si="23"/>
        <v>0</v>
      </c>
      <c r="T27" s="229">
        <f t="shared" si="23"/>
        <v>0</v>
      </c>
      <c r="U27" s="8"/>
      <c r="V27" s="8"/>
      <c r="W27" s="8"/>
      <c r="X27" s="8"/>
      <c r="Y27" s="8"/>
      <c r="Z27" s="8"/>
      <c r="AA27" s="8"/>
      <c r="AB27" s="8"/>
      <c r="AC27" s="8"/>
      <c r="AV27" s="8"/>
    </row>
    <row r="28" spans="2:48" x14ac:dyDescent="0.3">
      <c r="B28" s="601"/>
      <c r="C28" s="602" t="s">
        <v>2281</v>
      </c>
      <c r="D28" s="168">
        <f t="shared" si="22"/>
        <v>4</v>
      </c>
      <c r="E28" s="119">
        <f t="shared" si="22"/>
        <v>0</v>
      </c>
      <c r="F28" s="119">
        <f t="shared" si="22"/>
        <v>0</v>
      </c>
      <c r="G28" s="119">
        <f t="shared" ref="G28:G44" si="24">E28+F28</f>
        <v>0</v>
      </c>
      <c r="H28" s="119">
        <f t="shared" ref="H28:T28" si="25">COUNTIF(108:108,H$5)</f>
        <v>0</v>
      </c>
      <c r="I28" s="119">
        <f t="shared" si="25"/>
        <v>0</v>
      </c>
      <c r="J28" s="119">
        <f t="shared" si="25"/>
        <v>0</v>
      </c>
      <c r="K28" s="227">
        <f t="shared" si="25"/>
        <v>0</v>
      </c>
      <c r="L28" s="227">
        <f t="shared" si="25"/>
        <v>0</v>
      </c>
      <c r="M28" s="227">
        <f t="shared" si="25"/>
        <v>0</v>
      </c>
      <c r="N28" s="227">
        <f t="shared" si="25"/>
        <v>0</v>
      </c>
      <c r="O28" s="227">
        <f t="shared" si="25"/>
        <v>0</v>
      </c>
      <c r="P28" s="227">
        <f t="shared" si="25"/>
        <v>0</v>
      </c>
      <c r="Q28" s="227">
        <f t="shared" si="25"/>
        <v>0</v>
      </c>
      <c r="R28" s="227">
        <f t="shared" si="25"/>
        <v>0</v>
      </c>
      <c r="S28" s="227">
        <f t="shared" si="25"/>
        <v>0</v>
      </c>
      <c r="T28" s="227">
        <f t="shared" si="25"/>
        <v>2</v>
      </c>
      <c r="U28" s="8"/>
      <c r="V28" s="8"/>
      <c r="W28" s="8"/>
      <c r="X28" s="8"/>
      <c r="Y28" s="8"/>
      <c r="Z28" s="8"/>
      <c r="AA28" s="8"/>
      <c r="AB28" s="8"/>
      <c r="AC28" s="8"/>
      <c r="AV28" s="8"/>
    </row>
    <row r="29" spans="2:48" x14ac:dyDescent="0.3">
      <c r="B29" s="601"/>
      <c r="C29" s="602" t="s">
        <v>2441</v>
      </c>
      <c r="D29" s="228">
        <f t="shared" si="22"/>
        <v>4</v>
      </c>
      <c r="E29" s="229">
        <f t="shared" si="22"/>
        <v>1</v>
      </c>
      <c r="F29" s="229">
        <f t="shared" si="22"/>
        <v>0</v>
      </c>
      <c r="G29" s="229">
        <f t="shared" si="24"/>
        <v>1</v>
      </c>
      <c r="H29" s="229">
        <f t="shared" ref="H29:T29" si="26">COUNTIF(109:109,H$5)</f>
        <v>1</v>
      </c>
      <c r="I29" s="229">
        <f t="shared" si="26"/>
        <v>1</v>
      </c>
      <c r="J29" s="229">
        <f t="shared" si="26"/>
        <v>0</v>
      </c>
      <c r="K29" s="230">
        <f t="shared" si="26"/>
        <v>0</v>
      </c>
      <c r="L29" s="254">
        <f t="shared" si="26"/>
        <v>0</v>
      </c>
      <c r="M29" s="230">
        <f t="shared" si="26"/>
        <v>0</v>
      </c>
      <c r="N29" s="230">
        <f t="shared" si="26"/>
        <v>0</v>
      </c>
      <c r="O29" s="230">
        <f t="shared" si="26"/>
        <v>0</v>
      </c>
      <c r="P29" s="230">
        <f t="shared" si="26"/>
        <v>0</v>
      </c>
      <c r="Q29" s="230">
        <f t="shared" si="26"/>
        <v>0</v>
      </c>
      <c r="R29" s="230">
        <f t="shared" si="26"/>
        <v>0</v>
      </c>
      <c r="S29" s="230">
        <f t="shared" si="26"/>
        <v>0</v>
      </c>
      <c r="T29" s="230">
        <f t="shared" si="26"/>
        <v>0</v>
      </c>
      <c r="U29" s="8"/>
      <c r="V29" s="8"/>
      <c r="W29" s="8"/>
      <c r="X29" s="8"/>
      <c r="Y29" s="8"/>
      <c r="Z29" s="8"/>
      <c r="AA29" s="8"/>
      <c r="AB29" s="8"/>
      <c r="AC29" s="8"/>
      <c r="AV29" s="8"/>
    </row>
    <row r="30" spans="2:48" x14ac:dyDescent="0.3">
      <c r="B30" s="601"/>
      <c r="C30" s="602" t="s">
        <v>1459</v>
      </c>
      <c r="D30" s="168">
        <f t="shared" si="22"/>
        <v>3</v>
      </c>
      <c r="E30" s="119">
        <f t="shared" si="22"/>
        <v>0</v>
      </c>
      <c r="F30" s="119">
        <f t="shared" si="22"/>
        <v>0</v>
      </c>
      <c r="G30" s="119">
        <f t="shared" si="24"/>
        <v>0</v>
      </c>
      <c r="H30" s="119">
        <f t="shared" ref="H30:T30" si="27">COUNTIF(110:110,H$5)</f>
        <v>0</v>
      </c>
      <c r="I30" s="119">
        <f t="shared" si="27"/>
        <v>0</v>
      </c>
      <c r="J30" s="119">
        <f t="shared" si="27"/>
        <v>0</v>
      </c>
      <c r="K30" s="227">
        <f t="shared" si="27"/>
        <v>0</v>
      </c>
      <c r="L30" s="227">
        <f t="shared" si="27"/>
        <v>0</v>
      </c>
      <c r="M30" s="227">
        <f t="shared" si="27"/>
        <v>0</v>
      </c>
      <c r="N30" s="119">
        <f t="shared" si="27"/>
        <v>0</v>
      </c>
      <c r="O30" s="227">
        <f t="shared" si="27"/>
        <v>0</v>
      </c>
      <c r="P30" s="119">
        <f t="shared" si="27"/>
        <v>0</v>
      </c>
      <c r="Q30" s="119">
        <f t="shared" si="27"/>
        <v>0</v>
      </c>
      <c r="R30" s="119">
        <f t="shared" si="27"/>
        <v>0</v>
      </c>
      <c r="S30" s="119">
        <f t="shared" si="27"/>
        <v>0</v>
      </c>
      <c r="T30" s="119">
        <f t="shared" si="27"/>
        <v>0</v>
      </c>
      <c r="U30" s="8"/>
      <c r="V30" s="8"/>
      <c r="W30" s="8"/>
      <c r="X30" s="8"/>
      <c r="Y30" s="8"/>
      <c r="Z30" s="8"/>
      <c r="AA30" s="8"/>
      <c r="AB30" s="8"/>
      <c r="AC30" s="8"/>
      <c r="AV30" s="8"/>
    </row>
    <row r="31" spans="2:48" x14ac:dyDescent="0.3">
      <c r="B31" s="601"/>
      <c r="C31" s="602" t="s">
        <v>2180</v>
      </c>
      <c r="D31" s="228">
        <f t="shared" si="22"/>
        <v>4</v>
      </c>
      <c r="E31" s="229">
        <f t="shared" si="22"/>
        <v>5</v>
      </c>
      <c r="F31" s="229">
        <f t="shared" si="22"/>
        <v>1</v>
      </c>
      <c r="G31" s="229">
        <f t="shared" si="24"/>
        <v>6</v>
      </c>
      <c r="H31" s="229">
        <f t="shared" ref="H31:T31" si="28">COUNTIF(111:111,H$5)</f>
        <v>0</v>
      </c>
      <c r="I31" s="229">
        <f t="shared" si="28"/>
        <v>0</v>
      </c>
      <c r="J31" s="229">
        <f t="shared" si="28"/>
        <v>0</v>
      </c>
      <c r="K31" s="229">
        <f t="shared" si="28"/>
        <v>0</v>
      </c>
      <c r="L31" s="230">
        <f t="shared" si="28"/>
        <v>0</v>
      </c>
      <c r="M31" s="230">
        <f t="shared" si="28"/>
        <v>0</v>
      </c>
      <c r="N31" s="230">
        <f t="shared" si="28"/>
        <v>0</v>
      </c>
      <c r="O31" s="230">
        <f t="shared" si="28"/>
        <v>0</v>
      </c>
      <c r="P31" s="229">
        <f t="shared" si="28"/>
        <v>1</v>
      </c>
      <c r="Q31" s="229">
        <f t="shared" si="28"/>
        <v>0</v>
      </c>
      <c r="R31" s="229">
        <f t="shared" si="28"/>
        <v>0</v>
      </c>
      <c r="S31" s="229">
        <f t="shared" si="28"/>
        <v>0</v>
      </c>
      <c r="T31" s="229">
        <f t="shared" si="28"/>
        <v>0</v>
      </c>
      <c r="U31" s="8"/>
      <c r="V31" s="8"/>
      <c r="W31" s="8"/>
      <c r="X31" s="8"/>
      <c r="Y31" s="8"/>
      <c r="Z31" s="8"/>
      <c r="AA31" s="8"/>
      <c r="AB31" s="8"/>
      <c r="AC31" s="8"/>
      <c r="AV31" s="8"/>
    </row>
    <row r="32" spans="2:48" x14ac:dyDescent="0.3">
      <c r="B32" s="601"/>
      <c r="C32" s="602" t="s">
        <v>1597</v>
      </c>
      <c r="D32" s="168">
        <f t="shared" si="22"/>
        <v>3</v>
      </c>
      <c r="E32" s="119">
        <f t="shared" si="22"/>
        <v>0</v>
      </c>
      <c r="F32" s="119">
        <f t="shared" si="22"/>
        <v>0</v>
      </c>
      <c r="G32" s="119">
        <f t="shared" si="24"/>
        <v>0</v>
      </c>
      <c r="H32" s="119">
        <f t="shared" ref="H32:T32" si="29">COUNTIF(112:112,H$5)</f>
        <v>0</v>
      </c>
      <c r="I32" s="119">
        <f t="shared" si="29"/>
        <v>0</v>
      </c>
      <c r="J32" s="119">
        <f t="shared" si="29"/>
        <v>0</v>
      </c>
      <c r="K32" s="227">
        <f t="shared" si="29"/>
        <v>0</v>
      </c>
      <c r="L32" s="227">
        <f t="shared" si="29"/>
        <v>0</v>
      </c>
      <c r="M32" s="227">
        <f t="shared" si="29"/>
        <v>0</v>
      </c>
      <c r="N32" s="227">
        <f t="shared" si="29"/>
        <v>0</v>
      </c>
      <c r="O32" s="227">
        <f t="shared" si="29"/>
        <v>0</v>
      </c>
      <c r="P32" s="227">
        <f t="shared" si="29"/>
        <v>0</v>
      </c>
      <c r="Q32" s="227">
        <f t="shared" si="29"/>
        <v>0</v>
      </c>
      <c r="R32" s="227">
        <f t="shared" si="29"/>
        <v>0</v>
      </c>
      <c r="S32" s="227">
        <f t="shared" si="29"/>
        <v>0</v>
      </c>
      <c r="T32" s="227">
        <f t="shared" si="29"/>
        <v>0</v>
      </c>
      <c r="U32" s="8"/>
      <c r="V32" s="8"/>
      <c r="W32" s="8"/>
      <c r="X32" s="8"/>
      <c r="Y32" s="8"/>
      <c r="Z32" s="8"/>
      <c r="AA32" s="8"/>
      <c r="AB32" s="8"/>
      <c r="AC32" s="8"/>
      <c r="AV32" s="8"/>
    </row>
    <row r="33" spans="2:48" x14ac:dyDescent="0.3">
      <c r="B33" s="601"/>
      <c r="C33" s="602" t="s">
        <v>50</v>
      </c>
      <c r="D33" s="228">
        <f t="shared" si="22"/>
        <v>4</v>
      </c>
      <c r="E33" s="229">
        <f t="shared" si="22"/>
        <v>5</v>
      </c>
      <c r="F33" s="229">
        <f t="shared" si="22"/>
        <v>2</v>
      </c>
      <c r="G33" s="229">
        <f t="shared" si="24"/>
        <v>7</v>
      </c>
      <c r="H33" s="229">
        <f t="shared" ref="H33:T33" si="30">COUNTIF(113:113,H$5)</f>
        <v>0</v>
      </c>
      <c r="I33" s="229">
        <f t="shared" si="30"/>
        <v>0</v>
      </c>
      <c r="J33" s="229">
        <f t="shared" si="30"/>
        <v>0</v>
      </c>
      <c r="K33" s="229">
        <f t="shared" si="30"/>
        <v>0</v>
      </c>
      <c r="L33" s="230">
        <f t="shared" si="30"/>
        <v>0</v>
      </c>
      <c r="M33" s="230">
        <f t="shared" si="30"/>
        <v>0</v>
      </c>
      <c r="N33" s="230">
        <f t="shared" si="30"/>
        <v>0</v>
      </c>
      <c r="O33" s="230">
        <f t="shared" si="30"/>
        <v>0</v>
      </c>
      <c r="P33" s="229">
        <f t="shared" si="30"/>
        <v>1</v>
      </c>
      <c r="Q33" s="229">
        <f t="shared" si="30"/>
        <v>0</v>
      </c>
      <c r="R33" s="229">
        <f t="shared" si="30"/>
        <v>0</v>
      </c>
      <c r="S33" s="229">
        <f t="shared" si="30"/>
        <v>0</v>
      </c>
      <c r="T33" s="229">
        <f t="shared" si="30"/>
        <v>0</v>
      </c>
      <c r="U33" s="8"/>
      <c r="V33" s="8"/>
      <c r="W33" s="8"/>
      <c r="X33" s="8"/>
      <c r="Y33" s="8"/>
      <c r="Z33" s="8"/>
      <c r="AA33" s="8"/>
      <c r="AB33" s="8"/>
      <c r="AC33" s="8"/>
      <c r="AV33" s="8"/>
    </row>
    <row r="34" spans="2:48" x14ac:dyDescent="0.3">
      <c r="B34" s="601"/>
      <c r="C34" s="602" t="s">
        <v>2148</v>
      </c>
      <c r="D34" s="168">
        <f t="shared" si="22"/>
        <v>4</v>
      </c>
      <c r="E34" s="119">
        <f t="shared" si="22"/>
        <v>1</v>
      </c>
      <c r="F34" s="119">
        <f t="shared" si="22"/>
        <v>1</v>
      </c>
      <c r="G34" s="119">
        <f t="shared" si="24"/>
        <v>2</v>
      </c>
      <c r="H34" s="119">
        <f t="shared" ref="H34:T34" si="31">COUNTIF(114:114,H$5)</f>
        <v>0</v>
      </c>
      <c r="I34" s="119">
        <f t="shared" si="31"/>
        <v>0</v>
      </c>
      <c r="J34" s="119">
        <f t="shared" si="31"/>
        <v>0</v>
      </c>
      <c r="K34" s="227">
        <f t="shared" si="31"/>
        <v>0</v>
      </c>
      <c r="L34" s="227">
        <f t="shared" si="31"/>
        <v>0</v>
      </c>
      <c r="M34" s="227">
        <f t="shared" si="31"/>
        <v>0</v>
      </c>
      <c r="N34" s="227">
        <f t="shared" si="31"/>
        <v>0</v>
      </c>
      <c r="O34" s="227">
        <f t="shared" si="31"/>
        <v>0</v>
      </c>
      <c r="P34" s="227">
        <f t="shared" si="31"/>
        <v>0</v>
      </c>
      <c r="Q34" s="227">
        <f t="shared" si="31"/>
        <v>0</v>
      </c>
      <c r="R34" s="227">
        <f t="shared" si="31"/>
        <v>0</v>
      </c>
      <c r="S34" s="227">
        <f t="shared" si="31"/>
        <v>0</v>
      </c>
      <c r="T34" s="227">
        <f t="shared" si="31"/>
        <v>0</v>
      </c>
      <c r="U34" s="8"/>
      <c r="V34" s="8"/>
      <c r="W34" s="8"/>
      <c r="X34" s="8"/>
      <c r="Y34" s="8"/>
      <c r="Z34" s="8"/>
      <c r="AA34" s="8"/>
      <c r="AB34" s="8"/>
      <c r="AC34" s="8"/>
      <c r="AV34" s="8"/>
    </row>
    <row r="35" spans="2:48" x14ac:dyDescent="0.3">
      <c r="B35" s="601"/>
      <c r="C35" s="602" t="s">
        <v>2184</v>
      </c>
      <c r="D35" s="228">
        <f t="shared" si="22"/>
        <v>4</v>
      </c>
      <c r="E35" s="229">
        <f t="shared" si="22"/>
        <v>1</v>
      </c>
      <c r="F35" s="229">
        <f t="shared" si="22"/>
        <v>1</v>
      </c>
      <c r="G35" s="229">
        <f t="shared" si="24"/>
        <v>2</v>
      </c>
      <c r="H35" s="229">
        <f t="shared" ref="H35:T35" si="32">COUNTIF(115:115,H$5)</f>
        <v>0</v>
      </c>
      <c r="I35" s="229">
        <f t="shared" si="32"/>
        <v>1</v>
      </c>
      <c r="J35" s="229">
        <f t="shared" si="32"/>
        <v>0</v>
      </c>
      <c r="K35" s="230">
        <f t="shared" si="32"/>
        <v>0</v>
      </c>
      <c r="L35" s="230">
        <f t="shared" si="32"/>
        <v>0</v>
      </c>
      <c r="M35" s="230">
        <f t="shared" si="32"/>
        <v>0</v>
      </c>
      <c r="N35" s="230">
        <f t="shared" si="32"/>
        <v>0</v>
      </c>
      <c r="O35" s="230">
        <f t="shared" si="32"/>
        <v>0</v>
      </c>
      <c r="P35" s="230">
        <f t="shared" si="32"/>
        <v>0</v>
      </c>
      <c r="Q35" s="230">
        <f t="shared" si="32"/>
        <v>0</v>
      </c>
      <c r="R35" s="230">
        <f t="shared" si="32"/>
        <v>0</v>
      </c>
      <c r="S35" s="230">
        <f t="shared" si="32"/>
        <v>0</v>
      </c>
      <c r="T35" s="230">
        <f t="shared" si="32"/>
        <v>0</v>
      </c>
      <c r="U35" s="8"/>
      <c r="V35" s="8"/>
      <c r="W35" s="8"/>
      <c r="X35" s="8"/>
      <c r="Y35" s="8"/>
      <c r="Z35" s="8"/>
      <c r="AA35" s="8"/>
      <c r="AB35" s="8"/>
      <c r="AC35" s="8"/>
      <c r="AV35" s="8"/>
    </row>
    <row r="36" spans="2:48" x14ac:dyDescent="0.3">
      <c r="B36" s="601"/>
      <c r="C36" s="602" t="s">
        <v>2283</v>
      </c>
      <c r="D36" s="168">
        <f t="shared" si="22"/>
        <v>4</v>
      </c>
      <c r="E36" s="119">
        <f t="shared" si="22"/>
        <v>0</v>
      </c>
      <c r="F36" s="119">
        <f t="shared" si="22"/>
        <v>0</v>
      </c>
      <c r="G36" s="119">
        <f t="shared" si="24"/>
        <v>0</v>
      </c>
      <c r="H36" s="119">
        <f t="shared" ref="H36:T36" si="33">COUNTIF(116:116,H$5)</f>
        <v>0</v>
      </c>
      <c r="I36" s="119">
        <f t="shared" si="33"/>
        <v>0</v>
      </c>
      <c r="J36" s="119">
        <f t="shared" si="33"/>
        <v>0</v>
      </c>
      <c r="K36" s="227">
        <f t="shared" si="33"/>
        <v>0</v>
      </c>
      <c r="L36" s="227">
        <f t="shared" si="33"/>
        <v>0</v>
      </c>
      <c r="M36" s="227">
        <f t="shared" si="33"/>
        <v>0</v>
      </c>
      <c r="N36" s="227">
        <f t="shared" si="33"/>
        <v>0</v>
      </c>
      <c r="O36" s="227">
        <f t="shared" si="33"/>
        <v>0</v>
      </c>
      <c r="P36" s="119">
        <f t="shared" si="33"/>
        <v>0</v>
      </c>
      <c r="Q36" s="119">
        <f t="shared" si="33"/>
        <v>0</v>
      </c>
      <c r="R36" s="119">
        <f t="shared" si="33"/>
        <v>0</v>
      </c>
      <c r="S36" s="119">
        <f t="shared" si="33"/>
        <v>0</v>
      </c>
      <c r="T36" s="119">
        <f t="shared" si="33"/>
        <v>0</v>
      </c>
      <c r="U36" s="8"/>
      <c r="V36" s="8"/>
      <c r="W36" s="8"/>
      <c r="X36" s="8"/>
      <c r="Y36" s="8"/>
      <c r="Z36" s="8"/>
      <c r="AA36" s="8"/>
      <c r="AB36" s="8"/>
      <c r="AC36" s="8"/>
      <c r="AV36" s="8"/>
    </row>
    <row r="37" spans="2:48" x14ac:dyDescent="0.3">
      <c r="B37" s="601"/>
      <c r="C37" s="602" t="s">
        <v>2280</v>
      </c>
      <c r="D37" s="228">
        <f t="shared" si="22"/>
        <v>4</v>
      </c>
      <c r="E37" s="229">
        <f t="shared" si="22"/>
        <v>0</v>
      </c>
      <c r="F37" s="229">
        <f t="shared" si="22"/>
        <v>1</v>
      </c>
      <c r="G37" s="229">
        <f t="shared" si="24"/>
        <v>1</v>
      </c>
      <c r="H37" s="229">
        <f t="shared" ref="H37:T37" si="34">COUNTIF(117:117,H$5)</f>
        <v>0</v>
      </c>
      <c r="I37" s="229">
        <f t="shared" si="34"/>
        <v>0</v>
      </c>
      <c r="J37" s="229">
        <f t="shared" si="34"/>
        <v>0</v>
      </c>
      <c r="K37" s="230">
        <f t="shared" si="34"/>
        <v>0</v>
      </c>
      <c r="L37" s="230">
        <f t="shared" si="34"/>
        <v>0</v>
      </c>
      <c r="M37" s="230">
        <f t="shared" si="34"/>
        <v>0</v>
      </c>
      <c r="N37" s="230">
        <f t="shared" si="34"/>
        <v>0</v>
      </c>
      <c r="O37" s="230">
        <f t="shared" si="34"/>
        <v>0</v>
      </c>
      <c r="P37" s="230">
        <f t="shared" si="34"/>
        <v>0</v>
      </c>
      <c r="Q37" s="230">
        <f t="shared" si="34"/>
        <v>0</v>
      </c>
      <c r="R37" s="230">
        <f t="shared" si="34"/>
        <v>0</v>
      </c>
      <c r="S37" s="230">
        <f t="shared" si="34"/>
        <v>0</v>
      </c>
      <c r="T37" s="230">
        <f t="shared" si="34"/>
        <v>0</v>
      </c>
      <c r="U37" s="8"/>
      <c r="V37" s="8"/>
      <c r="W37" s="8"/>
      <c r="X37" s="8"/>
      <c r="Y37" s="8"/>
      <c r="Z37" s="8"/>
      <c r="AA37" s="8"/>
      <c r="AB37" s="8"/>
      <c r="AC37" s="8"/>
      <c r="AV37" s="8"/>
    </row>
    <row r="38" spans="2:48" x14ac:dyDescent="0.3">
      <c r="B38" s="601"/>
      <c r="C38" s="602" t="s">
        <v>1591</v>
      </c>
      <c r="D38" s="168">
        <f t="shared" si="22"/>
        <v>3</v>
      </c>
      <c r="E38" s="119">
        <f t="shared" si="22"/>
        <v>0</v>
      </c>
      <c r="F38" s="119">
        <f t="shared" si="22"/>
        <v>3</v>
      </c>
      <c r="G38" s="119">
        <f t="shared" si="24"/>
        <v>3</v>
      </c>
      <c r="H38" s="119">
        <f t="shared" ref="H38:T38" si="35">COUNTIF(118:118,H$5)</f>
        <v>1</v>
      </c>
      <c r="I38" s="119">
        <f t="shared" si="35"/>
        <v>0</v>
      </c>
      <c r="J38" s="119">
        <f t="shared" si="35"/>
        <v>0</v>
      </c>
      <c r="K38" s="227">
        <f t="shared" si="35"/>
        <v>0</v>
      </c>
      <c r="L38" s="227">
        <f t="shared" si="35"/>
        <v>0</v>
      </c>
      <c r="M38" s="227">
        <f t="shared" si="35"/>
        <v>0</v>
      </c>
      <c r="N38" s="227">
        <f t="shared" si="35"/>
        <v>0</v>
      </c>
      <c r="O38" s="227">
        <f t="shared" si="35"/>
        <v>0</v>
      </c>
      <c r="P38" s="227">
        <f t="shared" si="35"/>
        <v>0</v>
      </c>
      <c r="Q38" s="227">
        <f t="shared" si="35"/>
        <v>0</v>
      </c>
      <c r="R38" s="227">
        <f t="shared" si="35"/>
        <v>0</v>
      </c>
      <c r="S38" s="227">
        <f t="shared" si="35"/>
        <v>0</v>
      </c>
      <c r="T38" s="227">
        <f t="shared" si="35"/>
        <v>0</v>
      </c>
      <c r="U38" s="8"/>
      <c r="V38" s="8"/>
      <c r="W38" s="8"/>
      <c r="X38" s="8"/>
      <c r="Y38" s="8"/>
      <c r="Z38" s="8"/>
      <c r="AA38" s="8"/>
      <c r="AB38" s="8"/>
      <c r="AC38" s="8"/>
      <c r="AV38" s="8"/>
    </row>
    <row r="39" spans="2:48" x14ac:dyDescent="0.3">
      <c r="B39" s="601"/>
      <c r="C39" s="602" t="s">
        <v>1379</v>
      </c>
      <c r="D39" s="228">
        <f t="shared" si="22"/>
        <v>3</v>
      </c>
      <c r="E39" s="229">
        <f t="shared" si="22"/>
        <v>2</v>
      </c>
      <c r="F39" s="229">
        <f t="shared" si="22"/>
        <v>3</v>
      </c>
      <c r="G39" s="229">
        <f t="shared" si="24"/>
        <v>5</v>
      </c>
      <c r="H39" s="229">
        <f t="shared" ref="H39:T39" si="36">COUNTIF(119:119,H$5)</f>
        <v>0</v>
      </c>
      <c r="I39" s="229">
        <f t="shared" si="36"/>
        <v>0</v>
      </c>
      <c r="J39" s="229">
        <f t="shared" si="36"/>
        <v>1</v>
      </c>
      <c r="K39" s="230">
        <f t="shared" si="36"/>
        <v>0</v>
      </c>
      <c r="L39" s="230">
        <f t="shared" si="36"/>
        <v>0</v>
      </c>
      <c r="M39" s="230">
        <f t="shared" si="36"/>
        <v>0</v>
      </c>
      <c r="N39" s="230">
        <f t="shared" si="36"/>
        <v>0</v>
      </c>
      <c r="O39" s="230">
        <f t="shared" si="36"/>
        <v>0</v>
      </c>
      <c r="P39" s="229">
        <f t="shared" si="36"/>
        <v>0</v>
      </c>
      <c r="Q39" s="229">
        <f t="shared" si="36"/>
        <v>0</v>
      </c>
      <c r="R39" s="229">
        <f t="shared" si="36"/>
        <v>0</v>
      </c>
      <c r="S39" s="229">
        <f t="shared" si="36"/>
        <v>0</v>
      </c>
      <c r="T39" s="229">
        <f t="shared" si="36"/>
        <v>0</v>
      </c>
      <c r="U39" s="8"/>
      <c r="V39" s="8"/>
      <c r="W39" s="8"/>
      <c r="X39" s="8"/>
      <c r="Y39" s="8"/>
      <c r="Z39" s="8"/>
      <c r="AA39" s="8"/>
      <c r="AB39" s="8"/>
      <c r="AC39" s="8"/>
      <c r="AV39" s="8"/>
    </row>
    <row r="40" spans="2:48" x14ac:dyDescent="0.3">
      <c r="B40" s="601"/>
      <c r="C40" s="602" t="s">
        <v>2442</v>
      </c>
      <c r="D40" s="168">
        <f t="shared" si="22"/>
        <v>4</v>
      </c>
      <c r="E40" s="119">
        <f t="shared" si="22"/>
        <v>0</v>
      </c>
      <c r="F40" s="119">
        <f t="shared" si="22"/>
        <v>2</v>
      </c>
      <c r="G40" s="119">
        <f t="shared" si="24"/>
        <v>2</v>
      </c>
      <c r="H40" s="119">
        <f t="shared" ref="H40:T40" si="37">COUNTIF(120:120,H$5)</f>
        <v>0</v>
      </c>
      <c r="I40" s="119">
        <f t="shared" si="37"/>
        <v>0</v>
      </c>
      <c r="J40" s="119">
        <f t="shared" si="37"/>
        <v>0</v>
      </c>
      <c r="K40" s="227">
        <f t="shared" si="37"/>
        <v>0</v>
      </c>
      <c r="L40" s="227">
        <f t="shared" si="37"/>
        <v>0</v>
      </c>
      <c r="M40" s="227">
        <f t="shared" si="37"/>
        <v>0</v>
      </c>
      <c r="N40" s="227">
        <f t="shared" si="37"/>
        <v>0</v>
      </c>
      <c r="O40" s="227">
        <f t="shared" si="37"/>
        <v>0</v>
      </c>
      <c r="P40" s="227">
        <f t="shared" si="37"/>
        <v>0</v>
      </c>
      <c r="Q40" s="227">
        <f t="shared" si="37"/>
        <v>0</v>
      </c>
      <c r="R40" s="227">
        <f t="shared" si="37"/>
        <v>0</v>
      </c>
      <c r="S40" s="227">
        <f t="shared" si="37"/>
        <v>0</v>
      </c>
      <c r="T40" s="227">
        <f t="shared" si="37"/>
        <v>0</v>
      </c>
      <c r="U40" s="8"/>
      <c r="V40" s="8"/>
      <c r="W40" s="8"/>
      <c r="X40" s="8"/>
      <c r="Y40" s="8"/>
      <c r="Z40" s="8"/>
      <c r="AA40" s="8"/>
      <c r="AB40" s="8"/>
      <c r="AC40" s="8"/>
      <c r="AV40" s="8"/>
    </row>
    <row r="41" spans="2:48" x14ac:dyDescent="0.3">
      <c r="B41" s="601"/>
      <c r="C41" s="602" t="s">
        <v>2282</v>
      </c>
      <c r="D41" s="228">
        <f t="shared" si="22"/>
        <v>4</v>
      </c>
      <c r="E41" s="229">
        <f t="shared" si="22"/>
        <v>1</v>
      </c>
      <c r="F41" s="229">
        <f t="shared" si="22"/>
        <v>1</v>
      </c>
      <c r="G41" s="229">
        <f t="shared" si="24"/>
        <v>2</v>
      </c>
      <c r="H41" s="229">
        <f t="shared" ref="H41:T41" si="38">COUNTIF(121:121,H$5)</f>
        <v>1</v>
      </c>
      <c r="I41" s="229">
        <f t="shared" si="38"/>
        <v>0</v>
      </c>
      <c r="J41" s="229">
        <f t="shared" si="38"/>
        <v>0</v>
      </c>
      <c r="K41" s="230">
        <f t="shared" si="38"/>
        <v>0</v>
      </c>
      <c r="L41" s="230">
        <f t="shared" si="38"/>
        <v>0</v>
      </c>
      <c r="M41" s="230">
        <f t="shared" si="38"/>
        <v>0</v>
      </c>
      <c r="N41" s="230">
        <f t="shared" si="38"/>
        <v>0</v>
      </c>
      <c r="O41" s="230">
        <f t="shared" si="38"/>
        <v>0</v>
      </c>
      <c r="P41" s="230">
        <f t="shared" si="38"/>
        <v>0</v>
      </c>
      <c r="Q41" s="230">
        <f t="shared" si="38"/>
        <v>0</v>
      </c>
      <c r="R41" s="230">
        <f t="shared" si="38"/>
        <v>0</v>
      </c>
      <c r="S41" s="230">
        <f t="shared" si="38"/>
        <v>0</v>
      </c>
      <c r="T41" s="230">
        <f t="shared" si="38"/>
        <v>0</v>
      </c>
      <c r="U41" s="8"/>
      <c r="V41" s="8"/>
      <c r="W41" s="8"/>
      <c r="X41" s="8"/>
      <c r="Y41" s="8"/>
      <c r="Z41" s="8"/>
      <c r="AA41" s="8"/>
      <c r="AB41" s="8"/>
      <c r="AC41" s="8"/>
      <c r="AV41" s="8"/>
    </row>
    <row r="42" spans="2:48" x14ac:dyDescent="0.3">
      <c r="B42" s="601"/>
      <c r="C42" s="602" t="s">
        <v>2443</v>
      </c>
      <c r="D42" s="168">
        <f t="shared" si="22"/>
        <v>4</v>
      </c>
      <c r="E42" s="119">
        <f t="shared" si="22"/>
        <v>1</v>
      </c>
      <c r="F42" s="119">
        <f t="shared" si="22"/>
        <v>2</v>
      </c>
      <c r="G42" s="119">
        <f t="shared" si="24"/>
        <v>3</v>
      </c>
      <c r="H42" s="119">
        <f t="shared" ref="H42:T42" si="39">COUNTIF(122:122,H$5)</f>
        <v>1</v>
      </c>
      <c r="I42" s="227">
        <f t="shared" si="39"/>
        <v>0</v>
      </c>
      <c r="J42" s="227">
        <f t="shared" si="39"/>
        <v>0</v>
      </c>
      <c r="K42" s="227">
        <f t="shared" si="39"/>
        <v>0</v>
      </c>
      <c r="L42" s="227">
        <f t="shared" si="39"/>
        <v>0</v>
      </c>
      <c r="M42" s="227">
        <f t="shared" si="39"/>
        <v>0</v>
      </c>
      <c r="N42" s="227">
        <f t="shared" si="39"/>
        <v>0</v>
      </c>
      <c r="O42" s="227">
        <f t="shared" si="39"/>
        <v>0</v>
      </c>
      <c r="P42" s="227">
        <f t="shared" si="39"/>
        <v>0</v>
      </c>
      <c r="Q42" s="227">
        <f t="shared" si="39"/>
        <v>0</v>
      </c>
      <c r="R42" s="227">
        <f t="shared" si="39"/>
        <v>0</v>
      </c>
      <c r="S42" s="227">
        <f t="shared" si="39"/>
        <v>0</v>
      </c>
      <c r="T42" s="227">
        <f t="shared" si="39"/>
        <v>0</v>
      </c>
      <c r="U42" s="8"/>
      <c r="V42" s="8"/>
      <c r="W42" s="8"/>
      <c r="X42" s="8"/>
      <c r="Y42" s="8"/>
      <c r="Z42" s="8"/>
      <c r="AA42" s="8"/>
      <c r="AB42" s="8"/>
      <c r="AC42" s="8"/>
      <c r="AV42" s="8"/>
    </row>
    <row r="43" spans="2:48" x14ac:dyDescent="0.3">
      <c r="B43" s="601"/>
      <c r="C43" s="602" t="s">
        <v>2444</v>
      </c>
      <c r="D43" s="228">
        <f t="shared" si="22"/>
        <v>4</v>
      </c>
      <c r="E43" s="229">
        <f t="shared" si="22"/>
        <v>6</v>
      </c>
      <c r="F43" s="229">
        <f t="shared" si="22"/>
        <v>3</v>
      </c>
      <c r="G43" s="229">
        <f t="shared" si="24"/>
        <v>9</v>
      </c>
      <c r="H43" s="229">
        <f t="shared" ref="H43:T43" si="40">COUNTIF(123:123,H$5)</f>
        <v>0</v>
      </c>
      <c r="I43" s="230">
        <f t="shared" si="40"/>
        <v>1</v>
      </c>
      <c r="J43" s="230">
        <f t="shared" si="40"/>
        <v>0</v>
      </c>
      <c r="K43" s="230">
        <f t="shared" si="40"/>
        <v>1</v>
      </c>
      <c r="L43" s="230">
        <f t="shared" si="40"/>
        <v>0</v>
      </c>
      <c r="M43" s="230">
        <f t="shared" si="40"/>
        <v>1</v>
      </c>
      <c r="N43" s="230">
        <f t="shared" si="40"/>
        <v>0</v>
      </c>
      <c r="O43" s="230">
        <f t="shared" si="40"/>
        <v>0</v>
      </c>
      <c r="P43" s="230">
        <f t="shared" si="40"/>
        <v>0</v>
      </c>
      <c r="Q43" s="230">
        <f t="shared" si="40"/>
        <v>0</v>
      </c>
      <c r="R43" s="230">
        <f t="shared" si="40"/>
        <v>0</v>
      </c>
      <c r="S43" s="230">
        <f t="shared" si="40"/>
        <v>0</v>
      </c>
      <c r="T43" s="230">
        <f t="shared" si="40"/>
        <v>0</v>
      </c>
      <c r="U43" s="8"/>
      <c r="V43" s="8"/>
      <c r="W43" s="8"/>
      <c r="X43" s="8"/>
      <c r="Y43" s="8"/>
      <c r="Z43" s="8"/>
      <c r="AA43" s="8"/>
      <c r="AB43" s="8"/>
      <c r="AC43" s="8"/>
      <c r="AV43" s="8"/>
    </row>
    <row r="44" spans="2:48" x14ac:dyDescent="0.3">
      <c r="B44" s="601"/>
      <c r="C44" s="603"/>
      <c r="D44" s="168">
        <f t="shared" si="22"/>
        <v>0</v>
      </c>
      <c r="E44" s="119">
        <f t="shared" si="22"/>
        <v>0</v>
      </c>
      <c r="F44" s="119">
        <f t="shared" si="22"/>
        <v>0</v>
      </c>
      <c r="G44" s="119">
        <f t="shared" si="24"/>
        <v>0</v>
      </c>
      <c r="H44" s="119">
        <f t="shared" ref="H44:T44" si="41">COUNTIF(124:124,H$5)</f>
        <v>0</v>
      </c>
      <c r="I44" s="227">
        <f t="shared" si="41"/>
        <v>0</v>
      </c>
      <c r="J44" s="227">
        <f t="shared" si="41"/>
        <v>0</v>
      </c>
      <c r="K44" s="227">
        <f t="shared" si="41"/>
        <v>0</v>
      </c>
      <c r="L44" s="227">
        <f t="shared" si="41"/>
        <v>0</v>
      </c>
      <c r="M44" s="119">
        <f t="shared" si="41"/>
        <v>0</v>
      </c>
      <c r="N44" s="227">
        <f t="shared" si="41"/>
        <v>0</v>
      </c>
      <c r="O44" s="227">
        <f t="shared" si="41"/>
        <v>0</v>
      </c>
      <c r="P44" s="227">
        <f t="shared" si="41"/>
        <v>0</v>
      </c>
      <c r="Q44" s="227">
        <f t="shared" si="41"/>
        <v>0</v>
      </c>
      <c r="R44" s="227">
        <f t="shared" si="41"/>
        <v>0</v>
      </c>
      <c r="S44" s="227">
        <f t="shared" si="41"/>
        <v>0</v>
      </c>
      <c r="T44" s="227">
        <f t="shared" si="41"/>
        <v>0</v>
      </c>
      <c r="U44" s="8"/>
      <c r="V44" s="8"/>
      <c r="W44" s="8"/>
      <c r="X44" s="8"/>
      <c r="Y44" s="8"/>
      <c r="Z44" s="8"/>
      <c r="AA44" s="8"/>
      <c r="AB44" s="8"/>
      <c r="AC44" s="8"/>
      <c r="AV44" s="8"/>
    </row>
    <row r="45" spans="2:48" x14ac:dyDescent="0.3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V45" s="8"/>
    </row>
    <row r="46" spans="2:48" x14ac:dyDescent="0.3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V46" s="8"/>
    </row>
    <row r="47" spans="2:48" x14ac:dyDescent="0.3">
      <c r="C47" s="478" t="s">
        <v>702</v>
      </c>
      <c r="F47" s="8"/>
      <c r="G47" s="8"/>
      <c r="H47" s="8"/>
      <c r="AC47" s="8"/>
      <c r="AV47" s="8"/>
    </row>
    <row r="48" spans="2:48" ht="15" thickBot="1" x14ac:dyDescent="0.35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V48" s="8"/>
    </row>
    <row r="49" spans="2:48" x14ac:dyDescent="0.3">
      <c r="B49" s="601"/>
      <c r="C49" s="602" t="s">
        <v>2281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V49" s="8"/>
    </row>
    <row r="50" spans="2:48" x14ac:dyDescent="0.3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V50" s="8"/>
    </row>
    <row r="51" spans="2:48" x14ac:dyDescent="0.3">
      <c r="F51" s="8"/>
      <c r="G51" s="8"/>
      <c r="H51" s="8"/>
      <c r="AC51" s="8"/>
      <c r="AV51" s="8"/>
    </row>
    <row r="52" spans="2:48" x14ac:dyDescent="0.3">
      <c r="F52" s="8"/>
      <c r="G52" s="8"/>
      <c r="H52" s="8"/>
      <c r="AC52" s="8"/>
      <c r="AV52" s="8"/>
    </row>
    <row r="53" spans="2:48" x14ac:dyDescent="0.3">
      <c r="C53" s="478" t="s">
        <v>2475</v>
      </c>
      <c r="F53" s="8"/>
      <c r="G53" s="8"/>
      <c r="H53" s="8"/>
      <c r="AC53" s="8"/>
      <c r="AV53" s="8"/>
    </row>
    <row r="54" spans="2:48" ht="15" thickBot="1" x14ac:dyDescent="0.35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V54" s="8"/>
    </row>
    <row r="55" spans="2:48" x14ac:dyDescent="0.3">
      <c r="B55" s="601"/>
      <c r="C55" s="602" t="s">
        <v>2281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V55" s="8"/>
    </row>
    <row r="56" spans="2:48" x14ac:dyDescent="0.3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V56" s="8"/>
    </row>
    <row r="57" spans="2:48" x14ac:dyDescent="0.3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V57" s="8"/>
    </row>
    <row r="58" spans="2:48" x14ac:dyDescent="0.3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V58" s="8"/>
    </row>
    <row r="59" spans="2:48" x14ac:dyDescent="0.3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V59" s="8"/>
    </row>
    <row r="60" spans="2:48" x14ac:dyDescent="0.3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V60" s="8"/>
    </row>
    <row r="61" spans="2:48" x14ac:dyDescent="0.3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V61" s="8"/>
    </row>
    <row r="62" spans="2:48" x14ac:dyDescent="0.3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V62" s="8"/>
    </row>
    <row r="63" spans="2:48" x14ac:dyDescent="0.3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V63" s="8"/>
    </row>
    <row r="64" spans="2:48" x14ac:dyDescent="0.3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V64" s="8"/>
    </row>
    <row r="65" spans="3:274" x14ac:dyDescent="0.3">
      <c r="C65" s="1270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V65" s="8"/>
    </row>
    <row r="66" spans="3:274" x14ac:dyDescent="0.3">
      <c r="C66" s="1267" t="s">
        <v>2474</v>
      </c>
      <c r="D66" s="1268" t="s">
        <v>533</v>
      </c>
      <c r="E66" s="1300">
        <f>SUM(75:75)</f>
        <v>109</v>
      </c>
      <c r="F66" s="1300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V66" s="8"/>
    </row>
    <row r="67" spans="3:274" x14ac:dyDescent="0.3">
      <c r="C67" s="1269" t="s">
        <v>2474</v>
      </c>
      <c r="D67" s="1268" t="s">
        <v>534</v>
      </c>
      <c r="E67" s="1300">
        <f>SUM(76:76)</f>
        <v>96</v>
      </c>
      <c r="F67" s="1300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V67" s="8"/>
    </row>
    <row r="68" spans="3:274" x14ac:dyDescent="0.3">
      <c r="C68" s="1269" t="s">
        <v>2474</v>
      </c>
      <c r="D68" s="1268" t="s">
        <v>535</v>
      </c>
      <c r="E68" s="1300">
        <f>SUM(77:77)</f>
        <v>25</v>
      </c>
      <c r="F68" s="1300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V68" s="8"/>
    </row>
    <row r="69" spans="3:274" x14ac:dyDescent="0.3">
      <c r="C69" t="s">
        <v>2483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V69" s="8"/>
    </row>
    <row r="70" spans="3:274" x14ac:dyDescent="0.3">
      <c r="C70" s="1267" t="s">
        <v>2474</v>
      </c>
      <c r="D70" s="1268" t="s">
        <v>533</v>
      </c>
      <c r="E70" s="1300">
        <f>SUM(102:102)</f>
        <v>24</v>
      </c>
      <c r="F70" s="1300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V70" s="8"/>
    </row>
    <row r="71" spans="3:274" x14ac:dyDescent="0.3">
      <c r="C71" s="1269" t="s">
        <v>2474</v>
      </c>
      <c r="D71" s="1268" t="s">
        <v>534</v>
      </c>
      <c r="E71" s="1300">
        <f>SUM(103:103)</f>
        <v>20</v>
      </c>
      <c r="F71" s="1300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V71" s="8"/>
    </row>
    <row r="72" spans="3:274" x14ac:dyDescent="0.3">
      <c r="C72" s="1269" t="s">
        <v>2474</v>
      </c>
      <c r="D72" s="1268" t="s">
        <v>535</v>
      </c>
      <c r="E72" s="1300">
        <f>SUM(104:104)</f>
        <v>4</v>
      </c>
      <c r="F72" s="1300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V72" s="8"/>
    </row>
    <row r="73" spans="3:274" x14ac:dyDescent="0.3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V73" s="8"/>
    </row>
    <row r="74" spans="3:274" x14ac:dyDescent="0.3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</row>
    <row r="75" spans="3:274" x14ac:dyDescent="0.3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>
        <f>COUNTIF(AO79:AX97,AO75)</f>
        <v>8</v>
      </c>
      <c r="AQ75" s="8"/>
      <c r="AR75" s="8"/>
      <c r="AS75" s="8"/>
      <c r="AT75" s="8"/>
      <c r="AU75" s="8"/>
      <c r="AV75" s="8"/>
      <c r="AY75" s="205" t="s">
        <v>533</v>
      </c>
      <c r="AZ75">
        <f>COUNTIF(AY79:BH97,AY75)</f>
        <v>3</v>
      </c>
      <c r="BI75" s="205" t="s">
        <v>533</v>
      </c>
      <c r="BJ75">
        <f>COUNTIF(BI79:BR97,BI75)</f>
        <v>10</v>
      </c>
      <c r="BS75" s="205" t="s">
        <v>533</v>
      </c>
      <c r="BT75">
        <f>COUNTIF(BS79:CB97,BS75)</f>
        <v>4</v>
      </c>
      <c r="CC75" s="205" t="s">
        <v>533</v>
      </c>
      <c r="CD75">
        <f>COUNTIF(CC79:CL97,CC75)</f>
        <v>3</v>
      </c>
      <c r="CM75" s="205" t="s">
        <v>533</v>
      </c>
      <c r="CN75">
        <f>COUNTIF(CM79:CV97,CM75)</f>
        <v>5</v>
      </c>
      <c r="CW75" s="205" t="s">
        <v>533</v>
      </c>
      <c r="CX75">
        <f>COUNTIF(CW79:DF97,CW75)</f>
        <v>3</v>
      </c>
      <c r="DG75" s="205" t="s">
        <v>533</v>
      </c>
      <c r="DH75">
        <f>COUNTIF(DG79:DP97,DG75)</f>
        <v>4</v>
      </c>
      <c r="DQ75" s="205" t="s">
        <v>533</v>
      </c>
      <c r="DR75">
        <f>COUNTIF(DQ79:DZ97,DQ75)</f>
        <v>7</v>
      </c>
      <c r="EA75" s="205" t="s">
        <v>533</v>
      </c>
      <c r="EB75">
        <f>COUNTIF(EA79:EJ97,EA75)</f>
        <v>5</v>
      </c>
      <c r="EK75" s="205" t="s">
        <v>533</v>
      </c>
      <c r="EL75">
        <f>COUNTIF(EK79:ET97,EK75)</f>
        <v>5</v>
      </c>
      <c r="EU75" s="205" t="s">
        <v>533</v>
      </c>
      <c r="EV75">
        <f>COUNTIF(EU79:FD97,EU75)</f>
        <v>4</v>
      </c>
      <c r="FE75" s="205" t="s">
        <v>533</v>
      </c>
      <c r="FF75">
        <f>COUNTIF(FE79:FN97,FE75)</f>
        <v>5</v>
      </c>
      <c r="FO75" s="205" t="s">
        <v>533</v>
      </c>
      <c r="FP75">
        <f>COUNTIF(FO79:FX97,FO75)</f>
        <v>4</v>
      </c>
      <c r="FY75" s="205" t="s">
        <v>533</v>
      </c>
      <c r="FZ75">
        <f>COUNTIF(FY79:GH97,FY75)</f>
        <v>8</v>
      </c>
      <c r="GI75" s="205" t="s">
        <v>533</v>
      </c>
      <c r="GJ75">
        <f>COUNTIF(GI79:GR97,GI75)</f>
        <v>6</v>
      </c>
      <c r="GS75" s="205" t="s">
        <v>533</v>
      </c>
      <c r="GT75">
        <f>COUNTIF(GS79:HB97,GS75)</f>
        <v>4</v>
      </c>
      <c r="HC75" s="205" t="s">
        <v>533</v>
      </c>
      <c r="HD75">
        <f>COUNTIF(HC79:HL97,HC75)</f>
        <v>9</v>
      </c>
      <c r="HM75" s="205" t="s">
        <v>533</v>
      </c>
      <c r="HN75">
        <f>COUNTIF(HM79:HV97,HM75)</f>
        <v>5</v>
      </c>
      <c r="HW75" s="205" t="s">
        <v>533</v>
      </c>
      <c r="HX75">
        <f>COUNTIF(HW79:IF97,HW75)</f>
        <v>0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</row>
    <row r="76" spans="3:274" x14ac:dyDescent="0.3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>
        <f>COUNTIF(AO79:AX97,AO76)</f>
        <v>6</v>
      </c>
      <c r="AQ76" s="8"/>
      <c r="AR76" s="8"/>
      <c r="AS76" s="8"/>
      <c r="AT76" s="8"/>
      <c r="AU76" s="8"/>
      <c r="AV76" s="8"/>
      <c r="AY76" s="205" t="s">
        <v>534</v>
      </c>
      <c r="AZ76">
        <f>COUNTIF(AY79:BH97,AY76)</f>
        <v>3</v>
      </c>
      <c r="BI76" s="205" t="s">
        <v>534</v>
      </c>
      <c r="BJ76">
        <f>COUNTIF(BI79:BR97,BI76)</f>
        <v>8</v>
      </c>
      <c r="BS76" s="205" t="s">
        <v>534</v>
      </c>
      <c r="BT76">
        <f>COUNTIF(BS79:CB97,BS76)</f>
        <v>4</v>
      </c>
      <c r="CC76" s="205" t="s">
        <v>534</v>
      </c>
      <c r="CD76">
        <f>COUNTIF(CC79:CL97,CC76)</f>
        <v>3</v>
      </c>
      <c r="CM76" s="205" t="s">
        <v>534</v>
      </c>
      <c r="CN76">
        <f>COUNTIF(CM79:CV97,CM76)</f>
        <v>4</v>
      </c>
      <c r="CW76" s="205" t="s">
        <v>534</v>
      </c>
      <c r="CX76">
        <f>COUNTIF(CW79:DF97,CW76)</f>
        <v>3</v>
      </c>
      <c r="DG76" s="205" t="s">
        <v>534</v>
      </c>
      <c r="DH76">
        <f>COUNTIF(DG79:DP97,DG76)</f>
        <v>3</v>
      </c>
      <c r="DQ76" s="205" t="s">
        <v>534</v>
      </c>
      <c r="DR76">
        <f>COUNTIF(DQ79:DZ97,DQ76)</f>
        <v>7</v>
      </c>
      <c r="EA76" s="205" t="s">
        <v>534</v>
      </c>
      <c r="EB76">
        <f>COUNTIF(EA79:EJ97,EA76)</f>
        <v>5</v>
      </c>
      <c r="EK76" s="205" t="s">
        <v>534</v>
      </c>
      <c r="EL76">
        <f>COUNTIF(EK79:ET97,EK76)</f>
        <v>4</v>
      </c>
      <c r="EU76" s="205" t="s">
        <v>534</v>
      </c>
      <c r="EV76">
        <f>COUNTIF(EU79:FD97,EU76)</f>
        <v>4</v>
      </c>
      <c r="FE76" s="205" t="s">
        <v>534</v>
      </c>
      <c r="FF76">
        <f>COUNTIF(FE79:FN97,FE76)</f>
        <v>5</v>
      </c>
      <c r="FO76" s="205" t="s">
        <v>534</v>
      </c>
      <c r="FP76">
        <f>COUNTIF(FO79:FX97,FO76)</f>
        <v>3</v>
      </c>
      <c r="FY76" s="205" t="s">
        <v>534</v>
      </c>
      <c r="FZ76">
        <f>COUNTIF(FY79:GH97,FY76)</f>
        <v>7</v>
      </c>
      <c r="GI76" s="205" t="s">
        <v>534</v>
      </c>
      <c r="GJ76">
        <f>COUNTIF(GI79:GR97,GI76)</f>
        <v>5</v>
      </c>
      <c r="GS76" s="205" t="s">
        <v>534</v>
      </c>
      <c r="GT76">
        <f>COUNTIF(GS79:HB97,GS76)</f>
        <v>3</v>
      </c>
      <c r="HC76" s="205" t="s">
        <v>534</v>
      </c>
      <c r="HD76">
        <f>COUNTIF(HC79:HL97,HC76)</f>
        <v>8</v>
      </c>
      <c r="HM76" s="205" t="s">
        <v>534</v>
      </c>
      <c r="HN76">
        <f>COUNTIF(HM79:HV97,HM76)</f>
        <v>4</v>
      </c>
      <c r="HW76" s="205" t="s">
        <v>534</v>
      </c>
      <c r="HX76">
        <f>COUNTIF(HW79:IF97,HW76)</f>
        <v>0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</row>
    <row r="77" spans="3:274" x14ac:dyDescent="0.3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>
        <f>COUNTIF(AO79:AX97,AO77)</f>
        <v>3</v>
      </c>
      <c r="AQ77" s="8"/>
      <c r="AR77" s="8"/>
      <c r="AS77" s="8"/>
      <c r="AT77" s="8"/>
      <c r="AU77" s="8"/>
      <c r="AV77" s="8"/>
      <c r="AY77" s="205" t="s">
        <v>535</v>
      </c>
      <c r="AZ77">
        <f>COUNTIF(AY79:BH97,AY77)</f>
        <v>1</v>
      </c>
      <c r="BI77" s="205" t="s">
        <v>535</v>
      </c>
      <c r="BJ77">
        <f>COUNTIF(BI79:BR97,BI77)</f>
        <v>0</v>
      </c>
      <c r="BS77" s="205" t="s">
        <v>535</v>
      </c>
      <c r="BT77">
        <f>COUNTIF(BS79:CB97,BS77)</f>
        <v>1</v>
      </c>
      <c r="CC77" s="205" t="s">
        <v>535</v>
      </c>
      <c r="CD77">
        <f>COUNTIF(CC79:CL97,CC77)</f>
        <v>0</v>
      </c>
      <c r="CM77" s="205" t="s">
        <v>535</v>
      </c>
      <c r="CN77">
        <f>COUNTIF(CM79:CV97,CM77)</f>
        <v>1</v>
      </c>
      <c r="CW77" s="205" t="s">
        <v>535</v>
      </c>
      <c r="CX77">
        <f>COUNTIF(CW79:DF97,CW77)</f>
        <v>0</v>
      </c>
      <c r="DG77" s="205" t="s">
        <v>535</v>
      </c>
      <c r="DH77">
        <f>COUNTIF(DG79:DP97,DG77)</f>
        <v>3</v>
      </c>
      <c r="DQ77" s="205" t="s">
        <v>535</v>
      </c>
      <c r="DR77">
        <f>COUNTIF(DQ79:DZ97,DQ77)</f>
        <v>3</v>
      </c>
      <c r="EA77" s="205" t="s">
        <v>535</v>
      </c>
      <c r="EB77">
        <f>COUNTIF(EA79:EJ97,EA77)</f>
        <v>0</v>
      </c>
      <c r="EK77" s="205" t="s">
        <v>535</v>
      </c>
      <c r="EL77">
        <f>COUNTIF(EK79:ET97,EK77)</f>
        <v>0</v>
      </c>
      <c r="EU77" s="205" t="s">
        <v>535</v>
      </c>
      <c r="EV77">
        <f>COUNTIF(EU79:FD97,EU77)</f>
        <v>1</v>
      </c>
      <c r="FE77" s="205" t="s">
        <v>535</v>
      </c>
      <c r="FF77">
        <f>COUNTIF(FE79:FN97,FE77)</f>
        <v>0</v>
      </c>
      <c r="FO77" s="205" t="s">
        <v>535</v>
      </c>
      <c r="FP77">
        <f>COUNTIF(FO79:FX97,FO77)</f>
        <v>2</v>
      </c>
      <c r="FY77" s="205" t="s">
        <v>535</v>
      </c>
      <c r="FZ77">
        <f>COUNTIF(FY79:GH97,FY77)</f>
        <v>1</v>
      </c>
      <c r="GI77" s="205" t="s">
        <v>535</v>
      </c>
      <c r="GJ77">
        <f>COUNTIF(GI79:GR97,GI77)</f>
        <v>3</v>
      </c>
      <c r="GS77" s="205" t="s">
        <v>535</v>
      </c>
      <c r="GT77">
        <f>COUNTIF(GS79:HB97,GS77)</f>
        <v>2</v>
      </c>
      <c r="HC77" s="205" t="s">
        <v>535</v>
      </c>
      <c r="HD77">
        <f>COUNTIF(HC79:HL97,HC77)</f>
        <v>0</v>
      </c>
      <c r="HM77" s="205" t="s">
        <v>535</v>
      </c>
      <c r="HN77">
        <f>COUNTIF(HM79:HV97,HM77)</f>
        <v>3</v>
      </c>
      <c r="HW77" s="205" t="s">
        <v>535</v>
      </c>
      <c r="HX77">
        <f>COUNTIF(HW79:IF97,HW77)</f>
        <v>0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</row>
    <row r="78" spans="3:274" x14ac:dyDescent="0.3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</row>
    <row r="79" spans="3:274" s="205" customFormat="1" x14ac:dyDescent="0.3">
      <c r="C79" s="205" t="s">
        <v>2476</v>
      </c>
      <c r="AE79" s="372" t="s">
        <v>995</v>
      </c>
      <c r="AF79" s="205" t="s">
        <v>2454</v>
      </c>
      <c r="AG79" s="265"/>
      <c r="AH79" s="265"/>
      <c r="AI79" s="265"/>
      <c r="AJ79" s="265"/>
      <c r="AK79" s="265"/>
      <c r="AL79" s="265"/>
      <c r="AM79" s="265"/>
      <c r="AN79" s="1265"/>
      <c r="AO79" s="372" t="s">
        <v>997</v>
      </c>
      <c r="AP79" s="205" t="s">
        <v>2455</v>
      </c>
      <c r="AQ79" s="265"/>
      <c r="AR79" s="265"/>
      <c r="AS79" s="265"/>
      <c r="AT79" s="265"/>
      <c r="AU79" s="265"/>
      <c r="AV79" s="265"/>
      <c r="AW79" s="265"/>
      <c r="AX79" s="1265"/>
      <c r="AY79" s="372" t="s">
        <v>999</v>
      </c>
      <c r="AZ79" s="205" t="s">
        <v>2456</v>
      </c>
      <c r="BA79" s="265"/>
      <c r="BB79" s="265"/>
      <c r="BC79" s="265"/>
      <c r="BD79" s="265"/>
      <c r="BE79" s="265"/>
      <c r="BF79" s="265"/>
      <c r="BG79" s="265"/>
      <c r="BH79" s="1265"/>
      <c r="BI79" s="372" t="s">
        <v>1001</v>
      </c>
      <c r="BJ79" s="205" t="s">
        <v>2457</v>
      </c>
      <c r="BK79" s="265"/>
      <c r="BL79" s="265"/>
      <c r="BM79" s="265"/>
      <c r="BN79" s="265"/>
      <c r="BO79" s="265"/>
      <c r="BP79" s="265"/>
      <c r="BQ79" s="265"/>
      <c r="BR79" s="1265"/>
      <c r="BS79" s="372" t="s">
        <v>1003</v>
      </c>
      <c r="BT79" s="205" t="s">
        <v>2458</v>
      </c>
      <c r="BU79" s="265"/>
      <c r="BV79" s="265"/>
      <c r="BW79" s="265"/>
      <c r="BX79" s="265"/>
      <c r="BY79" s="265"/>
      <c r="BZ79" s="265"/>
      <c r="CA79" s="265"/>
      <c r="CB79" s="1265"/>
      <c r="CC79" s="372" t="s">
        <v>1004</v>
      </c>
      <c r="CD79" s="205" t="s">
        <v>2459</v>
      </c>
      <c r="CE79" s="265"/>
      <c r="CF79" s="265"/>
      <c r="CG79" s="265"/>
      <c r="CH79" s="265"/>
      <c r="CM79" s="372" t="s">
        <v>1006</v>
      </c>
      <c r="CN79" s="205" t="s">
        <v>2460</v>
      </c>
      <c r="CO79" s="265"/>
      <c r="CP79" s="265"/>
      <c r="CQ79" s="265"/>
      <c r="CR79" s="265"/>
      <c r="CS79" s="265"/>
      <c r="CT79" s="265"/>
      <c r="CU79" s="265"/>
      <c r="CV79" s="1265"/>
      <c r="CW79" s="372" t="s">
        <v>1008</v>
      </c>
      <c r="CX79" s="205" t="s">
        <v>2461</v>
      </c>
      <c r="CY79" s="265"/>
      <c r="CZ79" s="265"/>
      <c r="DA79" s="265"/>
      <c r="DB79" s="265"/>
      <c r="DC79" s="265"/>
      <c r="DD79" s="265"/>
      <c r="DE79" s="265"/>
      <c r="DF79" s="1265"/>
      <c r="DG79" s="372" t="s">
        <v>1010</v>
      </c>
      <c r="DH79" s="205" t="s">
        <v>2462</v>
      </c>
      <c r="DI79" s="265"/>
      <c r="DJ79" s="265"/>
      <c r="DK79" s="265"/>
      <c r="DL79" s="265"/>
      <c r="DM79" s="265"/>
      <c r="DN79" s="265"/>
      <c r="DO79" s="265"/>
      <c r="DP79" s="1265"/>
      <c r="DQ79" s="372" t="s">
        <v>1012</v>
      </c>
      <c r="DR79" s="205" t="s">
        <v>2463</v>
      </c>
      <c r="DS79" s="265"/>
      <c r="DT79" s="265"/>
      <c r="DU79" s="265"/>
      <c r="DV79" s="265"/>
      <c r="DW79" s="265"/>
      <c r="DX79" s="265"/>
      <c r="DY79" s="265"/>
      <c r="DZ79" s="1265"/>
      <c r="EA79" s="372" t="s">
        <v>1465</v>
      </c>
      <c r="EB79" s="205" t="s">
        <v>2464</v>
      </c>
      <c r="EC79" s="265"/>
      <c r="ED79" s="265"/>
      <c r="EE79" s="265"/>
      <c r="EF79" s="265"/>
      <c r="EG79" s="265"/>
      <c r="EH79" s="265"/>
      <c r="EI79" s="265"/>
      <c r="EJ79" s="1265"/>
      <c r="EK79" s="372" t="s">
        <v>1466</v>
      </c>
      <c r="EL79" s="205" t="s">
        <v>2465</v>
      </c>
      <c r="EM79" s="265"/>
      <c r="EN79" s="265"/>
      <c r="EO79" s="265"/>
      <c r="EP79" s="265"/>
      <c r="EU79" s="372" t="s">
        <v>1467</v>
      </c>
      <c r="EV79" s="205" t="s">
        <v>2466</v>
      </c>
      <c r="EW79" s="265"/>
      <c r="EX79" s="265"/>
      <c r="EY79" s="265"/>
      <c r="EZ79" s="265"/>
      <c r="FA79" s="265"/>
      <c r="FB79" s="265"/>
      <c r="FC79" s="265"/>
      <c r="FD79" s="1265"/>
      <c r="FE79" s="372" t="s">
        <v>1468</v>
      </c>
      <c r="FF79" s="205" t="s">
        <v>2467</v>
      </c>
      <c r="FG79" s="265"/>
      <c r="FH79" s="265"/>
      <c r="FI79" s="265"/>
      <c r="FJ79" s="265"/>
      <c r="FK79" s="265"/>
      <c r="FL79" s="265"/>
      <c r="FM79" s="265"/>
      <c r="FN79" s="1265"/>
      <c r="FO79" s="372" t="s">
        <v>1469</v>
      </c>
      <c r="FP79" s="205" t="s">
        <v>2468</v>
      </c>
      <c r="FQ79" s="265"/>
      <c r="FR79" s="265"/>
      <c r="FS79" s="265"/>
      <c r="FT79" s="265"/>
      <c r="FU79" s="265"/>
      <c r="FV79" s="265"/>
      <c r="FW79" s="265"/>
      <c r="FX79" s="1265"/>
      <c r="FY79" s="372" t="s">
        <v>1470</v>
      </c>
      <c r="FZ79" s="205" t="s">
        <v>2469</v>
      </c>
      <c r="GA79" s="265"/>
      <c r="GB79" s="265"/>
      <c r="GC79" s="265"/>
      <c r="GD79" s="265"/>
      <c r="GE79" s="265"/>
      <c r="GF79" s="265"/>
      <c r="GG79" s="265"/>
      <c r="GH79" s="1265"/>
      <c r="GI79" s="372" t="s">
        <v>1472</v>
      </c>
      <c r="GJ79" s="205" t="s">
        <v>2470</v>
      </c>
      <c r="GK79" s="265"/>
      <c r="GL79" s="265"/>
      <c r="GM79" s="265"/>
      <c r="GN79" s="265"/>
      <c r="GO79" s="265"/>
      <c r="GP79" s="265"/>
      <c r="GQ79" s="265"/>
      <c r="GR79" s="1265"/>
      <c r="GS79" s="372" t="s">
        <v>1473</v>
      </c>
      <c r="GT79" s="205" t="s">
        <v>2471</v>
      </c>
      <c r="GU79" s="265"/>
      <c r="GV79" s="265"/>
      <c r="GW79" s="265"/>
      <c r="GX79" s="265"/>
      <c r="HC79" s="372" t="s">
        <v>1474</v>
      </c>
      <c r="HD79" s="205" t="s">
        <v>2472</v>
      </c>
      <c r="HE79" s="265"/>
      <c r="HF79" s="265"/>
      <c r="HG79" s="265"/>
      <c r="HH79" s="265"/>
      <c r="HI79" s="265"/>
      <c r="HJ79" s="265"/>
      <c r="HK79" s="265"/>
      <c r="HL79" s="1265"/>
      <c r="HM79" s="372" t="s">
        <v>1475</v>
      </c>
      <c r="HN79" s="205" t="s">
        <v>2473</v>
      </c>
      <c r="HO79" s="265"/>
      <c r="HP79" s="265"/>
      <c r="HQ79" s="265"/>
      <c r="HR79" s="265"/>
      <c r="HS79" s="265"/>
      <c r="HT79" s="265"/>
      <c r="HU79" s="265"/>
      <c r="HV79" s="1265"/>
      <c r="HW79" s="372" t="s">
        <v>2450</v>
      </c>
      <c r="HY79" s="265"/>
      <c r="HZ79" s="265"/>
      <c r="IA79" s="265"/>
      <c r="IB79" s="265"/>
      <c r="IC79" s="265"/>
      <c r="ID79" s="265"/>
      <c r="IE79" s="265"/>
      <c r="IF79" s="1265"/>
      <c r="IG79" s="372" t="s">
        <v>2451</v>
      </c>
      <c r="II79" s="265"/>
      <c r="IJ79" s="265"/>
      <c r="IK79" s="265"/>
      <c r="IL79" s="265"/>
      <c r="IM79" s="265"/>
      <c r="IN79" s="265"/>
      <c r="IO79" s="265"/>
      <c r="IP79" s="1265"/>
      <c r="IQ79" s="372" t="s">
        <v>2452</v>
      </c>
      <c r="IS79" s="265"/>
      <c r="IT79" s="265"/>
      <c r="IU79" s="265"/>
      <c r="IV79" s="265"/>
      <c r="IW79" s="265"/>
      <c r="IX79" s="265"/>
      <c r="IY79" s="265"/>
      <c r="IZ79" s="1265"/>
      <c r="JA79" s="372" t="s">
        <v>2453</v>
      </c>
      <c r="JC79" s="265"/>
      <c r="JD79" s="265"/>
      <c r="JE79" s="265"/>
      <c r="JF79" s="265"/>
      <c r="JK79"/>
      <c r="JL79"/>
      <c r="JM79"/>
      <c r="JN79"/>
    </row>
    <row r="80" spans="3:274" x14ac:dyDescent="0.3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66"/>
      <c r="AO80" s="300"/>
      <c r="AQ80" s="8"/>
      <c r="AR80" s="8"/>
      <c r="AS80" s="8"/>
      <c r="AT80" s="8"/>
      <c r="AU80" s="8"/>
      <c r="AV80" s="8"/>
      <c r="AW80" s="8"/>
      <c r="AX80" s="1266"/>
      <c r="AY80" s="300"/>
      <c r="BA80" s="8"/>
      <c r="BB80" s="8"/>
      <c r="BC80" s="8"/>
      <c r="BD80" s="8"/>
      <c r="BE80" s="8"/>
      <c r="BF80" s="8"/>
      <c r="BG80" s="8"/>
      <c r="BH80" s="1266"/>
      <c r="BI80" s="300"/>
      <c r="BK80" s="8"/>
      <c r="BL80" s="8"/>
      <c r="BM80" s="8"/>
      <c r="BN80" s="8"/>
      <c r="BO80" s="8"/>
      <c r="BP80" s="8"/>
      <c r="BQ80" s="8"/>
      <c r="BR80" s="1266"/>
      <c r="BS80" s="300" t="s">
        <v>534</v>
      </c>
      <c r="BU80" s="8"/>
      <c r="BV80" s="8"/>
      <c r="BW80" s="8"/>
      <c r="BX80" s="8"/>
      <c r="BY80" s="8"/>
      <c r="BZ80" s="8"/>
      <c r="CA80" s="8"/>
      <c r="CB80" s="1266"/>
      <c r="CC80" s="300"/>
      <c r="CE80" s="8"/>
      <c r="CF80" s="8"/>
      <c r="CG80" s="8"/>
      <c r="CH80" s="8"/>
      <c r="CM80" s="300"/>
      <c r="CO80" s="8"/>
      <c r="CP80" s="8"/>
      <c r="CQ80" s="8"/>
      <c r="CR80" s="8"/>
      <c r="CS80" s="8"/>
      <c r="CT80" s="8"/>
      <c r="CU80" s="8"/>
      <c r="CV80" s="1266"/>
      <c r="CW80" s="300"/>
      <c r="CY80" s="8"/>
      <c r="CZ80" s="8"/>
      <c r="DA80" s="8"/>
      <c r="DB80" s="8"/>
      <c r="DC80" s="8"/>
      <c r="DD80" s="8"/>
      <c r="DE80" s="8"/>
      <c r="DF80" s="1266"/>
      <c r="DG80" s="300" t="s">
        <v>534</v>
      </c>
      <c r="DI80" s="8"/>
      <c r="DJ80" s="8"/>
      <c r="DK80" s="8"/>
      <c r="DL80" s="8"/>
      <c r="DM80" s="8"/>
      <c r="DN80" s="8"/>
      <c r="DO80" s="8"/>
      <c r="DP80" s="1266"/>
      <c r="DQ80" s="300" t="s">
        <v>533</v>
      </c>
      <c r="DS80" s="8"/>
      <c r="DT80" s="8"/>
      <c r="DU80" s="8"/>
      <c r="DV80" s="8"/>
      <c r="DW80" s="8"/>
      <c r="DX80" s="8"/>
      <c r="DY80" s="8"/>
      <c r="DZ80" s="1266"/>
      <c r="EA80" s="300"/>
      <c r="EC80" s="8"/>
      <c r="ED80" s="8"/>
      <c r="EE80" s="8"/>
      <c r="EF80" s="8"/>
      <c r="EG80" s="8"/>
      <c r="EH80" s="8"/>
      <c r="EI80" s="8"/>
      <c r="EJ80" s="1266"/>
      <c r="EK80" s="300"/>
      <c r="EM80" s="8"/>
      <c r="EN80" s="8"/>
      <c r="EO80" s="8"/>
      <c r="EP80" s="8"/>
      <c r="EU80" s="300" t="s">
        <v>534</v>
      </c>
      <c r="EW80" s="8"/>
      <c r="EX80" s="8"/>
      <c r="EY80" s="8"/>
      <c r="EZ80" s="8"/>
      <c r="FA80" s="8"/>
      <c r="FB80" s="8"/>
      <c r="FC80" s="8"/>
      <c r="FD80" s="1266"/>
      <c r="FE80" s="300"/>
      <c r="FG80" s="8"/>
      <c r="FH80" s="8"/>
      <c r="FI80" s="8"/>
      <c r="FJ80" s="8"/>
      <c r="FK80" s="8"/>
      <c r="FL80" s="8"/>
      <c r="FM80" s="8"/>
      <c r="FN80" s="1266"/>
      <c r="FO80" s="300"/>
      <c r="FQ80" s="8"/>
      <c r="FR80" s="8"/>
      <c r="FS80" s="8"/>
      <c r="FT80" s="8"/>
      <c r="FU80" s="8"/>
      <c r="FV80" s="8"/>
      <c r="FW80" s="8"/>
      <c r="FX80" s="1266"/>
      <c r="FY80" s="300"/>
      <c r="GA80" s="8"/>
      <c r="GB80" s="8"/>
      <c r="GC80" s="8"/>
      <c r="GD80" s="8"/>
      <c r="GE80" s="8"/>
      <c r="GF80" s="8"/>
      <c r="GG80" s="8"/>
      <c r="GH80" s="1266"/>
      <c r="GI80" s="300"/>
      <c r="GK80" s="8"/>
      <c r="GL80" s="8"/>
      <c r="GM80" s="8"/>
      <c r="GN80" s="8"/>
      <c r="GO80" s="8"/>
      <c r="GP80" s="8"/>
      <c r="GQ80" s="8"/>
      <c r="GR80" s="1266"/>
      <c r="GS80" s="300"/>
      <c r="GU80" s="8"/>
      <c r="GV80" s="8"/>
      <c r="GW80" s="8"/>
      <c r="GX80" s="8"/>
      <c r="HC80" s="300"/>
      <c r="HE80" s="8"/>
      <c r="HF80" s="8"/>
      <c r="HG80" s="8"/>
      <c r="HH80" s="8"/>
      <c r="HI80" s="8"/>
      <c r="HJ80" s="8"/>
      <c r="HK80" s="8"/>
      <c r="HL80" s="1266"/>
      <c r="HM80" s="300" t="s">
        <v>535</v>
      </c>
      <c r="HO80" s="8"/>
      <c r="HP80" s="8"/>
      <c r="HQ80" s="8"/>
      <c r="HR80" s="8"/>
      <c r="HS80" s="8"/>
      <c r="HT80" s="8"/>
      <c r="HU80" s="8"/>
      <c r="HV80" s="1266"/>
      <c r="HW80" s="300"/>
      <c r="HY80" s="8"/>
      <c r="HZ80" s="8"/>
      <c r="IA80" s="8"/>
      <c r="IB80" s="8"/>
      <c r="IC80" s="8"/>
      <c r="ID80" s="8"/>
      <c r="IE80" s="8"/>
      <c r="IF80" s="1266"/>
      <c r="IG80" s="300"/>
      <c r="II80" s="8"/>
      <c r="IJ80" s="8"/>
      <c r="IK80" s="8"/>
      <c r="IL80" s="8"/>
      <c r="IM80" s="8"/>
      <c r="IN80" s="8"/>
      <c r="IO80" s="8"/>
      <c r="IP80" s="1266"/>
      <c r="IQ80" s="300"/>
      <c r="IS80" s="8"/>
      <c r="IT80" s="8"/>
      <c r="IU80" s="8"/>
      <c r="IV80" s="8"/>
      <c r="IW80" s="8"/>
      <c r="IX80" s="8"/>
      <c r="IY80" s="8"/>
      <c r="IZ80" s="1266"/>
      <c r="JA80" s="300"/>
      <c r="JC80" s="8"/>
      <c r="JD80" s="8"/>
      <c r="JE80" s="8"/>
      <c r="JF80" s="8"/>
    </row>
    <row r="81" spans="3:266" x14ac:dyDescent="0.3">
      <c r="C81" t="s">
        <v>2281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66"/>
      <c r="AO81" s="300"/>
      <c r="AQ81" s="8"/>
      <c r="AR81" s="8"/>
      <c r="AS81" s="8"/>
      <c r="AT81" s="8"/>
      <c r="AU81" s="8"/>
      <c r="AV81" s="8"/>
      <c r="AW81" s="8"/>
      <c r="AX81" s="1266"/>
      <c r="AY81" s="300" t="s">
        <v>681</v>
      </c>
      <c r="BA81" s="8"/>
      <c r="BB81" s="8"/>
      <c r="BC81" s="8"/>
      <c r="BD81" s="8"/>
      <c r="BE81" s="8"/>
      <c r="BF81" s="8"/>
      <c r="BG81" s="8"/>
      <c r="BH81" s="1266"/>
      <c r="BI81" s="300"/>
      <c r="BK81" s="8"/>
      <c r="BL81" s="8"/>
      <c r="BM81" s="8"/>
      <c r="BN81" s="8"/>
      <c r="BO81" s="8"/>
      <c r="BP81" s="8"/>
      <c r="BQ81" s="8"/>
      <c r="BR81" s="1266"/>
      <c r="BS81" s="300" t="s">
        <v>534</v>
      </c>
      <c r="BU81" s="8"/>
      <c r="BV81" s="8"/>
      <c r="BW81" s="8"/>
      <c r="BX81" s="8"/>
      <c r="BY81" s="8"/>
      <c r="BZ81" s="8"/>
      <c r="CA81" s="8"/>
      <c r="CB81" s="1266"/>
      <c r="CC81" s="300" t="s">
        <v>681</v>
      </c>
      <c r="CE81" s="8"/>
      <c r="CF81" s="8"/>
      <c r="CG81" s="8"/>
      <c r="CH81" s="8"/>
      <c r="CM81" s="300" t="s">
        <v>681</v>
      </c>
      <c r="CO81" s="8"/>
      <c r="CP81" s="8"/>
      <c r="CQ81" s="8"/>
      <c r="CR81" s="8"/>
      <c r="CS81" s="8"/>
      <c r="CT81" s="8"/>
      <c r="CU81" s="8"/>
      <c r="CV81" s="1266"/>
      <c r="CW81" s="300"/>
      <c r="CY81" s="8"/>
      <c r="CZ81" s="8"/>
      <c r="DA81" s="8"/>
      <c r="DB81" s="8"/>
      <c r="DC81" s="8"/>
      <c r="DD81" s="8"/>
      <c r="DE81" s="8"/>
      <c r="DF81" s="1266"/>
      <c r="DG81" s="300" t="s">
        <v>681</v>
      </c>
      <c r="DI81" s="8"/>
      <c r="DJ81" s="8"/>
      <c r="DK81" s="8"/>
      <c r="DL81" s="8"/>
      <c r="DM81" s="8"/>
      <c r="DN81" s="8"/>
      <c r="DO81" s="8"/>
      <c r="DP81" s="1266"/>
      <c r="DQ81" s="300"/>
      <c r="DS81" s="8"/>
      <c r="DT81" s="8"/>
      <c r="DU81" s="8"/>
      <c r="DV81" s="8"/>
      <c r="DW81" s="8"/>
      <c r="DX81" s="8"/>
      <c r="DY81" s="8"/>
      <c r="DZ81" s="1266"/>
      <c r="EA81" s="300"/>
      <c r="EC81" s="8"/>
      <c r="ED81" s="8"/>
      <c r="EE81" s="8"/>
      <c r="EF81" s="8"/>
      <c r="EG81" s="8"/>
      <c r="EH81" s="8"/>
      <c r="EI81" s="8"/>
      <c r="EJ81" s="1266"/>
      <c r="EK81" s="300" t="s">
        <v>681</v>
      </c>
      <c r="EM81" s="8"/>
      <c r="EN81" s="8"/>
      <c r="EO81" s="8"/>
      <c r="EP81" s="8"/>
      <c r="EU81" s="300"/>
      <c r="EW81" s="8"/>
      <c r="EX81" s="8"/>
      <c r="EY81" s="8"/>
      <c r="EZ81" s="8"/>
      <c r="FA81" s="8"/>
      <c r="FB81" s="8"/>
      <c r="FC81" s="8"/>
      <c r="FD81" s="1266"/>
      <c r="FE81" s="300" t="s">
        <v>681</v>
      </c>
      <c r="FG81" s="8"/>
      <c r="FH81" s="8"/>
      <c r="FI81" s="8"/>
      <c r="FJ81" s="8"/>
      <c r="FK81" s="8"/>
      <c r="FL81" s="8"/>
      <c r="FM81" s="8"/>
      <c r="FN81" s="1266"/>
      <c r="FO81" s="300" t="s">
        <v>681</v>
      </c>
      <c r="FQ81" s="8"/>
      <c r="FR81" s="8"/>
      <c r="FS81" s="8"/>
      <c r="FT81" s="8"/>
      <c r="FU81" s="8"/>
      <c r="FV81" s="8"/>
      <c r="FW81" s="8"/>
      <c r="FX81" s="1266"/>
      <c r="FY81" s="300"/>
      <c r="GA81" s="8"/>
      <c r="GB81" s="8"/>
      <c r="GC81" s="8"/>
      <c r="GD81" s="8"/>
      <c r="GE81" s="8"/>
      <c r="GF81" s="8"/>
      <c r="GG81" s="8"/>
      <c r="GH81" s="1266"/>
      <c r="GI81" s="300" t="s">
        <v>681</v>
      </c>
      <c r="GJ81" t="s">
        <v>2044</v>
      </c>
      <c r="GK81" s="8" t="s">
        <v>534</v>
      </c>
      <c r="GL81" s="8"/>
      <c r="GM81" s="8"/>
      <c r="GN81" s="8"/>
      <c r="GO81" s="8"/>
      <c r="GP81" s="8"/>
      <c r="GQ81" s="8"/>
      <c r="GR81" s="1266"/>
      <c r="GS81" s="300" t="s">
        <v>535</v>
      </c>
      <c r="GU81" s="8"/>
      <c r="GV81" s="8"/>
      <c r="GW81" s="8"/>
      <c r="GX81" s="8"/>
      <c r="HC81" s="300" t="s">
        <v>681</v>
      </c>
      <c r="HD81" t="s">
        <v>2044</v>
      </c>
      <c r="HE81" s="8"/>
      <c r="HF81" s="8"/>
      <c r="HG81" s="8"/>
      <c r="HH81" s="8"/>
      <c r="HI81" s="8"/>
      <c r="HJ81" s="8"/>
      <c r="HK81" s="8"/>
      <c r="HL81" s="1266"/>
      <c r="HM81" s="300"/>
      <c r="HO81" s="8"/>
      <c r="HP81" s="8"/>
      <c r="HQ81" s="8"/>
      <c r="HR81" s="8"/>
      <c r="HS81" s="8"/>
      <c r="HT81" s="8"/>
      <c r="HU81" s="8"/>
      <c r="HV81" s="1266"/>
      <c r="HW81" s="300"/>
      <c r="HY81" s="8"/>
      <c r="HZ81" s="8"/>
      <c r="IA81" s="8"/>
      <c r="IB81" s="8"/>
      <c r="IC81" s="8"/>
      <c r="ID81" s="8"/>
      <c r="IE81" s="8"/>
      <c r="IF81" s="1266"/>
      <c r="IG81" s="300"/>
      <c r="II81" s="8"/>
      <c r="IJ81" s="8"/>
      <c r="IK81" s="8"/>
      <c r="IL81" s="8"/>
      <c r="IM81" s="8"/>
      <c r="IN81" s="8"/>
      <c r="IO81" s="8"/>
      <c r="IP81" s="1266"/>
      <c r="IQ81" s="300"/>
      <c r="IS81" s="8"/>
      <c r="IT81" s="8"/>
      <c r="IU81" s="8"/>
      <c r="IV81" s="8"/>
      <c r="IW81" s="8"/>
      <c r="IX81" s="8"/>
      <c r="IY81" s="8"/>
      <c r="IZ81" s="1266"/>
      <c r="JA81" s="300"/>
      <c r="JC81" s="8"/>
      <c r="JD81" s="8"/>
      <c r="JE81" s="8"/>
      <c r="JF81" s="8"/>
    </row>
    <row r="82" spans="3:266" x14ac:dyDescent="0.3">
      <c r="C82" t="s">
        <v>2441</v>
      </c>
      <c r="AE82" s="300"/>
      <c r="AG82" s="8"/>
      <c r="AH82" s="8"/>
      <c r="AI82" s="8"/>
      <c r="AJ82" s="8"/>
      <c r="AK82" s="8"/>
      <c r="AL82" s="8"/>
      <c r="AM82" s="8"/>
      <c r="AN82" s="1266"/>
      <c r="AO82" s="300"/>
      <c r="AQ82" s="8"/>
      <c r="AR82" s="8"/>
      <c r="AS82" s="8"/>
      <c r="AT82" s="8"/>
      <c r="AU82" s="8"/>
      <c r="AV82" s="8"/>
      <c r="AW82" s="8"/>
      <c r="AX82" s="1266"/>
      <c r="AY82" s="300"/>
      <c r="BA82" s="8"/>
      <c r="BB82" s="8"/>
      <c r="BC82" s="8"/>
      <c r="BD82" s="8"/>
      <c r="BE82" s="8"/>
      <c r="BF82" s="8"/>
      <c r="BG82" s="8"/>
      <c r="BH82" s="1266"/>
      <c r="BI82" s="300" t="s">
        <v>534</v>
      </c>
      <c r="BJ82" t="s">
        <v>534</v>
      </c>
      <c r="BK82" s="8"/>
      <c r="BL82" s="8"/>
      <c r="BM82" s="8"/>
      <c r="BN82" s="8"/>
      <c r="BO82" s="8"/>
      <c r="BP82" s="8"/>
      <c r="BQ82" s="8"/>
      <c r="BR82" s="1266"/>
      <c r="BS82" s="300"/>
      <c r="BU82" s="8"/>
      <c r="BV82" s="8"/>
      <c r="BW82" s="8"/>
      <c r="BX82" s="8"/>
      <c r="BY82" s="8"/>
      <c r="BZ82" s="8"/>
      <c r="CA82" s="8"/>
      <c r="CB82" s="1266"/>
      <c r="CC82" s="300"/>
      <c r="CE82" s="8"/>
      <c r="CF82" s="8"/>
      <c r="CG82" s="8"/>
      <c r="CH82" s="8"/>
      <c r="CM82" s="300"/>
      <c r="CO82" s="8"/>
      <c r="CP82" s="8"/>
      <c r="CQ82" s="8"/>
      <c r="CR82" s="8"/>
      <c r="CS82" s="8"/>
      <c r="CT82" s="8"/>
      <c r="CU82" s="8"/>
      <c r="CV82" s="1266"/>
      <c r="CW82" s="300"/>
      <c r="CY82" s="8"/>
      <c r="CZ82" s="8"/>
      <c r="DA82" s="8"/>
      <c r="DB82" s="8"/>
      <c r="DC82" s="8"/>
      <c r="DD82" s="8"/>
      <c r="DE82" s="8"/>
      <c r="DF82" s="1266"/>
      <c r="DG82" s="300"/>
      <c r="DI82" s="8"/>
      <c r="DJ82" s="8"/>
      <c r="DK82" s="8"/>
      <c r="DL82" s="8"/>
      <c r="DM82" s="8"/>
      <c r="DN82" s="8"/>
      <c r="DO82" s="8"/>
      <c r="DP82" s="1266"/>
      <c r="DQ82" s="300"/>
      <c r="DS82" s="8"/>
      <c r="DT82" s="8"/>
      <c r="DU82" s="8"/>
      <c r="DV82" s="8"/>
      <c r="DW82" s="8"/>
      <c r="DX82" s="8"/>
      <c r="DY82" s="8"/>
      <c r="DZ82" s="1266"/>
      <c r="EA82" s="300"/>
      <c r="EC82" s="8"/>
      <c r="ED82" s="8"/>
      <c r="EE82" s="8"/>
      <c r="EF82" s="8"/>
      <c r="EG82" s="8"/>
      <c r="EH82" s="8"/>
      <c r="EI82" s="8"/>
      <c r="EJ82" s="1266"/>
      <c r="EK82" s="300" t="s">
        <v>533</v>
      </c>
      <c r="EL82" t="s">
        <v>139</v>
      </c>
      <c r="EM82" s="8"/>
      <c r="EN82" s="8"/>
      <c r="EO82" s="8"/>
      <c r="EP82" s="8"/>
      <c r="EU82" s="300"/>
      <c r="EW82" s="8"/>
      <c r="EX82" s="8"/>
      <c r="EY82" s="8"/>
      <c r="EZ82" s="8"/>
      <c r="FA82" s="8"/>
      <c r="FB82" s="8"/>
      <c r="FC82" s="8"/>
      <c r="FD82" s="1266"/>
      <c r="FE82" s="300"/>
      <c r="FG82" s="8"/>
      <c r="FH82" s="8"/>
      <c r="FI82" s="8"/>
      <c r="FJ82" s="8"/>
      <c r="FK82" s="8"/>
      <c r="FL82" s="8"/>
      <c r="FM82" s="8"/>
      <c r="FN82" s="1266"/>
      <c r="FO82" s="300" t="s">
        <v>533</v>
      </c>
      <c r="FQ82" s="8"/>
      <c r="FR82" s="8"/>
      <c r="FS82" s="8"/>
      <c r="FT82" s="8"/>
      <c r="FU82" s="8"/>
      <c r="FV82" s="8"/>
      <c r="FW82" s="8"/>
      <c r="FX82" s="1266"/>
      <c r="FY82" s="300" t="s">
        <v>2229</v>
      </c>
      <c r="FZ82" t="s">
        <v>533</v>
      </c>
      <c r="GA82" s="8"/>
      <c r="GB82" s="8"/>
      <c r="GC82" s="8"/>
      <c r="GD82" s="8"/>
      <c r="GE82" s="8"/>
      <c r="GF82" s="8"/>
      <c r="GG82" s="8"/>
      <c r="GH82" s="1266"/>
      <c r="GI82" s="300"/>
      <c r="GK82" s="8"/>
      <c r="GL82" s="8"/>
      <c r="GM82" s="8"/>
      <c r="GN82" s="8"/>
      <c r="GO82" s="8"/>
      <c r="GP82" s="8"/>
      <c r="GQ82" s="8"/>
      <c r="GR82" s="1266"/>
      <c r="GS82" s="300"/>
      <c r="GU82" s="8"/>
      <c r="GV82" s="8"/>
      <c r="GW82" s="8"/>
      <c r="GX82" s="8"/>
      <c r="HC82" s="300"/>
      <c r="HE82" s="8"/>
      <c r="HF82" s="8"/>
      <c r="HG82" s="8"/>
      <c r="HH82" s="8"/>
      <c r="HI82" s="8"/>
      <c r="HJ82" s="8"/>
      <c r="HK82" s="8"/>
      <c r="HL82" s="1266"/>
      <c r="HM82" s="300" t="s">
        <v>534</v>
      </c>
      <c r="HO82" s="8"/>
      <c r="HP82" s="8"/>
      <c r="HQ82" s="8"/>
      <c r="HR82" s="8"/>
      <c r="HS82" s="8"/>
      <c r="HT82" s="8"/>
      <c r="HU82" s="8"/>
      <c r="HV82" s="1266"/>
      <c r="HW82" s="300"/>
      <c r="HY82" s="8"/>
      <c r="HZ82" s="8"/>
      <c r="IA82" s="8"/>
      <c r="IB82" s="8"/>
      <c r="IC82" s="8"/>
      <c r="ID82" s="8"/>
      <c r="IE82" s="8"/>
      <c r="IF82" s="1266"/>
      <c r="IG82" s="300"/>
      <c r="II82" s="8"/>
      <c r="IJ82" s="8"/>
      <c r="IK82" s="8"/>
      <c r="IL82" s="8"/>
      <c r="IM82" s="8"/>
      <c r="IN82" s="8"/>
      <c r="IO82" s="8"/>
      <c r="IP82" s="1266"/>
      <c r="IQ82" s="300"/>
      <c r="IS82" s="8"/>
      <c r="IT82" s="8"/>
      <c r="IU82" s="8"/>
      <c r="IV82" s="8"/>
      <c r="IW82" s="8"/>
      <c r="IX82" s="8"/>
      <c r="IY82" s="8"/>
      <c r="IZ82" s="1266"/>
      <c r="JA82" s="300"/>
      <c r="JC82" s="8"/>
      <c r="JD82" s="8"/>
      <c r="JE82" s="8"/>
      <c r="JF82" s="8"/>
    </row>
    <row r="83" spans="3:266" x14ac:dyDescent="0.3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66"/>
      <c r="AO83" s="300"/>
      <c r="AQ83" s="8"/>
      <c r="AR83" s="8"/>
      <c r="AS83" s="8"/>
      <c r="AT83" s="8"/>
      <c r="AU83" s="8"/>
      <c r="AV83" s="8"/>
      <c r="AW83" s="8"/>
      <c r="AX83" s="1266"/>
      <c r="AY83" s="300"/>
      <c r="BA83" s="8"/>
      <c r="BB83" s="8"/>
      <c r="BC83" s="8"/>
      <c r="BD83" s="8"/>
      <c r="BE83" s="8"/>
      <c r="BF83" s="8"/>
      <c r="BG83" s="8"/>
      <c r="BH83" s="1266"/>
      <c r="BI83" s="300"/>
      <c r="BK83" s="8"/>
      <c r="BL83" s="8"/>
      <c r="BM83" s="8"/>
      <c r="BN83" s="8"/>
      <c r="BO83" s="8"/>
      <c r="BP83" s="8"/>
      <c r="BQ83" s="8"/>
      <c r="BR83" s="1266"/>
      <c r="BS83" s="300"/>
      <c r="BU83" s="8"/>
      <c r="BV83" s="8"/>
      <c r="BW83" s="8"/>
      <c r="BX83" s="8"/>
      <c r="BY83" s="8"/>
      <c r="BZ83" s="8"/>
      <c r="CA83" s="8"/>
      <c r="CB83" s="1266"/>
      <c r="CC83" s="300"/>
      <c r="CE83" s="8"/>
      <c r="CF83" s="8"/>
      <c r="CG83" s="8"/>
      <c r="CH83" s="8"/>
      <c r="CM83" s="300" t="s">
        <v>2229</v>
      </c>
      <c r="CN83" t="s">
        <v>533</v>
      </c>
      <c r="CO83" s="8" t="s">
        <v>533</v>
      </c>
      <c r="CP83" s="8"/>
      <c r="CQ83" s="8"/>
      <c r="CR83" s="8"/>
      <c r="CS83" s="8"/>
      <c r="CT83" s="8"/>
      <c r="CU83" s="8"/>
      <c r="CV83" s="1266"/>
      <c r="CW83" s="300" t="s">
        <v>534</v>
      </c>
      <c r="CY83" s="8"/>
      <c r="CZ83" s="8"/>
      <c r="DA83" s="8"/>
      <c r="DB83" s="8"/>
      <c r="DC83" s="8"/>
      <c r="DD83" s="8"/>
      <c r="DE83" s="8"/>
      <c r="DF83" s="1266"/>
      <c r="DG83" s="300"/>
      <c r="DI83" s="8"/>
      <c r="DJ83" s="8"/>
      <c r="DK83" s="8"/>
      <c r="DL83" s="8"/>
      <c r="DM83" s="8"/>
      <c r="DN83" s="8"/>
      <c r="DO83" s="8"/>
      <c r="DP83" s="1266"/>
      <c r="DQ83" s="300"/>
      <c r="DS83" s="8"/>
      <c r="DT83" s="8"/>
      <c r="DU83" s="8"/>
      <c r="DV83" s="8"/>
      <c r="DW83" s="8"/>
      <c r="DX83" s="8"/>
      <c r="DY83" s="8"/>
      <c r="DZ83" s="1266"/>
      <c r="EA83" s="300"/>
      <c r="EC83" s="8"/>
      <c r="ED83" s="8"/>
      <c r="EE83" s="8"/>
      <c r="EF83" s="8"/>
      <c r="EG83" s="8"/>
      <c r="EH83" s="8"/>
      <c r="EI83" s="8"/>
      <c r="EJ83" s="1266"/>
      <c r="EK83" s="300" t="s">
        <v>533</v>
      </c>
      <c r="EL83" t="s">
        <v>533</v>
      </c>
      <c r="EM83" s="8"/>
      <c r="EN83" s="8"/>
      <c r="EO83" s="8"/>
      <c r="EP83" s="8"/>
      <c r="EU83" s="300"/>
      <c r="EW83" s="8"/>
      <c r="EX83" s="8"/>
      <c r="EY83" s="8"/>
      <c r="EZ83" s="8"/>
      <c r="FA83" s="8"/>
      <c r="FB83" s="8"/>
      <c r="FC83" s="8"/>
      <c r="FD83" s="1266"/>
      <c r="FE83" s="300"/>
      <c r="FG83" s="8"/>
      <c r="FH83" s="8"/>
      <c r="FI83" s="8"/>
      <c r="FJ83" s="8"/>
      <c r="FK83" s="8"/>
      <c r="FL83" s="8"/>
      <c r="FM83" s="8"/>
      <c r="FN83" s="1266"/>
      <c r="FO83" s="300" t="s">
        <v>534</v>
      </c>
      <c r="FQ83" s="8"/>
      <c r="FR83" s="8"/>
      <c r="FS83" s="8"/>
      <c r="FT83" s="8"/>
      <c r="FU83" s="8"/>
      <c r="FV83" s="8"/>
      <c r="FW83" s="8"/>
      <c r="FX83" s="1266"/>
      <c r="FY83" s="300"/>
      <c r="GA83" s="8"/>
      <c r="GB83" s="8"/>
      <c r="GC83" s="8"/>
      <c r="GD83" s="8"/>
      <c r="GE83" s="8"/>
      <c r="GF83" s="8"/>
      <c r="GG83" s="8"/>
      <c r="GH83" s="1266"/>
      <c r="GI83" s="300" t="s">
        <v>533</v>
      </c>
      <c r="GJ83" t="s">
        <v>534</v>
      </c>
      <c r="GK83" s="8"/>
      <c r="GL83" s="8"/>
      <c r="GM83" s="8"/>
      <c r="GN83" s="8"/>
      <c r="GO83" s="8"/>
      <c r="GP83" s="8"/>
      <c r="GQ83" s="8"/>
      <c r="GR83" s="1266"/>
      <c r="GS83" s="300"/>
      <c r="GU83" s="8"/>
      <c r="GV83" s="8"/>
      <c r="GW83" s="8"/>
      <c r="GX83" s="8"/>
      <c r="HC83" s="300"/>
      <c r="HE83" s="8"/>
      <c r="HF83" s="8"/>
      <c r="HG83" s="8"/>
      <c r="HH83" s="8"/>
      <c r="HI83" s="8"/>
      <c r="HJ83" s="8"/>
      <c r="HK83" s="8"/>
      <c r="HL83" s="1266"/>
      <c r="HM83" s="300"/>
      <c r="HO83" s="8"/>
      <c r="HP83" s="8"/>
      <c r="HQ83" s="8"/>
      <c r="HR83" s="8"/>
      <c r="HS83" s="8"/>
      <c r="HT83" s="8"/>
      <c r="HU83" s="8"/>
      <c r="HV83" s="1266"/>
      <c r="HW83" s="300"/>
      <c r="HY83" s="8"/>
      <c r="HZ83" s="8"/>
      <c r="IA83" s="8"/>
      <c r="IB83" s="8"/>
      <c r="IC83" s="8"/>
      <c r="ID83" s="8"/>
      <c r="IE83" s="8"/>
      <c r="IF83" s="1266"/>
      <c r="IG83" s="300"/>
      <c r="II83" s="8"/>
      <c r="IJ83" s="8"/>
      <c r="IK83" s="8"/>
      <c r="IL83" s="8"/>
      <c r="IM83" s="8"/>
      <c r="IN83" s="8"/>
      <c r="IO83" s="8"/>
      <c r="IP83" s="1266"/>
      <c r="IQ83" s="300"/>
      <c r="IS83" s="8"/>
      <c r="IT83" s="8"/>
      <c r="IU83" s="8"/>
      <c r="IV83" s="8"/>
      <c r="IW83" s="8"/>
      <c r="IX83" s="8"/>
      <c r="IY83" s="8"/>
      <c r="IZ83" s="1266"/>
      <c r="JA83" s="300"/>
      <c r="JC83" s="8"/>
      <c r="JD83" s="8"/>
      <c r="JE83" s="8"/>
      <c r="JF83" s="8"/>
    </row>
    <row r="84" spans="3:266" x14ac:dyDescent="0.3">
      <c r="C84" t="s">
        <v>2180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66"/>
      <c r="AO84" s="300" t="s">
        <v>2229</v>
      </c>
      <c r="AP84" t="s">
        <v>533</v>
      </c>
      <c r="AQ84" s="8"/>
      <c r="AR84" s="8"/>
      <c r="AS84" s="8"/>
      <c r="AT84" s="8"/>
      <c r="AU84" s="8"/>
      <c r="AV84" s="8"/>
      <c r="AW84" s="8"/>
      <c r="AX84" s="1266"/>
      <c r="AY84" s="300" t="s">
        <v>533</v>
      </c>
      <c r="AZ84" t="s">
        <v>534</v>
      </c>
      <c r="BA84" s="8"/>
      <c r="BB84" s="8"/>
      <c r="BC84" s="8"/>
      <c r="BD84" s="8"/>
      <c r="BE84" s="8"/>
      <c r="BF84" s="8"/>
      <c r="BG84" s="8"/>
      <c r="BH84" s="1266"/>
      <c r="BI84" s="300"/>
      <c r="BK84" s="8"/>
      <c r="BL84" s="8"/>
      <c r="BM84" s="8"/>
      <c r="BN84" s="8"/>
      <c r="BO84" s="8"/>
      <c r="BP84" s="8"/>
      <c r="BQ84" s="8"/>
      <c r="BR84" s="1266"/>
      <c r="BS84" s="300" t="s">
        <v>535</v>
      </c>
      <c r="BT84" t="s">
        <v>534</v>
      </c>
      <c r="BU84" s="8"/>
      <c r="BV84" s="8"/>
      <c r="BW84" s="8"/>
      <c r="BX84" s="8"/>
      <c r="BY84" s="8"/>
      <c r="BZ84" s="8"/>
      <c r="CA84" s="8"/>
      <c r="CB84" s="1266"/>
      <c r="CC84" s="300" t="s">
        <v>534</v>
      </c>
      <c r="CE84" s="8"/>
      <c r="CF84" s="8"/>
      <c r="CG84" s="8"/>
      <c r="CH84" s="8"/>
      <c r="CM84" s="300"/>
      <c r="CO84" s="8"/>
      <c r="CP84" s="8"/>
      <c r="CQ84" s="8"/>
      <c r="CR84" s="8"/>
      <c r="CS84" s="8"/>
      <c r="CT84" s="8"/>
      <c r="CU84" s="8"/>
      <c r="CV84" s="1266"/>
      <c r="CW84" s="300" t="s">
        <v>534</v>
      </c>
      <c r="CY84" s="8"/>
      <c r="CZ84" s="8"/>
      <c r="DA84" s="8"/>
      <c r="DB84" s="8"/>
      <c r="DC84" s="8"/>
      <c r="DD84" s="8"/>
      <c r="DE84" s="8"/>
      <c r="DF84" s="1266"/>
      <c r="DG84" s="300"/>
      <c r="DI84" s="8"/>
      <c r="DJ84" s="8"/>
      <c r="DK84" s="8"/>
      <c r="DL84" s="8"/>
      <c r="DM84" s="8"/>
      <c r="DN84" s="8"/>
      <c r="DO84" s="8"/>
      <c r="DP84" s="1266"/>
      <c r="DQ84" s="300" t="s">
        <v>534</v>
      </c>
      <c r="DS84" s="8"/>
      <c r="DT84" s="8"/>
      <c r="DU84" s="8"/>
      <c r="DV84" s="8"/>
      <c r="DW84" s="8"/>
      <c r="DX84" s="8"/>
      <c r="DY84" s="8"/>
      <c r="DZ84" s="1266"/>
      <c r="EA84" s="300" t="s">
        <v>533</v>
      </c>
      <c r="EC84" s="8"/>
      <c r="ED84" s="8"/>
      <c r="EE84" s="8"/>
      <c r="EF84" s="8"/>
      <c r="EG84" s="8"/>
      <c r="EH84" s="8"/>
      <c r="EI84" s="8"/>
      <c r="EJ84" s="1266"/>
      <c r="EK84" s="300" t="s">
        <v>533</v>
      </c>
      <c r="EM84" s="8"/>
      <c r="EN84" s="8"/>
      <c r="EO84" s="8"/>
      <c r="EP84" s="8"/>
      <c r="EU84" s="300"/>
      <c r="EW84" s="8"/>
      <c r="EX84" s="8"/>
      <c r="EY84" s="8"/>
      <c r="EZ84" s="8"/>
      <c r="FA84" s="8"/>
      <c r="FB84" s="8"/>
      <c r="FC84" s="8"/>
      <c r="FD84" s="1266"/>
      <c r="FE84" s="300" t="s">
        <v>534</v>
      </c>
      <c r="FF84" t="s">
        <v>534</v>
      </c>
      <c r="FG84" s="8" t="s">
        <v>534</v>
      </c>
      <c r="FH84" s="8"/>
      <c r="FI84" s="8"/>
      <c r="FJ84" s="8"/>
      <c r="FK84" s="8"/>
      <c r="FL84" s="8"/>
      <c r="FM84" s="8"/>
      <c r="FN84" s="1266"/>
      <c r="FO84" s="300"/>
      <c r="FQ84" s="8"/>
      <c r="FR84" s="8"/>
      <c r="FS84" s="8"/>
      <c r="FT84" s="8"/>
      <c r="FU84" s="8"/>
      <c r="FV84" s="8"/>
      <c r="FW84" s="8"/>
      <c r="FX84" s="1266"/>
      <c r="FY84" s="300"/>
      <c r="GA84" s="8"/>
      <c r="GB84" s="8"/>
      <c r="GC84" s="8"/>
      <c r="GD84" s="8"/>
      <c r="GE84" s="8"/>
      <c r="GF84" s="8"/>
      <c r="GG84" s="8"/>
      <c r="GH84" s="1266"/>
      <c r="GI84" s="300" t="s">
        <v>534</v>
      </c>
      <c r="GK84" s="8"/>
      <c r="GL84" s="8"/>
      <c r="GM84" s="8"/>
      <c r="GN84" s="8"/>
      <c r="GO84" s="8"/>
      <c r="GP84" s="8"/>
      <c r="GQ84" s="8"/>
      <c r="GR84" s="1266"/>
      <c r="GS84" s="300" t="s">
        <v>534</v>
      </c>
      <c r="GU84" s="8"/>
      <c r="GV84" s="8"/>
      <c r="GW84" s="8"/>
      <c r="GX84" s="8"/>
      <c r="HC84" s="300"/>
      <c r="HE84" s="8"/>
      <c r="HF84" s="8"/>
      <c r="HG84" s="8"/>
      <c r="HH84" s="8"/>
      <c r="HI84" s="8"/>
      <c r="HJ84" s="8"/>
      <c r="HK84" s="8"/>
      <c r="HL84" s="1266"/>
      <c r="HM84" s="300"/>
      <c r="HO84" s="8"/>
      <c r="HP84" s="8"/>
      <c r="HQ84" s="8"/>
      <c r="HR84" s="8"/>
      <c r="HS84" s="8"/>
      <c r="HT84" s="8"/>
      <c r="HU84" s="8"/>
      <c r="HV84" s="1266"/>
      <c r="HW84" s="300"/>
      <c r="HY84" s="8"/>
      <c r="HZ84" s="8"/>
      <c r="IA84" s="8"/>
      <c r="IB84" s="8"/>
      <c r="IC84" s="8"/>
      <c r="ID84" s="8"/>
      <c r="IE84" s="8"/>
      <c r="IF84" s="1266"/>
      <c r="IG84" s="300"/>
      <c r="II84" s="8"/>
      <c r="IJ84" s="8"/>
      <c r="IK84" s="8"/>
      <c r="IL84" s="8"/>
      <c r="IM84" s="8"/>
      <c r="IN84" s="8"/>
      <c r="IO84" s="8"/>
      <c r="IP84" s="1266"/>
      <c r="IQ84" s="300"/>
      <c r="IS84" s="8"/>
      <c r="IT84" s="8"/>
      <c r="IU84" s="8"/>
      <c r="IV84" s="8"/>
      <c r="IW84" s="8"/>
      <c r="IX84" s="8"/>
      <c r="IY84" s="8"/>
      <c r="IZ84" s="1266"/>
      <c r="JA84" s="300"/>
      <c r="JC84" s="8"/>
      <c r="JD84" s="8"/>
      <c r="JE84" s="8"/>
      <c r="JF84" s="8"/>
    </row>
    <row r="85" spans="3:266" x14ac:dyDescent="0.3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66"/>
      <c r="AO85" s="300" t="s">
        <v>681</v>
      </c>
      <c r="AQ85" s="8"/>
      <c r="AR85" s="8"/>
      <c r="AS85" s="8"/>
      <c r="AT85" s="8"/>
      <c r="AU85" s="8"/>
      <c r="AV85" s="8"/>
      <c r="AW85" s="8"/>
      <c r="AX85" s="1266"/>
      <c r="AY85" s="300"/>
      <c r="BA85" s="8"/>
      <c r="BB85" s="8"/>
      <c r="BC85" s="8"/>
      <c r="BD85" s="8"/>
      <c r="BE85" s="8"/>
      <c r="BF85" s="8"/>
      <c r="BG85" s="8"/>
      <c r="BH85" s="1266"/>
      <c r="BI85" s="300" t="s">
        <v>681</v>
      </c>
      <c r="BK85" s="8"/>
      <c r="BL85" s="8"/>
      <c r="BM85" s="8"/>
      <c r="BN85" s="8"/>
      <c r="BO85" s="8"/>
      <c r="BP85" s="8"/>
      <c r="BQ85" s="8"/>
      <c r="BR85" s="1266"/>
      <c r="BS85" s="300" t="s">
        <v>681</v>
      </c>
      <c r="BU85" s="8"/>
      <c r="BV85" s="8"/>
      <c r="BW85" s="8"/>
      <c r="BX85" s="8"/>
      <c r="BY85" s="8"/>
      <c r="BZ85" s="8"/>
      <c r="CA85" s="8"/>
      <c r="CB85" s="1266"/>
      <c r="CC85" s="300"/>
      <c r="CE85" s="8"/>
      <c r="CF85" s="8"/>
      <c r="CG85" s="8"/>
      <c r="CH85" s="8"/>
      <c r="CM85" s="300"/>
      <c r="CO85" s="8"/>
      <c r="CP85" s="8"/>
      <c r="CQ85" s="8"/>
      <c r="CR85" s="8"/>
      <c r="CS85" s="8"/>
      <c r="CT85" s="8"/>
      <c r="CU85" s="8"/>
      <c r="CV85" s="1266"/>
      <c r="CW85" s="300" t="s">
        <v>681</v>
      </c>
      <c r="CY85" s="8"/>
      <c r="CZ85" s="8"/>
      <c r="DA85" s="8"/>
      <c r="DB85" s="8"/>
      <c r="DC85" s="8"/>
      <c r="DD85" s="8"/>
      <c r="DE85" s="8"/>
      <c r="DF85" s="1266"/>
      <c r="DG85" s="300"/>
      <c r="DI85" s="8"/>
      <c r="DJ85" s="8"/>
      <c r="DK85" s="8"/>
      <c r="DL85" s="8"/>
      <c r="DM85" s="8"/>
      <c r="DN85" s="8"/>
      <c r="DO85" s="8"/>
      <c r="DP85" s="1266"/>
      <c r="DQ85" s="300" t="s">
        <v>681</v>
      </c>
      <c r="DS85" s="8"/>
      <c r="DT85" s="8"/>
      <c r="DU85" s="8"/>
      <c r="DV85" s="8"/>
      <c r="DW85" s="8"/>
      <c r="DX85" s="8"/>
      <c r="DY85" s="8"/>
      <c r="DZ85" s="1266"/>
      <c r="EA85" s="300" t="s">
        <v>681</v>
      </c>
      <c r="EC85" s="8"/>
      <c r="ED85" s="8"/>
      <c r="EE85" s="8"/>
      <c r="EF85" s="8"/>
      <c r="EG85" s="8"/>
      <c r="EH85" s="8"/>
      <c r="EI85" s="8"/>
      <c r="EJ85" s="1266"/>
      <c r="EK85" s="300"/>
      <c r="EM85" s="8"/>
      <c r="EN85" s="8"/>
      <c r="EO85" s="8"/>
      <c r="EP85" s="8"/>
      <c r="EU85" s="300" t="s">
        <v>681</v>
      </c>
      <c r="EW85" s="8"/>
      <c r="EX85" s="8"/>
      <c r="EY85" s="8"/>
      <c r="EZ85" s="8"/>
      <c r="FA85" s="8"/>
      <c r="FB85" s="8"/>
      <c r="FC85" s="8"/>
      <c r="FD85" s="1266"/>
      <c r="FE85" s="300"/>
      <c r="FG85" s="8"/>
      <c r="FH85" s="8"/>
      <c r="FI85" s="8"/>
      <c r="FJ85" s="8"/>
      <c r="FK85" s="8"/>
      <c r="FL85" s="8"/>
      <c r="FM85" s="8"/>
      <c r="FN85" s="1266"/>
      <c r="FO85" s="300"/>
      <c r="FQ85" s="8"/>
      <c r="FR85" s="8"/>
      <c r="FS85" s="8"/>
      <c r="FT85" s="8"/>
      <c r="FU85" s="8"/>
      <c r="FV85" s="8"/>
      <c r="FW85" s="8"/>
      <c r="FX85" s="1266"/>
      <c r="FY85" s="300" t="s">
        <v>681</v>
      </c>
      <c r="GA85" s="8"/>
      <c r="GB85" s="8"/>
      <c r="GC85" s="8"/>
      <c r="GD85" s="8"/>
      <c r="GE85" s="8"/>
      <c r="GF85" s="8"/>
      <c r="GG85" s="8"/>
      <c r="GH85" s="1266"/>
      <c r="GI85" s="300"/>
      <c r="GK85" s="8"/>
      <c r="GL85" s="8"/>
      <c r="GM85" s="8"/>
      <c r="GN85" s="8"/>
      <c r="GO85" s="8"/>
      <c r="GP85" s="8"/>
      <c r="GQ85" s="8"/>
      <c r="GR85" s="1266"/>
      <c r="GS85" s="300" t="s">
        <v>681</v>
      </c>
      <c r="GU85" s="8"/>
      <c r="GV85" s="8"/>
      <c r="GW85" s="8"/>
      <c r="GX85" s="8"/>
      <c r="HC85" s="300"/>
      <c r="HE85" s="8"/>
      <c r="HF85" s="8"/>
      <c r="HG85" s="8"/>
      <c r="HH85" s="8"/>
      <c r="HI85" s="8"/>
      <c r="HJ85" s="8"/>
      <c r="HK85" s="8"/>
      <c r="HL85" s="1266"/>
      <c r="HM85" s="300" t="s">
        <v>681</v>
      </c>
      <c r="HO85" s="8"/>
      <c r="HP85" s="8"/>
      <c r="HQ85" s="8"/>
      <c r="HR85" s="8"/>
      <c r="HS85" s="8"/>
      <c r="HT85" s="8"/>
      <c r="HU85" s="8"/>
      <c r="HV85" s="1266"/>
      <c r="HW85" s="300"/>
      <c r="HY85" s="8"/>
      <c r="HZ85" s="8"/>
      <c r="IA85" s="8"/>
      <c r="IB85" s="8"/>
      <c r="IC85" s="8"/>
      <c r="ID85" s="8"/>
      <c r="IE85" s="8"/>
      <c r="IF85" s="1266"/>
      <c r="IG85" s="300"/>
      <c r="II85" s="8"/>
      <c r="IJ85" s="8"/>
      <c r="IK85" s="8"/>
      <c r="IL85" s="8"/>
      <c r="IM85" s="8"/>
      <c r="IN85" s="8"/>
      <c r="IO85" s="8"/>
      <c r="IP85" s="1266"/>
      <c r="IQ85" s="300"/>
      <c r="IS85" s="8"/>
      <c r="IT85" s="8"/>
      <c r="IU85" s="8"/>
      <c r="IV85" s="8"/>
      <c r="IW85" s="8"/>
      <c r="IX85" s="8"/>
      <c r="IY85" s="8"/>
      <c r="IZ85" s="1266"/>
      <c r="JA85" s="300"/>
      <c r="JC85" s="8"/>
      <c r="JD85" s="8"/>
      <c r="JE85" s="8"/>
      <c r="JF85" s="8"/>
    </row>
    <row r="86" spans="3:266" x14ac:dyDescent="0.3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66"/>
      <c r="AO86" s="300" t="s">
        <v>534</v>
      </c>
      <c r="AP86" t="s">
        <v>534</v>
      </c>
      <c r="AQ86" s="8" t="s">
        <v>533</v>
      </c>
      <c r="AR86" s="8" t="s">
        <v>533</v>
      </c>
      <c r="AS86" s="8"/>
      <c r="AT86" s="8"/>
      <c r="AU86" s="8"/>
      <c r="AV86" s="8"/>
      <c r="AW86" s="8"/>
      <c r="AX86" s="1266"/>
      <c r="AY86" s="300"/>
      <c r="BA86" s="8"/>
      <c r="BB86" s="8"/>
      <c r="BC86" s="8"/>
      <c r="BD86" s="8"/>
      <c r="BE86" s="8"/>
      <c r="BF86" s="8"/>
      <c r="BG86" s="8"/>
      <c r="BH86" s="1266"/>
      <c r="BI86" s="300" t="s">
        <v>2229</v>
      </c>
      <c r="BJ86" t="s">
        <v>533</v>
      </c>
      <c r="BK86" s="8" t="s">
        <v>533</v>
      </c>
      <c r="BL86" s="8" t="s">
        <v>533</v>
      </c>
      <c r="BM86" s="8" t="s">
        <v>533</v>
      </c>
      <c r="BN86" s="8" t="s">
        <v>992</v>
      </c>
      <c r="BO86" s="8"/>
      <c r="BP86" s="8"/>
      <c r="BQ86" s="8"/>
      <c r="BR86" s="1266"/>
      <c r="BS86" s="300" t="s">
        <v>534</v>
      </c>
      <c r="BT86" t="s">
        <v>533</v>
      </c>
      <c r="BU86" s="8"/>
      <c r="BV86" s="8"/>
      <c r="BW86" s="8"/>
      <c r="BX86" s="8"/>
      <c r="BY86" s="8"/>
      <c r="BZ86" s="8"/>
      <c r="CA86" s="8"/>
      <c r="CB86" s="1266"/>
      <c r="CC86" s="300" t="s">
        <v>534</v>
      </c>
      <c r="CE86" s="8"/>
      <c r="CF86" s="8"/>
      <c r="CG86" s="8"/>
      <c r="CH86" s="8"/>
      <c r="CM86" s="300"/>
      <c r="CO86" s="8"/>
      <c r="CP86" s="8"/>
      <c r="CQ86" s="8"/>
      <c r="CR86" s="8"/>
      <c r="CS86" s="8"/>
      <c r="CT86" s="8"/>
      <c r="CU86" s="8"/>
      <c r="CV86" s="1266"/>
      <c r="CW86" s="300" t="s">
        <v>533</v>
      </c>
      <c r="CY86" s="8"/>
      <c r="CZ86" s="8"/>
      <c r="DA86" s="8"/>
      <c r="DB86" s="8"/>
      <c r="DC86" s="8"/>
      <c r="DD86" s="8"/>
      <c r="DE86" s="8"/>
      <c r="DF86" s="1266"/>
      <c r="DG86" s="300"/>
      <c r="DI86" s="8"/>
      <c r="DJ86" s="8"/>
      <c r="DK86" s="8"/>
      <c r="DL86" s="8"/>
      <c r="DM86" s="8"/>
      <c r="DN86" s="8"/>
      <c r="DO86" s="8"/>
      <c r="DP86" s="1266"/>
      <c r="DQ86" s="300" t="s">
        <v>2229</v>
      </c>
      <c r="DR86" t="s">
        <v>533</v>
      </c>
      <c r="DS86" s="8" t="s">
        <v>533</v>
      </c>
      <c r="DT86" s="8" t="s">
        <v>534</v>
      </c>
      <c r="DU86" s="8"/>
      <c r="DV86" s="8"/>
      <c r="DW86" s="8"/>
      <c r="DX86" s="8"/>
      <c r="DY86" s="8"/>
      <c r="DZ86" s="1266"/>
      <c r="EA86" s="300" t="s">
        <v>533</v>
      </c>
      <c r="EB86" t="s">
        <v>534</v>
      </c>
      <c r="EC86" s="8" t="s">
        <v>533</v>
      </c>
      <c r="ED86" s="8" t="s">
        <v>533</v>
      </c>
      <c r="EE86" s="8" t="s">
        <v>992</v>
      </c>
      <c r="EF86" s="8"/>
      <c r="EG86" s="8"/>
      <c r="EH86" s="8"/>
      <c r="EI86" s="8"/>
      <c r="EJ86" s="1266"/>
      <c r="EK86" s="300" t="s">
        <v>2229</v>
      </c>
      <c r="EL86" t="s">
        <v>533</v>
      </c>
      <c r="EM86" s="8"/>
      <c r="EN86" s="8"/>
      <c r="EO86" s="8"/>
      <c r="EP86" s="8"/>
      <c r="EU86" s="300"/>
      <c r="EW86" s="8"/>
      <c r="EX86" s="8"/>
      <c r="EY86" s="8"/>
      <c r="EZ86" s="8"/>
      <c r="FA86" s="8"/>
      <c r="FB86" s="8"/>
      <c r="FC86" s="8"/>
      <c r="FD86" s="1266"/>
      <c r="FE86" s="300" t="s">
        <v>534</v>
      </c>
      <c r="FG86" s="8"/>
      <c r="FH86" s="8"/>
      <c r="FI86" s="8"/>
      <c r="FJ86" s="8"/>
      <c r="FK86" s="8"/>
      <c r="FL86" s="8"/>
      <c r="FM86" s="8"/>
      <c r="FN86" s="1266"/>
      <c r="FO86" s="300"/>
      <c r="FQ86" s="8"/>
      <c r="FR86" s="8"/>
      <c r="FS86" s="8"/>
      <c r="FT86" s="8"/>
      <c r="FU86" s="8"/>
      <c r="FV86" s="8"/>
      <c r="FW86" s="8"/>
      <c r="FX86" s="1266"/>
      <c r="FY86" s="300" t="s">
        <v>533</v>
      </c>
      <c r="FZ86" t="s">
        <v>533</v>
      </c>
      <c r="GA86" s="8"/>
      <c r="GB86" s="8"/>
      <c r="GC86" s="8"/>
      <c r="GD86" s="8"/>
      <c r="GE86" s="8"/>
      <c r="GF86" s="8"/>
      <c r="GG86" s="8"/>
      <c r="GH86" s="1266"/>
      <c r="GI86" s="300"/>
      <c r="GK86" s="8"/>
      <c r="GL86" s="8"/>
      <c r="GM86" s="8"/>
      <c r="GN86" s="8"/>
      <c r="GO86" s="8"/>
      <c r="GP86" s="8"/>
      <c r="GQ86" s="8"/>
      <c r="GR86" s="1266"/>
      <c r="GS86" s="300" t="s">
        <v>533</v>
      </c>
      <c r="GT86" t="s">
        <v>534</v>
      </c>
      <c r="GU86" s="8"/>
      <c r="GV86" s="8"/>
      <c r="GW86" s="8"/>
      <c r="GX86" s="8"/>
      <c r="HC86" s="300" t="s">
        <v>533</v>
      </c>
      <c r="HE86" s="8"/>
      <c r="HF86" s="8"/>
      <c r="HG86" s="8"/>
      <c r="HH86" s="8"/>
      <c r="HI86" s="8"/>
      <c r="HJ86" s="8"/>
      <c r="HK86" s="8"/>
      <c r="HL86" s="1266"/>
      <c r="HM86" s="300" t="s">
        <v>533</v>
      </c>
      <c r="HN86" t="s">
        <v>533</v>
      </c>
      <c r="HO86" s="8" t="s">
        <v>533</v>
      </c>
      <c r="HP86" s="8" t="s">
        <v>992</v>
      </c>
      <c r="HQ86" s="8"/>
      <c r="HR86" s="8"/>
      <c r="HS86" s="8"/>
      <c r="HT86" s="8"/>
      <c r="HU86" s="8"/>
      <c r="HV86" s="1266"/>
      <c r="HW86" s="300"/>
      <c r="HY86" s="8"/>
      <c r="HZ86" s="8"/>
      <c r="IA86" s="8"/>
      <c r="IB86" s="8"/>
      <c r="IC86" s="8"/>
      <c r="ID86" s="8"/>
      <c r="IE86" s="8"/>
      <c r="IF86" s="1266"/>
      <c r="IG86" s="300"/>
      <c r="II86" s="8"/>
      <c r="IJ86" s="8"/>
      <c r="IK86" s="8"/>
      <c r="IL86" s="8"/>
      <c r="IM86" s="8"/>
      <c r="IN86" s="8"/>
      <c r="IO86" s="8"/>
      <c r="IP86" s="1266"/>
      <c r="IQ86" s="300"/>
      <c r="IS86" s="8"/>
      <c r="IT86" s="8"/>
      <c r="IU86" s="8"/>
      <c r="IV86" s="8"/>
      <c r="IW86" s="8"/>
      <c r="IX86" s="8"/>
      <c r="IY86" s="8"/>
      <c r="IZ86" s="1266"/>
      <c r="JA86" s="300"/>
      <c r="JC86" s="8"/>
      <c r="JD86" s="8"/>
      <c r="JE86" s="8"/>
      <c r="JF86" s="8"/>
    </row>
    <row r="87" spans="3:266" x14ac:dyDescent="0.3">
      <c r="C87" t="s">
        <v>2148</v>
      </c>
      <c r="AE87" s="300"/>
      <c r="AG87" s="8"/>
      <c r="AH87" s="8"/>
      <c r="AI87" s="8"/>
      <c r="AJ87" s="8"/>
      <c r="AK87" s="8"/>
      <c r="AL87" s="8"/>
      <c r="AM87" s="8"/>
      <c r="AN87" s="1266"/>
      <c r="AO87" s="300" t="s">
        <v>533</v>
      </c>
      <c r="AP87" t="s">
        <v>533</v>
      </c>
      <c r="AQ87" s="8" t="s">
        <v>533</v>
      </c>
      <c r="AR87" s="8" t="s">
        <v>534</v>
      </c>
      <c r="AS87" s="8" t="s">
        <v>992</v>
      </c>
      <c r="AT87" s="8"/>
      <c r="AU87" s="8"/>
      <c r="AV87" s="8"/>
      <c r="AW87" s="8"/>
      <c r="AX87" s="1266"/>
      <c r="AY87" s="300"/>
      <c r="BA87" s="8"/>
      <c r="BB87" s="8"/>
      <c r="BC87" s="8"/>
      <c r="BD87" s="8"/>
      <c r="BE87" s="8"/>
      <c r="BF87" s="8"/>
      <c r="BG87" s="8"/>
      <c r="BH87" s="1266"/>
      <c r="BI87" s="300"/>
      <c r="BK87" s="8"/>
      <c r="BL87" s="8"/>
      <c r="BM87" s="8"/>
      <c r="BN87" s="8"/>
      <c r="BO87" s="8"/>
      <c r="BP87" s="8"/>
      <c r="BQ87" s="8"/>
      <c r="BR87" s="1266"/>
      <c r="BS87" s="300" t="s">
        <v>533</v>
      </c>
      <c r="BT87" t="s">
        <v>533</v>
      </c>
      <c r="BU87" s="8"/>
      <c r="BV87" s="8"/>
      <c r="BW87" s="8"/>
      <c r="BX87" s="8"/>
      <c r="BY87" s="8"/>
      <c r="BZ87" s="8"/>
      <c r="CA87" s="8"/>
      <c r="CB87" s="1266"/>
      <c r="CC87" s="300" t="s">
        <v>533</v>
      </c>
      <c r="CD87" t="s">
        <v>533</v>
      </c>
      <c r="CE87" s="8"/>
      <c r="CF87" s="8"/>
      <c r="CG87" s="8"/>
      <c r="CH87" s="8"/>
      <c r="CM87" s="300"/>
      <c r="CO87" s="8"/>
      <c r="CP87" s="8"/>
      <c r="CQ87" s="8"/>
      <c r="CR87" s="8"/>
      <c r="CS87" s="8"/>
      <c r="CT87" s="8"/>
      <c r="CU87" s="8"/>
      <c r="CV87" s="1266"/>
      <c r="CW87" s="300"/>
      <c r="CY87" s="8"/>
      <c r="CZ87" s="8"/>
      <c r="DA87" s="8"/>
      <c r="DB87" s="8"/>
      <c r="DC87" s="8"/>
      <c r="DD87" s="8"/>
      <c r="DE87" s="8"/>
      <c r="DF87" s="1266"/>
      <c r="DG87" s="300"/>
      <c r="DI87" s="8"/>
      <c r="DJ87" s="8"/>
      <c r="DK87" s="8"/>
      <c r="DL87" s="8"/>
      <c r="DM87" s="8"/>
      <c r="DN87" s="8"/>
      <c r="DO87" s="8"/>
      <c r="DP87" s="1266"/>
      <c r="DQ87" s="300"/>
      <c r="DS87" s="8"/>
      <c r="DT87" s="8"/>
      <c r="DU87" s="8"/>
      <c r="DV87" s="8"/>
      <c r="DW87" s="8"/>
      <c r="DX87" s="8"/>
      <c r="DY87" s="8"/>
      <c r="DZ87" s="1266"/>
      <c r="EA87" s="300"/>
      <c r="EC87" s="8"/>
      <c r="ED87" s="8"/>
      <c r="EE87" s="8"/>
      <c r="EF87" s="8"/>
      <c r="EG87" s="8"/>
      <c r="EH87" s="8"/>
      <c r="EI87" s="8"/>
      <c r="EJ87" s="1266"/>
      <c r="EK87" s="300"/>
      <c r="EM87" s="8"/>
      <c r="EN87" s="8"/>
      <c r="EO87" s="8"/>
      <c r="EP87" s="8"/>
      <c r="EU87" s="300" t="s">
        <v>534</v>
      </c>
      <c r="EW87" s="8"/>
      <c r="EX87" s="8"/>
      <c r="EY87" s="8"/>
      <c r="EZ87" s="8"/>
      <c r="FA87" s="8"/>
      <c r="FB87" s="8"/>
      <c r="FC87" s="8"/>
      <c r="FD87" s="1266"/>
      <c r="FE87" s="300" t="s">
        <v>2229</v>
      </c>
      <c r="FF87" t="s">
        <v>534</v>
      </c>
      <c r="FG87" s="8" t="s">
        <v>533</v>
      </c>
      <c r="FH87" s="8" t="s">
        <v>637</v>
      </c>
      <c r="FI87" s="8" t="s">
        <v>533</v>
      </c>
      <c r="FJ87" s="8" t="s">
        <v>533</v>
      </c>
      <c r="FK87" s="8" t="s">
        <v>992</v>
      </c>
      <c r="FL87" s="8"/>
      <c r="FM87" s="8"/>
      <c r="FN87" s="1266"/>
      <c r="FO87" s="300" t="s">
        <v>533</v>
      </c>
      <c r="FP87" t="s">
        <v>693</v>
      </c>
      <c r="FQ87" s="8"/>
      <c r="FR87" s="8"/>
      <c r="FS87" s="8"/>
      <c r="FT87" s="8"/>
      <c r="FU87" s="8"/>
      <c r="FV87" s="8"/>
      <c r="FW87" s="8"/>
      <c r="FX87" s="1266"/>
      <c r="FY87" s="300" t="s">
        <v>534</v>
      </c>
      <c r="FZ87" t="s">
        <v>533</v>
      </c>
      <c r="GA87" s="8" t="s">
        <v>533</v>
      </c>
      <c r="GB87" s="8"/>
      <c r="GC87" s="8"/>
      <c r="GD87" s="8"/>
      <c r="GE87" s="8"/>
      <c r="GF87" s="8"/>
      <c r="GG87" s="8"/>
      <c r="GH87" s="1266"/>
      <c r="GI87" s="300" t="s">
        <v>533</v>
      </c>
      <c r="GK87" s="8"/>
      <c r="GL87" s="8"/>
      <c r="GM87" s="8"/>
      <c r="GN87" s="8"/>
      <c r="GO87" s="8"/>
      <c r="GP87" s="8"/>
      <c r="GQ87" s="8"/>
      <c r="GR87" s="1266"/>
      <c r="GS87" s="300"/>
      <c r="GU87" s="8"/>
      <c r="GV87" s="8"/>
      <c r="GW87" s="8"/>
      <c r="GX87" s="8"/>
      <c r="HC87" s="300" t="s">
        <v>533</v>
      </c>
      <c r="HE87" s="8"/>
      <c r="HF87" s="8"/>
      <c r="HG87" s="8"/>
      <c r="HH87" s="8"/>
      <c r="HI87" s="8"/>
      <c r="HJ87" s="8"/>
      <c r="HK87" s="8"/>
      <c r="HL87" s="1266"/>
      <c r="HM87" s="300"/>
      <c r="HO87" s="8"/>
      <c r="HP87" s="8"/>
      <c r="HQ87" s="8"/>
      <c r="HR87" s="8"/>
      <c r="HS87" s="8"/>
      <c r="HT87" s="8"/>
      <c r="HU87" s="8"/>
      <c r="HV87" s="1266"/>
      <c r="HW87" s="300"/>
      <c r="HY87" s="8"/>
      <c r="HZ87" s="8"/>
      <c r="IA87" s="8"/>
      <c r="IB87" s="8"/>
      <c r="IC87" s="8"/>
      <c r="ID87" s="8"/>
      <c r="IE87" s="8"/>
      <c r="IF87" s="1266"/>
      <c r="IG87" s="300"/>
      <c r="II87" s="8"/>
      <c r="IJ87" s="8"/>
      <c r="IK87" s="8"/>
      <c r="IL87" s="8"/>
      <c r="IM87" s="8"/>
      <c r="IN87" s="8"/>
      <c r="IO87" s="8"/>
      <c r="IP87" s="1266"/>
      <c r="IQ87" s="300"/>
      <c r="IS87" s="8"/>
      <c r="IT87" s="8"/>
      <c r="IU87" s="8"/>
      <c r="IV87" s="8"/>
      <c r="IW87" s="8"/>
      <c r="IX87" s="8"/>
      <c r="IY87" s="8"/>
      <c r="IZ87" s="1266"/>
      <c r="JA87" s="300"/>
      <c r="JC87" s="8"/>
      <c r="JD87" s="8"/>
      <c r="JE87" s="8"/>
      <c r="JF87" s="8"/>
    </row>
    <row r="88" spans="3:266" x14ac:dyDescent="0.3">
      <c r="C88" t="s">
        <v>2184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66"/>
      <c r="AO88" s="300" t="s">
        <v>534</v>
      </c>
      <c r="AQ88" s="8"/>
      <c r="AR88" s="8"/>
      <c r="AS88" s="8"/>
      <c r="AT88" s="8"/>
      <c r="AU88" s="8"/>
      <c r="AV88" s="8"/>
      <c r="AW88" s="8"/>
      <c r="AX88" s="1266"/>
      <c r="AY88" s="300" t="s">
        <v>534</v>
      </c>
      <c r="AZ88" t="s">
        <v>533</v>
      </c>
      <c r="BA88" s="8"/>
      <c r="BB88" s="8"/>
      <c r="BC88" s="8"/>
      <c r="BD88" s="8"/>
      <c r="BE88" s="8"/>
      <c r="BF88" s="8"/>
      <c r="BG88" s="8"/>
      <c r="BH88" s="1266"/>
      <c r="BI88" s="300"/>
      <c r="BK88" s="8"/>
      <c r="BL88" s="8"/>
      <c r="BM88" s="8"/>
      <c r="BN88" s="8"/>
      <c r="BO88" s="8"/>
      <c r="BP88" s="8"/>
      <c r="BQ88" s="8"/>
      <c r="BR88" s="1266"/>
      <c r="BS88" s="300"/>
      <c r="BU88" s="8"/>
      <c r="BV88" s="8"/>
      <c r="BW88" s="8"/>
      <c r="BX88" s="8"/>
      <c r="BY88" s="8"/>
      <c r="BZ88" s="8"/>
      <c r="CA88" s="8"/>
      <c r="CB88" s="1266"/>
      <c r="CC88" s="300"/>
      <c r="CE88" s="8"/>
      <c r="CF88" s="8"/>
      <c r="CG88" s="8"/>
      <c r="CH88" s="8"/>
      <c r="CM88" s="300" t="s">
        <v>533</v>
      </c>
      <c r="CO88" s="8"/>
      <c r="CP88" s="8"/>
      <c r="CQ88" s="8"/>
      <c r="CR88" s="8"/>
      <c r="CS88" s="8"/>
      <c r="CT88" s="8"/>
      <c r="CU88" s="8"/>
      <c r="CV88" s="1266"/>
      <c r="CW88" s="300" t="s">
        <v>533</v>
      </c>
      <c r="CX88" t="s">
        <v>534</v>
      </c>
      <c r="CY88" s="8"/>
      <c r="CZ88" s="8"/>
      <c r="DA88" s="8"/>
      <c r="DB88" s="8"/>
      <c r="DC88" s="8"/>
      <c r="DD88" s="8"/>
      <c r="DE88" s="8"/>
      <c r="DF88" s="1266"/>
      <c r="DG88" s="300" t="s">
        <v>535</v>
      </c>
      <c r="DH88" t="s">
        <v>534</v>
      </c>
      <c r="DI88" s="8"/>
      <c r="DJ88" s="8"/>
      <c r="DK88" s="8"/>
      <c r="DL88" s="8"/>
      <c r="DM88" s="8"/>
      <c r="DN88" s="8"/>
      <c r="DO88" s="8"/>
      <c r="DP88" s="1266"/>
      <c r="DQ88" s="300" t="s">
        <v>535</v>
      </c>
      <c r="DR88" t="s">
        <v>534</v>
      </c>
      <c r="DS88" s="8" t="s">
        <v>533</v>
      </c>
      <c r="DT88" s="8" t="s">
        <v>534</v>
      </c>
      <c r="DU88" s="8"/>
      <c r="DV88" s="8"/>
      <c r="DW88" s="8"/>
      <c r="DX88" s="8"/>
      <c r="DY88" s="8"/>
      <c r="DZ88" s="1266"/>
      <c r="EA88" s="300" t="s">
        <v>534</v>
      </c>
      <c r="EC88" s="8"/>
      <c r="ED88" s="8"/>
      <c r="EE88" s="8"/>
      <c r="EF88" s="8"/>
      <c r="EG88" s="8"/>
      <c r="EH88" s="8"/>
      <c r="EI88" s="8"/>
      <c r="EJ88" s="1266"/>
      <c r="EK88" s="300" t="s">
        <v>534</v>
      </c>
      <c r="EM88" s="8"/>
      <c r="EN88" s="8"/>
      <c r="EO88" s="8"/>
      <c r="EP88" s="8"/>
      <c r="EU88" s="300" t="s">
        <v>534</v>
      </c>
      <c r="EW88" s="8"/>
      <c r="EX88" s="8"/>
      <c r="EY88" s="8"/>
      <c r="EZ88" s="8"/>
      <c r="FA88" s="8"/>
      <c r="FB88" s="8"/>
      <c r="FC88" s="8"/>
      <c r="FD88" s="1266"/>
      <c r="FE88" s="300"/>
      <c r="FG88" s="8"/>
      <c r="FH88" s="8"/>
      <c r="FI88" s="8"/>
      <c r="FJ88" s="8"/>
      <c r="FK88" s="8"/>
      <c r="FL88" s="8"/>
      <c r="FM88" s="8"/>
      <c r="FN88" s="1266"/>
      <c r="FO88" s="300" t="s">
        <v>534</v>
      </c>
      <c r="FQ88" s="8"/>
      <c r="FR88" s="8"/>
      <c r="FS88" s="8"/>
      <c r="FT88" s="8"/>
      <c r="FU88" s="8"/>
      <c r="FV88" s="8"/>
      <c r="FW88" s="8"/>
      <c r="FX88" s="1266"/>
      <c r="FY88" s="300" t="s">
        <v>534</v>
      </c>
      <c r="FZ88" t="s">
        <v>534</v>
      </c>
      <c r="GA88" s="8" t="s">
        <v>534</v>
      </c>
      <c r="GB88" s="8"/>
      <c r="GC88" s="8"/>
      <c r="GD88" s="8"/>
      <c r="GE88" s="8"/>
      <c r="GF88" s="8"/>
      <c r="GG88" s="8"/>
      <c r="GH88" s="1266"/>
      <c r="GI88" s="300" t="s">
        <v>534</v>
      </c>
      <c r="GK88" s="8"/>
      <c r="GL88" s="8"/>
      <c r="GM88" s="8"/>
      <c r="GN88" s="8"/>
      <c r="GO88" s="8"/>
      <c r="GP88" s="8"/>
      <c r="GQ88" s="8"/>
      <c r="GR88" s="1266"/>
      <c r="GS88" s="300" t="s">
        <v>2229</v>
      </c>
      <c r="GT88" t="s">
        <v>534</v>
      </c>
      <c r="GU88" s="8" t="s">
        <v>533</v>
      </c>
      <c r="GV88" s="8"/>
      <c r="GW88" s="8"/>
      <c r="GX88" s="8"/>
      <c r="HC88" s="300"/>
      <c r="HE88" s="8"/>
      <c r="HF88" s="8"/>
      <c r="HG88" s="8"/>
      <c r="HH88" s="8"/>
      <c r="HI88" s="8"/>
      <c r="HJ88" s="8"/>
      <c r="HK88" s="8"/>
      <c r="HL88" s="1266"/>
      <c r="HM88" s="300" t="s">
        <v>534</v>
      </c>
      <c r="HO88" s="8"/>
      <c r="HP88" s="8"/>
      <c r="HQ88" s="8"/>
      <c r="HR88" s="8"/>
      <c r="HS88" s="8"/>
      <c r="HT88" s="8"/>
      <c r="HU88" s="8"/>
      <c r="HV88" s="1266"/>
      <c r="HW88" s="300"/>
      <c r="HY88" s="8"/>
      <c r="HZ88" s="8"/>
      <c r="IA88" s="8"/>
      <c r="IB88" s="8"/>
      <c r="IC88" s="8"/>
      <c r="ID88" s="8"/>
      <c r="IE88" s="8"/>
      <c r="IF88" s="1266"/>
      <c r="IG88" s="300"/>
      <c r="II88" s="8"/>
      <c r="IJ88" s="8"/>
      <c r="IK88" s="8"/>
      <c r="IL88" s="8"/>
      <c r="IM88" s="8"/>
      <c r="IN88" s="8"/>
      <c r="IO88" s="8"/>
      <c r="IP88" s="1266"/>
      <c r="IQ88" s="300"/>
      <c r="IS88" s="8"/>
      <c r="IT88" s="8"/>
      <c r="IU88" s="8"/>
      <c r="IV88" s="8"/>
      <c r="IW88" s="8"/>
      <c r="IX88" s="8"/>
      <c r="IY88" s="8"/>
      <c r="IZ88" s="1266"/>
      <c r="JA88" s="300"/>
      <c r="JC88" s="8"/>
      <c r="JD88" s="8"/>
      <c r="JE88" s="8"/>
      <c r="JF88" s="8"/>
    </row>
    <row r="89" spans="3:266" x14ac:dyDescent="0.3">
      <c r="C89" t="s">
        <v>2283</v>
      </c>
      <c r="AE89" s="300" t="s">
        <v>2229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66"/>
      <c r="AO89" s="300"/>
      <c r="AQ89" s="8"/>
      <c r="AR89" s="8"/>
      <c r="AS89" s="8"/>
      <c r="AT89" s="8"/>
      <c r="AU89" s="8"/>
      <c r="AV89" s="8"/>
      <c r="AW89" s="8"/>
      <c r="AX89" s="1266"/>
      <c r="AY89" s="300"/>
      <c r="BA89" s="8"/>
      <c r="BB89" s="8"/>
      <c r="BC89" s="8"/>
      <c r="BD89" s="8"/>
      <c r="BE89" s="8"/>
      <c r="BF89" s="8"/>
      <c r="BG89" s="8"/>
      <c r="BH89" s="1266"/>
      <c r="BI89" s="300" t="s">
        <v>534</v>
      </c>
      <c r="BK89" s="8"/>
      <c r="BL89" s="8"/>
      <c r="BM89" s="8"/>
      <c r="BN89" s="8"/>
      <c r="BO89" s="8"/>
      <c r="BP89" s="8"/>
      <c r="BQ89" s="8"/>
      <c r="BR89" s="1266"/>
      <c r="BS89" s="300"/>
      <c r="BU89" s="8"/>
      <c r="BV89" s="8"/>
      <c r="BW89" s="8"/>
      <c r="BX89" s="8"/>
      <c r="BY89" s="8"/>
      <c r="BZ89" s="8"/>
      <c r="CA89" s="8"/>
      <c r="CB89" s="1266"/>
      <c r="CC89" s="300"/>
      <c r="CE89" s="8"/>
      <c r="CF89" s="8"/>
      <c r="CG89" s="8"/>
      <c r="CH89" s="8"/>
      <c r="CM89" s="300" t="s">
        <v>534</v>
      </c>
      <c r="CO89" s="8"/>
      <c r="CP89" s="8"/>
      <c r="CQ89" s="8"/>
      <c r="CR89" s="8"/>
      <c r="CS89" s="8"/>
      <c r="CT89" s="8"/>
      <c r="CU89" s="8"/>
      <c r="CV89" s="1266"/>
      <c r="CW89" s="300"/>
      <c r="CY89" s="8"/>
      <c r="CZ89" s="8"/>
      <c r="DA89" s="8"/>
      <c r="DB89" s="8"/>
      <c r="DC89" s="8"/>
      <c r="DD89" s="8"/>
      <c r="DE89" s="8"/>
      <c r="DF89" s="1266"/>
      <c r="DG89" s="300" t="s">
        <v>535</v>
      </c>
      <c r="DH89" t="s">
        <v>533</v>
      </c>
      <c r="DI89" s="8"/>
      <c r="DJ89" s="8"/>
      <c r="DK89" s="8"/>
      <c r="DL89" s="8"/>
      <c r="DM89" s="8"/>
      <c r="DN89" s="8"/>
      <c r="DO89" s="8"/>
      <c r="DP89" s="1266"/>
      <c r="DQ89" s="300"/>
      <c r="DS89" s="8"/>
      <c r="DT89" s="8"/>
      <c r="DU89" s="8"/>
      <c r="DV89" s="8"/>
      <c r="DW89" s="8"/>
      <c r="DX89" s="8"/>
      <c r="DY89" s="8"/>
      <c r="DZ89" s="1266"/>
      <c r="EA89" s="300"/>
      <c r="EC89" s="8"/>
      <c r="ED89" s="8"/>
      <c r="EE89" s="8"/>
      <c r="EF89" s="8"/>
      <c r="EG89" s="8"/>
      <c r="EH89" s="8"/>
      <c r="EI89" s="8"/>
      <c r="EJ89" s="1266"/>
      <c r="EK89" s="300"/>
      <c r="EM89" s="8"/>
      <c r="EN89" s="8"/>
      <c r="EO89" s="8"/>
      <c r="EP89" s="8"/>
      <c r="EU89" s="300" t="s">
        <v>535</v>
      </c>
      <c r="EW89" s="8"/>
      <c r="EX89" s="8"/>
      <c r="EY89" s="8"/>
      <c r="EZ89" s="8"/>
      <c r="FA89" s="8"/>
      <c r="FB89" s="8"/>
      <c r="FC89" s="8"/>
      <c r="FD89" s="1266"/>
      <c r="FE89" s="300" t="s">
        <v>533</v>
      </c>
      <c r="FG89" s="8"/>
      <c r="FH89" s="8"/>
      <c r="FI89" s="8"/>
      <c r="FJ89" s="8"/>
      <c r="FK89" s="8"/>
      <c r="FL89" s="8"/>
      <c r="FM89" s="8"/>
      <c r="FN89" s="1266"/>
      <c r="FO89" s="300"/>
      <c r="FQ89" s="8"/>
      <c r="FR89" s="8"/>
      <c r="FS89" s="8"/>
      <c r="FT89" s="8"/>
      <c r="FU89" s="8"/>
      <c r="FV89" s="8"/>
      <c r="FW89" s="8"/>
      <c r="FX89" s="1266"/>
      <c r="FY89" s="300"/>
      <c r="GA89" s="8"/>
      <c r="GB89" s="8"/>
      <c r="GC89" s="8"/>
      <c r="GD89" s="8"/>
      <c r="GE89" s="8"/>
      <c r="GF89" s="8"/>
      <c r="GG89" s="8"/>
      <c r="GH89" s="1266"/>
      <c r="GI89" s="300" t="s">
        <v>535</v>
      </c>
      <c r="GJ89" t="s">
        <v>2229</v>
      </c>
      <c r="GK89" s="8" t="s">
        <v>533</v>
      </c>
      <c r="GL89" s="8"/>
      <c r="GM89" s="8"/>
      <c r="GN89" s="8"/>
      <c r="GO89" s="8"/>
      <c r="GP89" s="8"/>
      <c r="GQ89" s="8"/>
      <c r="GR89" s="1266"/>
      <c r="GS89" s="300" t="s">
        <v>535</v>
      </c>
      <c r="GU89" s="8"/>
      <c r="GV89" s="8"/>
      <c r="GW89" s="8"/>
      <c r="GX89" s="8"/>
      <c r="HC89" s="300" t="s">
        <v>534</v>
      </c>
      <c r="HE89" s="8"/>
      <c r="HF89" s="8"/>
      <c r="HG89" s="8"/>
      <c r="HH89" s="8"/>
      <c r="HI89" s="8"/>
      <c r="HJ89" s="8"/>
      <c r="HK89" s="8"/>
      <c r="HL89" s="1266"/>
      <c r="HM89" s="300" t="s">
        <v>534</v>
      </c>
      <c r="HN89" t="s">
        <v>533</v>
      </c>
      <c r="HO89" s="8"/>
      <c r="HP89" s="8"/>
      <c r="HQ89" s="8"/>
      <c r="HR89" s="8"/>
      <c r="HS89" s="8"/>
      <c r="HT89" s="8"/>
      <c r="HU89" s="8"/>
      <c r="HV89" s="1266"/>
      <c r="HW89" s="300"/>
      <c r="HY89" s="8"/>
      <c r="HZ89" s="8"/>
      <c r="IA89" s="8"/>
      <c r="IB89" s="8"/>
      <c r="IC89" s="8"/>
      <c r="ID89" s="8"/>
      <c r="IE89" s="8"/>
      <c r="IF89" s="1266"/>
      <c r="IG89" s="300"/>
      <c r="II89" s="8"/>
      <c r="IJ89" s="8"/>
      <c r="IK89" s="8"/>
      <c r="IL89" s="8"/>
      <c r="IM89" s="8"/>
      <c r="IN89" s="8"/>
      <c r="IO89" s="8"/>
      <c r="IP89" s="1266"/>
      <c r="IQ89" s="300"/>
      <c r="IS89" s="8"/>
      <c r="IT89" s="8"/>
      <c r="IU89" s="8"/>
      <c r="IV89" s="8"/>
      <c r="IW89" s="8"/>
      <c r="IX89" s="8"/>
      <c r="IY89" s="8"/>
      <c r="IZ89" s="1266"/>
      <c r="JA89" s="300"/>
      <c r="JC89" s="8"/>
      <c r="JD89" s="8"/>
      <c r="JE89" s="8"/>
      <c r="JF89" s="8"/>
    </row>
    <row r="90" spans="3:266" x14ac:dyDescent="0.3">
      <c r="C90" t="s">
        <v>2280</v>
      </c>
      <c r="AE90" s="300"/>
      <c r="AG90" s="8"/>
      <c r="AH90" s="8"/>
      <c r="AI90" s="8"/>
      <c r="AJ90" s="8"/>
      <c r="AK90" s="8"/>
      <c r="AL90" s="8"/>
      <c r="AM90" s="8"/>
      <c r="AN90" s="1266"/>
      <c r="AO90" s="300" t="s">
        <v>535</v>
      </c>
      <c r="AQ90" s="8"/>
      <c r="AR90" s="8"/>
      <c r="AS90" s="8"/>
      <c r="AT90" s="8"/>
      <c r="AU90" s="8"/>
      <c r="AV90" s="8"/>
      <c r="AW90" s="8"/>
      <c r="AX90" s="1266"/>
      <c r="AY90" s="300"/>
      <c r="BA90" s="8"/>
      <c r="BB90" s="8"/>
      <c r="BC90" s="8"/>
      <c r="BD90" s="8"/>
      <c r="BE90" s="8"/>
      <c r="BF90" s="8"/>
      <c r="BG90" s="8"/>
      <c r="BH90" s="1266"/>
      <c r="BI90" s="300" t="s">
        <v>533</v>
      </c>
      <c r="BK90" s="8"/>
      <c r="BL90" s="8"/>
      <c r="BM90" s="8"/>
      <c r="BN90" s="8"/>
      <c r="BO90" s="8"/>
      <c r="BP90" s="8"/>
      <c r="BQ90" s="8"/>
      <c r="BR90" s="1266"/>
      <c r="BS90" s="300"/>
      <c r="BU90" s="8"/>
      <c r="BV90" s="8"/>
      <c r="BW90" s="8"/>
      <c r="BX90" s="8"/>
      <c r="BY90" s="8"/>
      <c r="BZ90" s="8"/>
      <c r="CA90" s="8"/>
      <c r="CB90" s="1266"/>
      <c r="CC90" s="300" t="s">
        <v>534</v>
      </c>
      <c r="CE90" s="8"/>
      <c r="CF90" s="8"/>
      <c r="CG90" s="8"/>
      <c r="CH90" s="8"/>
      <c r="CM90" s="300"/>
      <c r="CO90" s="8"/>
      <c r="CP90" s="8"/>
      <c r="CQ90" s="8"/>
      <c r="CR90" s="8"/>
      <c r="CS90" s="8"/>
      <c r="CT90" s="8"/>
      <c r="CU90" s="8"/>
      <c r="CV90" s="1266"/>
      <c r="CW90" s="300"/>
      <c r="CY90" s="8"/>
      <c r="CZ90" s="8"/>
      <c r="DA90" s="8"/>
      <c r="DB90" s="8"/>
      <c r="DC90" s="8"/>
      <c r="DD90" s="8"/>
      <c r="DE90" s="8"/>
      <c r="DF90" s="1266"/>
      <c r="DG90" s="300" t="s">
        <v>534</v>
      </c>
      <c r="DI90" s="8"/>
      <c r="DJ90" s="8"/>
      <c r="DK90" s="8"/>
      <c r="DL90" s="8"/>
      <c r="DM90" s="8"/>
      <c r="DN90" s="8"/>
      <c r="DO90" s="8"/>
      <c r="DP90" s="1266"/>
      <c r="DQ90" s="300" t="s">
        <v>534</v>
      </c>
      <c r="DS90" s="8"/>
      <c r="DT90" s="8"/>
      <c r="DU90" s="8"/>
      <c r="DV90" s="8"/>
      <c r="DW90" s="8"/>
      <c r="DX90" s="8"/>
      <c r="DY90" s="8"/>
      <c r="DZ90" s="1266"/>
      <c r="EA90" s="300"/>
      <c r="EC90" s="8"/>
      <c r="ED90" s="8"/>
      <c r="EE90" s="8"/>
      <c r="EF90" s="8"/>
      <c r="EG90" s="8"/>
      <c r="EH90" s="8"/>
      <c r="EI90" s="8"/>
      <c r="EJ90" s="1266"/>
      <c r="EK90" s="300"/>
      <c r="EM90" s="8"/>
      <c r="EN90" s="8"/>
      <c r="EO90" s="8"/>
      <c r="EP90" s="8"/>
      <c r="EU90" s="300"/>
      <c r="EW90" s="8"/>
      <c r="EX90" s="8"/>
      <c r="EY90" s="8"/>
      <c r="EZ90" s="8"/>
      <c r="FA90" s="8"/>
      <c r="FB90" s="8"/>
      <c r="FC90" s="8"/>
      <c r="FD90" s="1266"/>
      <c r="FE90" s="300"/>
      <c r="FG90" s="8"/>
      <c r="FH90" s="8"/>
      <c r="FI90" s="8"/>
      <c r="FJ90" s="8"/>
      <c r="FK90" s="8"/>
      <c r="FL90" s="8"/>
      <c r="FM90" s="8"/>
      <c r="FN90" s="1266"/>
      <c r="FO90" s="300"/>
      <c r="FQ90" s="8"/>
      <c r="FR90" s="8"/>
      <c r="FS90" s="8"/>
      <c r="FT90" s="8"/>
      <c r="FU90" s="8"/>
      <c r="FV90" s="8"/>
      <c r="FW90" s="8"/>
      <c r="FX90" s="1266"/>
      <c r="FY90" s="300" t="s">
        <v>534</v>
      </c>
      <c r="GA90" s="8"/>
      <c r="GB90" s="8"/>
      <c r="GC90" s="8"/>
      <c r="GD90" s="8"/>
      <c r="GE90" s="8"/>
      <c r="GF90" s="8"/>
      <c r="GG90" s="8"/>
      <c r="GH90" s="1266"/>
      <c r="GI90" s="300"/>
      <c r="GK90" s="8"/>
      <c r="GL90" s="8"/>
      <c r="GM90" s="8"/>
      <c r="GN90" s="8"/>
      <c r="GO90" s="8"/>
      <c r="GP90" s="8"/>
      <c r="GQ90" s="8"/>
      <c r="GR90" s="1266"/>
      <c r="GS90" s="300"/>
      <c r="GU90" s="8"/>
      <c r="GV90" s="8"/>
      <c r="GW90" s="8"/>
      <c r="GX90" s="8"/>
      <c r="HC90" s="300"/>
      <c r="HE90" s="8"/>
      <c r="HF90" s="8"/>
      <c r="HG90" s="8"/>
      <c r="HH90" s="8"/>
      <c r="HI90" s="8"/>
      <c r="HJ90" s="8"/>
      <c r="HK90" s="8"/>
      <c r="HL90" s="1266"/>
      <c r="HM90" s="300"/>
      <c r="HO90" s="8"/>
      <c r="HP90" s="8"/>
      <c r="HQ90" s="8"/>
      <c r="HR90" s="8"/>
      <c r="HS90" s="8"/>
      <c r="HT90" s="8"/>
      <c r="HU90" s="8"/>
      <c r="HV90" s="1266"/>
      <c r="HW90" s="300"/>
      <c r="HY90" s="8"/>
      <c r="HZ90" s="8"/>
      <c r="IA90" s="8"/>
      <c r="IB90" s="8"/>
      <c r="IC90" s="8"/>
      <c r="ID90" s="8"/>
      <c r="IE90" s="8"/>
      <c r="IF90" s="1266"/>
      <c r="IG90" s="300"/>
      <c r="II90" s="8"/>
      <c r="IJ90" s="8"/>
      <c r="IK90" s="8"/>
      <c r="IL90" s="8"/>
      <c r="IM90" s="8"/>
      <c r="IN90" s="8"/>
      <c r="IO90" s="8"/>
      <c r="IP90" s="1266"/>
      <c r="IQ90" s="300"/>
      <c r="IS90" s="8"/>
      <c r="IT90" s="8"/>
      <c r="IU90" s="8"/>
      <c r="IV90" s="8"/>
      <c r="IW90" s="8"/>
      <c r="IX90" s="8"/>
      <c r="IY90" s="8"/>
      <c r="IZ90" s="1266"/>
      <c r="JA90" s="300"/>
      <c r="JC90" s="8"/>
      <c r="JD90" s="8"/>
      <c r="JE90" s="8"/>
      <c r="JF90" s="8"/>
    </row>
    <row r="91" spans="3:266" x14ac:dyDescent="0.3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66"/>
      <c r="AO91" s="300" t="s">
        <v>535</v>
      </c>
      <c r="AP91" t="s">
        <v>533</v>
      </c>
      <c r="AQ91" s="8"/>
      <c r="AR91" s="8"/>
      <c r="AS91" s="8"/>
      <c r="AT91" s="8"/>
      <c r="AU91" s="8"/>
      <c r="AV91" s="8"/>
      <c r="AW91" s="8"/>
      <c r="AX91" s="1266"/>
      <c r="AY91" s="300" t="s">
        <v>535</v>
      </c>
      <c r="AZ91" t="s">
        <v>534</v>
      </c>
      <c r="BA91" s="8"/>
      <c r="BB91" s="8"/>
      <c r="BC91" s="8"/>
      <c r="BD91" s="8"/>
      <c r="BE91" s="8"/>
      <c r="BF91" s="8"/>
      <c r="BG91" s="8"/>
      <c r="BH91" s="1266"/>
      <c r="BI91" s="300" t="s">
        <v>533</v>
      </c>
      <c r="BK91" s="8"/>
      <c r="BL91" s="8"/>
      <c r="BM91" s="8"/>
      <c r="BN91" s="8"/>
      <c r="BO91" s="8"/>
      <c r="BP91" s="8"/>
      <c r="BQ91" s="8"/>
      <c r="BR91" s="1266"/>
      <c r="BS91" s="300"/>
      <c r="BU91" s="8"/>
      <c r="BV91" s="8"/>
      <c r="BW91" s="8"/>
      <c r="BX91" s="8"/>
      <c r="BY91" s="8"/>
      <c r="BZ91" s="8"/>
      <c r="CA91" s="8"/>
      <c r="CB91" s="1266"/>
      <c r="CC91" s="300"/>
      <c r="CE91" s="8"/>
      <c r="CF91" s="8"/>
      <c r="CG91" s="8"/>
      <c r="CH91" s="8"/>
      <c r="CM91" s="300"/>
      <c r="CO91" s="8"/>
      <c r="CP91" s="8"/>
      <c r="CQ91" s="8"/>
      <c r="CR91" s="8"/>
      <c r="CS91" s="8"/>
      <c r="CT91" s="8"/>
      <c r="CU91" s="8"/>
      <c r="CV91" s="1266"/>
      <c r="CW91" s="300"/>
      <c r="CY91" s="8"/>
      <c r="CZ91" s="8"/>
      <c r="DA91" s="8"/>
      <c r="DB91" s="8"/>
      <c r="DC91" s="8"/>
      <c r="DD91" s="8"/>
      <c r="DE91" s="8"/>
      <c r="DF91" s="1266"/>
      <c r="DG91" s="300"/>
      <c r="DI91" s="8"/>
      <c r="DJ91" s="8"/>
      <c r="DK91" s="8"/>
      <c r="DL91" s="8"/>
      <c r="DM91" s="8"/>
      <c r="DN91" s="8"/>
      <c r="DO91" s="8"/>
      <c r="DP91" s="1266"/>
      <c r="DQ91" s="300"/>
      <c r="DS91" s="8"/>
      <c r="DT91" s="8"/>
      <c r="DU91" s="8"/>
      <c r="DV91" s="8"/>
      <c r="DW91" s="8"/>
      <c r="DX91" s="8"/>
      <c r="DY91" s="8"/>
      <c r="DZ91" s="1266"/>
      <c r="EA91" s="300"/>
      <c r="EC91" s="8"/>
      <c r="ED91" s="8"/>
      <c r="EE91" s="8"/>
      <c r="EF91" s="8"/>
      <c r="EG91" s="8"/>
      <c r="EH91" s="8"/>
      <c r="EI91" s="8"/>
      <c r="EJ91" s="1266"/>
      <c r="EK91" s="300"/>
      <c r="EM91" s="8"/>
      <c r="EN91" s="8"/>
      <c r="EO91" s="8"/>
      <c r="EP91" s="8"/>
      <c r="EU91" s="300"/>
      <c r="EW91" s="8"/>
      <c r="EX91" s="8"/>
      <c r="EY91" s="8"/>
      <c r="EZ91" s="8"/>
      <c r="FA91" s="8"/>
      <c r="FB91" s="8"/>
      <c r="FC91" s="8"/>
      <c r="FD91" s="1266"/>
      <c r="FE91" s="300"/>
      <c r="FG91" s="8"/>
      <c r="FH91" s="8"/>
      <c r="FI91" s="8"/>
      <c r="FJ91" s="8"/>
      <c r="FK91" s="8"/>
      <c r="FL91" s="8"/>
      <c r="FM91" s="8"/>
      <c r="FN91" s="1266"/>
      <c r="FO91" s="300"/>
      <c r="FQ91" s="8"/>
      <c r="FR91" s="8"/>
      <c r="FS91" s="8"/>
      <c r="FT91" s="8"/>
      <c r="FU91" s="8"/>
      <c r="FV91" s="8"/>
      <c r="FW91" s="8"/>
      <c r="FX91" s="1266"/>
      <c r="FY91" s="300"/>
      <c r="GA91" s="8"/>
      <c r="GB91" s="8"/>
      <c r="GC91" s="8"/>
      <c r="GD91" s="8"/>
      <c r="GE91" s="8"/>
      <c r="GF91" s="8"/>
      <c r="GG91" s="8"/>
      <c r="GH91" s="1266"/>
      <c r="GI91" s="300"/>
      <c r="GK91" s="8"/>
      <c r="GL91" s="8"/>
      <c r="GM91" s="8"/>
      <c r="GN91" s="8"/>
      <c r="GO91" s="8"/>
      <c r="GP91" s="8"/>
      <c r="GQ91" s="8"/>
      <c r="GR91" s="1266"/>
      <c r="GS91" s="300"/>
      <c r="GU91" s="8"/>
      <c r="GV91" s="8"/>
      <c r="GW91" s="8"/>
      <c r="GX91" s="8"/>
      <c r="HC91" s="300"/>
      <c r="HE91" s="8"/>
      <c r="HF91" s="8"/>
      <c r="HG91" s="8"/>
      <c r="HH91" s="8"/>
      <c r="HI91" s="8"/>
      <c r="HJ91" s="8"/>
      <c r="HK91" s="8"/>
      <c r="HL91" s="1266"/>
      <c r="HM91" s="300"/>
      <c r="HO91" s="8"/>
      <c r="HP91" s="8"/>
      <c r="HQ91" s="8"/>
      <c r="HR91" s="8"/>
      <c r="HS91" s="8"/>
      <c r="HT91" s="8"/>
      <c r="HU91" s="8"/>
      <c r="HV91" s="1266"/>
      <c r="HW91" s="300"/>
      <c r="HY91" s="8"/>
      <c r="HZ91" s="8"/>
      <c r="IA91" s="8"/>
      <c r="IB91" s="8"/>
      <c r="IC91" s="8"/>
      <c r="ID91" s="8"/>
      <c r="IE91" s="8"/>
      <c r="IF91" s="1266"/>
      <c r="IG91" s="300"/>
      <c r="II91" s="8"/>
      <c r="IJ91" s="8"/>
      <c r="IK91" s="8"/>
      <c r="IL91" s="8"/>
      <c r="IM91" s="8"/>
      <c r="IN91" s="8"/>
      <c r="IO91" s="8"/>
      <c r="IP91" s="1266"/>
      <c r="IQ91" s="300"/>
      <c r="IS91" s="8"/>
      <c r="IT91" s="8"/>
      <c r="IU91" s="8"/>
      <c r="IV91" s="8"/>
      <c r="IW91" s="8"/>
      <c r="IX91" s="8"/>
      <c r="IY91" s="8"/>
      <c r="IZ91" s="1266"/>
      <c r="JA91" s="300"/>
      <c r="JC91" s="8"/>
      <c r="JD91" s="8"/>
      <c r="JE91" s="8"/>
      <c r="JF91" s="8"/>
    </row>
    <row r="92" spans="3:266" x14ac:dyDescent="0.3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66"/>
      <c r="AO92" s="300" t="s">
        <v>534</v>
      </c>
      <c r="AP92" t="s">
        <v>533</v>
      </c>
      <c r="AQ92" s="8" t="s">
        <v>534</v>
      </c>
      <c r="AR92" s="8"/>
      <c r="AS92" s="8"/>
      <c r="AT92" s="265"/>
      <c r="AU92" s="265"/>
      <c r="AV92" s="265"/>
      <c r="AW92" s="8"/>
      <c r="AX92" s="1266"/>
      <c r="AY92" s="300" t="s">
        <v>533</v>
      </c>
      <c r="BA92" s="8"/>
      <c r="BB92" s="8"/>
      <c r="BC92" s="8"/>
      <c r="BD92" s="265"/>
      <c r="BE92" s="265"/>
      <c r="BF92" s="265"/>
      <c r="BG92" s="8"/>
      <c r="BH92" s="1266"/>
      <c r="BI92" s="300" t="s">
        <v>534</v>
      </c>
      <c r="BJ92" t="s">
        <v>534</v>
      </c>
      <c r="BK92" s="8"/>
      <c r="BL92" s="8"/>
      <c r="BM92" s="8"/>
      <c r="BN92" s="265"/>
      <c r="BO92" s="265"/>
      <c r="BP92" s="265"/>
      <c r="BQ92" s="8"/>
      <c r="BR92" s="1266"/>
      <c r="BS92" s="300"/>
      <c r="BU92" s="8"/>
      <c r="BV92" s="8"/>
      <c r="BW92" s="8"/>
      <c r="BX92" s="265"/>
      <c r="BY92" s="265"/>
      <c r="BZ92" s="265"/>
      <c r="CA92" s="8"/>
      <c r="CB92" s="1266"/>
      <c r="CC92" s="300"/>
      <c r="CE92" s="8"/>
      <c r="CF92" s="8"/>
      <c r="CG92" s="8"/>
      <c r="CH92" s="265"/>
      <c r="CM92" s="300"/>
      <c r="CO92" s="8"/>
      <c r="CP92" s="8"/>
      <c r="CQ92" s="8"/>
      <c r="CR92" s="265"/>
      <c r="CS92" s="265"/>
      <c r="CT92" s="265"/>
      <c r="CU92" s="8"/>
      <c r="CV92" s="1266"/>
      <c r="CW92" s="300"/>
      <c r="CY92" s="8"/>
      <c r="CZ92" s="8"/>
      <c r="DA92" s="8"/>
      <c r="DB92" s="265"/>
      <c r="DC92" s="265"/>
      <c r="DD92" s="265"/>
      <c r="DE92" s="8"/>
      <c r="DF92" s="1266"/>
      <c r="DG92" s="300" t="s">
        <v>535</v>
      </c>
      <c r="DH92" t="s">
        <v>533</v>
      </c>
      <c r="DI92" s="8" t="s">
        <v>533</v>
      </c>
      <c r="DJ92" s="8"/>
      <c r="DK92" s="8"/>
      <c r="DL92" s="265"/>
      <c r="DM92" s="265"/>
      <c r="DN92" s="265"/>
      <c r="DO92" s="8"/>
      <c r="DP92" s="1266"/>
      <c r="DQ92" s="300" t="s">
        <v>534</v>
      </c>
      <c r="DR92" t="s">
        <v>534</v>
      </c>
      <c r="DS92" s="8"/>
      <c r="DT92" s="8"/>
      <c r="DU92" s="8"/>
      <c r="DV92" s="265"/>
      <c r="DW92" s="265"/>
      <c r="DX92" s="265"/>
      <c r="DY92" s="8"/>
      <c r="DZ92" s="1266"/>
      <c r="EA92" s="300" t="s">
        <v>534</v>
      </c>
      <c r="EB92" t="s">
        <v>534</v>
      </c>
      <c r="EC92" s="8"/>
      <c r="ED92" s="8"/>
      <c r="EE92" s="8"/>
      <c r="EF92" s="265"/>
      <c r="EG92" s="265"/>
      <c r="EH92" s="265"/>
      <c r="EI92" s="8"/>
      <c r="EJ92" s="1266"/>
      <c r="EK92" s="300" t="s">
        <v>534</v>
      </c>
      <c r="EM92" s="8"/>
      <c r="EN92" s="8"/>
      <c r="EO92" s="8"/>
      <c r="EP92" s="265"/>
      <c r="EU92" s="300"/>
      <c r="EW92" s="8"/>
      <c r="EX92" s="8"/>
      <c r="EY92" s="8"/>
      <c r="EZ92" s="265"/>
      <c r="FA92" s="265"/>
      <c r="FB92" s="265"/>
      <c r="FC92" s="8"/>
      <c r="FD92" s="1266"/>
      <c r="FE92" s="300"/>
      <c r="FG92" s="8"/>
      <c r="FH92" s="8"/>
      <c r="FI92" s="8"/>
      <c r="FJ92" s="265"/>
      <c r="FK92" s="265"/>
      <c r="FL92" s="265"/>
      <c r="FM92" s="8"/>
      <c r="FN92" s="1266"/>
      <c r="FO92" s="300" t="s">
        <v>533</v>
      </c>
      <c r="FP92" t="s">
        <v>139</v>
      </c>
      <c r="FQ92" s="8"/>
      <c r="FR92" s="8"/>
      <c r="FS92" s="8"/>
      <c r="FT92" s="265"/>
      <c r="FU92" s="265"/>
      <c r="FV92" s="265"/>
      <c r="FW92" s="8"/>
      <c r="FX92" s="1266"/>
      <c r="FY92" s="300" t="s">
        <v>533</v>
      </c>
      <c r="FZ92" t="s">
        <v>534</v>
      </c>
      <c r="GA92" s="8" t="s">
        <v>534</v>
      </c>
      <c r="GB92" s="8"/>
      <c r="GC92" s="8"/>
      <c r="GD92" s="265"/>
      <c r="GE92" s="265"/>
      <c r="GF92" s="265"/>
      <c r="GG92" s="8"/>
      <c r="GH92" s="1266"/>
      <c r="GI92" s="300" t="s">
        <v>535</v>
      </c>
      <c r="GJ92" t="s">
        <v>534</v>
      </c>
      <c r="GK92" s="8" t="s">
        <v>533</v>
      </c>
      <c r="GL92" s="8" t="s">
        <v>545</v>
      </c>
      <c r="GM92" s="8"/>
      <c r="GN92" s="265"/>
      <c r="GO92" s="265"/>
      <c r="GP92" s="265"/>
      <c r="GQ92" s="8"/>
      <c r="GR92" s="1266"/>
      <c r="GS92" s="300" t="s">
        <v>533</v>
      </c>
      <c r="GU92" s="8"/>
      <c r="GV92" s="8"/>
      <c r="GW92" s="8"/>
      <c r="GX92" s="265"/>
      <c r="HC92" s="300" t="s">
        <v>534</v>
      </c>
      <c r="HD92" t="s">
        <v>533</v>
      </c>
      <c r="HE92" s="8" t="s">
        <v>534</v>
      </c>
      <c r="HF92" s="8"/>
      <c r="HG92" s="8"/>
      <c r="HH92" s="265"/>
      <c r="HI92" s="265"/>
      <c r="HJ92" s="265"/>
      <c r="HK92" s="8"/>
      <c r="HL92" s="1266"/>
      <c r="HM92" s="300" t="s">
        <v>533</v>
      </c>
      <c r="HN92" t="s">
        <v>540</v>
      </c>
      <c r="HO92" s="8" t="s">
        <v>534</v>
      </c>
      <c r="HP92" s="8"/>
      <c r="HQ92" s="8"/>
      <c r="HR92" s="265"/>
      <c r="HS92" s="265"/>
      <c r="HT92" s="265"/>
      <c r="HU92" s="8"/>
      <c r="HV92" s="1266"/>
      <c r="HW92" s="300"/>
      <c r="HY92" s="8"/>
      <c r="HZ92" s="8"/>
      <c r="IA92" s="8"/>
      <c r="IB92" s="265"/>
      <c r="IC92" s="265"/>
      <c r="ID92" s="265"/>
      <c r="IE92" s="8"/>
      <c r="IF92" s="1266"/>
      <c r="IG92" s="300"/>
      <c r="II92" s="8"/>
      <c r="IJ92" s="8"/>
      <c r="IK92" s="8"/>
      <c r="IL92" s="265"/>
      <c r="IM92" s="265"/>
      <c r="IN92" s="265"/>
      <c r="IO92" s="8"/>
      <c r="IP92" s="1266"/>
      <c r="IQ92" s="300"/>
      <c r="IS92" s="8"/>
      <c r="IT92" s="8"/>
      <c r="IU92" s="8"/>
      <c r="IV92" s="265"/>
      <c r="IW92" s="265"/>
      <c r="IX92" s="265"/>
      <c r="IY92" s="8"/>
      <c r="IZ92" s="1266"/>
      <c r="JA92" s="300"/>
      <c r="JC92" s="8"/>
      <c r="JD92" s="8"/>
      <c r="JE92" s="8"/>
      <c r="JF92" s="265"/>
    </row>
    <row r="93" spans="3:266" x14ac:dyDescent="0.3">
      <c r="C93" t="s">
        <v>2442</v>
      </c>
      <c r="AE93" s="300" t="s">
        <v>533</v>
      </c>
      <c r="AF93" t="s">
        <v>533</v>
      </c>
      <c r="AN93" s="683"/>
      <c r="AO93" s="300"/>
      <c r="AX93" s="683"/>
      <c r="AY93" s="300"/>
      <c r="BH93" s="683"/>
      <c r="BI93" s="300" t="s">
        <v>533</v>
      </c>
      <c r="BJ93" t="s">
        <v>534</v>
      </c>
      <c r="BR93" s="683"/>
      <c r="BS93" s="300"/>
      <c r="CB93" s="683"/>
      <c r="CC93" s="300"/>
      <c r="CM93" s="300"/>
      <c r="CV93" s="683"/>
      <c r="CW93" s="300"/>
      <c r="DF93" s="683"/>
      <c r="DG93" s="300"/>
      <c r="DP93" s="683"/>
      <c r="DQ93" s="300" t="s">
        <v>533</v>
      </c>
      <c r="DZ93" s="683"/>
      <c r="EA93" s="300" t="s">
        <v>2229</v>
      </c>
      <c r="EB93" t="s">
        <v>533</v>
      </c>
      <c r="EJ93" s="683"/>
      <c r="EK93" s="300"/>
      <c r="EU93" s="300" t="s">
        <v>2229</v>
      </c>
      <c r="EV93" t="s">
        <v>533</v>
      </c>
      <c r="FD93" s="683"/>
      <c r="FE93" s="300"/>
      <c r="FN93" s="683"/>
      <c r="FO93" s="300"/>
      <c r="FX93" s="683"/>
      <c r="FY93" s="300"/>
      <c r="GH93" s="683"/>
      <c r="GI93" s="300"/>
      <c r="GR93" s="683"/>
      <c r="GS93" s="300"/>
      <c r="HC93" s="300" t="s">
        <v>534</v>
      </c>
      <c r="HD93" t="s">
        <v>534</v>
      </c>
      <c r="HL93" s="683"/>
      <c r="HM93" s="300"/>
      <c r="HV93" s="683"/>
      <c r="HW93" s="300"/>
      <c r="IF93" s="683"/>
      <c r="IG93" s="300"/>
      <c r="IP93" s="683"/>
      <c r="IQ93" s="300"/>
      <c r="IZ93" s="683"/>
      <c r="JA93" s="300"/>
    </row>
    <row r="94" spans="3:266" x14ac:dyDescent="0.3">
      <c r="C94" t="s">
        <v>2282</v>
      </c>
      <c r="AE94" s="300" t="s">
        <v>534</v>
      </c>
      <c r="AN94" s="683"/>
      <c r="AO94" s="300"/>
      <c r="AX94" s="683"/>
      <c r="AY94" s="300"/>
      <c r="BH94" s="683"/>
      <c r="BI94" s="300" t="s">
        <v>534</v>
      </c>
      <c r="BR94" s="683"/>
      <c r="BS94" s="300"/>
      <c r="CB94" s="683"/>
      <c r="CC94" s="300"/>
      <c r="CM94" s="300"/>
      <c r="CV94" s="683"/>
      <c r="CW94" s="300"/>
      <c r="DF94" s="683"/>
      <c r="DG94" s="300"/>
      <c r="DP94" s="683"/>
      <c r="DQ94" s="300" t="s">
        <v>535</v>
      </c>
      <c r="DZ94" s="683"/>
      <c r="EA94" s="300"/>
      <c r="EJ94" s="683"/>
      <c r="EK94" s="300"/>
      <c r="EU94" s="300" t="s">
        <v>533</v>
      </c>
      <c r="FD94" s="683"/>
      <c r="FE94" s="300" t="s">
        <v>533</v>
      </c>
      <c r="FN94" s="683"/>
      <c r="FO94" s="300"/>
      <c r="FX94" s="683"/>
      <c r="FY94" s="300" t="s">
        <v>533</v>
      </c>
      <c r="GH94" s="683"/>
      <c r="GI94" s="300" t="s">
        <v>535</v>
      </c>
      <c r="GR94" s="683"/>
      <c r="GS94" s="300"/>
      <c r="HC94" s="300" t="s">
        <v>533</v>
      </c>
      <c r="HL94" s="683"/>
      <c r="HM94" s="300" t="s">
        <v>535</v>
      </c>
      <c r="HV94" s="683"/>
      <c r="HW94" s="300"/>
      <c r="IF94" s="683"/>
      <c r="IG94" s="300"/>
      <c r="IP94" s="683"/>
      <c r="IQ94" s="300"/>
      <c r="IZ94" s="683"/>
      <c r="JA94" s="300"/>
    </row>
    <row r="95" spans="3:266" x14ac:dyDescent="0.3">
      <c r="C95" t="s">
        <v>2443</v>
      </c>
      <c r="AE95" s="300"/>
      <c r="AG95" s="8"/>
      <c r="AH95" s="8"/>
      <c r="AI95" s="8"/>
      <c r="AJ95" s="265"/>
      <c r="AK95" s="265"/>
      <c r="AL95" s="265"/>
      <c r="AM95" s="8"/>
      <c r="AN95" s="1266"/>
      <c r="AO95" s="300" t="s">
        <v>535</v>
      </c>
      <c r="AQ95" s="8"/>
      <c r="AR95" s="8"/>
      <c r="AS95" s="8"/>
      <c r="AT95" s="265"/>
      <c r="AU95" s="265"/>
      <c r="AV95" s="265"/>
      <c r="AW95" s="8"/>
      <c r="AX95" s="1266"/>
      <c r="AY95" s="300"/>
      <c r="BA95" s="8"/>
      <c r="BB95" s="8"/>
      <c r="BC95" s="8"/>
      <c r="BD95" s="265"/>
      <c r="BE95" s="265"/>
      <c r="BF95" s="265"/>
      <c r="BG95" s="8"/>
      <c r="BH95" s="1266"/>
      <c r="BI95" s="300" t="s">
        <v>533</v>
      </c>
      <c r="BJ95" t="s">
        <v>533</v>
      </c>
      <c r="BK95" s="8"/>
      <c r="BL95" s="8"/>
      <c r="BM95" s="8"/>
      <c r="BN95" s="265"/>
      <c r="BO95" s="265"/>
      <c r="BP95" s="265"/>
      <c r="BQ95" s="8"/>
      <c r="BR95" s="1266"/>
      <c r="BS95" s="300" t="s">
        <v>533</v>
      </c>
      <c r="BU95" s="8"/>
      <c r="BV95" s="8"/>
      <c r="BW95" s="8"/>
      <c r="BX95" s="265"/>
      <c r="BY95" s="265"/>
      <c r="BZ95" s="265"/>
      <c r="CA95" s="8"/>
      <c r="CB95" s="1266"/>
      <c r="CC95" s="300"/>
      <c r="CE95" s="8"/>
      <c r="CF95" s="8"/>
      <c r="CG95" s="8"/>
      <c r="CH95" s="265"/>
      <c r="CM95" s="300" t="s">
        <v>534</v>
      </c>
      <c r="CO95" s="8"/>
      <c r="CP95" s="8"/>
      <c r="CQ95" s="8"/>
      <c r="CR95" s="265"/>
      <c r="CS95" s="265"/>
      <c r="CT95" s="265"/>
      <c r="CU95" s="8"/>
      <c r="CV95" s="1266"/>
      <c r="CW95" s="300"/>
      <c r="CY95" s="8"/>
      <c r="CZ95" s="8"/>
      <c r="DA95" s="8"/>
      <c r="DB95" s="265"/>
      <c r="DC95" s="265"/>
      <c r="DD95" s="265"/>
      <c r="DE95" s="8"/>
      <c r="DF95" s="1266"/>
      <c r="DG95" s="300" t="s">
        <v>533</v>
      </c>
      <c r="DI95" s="8"/>
      <c r="DJ95" s="8"/>
      <c r="DK95" s="8"/>
      <c r="DL95" s="265"/>
      <c r="DM95" s="265"/>
      <c r="DN95" s="265"/>
      <c r="DO95" s="8"/>
      <c r="DP95" s="1266"/>
      <c r="DQ95" s="300"/>
      <c r="DS95" s="8"/>
      <c r="DT95" s="8"/>
      <c r="DU95" s="8"/>
      <c r="DV95" s="265"/>
      <c r="DW95" s="265"/>
      <c r="DX95" s="265"/>
      <c r="DY95" s="8"/>
      <c r="DZ95" s="1266"/>
      <c r="EA95" s="300" t="s">
        <v>534</v>
      </c>
      <c r="EC95" s="8"/>
      <c r="ED95" s="8"/>
      <c r="EE95" s="8"/>
      <c r="EF95" s="265"/>
      <c r="EG95" s="265"/>
      <c r="EH95" s="265"/>
      <c r="EI95" s="8"/>
      <c r="EJ95" s="1266"/>
      <c r="EK95" s="300" t="s">
        <v>534</v>
      </c>
      <c r="EL95" t="s">
        <v>534</v>
      </c>
      <c r="EM95" s="8"/>
      <c r="EN95" s="8"/>
      <c r="EO95" s="8"/>
      <c r="EP95" s="265"/>
      <c r="EU95" s="300" t="s">
        <v>534</v>
      </c>
      <c r="EW95" s="8"/>
      <c r="EX95" s="8"/>
      <c r="EY95" s="8"/>
      <c r="EZ95" s="265"/>
      <c r="FA95" s="265"/>
      <c r="FB95" s="265"/>
      <c r="FC95" s="8"/>
      <c r="FD95" s="1266"/>
      <c r="FE95" s="300"/>
      <c r="FG95" s="8"/>
      <c r="FH95" s="8"/>
      <c r="FI95" s="8"/>
      <c r="FJ95" s="265"/>
      <c r="FK95" s="265"/>
      <c r="FL95" s="265"/>
      <c r="FM95" s="8"/>
      <c r="FN95" s="1266"/>
      <c r="FO95" s="300" t="s">
        <v>535</v>
      </c>
      <c r="FP95" t="s">
        <v>534</v>
      </c>
      <c r="FQ95" s="8"/>
      <c r="FR95" s="8"/>
      <c r="FS95" s="8"/>
      <c r="FT95" s="265"/>
      <c r="FU95" s="265"/>
      <c r="FV95" s="265"/>
      <c r="FW95" s="8"/>
      <c r="FX95" s="1266"/>
      <c r="FY95" s="300"/>
      <c r="GA95" s="8"/>
      <c r="GB95" s="8"/>
      <c r="GC95" s="8"/>
      <c r="GD95" s="265"/>
      <c r="GE95" s="265"/>
      <c r="GF95" s="265"/>
      <c r="GG95" s="8"/>
      <c r="GH95" s="1266"/>
      <c r="GI95" s="300" t="s">
        <v>533</v>
      </c>
      <c r="GK95" s="8"/>
      <c r="GL95" s="8"/>
      <c r="GM95" s="8"/>
      <c r="GN95" s="265"/>
      <c r="GO95" s="265"/>
      <c r="GP95" s="265"/>
      <c r="GQ95" s="8"/>
      <c r="GR95" s="1266"/>
      <c r="GS95" s="300" t="s">
        <v>533</v>
      </c>
      <c r="GU95" s="8"/>
      <c r="GV95" s="8"/>
      <c r="GW95" s="8"/>
      <c r="GX95" s="265"/>
      <c r="HC95" s="300" t="s">
        <v>534</v>
      </c>
      <c r="HD95" t="s">
        <v>534</v>
      </c>
      <c r="HE95" s="8" t="s">
        <v>534</v>
      </c>
      <c r="HF95" s="8"/>
      <c r="HG95" s="8"/>
      <c r="HH95" s="265"/>
      <c r="HI95" s="265"/>
      <c r="HJ95" s="265"/>
      <c r="HK95" s="8"/>
      <c r="HL95" s="1266"/>
      <c r="HM95" s="300" t="s">
        <v>535</v>
      </c>
      <c r="HO95" s="8"/>
      <c r="HP95" s="8"/>
      <c r="HQ95" s="8"/>
      <c r="HR95" s="265"/>
      <c r="HS95" s="265"/>
      <c r="HT95" s="265"/>
      <c r="HU95" s="8"/>
      <c r="HV95" s="1266"/>
      <c r="HW95" s="300"/>
      <c r="HY95" s="8"/>
      <c r="HZ95" s="8"/>
      <c r="IA95" s="8"/>
      <c r="IB95" s="265"/>
      <c r="IC95" s="265"/>
      <c r="ID95" s="265"/>
      <c r="IE95" s="8"/>
      <c r="IF95" s="1266"/>
      <c r="IG95" s="300"/>
      <c r="II95" s="8"/>
      <c r="IJ95" s="8"/>
      <c r="IK95" s="8"/>
      <c r="IL95" s="265"/>
      <c r="IM95" s="265"/>
      <c r="IN95" s="265"/>
      <c r="IO95" s="8"/>
      <c r="IP95" s="1266"/>
      <c r="IQ95" s="300"/>
      <c r="IS95" s="8"/>
      <c r="IT95" s="8"/>
      <c r="IU95" s="8"/>
      <c r="IV95" s="265"/>
      <c r="IW95" s="265"/>
      <c r="IX95" s="265"/>
      <c r="IY95" s="8"/>
      <c r="IZ95" s="1266"/>
      <c r="JA95" s="300"/>
      <c r="JC95" s="8"/>
      <c r="JD95" s="8"/>
      <c r="JE95" s="8"/>
      <c r="JF95" s="265"/>
    </row>
    <row r="96" spans="3:266" x14ac:dyDescent="0.3">
      <c r="C96" t="s">
        <v>2444</v>
      </c>
      <c r="AE96" s="300" t="s">
        <v>534</v>
      </c>
      <c r="AN96" s="683"/>
      <c r="AO96" s="300"/>
      <c r="AX96" s="683"/>
      <c r="AY96" s="300"/>
      <c r="BH96" s="683"/>
      <c r="BI96" s="300" t="s">
        <v>533</v>
      </c>
      <c r="BJ96" t="s">
        <v>534</v>
      </c>
      <c r="BR96" s="683"/>
      <c r="BS96" s="300"/>
      <c r="CB96" s="683"/>
      <c r="CC96" s="300" t="s">
        <v>533</v>
      </c>
      <c r="CM96" s="300" t="s">
        <v>535</v>
      </c>
      <c r="CN96" t="s">
        <v>534</v>
      </c>
      <c r="CO96" t="s">
        <v>534</v>
      </c>
      <c r="CP96" t="s">
        <v>533</v>
      </c>
      <c r="CQ96" t="s">
        <v>533</v>
      </c>
      <c r="CV96" s="683"/>
      <c r="CW96" s="300" t="s">
        <v>533</v>
      </c>
      <c r="DF96" s="683"/>
      <c r="DG96" s="300"/>
      <c r="DP96" s="683"/>
      <c r="DQ96" s="300" t="s">
        <v>535</v>
      </c>
      <c r="DR96" t="s">
        <v>533</v>
      </c>
      <c r="DS96" t="s">
        <v>533</v>
      </c>
      <c r="DZ96" s="683"/>
      <c r="EA96" s="300"/>
      <c r="EJ96" s="683"/>
      <c r="EK96" s="300"/>
      <c r="EU96" s="300" t="s">
        <v>533</v>
      </c>
      <c r="EV96" t="s">
        <v>533</v>
      </c>
      <c r="FD96" s="683"/>
      <c r="FE96" s="300"/>
      <c r="FN96" s="683"/>
      <c r="FO96" s="300" t="s">
        <v>2229</v>
      </c>
      <c r="FP96" t="s">
        <v>535</v>
      </c>
      <c r="FQ96" t="s">
        <v>533</v>
      </c>
      <c r="FX96" s="683"/>
      <c r="FY96" s="300" t="s">
        <v>535</v>
      </c>
      <c r="FZ96" t="s">
        <v>533</v>
      </c>
      <c r="GH96" s="683"/>
      <c r="GI96" s="300" t="s">
        <v>533</v>
      </c>
      <c r="GR96" s="683"/>
      <c r="GS96" s="300"/>
      <c r="HC96" s="300" t="s">
        <v>2229</v>
      </c>
      <c r="HD96" t="s">
        <v>533</v>
      </c>
      <c r="HE96" t="s">
        <v>533</v>
      </c>
      <c r="HF96" t="s">
        <v>533</v>
      </c>
      <c r="HG96" t="s">
        <v>533</v>
      </c>
      <c r="HH96" t="s">
        <v>533</v>
      </c>
      <c r="HI96" t="s">
        <v>992</v>
      </c>
      <c r="HL96" s="683"/>
      <c r="HM96" s="300"/>
      <c r="HV96" s="683"/>
      <c r="HW96" s="300"/>
      <c r="IF96" s="683"/>
      <c r="IG96" s="300"/>
      <c r="IP96" s="683"/>
      <c r="IQ96" s="300"/>
      <c r="IZ96" s="683"/>
      <c r="JA96" s="300"/>
    </row>
    <row r="97" spans="3:261" x14ac:dyDescent="0.3">
      <c r="AE97" s="300"/>
      <c r="AN97" s="683"/>
      <c r="AO97" s="300"/>
      <c r="AX97" s="683"/>
      <c r="AY97" s="300"/>
      <c r="BH97" s="683"/>
      <c r="BI97" s="300"/>
      <c r="BR97" s="683"/>
      <c r="BS97" s="300"/>
      <c r="CB97" s="683"/>
      <c r="CC97" s="300"/>
      <c r="CM97" s="300"/>
      <c r="CV97" s="683"/>
      <c r="CW97" s="300"/>
      <c r="DF97" s="683"/>
      <c r="DG97" s="300"/>
      <c r="DP97" s="683"/>
      <c r="DQ97" s="300"/>
      <c r="DZ97" s="683"/>
      <c r="EA97" s="300"/>
      <c r="EJ97" s="683"/>
      <c r="EK97" s="300"/>
      <c r="EU97" s="300"/>
      <c r="FD97" s="683"/>
      <c r="FE97" s="300"/>
      <c r="FN97" s="683"/>
      <c r="FO97" s="300"/>
      <c r="FX97" s="683"/>
      <c r="FY97" s="300"/>
      <c r="GH97" s="683"/>
      <c r="GI97" s="300"/>
      <c r="GR97" s="683"/>
      <c r="GS97" s="300"/>
      <c r="HC97" s="300"/>
      <c r="HL97" s="683"/>
      <c r="HM97" s="300"/>
      <c r="HV97" s="683"/>
      <c r="HW97" s="300"/>
      <c r="IF97" s="683"/>
      <c r="IG97" s="300"/>
      <c r="IP97" s="683"/>
      <c r="IQ97" s="300"/>
      <c r="IZ97" s="683"/>
      <c r="JA97" s="300"/>
    </row>
    <row r="102" spans="3:261" x14ac:dyDescent="0.3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>
        <f>COUNTIF(AO106:AX124,AO102)</f>
        <v>8</v>
      </c>
      <c r="AQ102" s="8"/>
      <c r="AR102" s="8"/>
      <c r="AS102" s="8"/>
      <c r="AT102" s="8"/>
      <c r="AU102" s="8"/>
      <c r="AV102" s="8"/>
      <c r="AY102" s="205" t="s">
        <v>533</v>
      </c>
      <c r="AZ102">
        <f>COUNTIF(AY106:BH124,AY102)</f>
        <v>7</v>
      </c>
      <c r="BI102" s="205" t="s">
        <v>533</v>
      </c>
      <c r="BJ102">
        <f>COUNTIF(BI106:BR124,BI102)</f>
        <v>2</v>
      </c>
    </row>
    <row r="103" spans="3:261" x14ac:dyDescent="0.3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>
        <f>COUNTIF(AO106:AX124,AO103)</f>
        <v>6</v>
      </c>
      <c r="AQ103" s="8"/>
      <c r="AR103" s="8"/>
      <c r="AS103" s="8"/>
      <c r="AT103" s="8"/>
      <c r="AU103" s="8"/>
      <c r="AV103" s="8"/>
      <c r="AY103" s="205" t="s">
        <v>534</v>
      </c>
      <c r="AZ103">
        <f>COUNTIF(AY106:BH124,AY103)</f>
        <v>6</v>
      </c>
      <c r="BI103" s="205" t="s">
        <v>534</v>
      </c>
      <c r="BJ103">
        <f>COUNTIF(BI106:BR124,BI103)</f>
        <v>2</v>
      </c>
    </row>
    <row r="104" spans="3:261" x14ac:dyDescent="0.3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>
        <f>COUNTIF(AO106:AX124,AO104)</f>
        <v>3</v>
      </c>
      <c r="AQ104" s="8"/>
      <c r="AR104" s="8"/>
      <c r="AS104" s="8"/>
      <c r="AT104" s="8"/>
      <c r="AU104" s="8"/>
      <c r="AV104" s="8"/>
      <c r="AY104" s="205" t="s">
        <v>535</v>
      </c>
      <c r="AZ104">
        <f>COUNTIF(AY106:BH124,AY104)</f>
        <v>1</v>
      </c>
      <c r="BI104" s="205" t="s">
        <v>535</v>
      </c>
      <c r="BJ104">
        <f>COUNTIF(BI106:BR124,BI104)</f>
        <v>0</v>
      </c>
    </row>
    <row r="105" spans="3:261" x14ac:dyDescent="0.3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</row>
    <row r="106" spans="3:261" x14ac:dyDescent="0.3">
      <c r="C106" s="205" t="s">
        <v>2477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2450</v>
      </c>
      <c r="AF106" s="205" t="s">
        <v>2478</v>
      </c>
      <c r="AG106" s="265"/>
      <c r="AH106" s="265"/>
      <c r="AI106" s="265"/>
      <c r="AJ106" s="265"/>
      <c r="AK106" s="265"/>
      <c r="AL106" s="265"/>
      <c r="AM106" s="265"/>
      <c r="AN106" s="1265"/>
      <c r="AO106" s="372" t="s">
        <v>2451</v>
      </c>
      <c r="AP106" s="205" t="s">
        <v>2479</v>
      </c>
      <c r="AQ106" s="265"/>
      <c r="AR106" s="265"/>
      <c r="AS106" s="265"/>
      <c r="AT106" s="265"/>
      <c r="AU106" s="265"/>
      <c r="AV106" s="265"/>
      <c r="AW106" s="265"/>
      <c r="AX106" s="1265"/>
      <c r="AY106" s="372" t="s">
        <v>2452</v>
      </c>
      <c r="AZ106" s="205" t="s">
        <v>2480</v>
      </c>
      <c r="BA106" s="265"/>
      <c r="BB106" s="265"/>
      <c r="BC106" s="265"/>
      <c r="BD106" s="265"/>
      <c r="BE106" s="265"/>
      <c r="BF106" s="265"/>
      <c r="BG106" s="265"/>
      <c r="BH106" s="1265"/>
      <c r="BI106" s="372" t="s">
        <v>2453</v>
      </c>
      <c r="BJ106" s="205" t="s">
        <v>2482</v>
      </c>
      <c r="BK106" s="265"/>
      <c r="BL106" s="265"/>
      <c r="BM106" s="265"/>
      <c r="BN106" s="265"/>
      <c r="BO106" s="265"/>
      <c r="BP106" s="265"/>
      <c r="BQ106" s="265"/>
      <c r="BR106" s="1265"/>
    </row>
    <row r="107" spans="3:261" x14ac:dyDescent="0.3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66"/>
      <c r="AO107" s="300" t="s">
        <v>877</v>
      </c>
      <c r="AP107" t="s">
        <v>533</v>
      </c>
      <c r="AQ107" s="8"/>
      <c r="AR107" s="8"/>
      <c r="AS107" s="8"/>
      <c r="AT107" s="8"/>
      <c r="AU107" s="8"/>
      <c r="AV107" s="8"/>
      <c r="AW107" s="8"/>
      <c r="AX107" s="1266"/>
      <c r="AY107" s="300" t="s">
        <v>877</v>
      </c>
      <c r="BA107" s="8"/>
      <c r="BB107" s="8"/>
      <c r="BC107" s="8"/>
      <c r="BD107" s="8"/>
      <c r="BE107" s="8"/>
      <c r="BF107" s="8"/>
      <c r="BG107" s="8"/>
      <c r="BH107" s="1266"/>
      <c r="BI107" s="300" t="s">
        <v>877</v>
      </c>
      <c r="BK107" s="8"/>
      <c r="BL107" s="8"/>
      <c r="BM107" s="8"/>
      <c r="BN107" s="8"/>
      <c r="BO107" s="8"/>
      <c r="BP107" s="8"/>
      <c r="BQ107" s="8"/>
      <c r="BR107" s="1266"/>
    </row>
    <row r="108" spans="3:261" x14ac:dyDescent="0.3">
      <c r="C108" t="s">
        <v>2281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66"/>
      <c r="AO108" s="300" t="s">
        <v>877</v>
      </c>
      <c r="AP108" t="s">
        <v>681</v>
      </c>
      <c r="AQ108" s="8"/>
      <c r="AR108" s="8"/>
      <c r="AS108" s="8"/>
      <c r="AT108" s="8"/>
      <c r="AU108" s="8"/>
      <c r="AV108" s="8"/>
      <c r="AW108" s="8"/>
      <c r="AX108" s="1266"/>
      <c r="AY108" s="300" t="s">
        <v>877</v>
      </c>
      <c r="BA108" s="8"/>
      <c r="BB108" s="8"/>
      <c r="BC108" s="8"/>
      <c r="BD108" s="8"/>
      <c r="BE108" s="8"/>
      <c r="BF108" s="8"/>
      <c r="BG108" s="8"/>
      <c r="BH108" s="1266"/>
      <c r="BI108" s="300" t="s">
        <v>877</v>
      </c>
      <c r="BK108" s="8"/>
      <c r="BL108" s="8"/>
      <c r="BM108" s="8"/>
      <c r="BN108" s="8"/>
      <c r="BO108" s="8"/>
      <c r="BP108" s="8"/>
      <c r="BQ108" s="8"/>
      <c r="BR108" s="1266"/>
    </row>
    <row r="109" spans="3:261" x14ac:dyDescent="0.3">
      <c r="C109" t="s">
        <v>2441</v>
      </c>
      <c r="AE109" s="300" t="s">
        <v>877</v>
      </c>
      <c r="AF109" t="s">
        <v>2229</v>
      </c>
      <c r="AG109" s="8" t="s">
        <v>533</v>
      </c>
      <c r="AH109" s="8"/>
      <c r="AI109" s="8"/>
      <c r="AJ109" s="8"/>
      <c r="AK109" s="8"/>
      <c r="AL109" s="8"/>
      <c r="AM109" s="8"/>
      <c r="AN109" s="1266"/>
      <c r="AO109" s="300" t="s">
        <v>877</v>
      </c>
      <c r="AP109" t="s">
        <v>535</v>
      </c>
      <c r="AQ109" s="8"/>
      <c r="AR109" s="8"/>
      <c r="AS109" s="8"/>
      <c r="AT109" s="8"/>
      <c r="AU109" s="8"/>
      <c r="AV109" s="8"/>
      <c r="AW109" s="8"/>
      <c r="AX109" s="1266"/>
      <c r="AY109" s="300" t="s">
        <v>877</v>
      </c>
      <c r="BA109" s="8"/>
      <c r="BB109" s="8"/>
      <c r="BC109" s="8"/>
      <c r="BD109" s="8"/>
      <c r="BE109" s="8"/>
      <c r="BF109" s="8"/>
      <c r="BG109" s="8"/>
      <c r="BH109" s="1266"/>
      <c r="BI109" s="300" t="s">
        <v>877</v>
      </c>
      <c r="BK109" s="8"/>
      <c r="BL109" s="8"/>
      <c r="BM109" s="8"/>
      <c r="BN109" s="8"/>
      <c r="BO109" s="8"/>
      <c r="BP109" s="8"/>
      <c r="BQ109" s="8"/>
      <c r="BR109" s="1266"/>
    </row>
    <row r="110" spans="3:261" x14ac:dyDescent="0.3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66"/>
      <c r="AO110" s="300" t="s">
        <v>877</v>
      </c>
      <c r="AQ110" s="8"/>
      <c r="AR110" s="8"/>
      <c r="AS110" s="8"/>
      <c r="AT110" s="8"/>
      <c r="AU110" s="8"/>
      <c r="AV110" s="8"/>
      <c r="AW110" s="8"/>
      <c r="AX110" s="1266"/>
      <c r="AY110" s="300" t="s">
        <v>877</v>
      </c>
      <c r="BA110" s="8"/>
      <c r="BB110" s="8"/>
      <c r="BC110" s="8"/>
      <c r="BD110" s="8"/>
      <c r="BE110" s="8"/>
      <c r="BF110" s="8"/>
      <c r="BG110" s="8"/>
      <c r="BH110" s="1266"/>
      <c r="BI110" s="300" t="s">
        <v>877</v>
      </c>
      <c r="BK110" s="8"/>
      <c r="BL110" s="8"/>
      <c r="BM110" s="8"/>
      <c r="BN110" s="8"/>
      <c r="BO110" s="8"/>
      <c r="BP110" s="8"/>
      <c r="BQ110" s="8"/>
      <c r="BR110" s="1266"/>
    </row>
    <row r="111" spans="3:261" x14ac:dyDescent="0.3">
      <c r="C111" t="s">
        <v>2180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66"/>
      <c r="AO111" s="300" t="s">
        <v>877</v>
      </c>
      <c r="AQ111" s="8"/>
      <c r="AR111" s="8"/>
      <c r="AS111" s="8"/>
      <c r="AT111" s="8"/>
      <c r="AU111" s="8"/>
      <c r="AV111" s="8"/>
      <c r="AW111" s="8"/>
      <c r="AX111" s="1266"/>
      <c r="AY111" s="300" t="s">
        <v>877</v>
      </c>
      <c r="AZ111" t="s">
        <v>533</v>
      </c>
      <c r="BA111" s="8"/>
      <c r="BB111" s="8"/>
      <c r="BC111" s="8"/>
      <c r="BD111" s="8"/>
      <c r="BE111" s="8"/>
      <c r="BF111" s="8"/>
      <c r="BG111" s="8"/>
      <c r="BH111" s="1266"/>
      <c r="BI111" s="300" t="s">
        <v>877</v>
      </c>
      <c r="BJ111" t="s">
        <v>533</v>
      </c>
      <c r="BK111" s="8"/>
      <c r="BL111" s="8"/>
      <c r="BM111" s="8"/>
      <c r="BN111" s="8"/>
      <c r="BO111" s="8"/>
      <c r="BP111" s="8"/>
      <c r="BQ111" s="8"/>
      <c r="BR111" s="1266"/>
    </row>
    <row r="112" spans="3:261" x14ac:dyDescent="0.3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66"/>
      <c r="AO112" s="300" t="s">
        <v>877</v>
      </c>
      <c r="AQ112" s="8"/>
      <c r="AR112" s="8"/>
      <c r="AS112" s="8"/>
      <c r="AT112" s="8"/>
      <c r="AU112" s="8"/>
      <c r="AV112" s="8"/>
      <c r="AW112" s="8"/>
      <c r="AX112" s="1266"/>
      <c r="AY112" s="300" t="s">
        <v>877</v>
      </c>
      <c r="BA112" s="8"/>
      <c r="BB112" s="8"/>
      <c r="BC112" s="8"/>
      <c r="BD112" s="8"/>
      <c r="BE112" s="8"/>
      <c r="BF112" s="8"/>
      <c r="BG112" s="8"/>
      <c r="BH112" s="1266"/>
      <c r="BI112" s="300" t="s">
        <v>877</v>
      </c>
      <c r="BK112" s="8"/>
      <c r="BL112" s="8"/>
      <c r="BM112" s="8"/>
      <c r="BN112" s="8"/>
      <c r="BO112" s="8"/>
      <c r="BP112" s="8"/>
      <c r="BQ112" s="8"/>
      <c r="BR112" s="1266"/>
    </row>
    <row r="113" spans="3:70" x14ac:dyDescent="0.3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66"/>
      <c r="AO113" s="300" t="s">
        <v>877</v>
      </c>
      <c r="AP113" t="s">
        <v>533</v>
      </c>
      <c r="AQ113" s="8" t="s">
        <v>533</v>
      </c>
      <c r="AR113" s="8"/>
      <c r="AS113" s="8"/>
      <c r="AT113" s="8"/>
      <c r="AU113" s="8"/>
      <c r="AV113" s="8"/>
      <c r="AW113" s="8"/>
      <c r="AX113" s="1266"/>
      <c r="AY113" s="300" t="s">
        <v>877</v>
      </c>
      <c r="AZ113" t="s">
        <v>533</v>
      </c>
      <c r="BA113" s="8" t="s">
        <v>534</v>
      </c>
      <c r="BB113" s="8" t="s">
        <v>533</v>
      </c>
      <c r="BC113" s="8" t="s">
        <v>533</v>
      </c>
      <c r="BD113" s="8" t="s">
        <v>992</v>
      </c>
      <c r="BE113" s="8"/>
      <c r="BF113" s="8"/>
      <c r="BG113" s="8"/>
      <c r="BH113" s="1266"/>
      <c r="BI113" s="300" t="s">
        <v>877</v>
      </c>
      <c r="BJ113" t="s">
        <v>534</v>
      </c>
      <c r="BK113" s="8"/>
      <c r="BL113" s="8"/>
      <c r="BM113" s="8"/>
      <c r="BN113" s="8"/>
      <c r="BO113" s="8"/>
      <c r="BP113" s="8"/>
      <c r="BQ113" s="8"/>
      <c r="BR113" s="1266"/>
    </row>
    <row r="114" spans="3:70" x14ac:dyDescent="0.3">
      <c r="C114" t="s">
        <v>2148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66"/>
      <c r="AO114" s="300" t="s">
        <v>877</v>
      </c>
      <c r="AQ114" s="8"/>
      <c r="AR114" s="8"/>
      <c r="AS114" s="8"/>
      <c r="AT114" s="8"/>
      <c r="AU114" s="8"/>
      <c r="AV114" s="8"/>
      <c r="AW114" s="8"/>
      <c r="AX114" s="1266"/>
      <c r="AY114" s="300" t="s">
        <v>877</v>
      </c>
      <c r="BA114" s="8"/>
      <c r="BB114" s="8"/>
      <c r="BC114" s="8"/>
      <c r="BD114" s="8"/>
      <c r="BE114" s="8"/>
      <c r="BF114" s="8"/>
      <c r="BG114" s="8"/>
      <c r="BH114" s="1266"/>
      <c r="BI114" s="300" t="s">
        <v>877</v>
      </c>
      <c r="BK114" s="8"/>
      <c r="BL114" s="8"/>
      <c r="BM114" s="8"/>
      <c r="BN114" s="8"/>
      <c r="BO114" s="8"/>
      <c r="BP114" s="8"/>
      <c r="BQ114" s="8"/>
      <c r="BR114" s="1266"/>
    </row>
    <row r="115" spans="3:70" x14ac:dyDescent="0.3">
      <c r="C115" t="s">
        <v>2184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66"/>
      <c r="AO115" s="300" t="s">
        <v>877</v>
      </c>
      <c r="AQ115" s="8"/>
      <c r="AR115" s="8"/>
      <c r="AS115" s="8"/>
      <c r="AT115" s="8"/>
      <c r="AU115" s="8"/>
      <c r="AV115" s="8"/>
      <c r="AW115" s="8"/>
      <c r="AX115" s="1266"/>
      <c r="AY115" s="300" t="s">
        <v>877</v>
      </c>
      <c r="AZ115" t="s">
        <v>2229</v>
      </c>
      <c r="BA115" s="8" t="s">
        <v>533</v>
      </c>
      <c r="BB115" s="8"/>
      <c r="BC115" s="8"/>
      <c r="BD115" s="8"/>
      <c r="BE115" s="8"/>
      <c r="BF115" s="8"/>
      <c r="BG115" s="8"/>
      <c r="BH115" s="1266"/>
      <c r="BI115" s="300" t="s">
        <v>877</v>
      </c>
      <c r="BK115" s="8"/>
      <c r="BL115" s="8"/>
      <c r="BM115" s="8"/>
      <c r="BN115" s="8"/>
      <c r="BO115" s="8"/>
      <c r="BP115" s="8"/>
      <c r="BQ115" s="8"/>
      <c r="BR115" s="1266"/>
    </row>
    <row r="116" spans="3:70" x14ac:dyDescent="0.3">
      <c r="C116" t="s">
        <v>2283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66"/>
      <c r="AO116" s="300" t="s">
        <v>877</v>
      </c>
      <c r="AQ116" s="8"/>
      <c r="AR116" s="8"/>
      <c r="AS116" s="8"/>
      <c r="AT116" s="8"/>
      <c r="AU116" s="8"/>
      <c r="AV116" s="8"/>
      <c r="AW116" s="8"/>
      <c r="AX116" s="1266"/>
      <c r="AY116" s="300" t="s">
        <v>877</v>
      </c>
      <c r="BA116" s="8"/>
      <c r="BB116" s="8"/>
      <c r="BC116" s="8"/>
      <c r="BD116" s="8"/>
      <c r="BE116" s="8"/>
      <c r="BF116" s="8"/>
      <c r="BG116" s="8"/>
      <c r="BH116" s="1266"/>
      <c r="BI116" s="300" t="s">
        <v>877</v>
      </c>
      <c r="BK116" s="8"/>
      <c r="BL116" s="8"/>
      <c r="BM116" s="8"/>
      <c r="BN116" s="8"/>
      <c r="BO116" s="8"/>
      <c r="BP116" s="8"/>
      <c r="BQ116" s="8"/>
      <c r="BR116" s="1266"/>
    </row>
    <row r="117" spans="3:70" x14ac:dyDescent="0.3">
      <c r="C117" t="s">
        <v>2280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66"/>
      <c r="AO117" s="300" t="s">
        <v>877</v>
      </c>
      <c r="AQ117" s="8"/>
      <c r="AR117" s="8"/>
      <c r="AS117" s="8"/>
      <c r="AT117" s="8"/>
      <c r="AU117" s="8"/>
      <c r="AV117" s="8"/>
      <c r="AW117" s="8"/>
      <c r="AX117" s="1266"/>
      <c r="AY117" s="300" t="s">
        <v>877</v>
      </c>
      <c r="AZ117" t="s">
        <v>534</v>
      </c>
      <c r="BA117" s="8"/>
      <c r="BB117" s="8"/>
      <c r="BC117" s="8"/>
      <c r="BD117" s="8"/>
      <c r="BE117" s="8"/>
      <c r="BF117" s="8"/>
      <c r="BG117" s="8"/>
      <c r="BH117" s="1266"/>
      <c r="BI117" s="300" t="s">
        <v>877</v>
      </c>
      <c r="BK117" s="8"/>
      <c r="BL117" s="8"/>
      <c r="BM117" s="8"/>
      <c r="BN117" s="8"/>
      <c r="BO117" s="8"/>
      <c r="BP117" s="8"/>
      <c r="BQ117" s="8"/>
      <c r="BR117" s="1266"/>
    </row>
    <row r="118" spans="3:70" x14ac:dyDescent="0.3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66"/>
      <c r="AO118" s="300" t="s">
        <v>877</v>
      </c>
      <c r="AP118" t="s">
        <v>535</v>
      </c>
      <c r="AQ118" s="8" t="s">
        <v>534</v>
      </c>
      <c r="AR118" s="8" t="s">
        <v>534</v>
      </c>
      <c r="AS118" s="8" t="s">
        <v>534</v>
      </c>
      <c r="AT118" s="8"/>
      <c r="AU118" s="8"/>
      <c r="AV118" s="8"/>
      <c r="AW118" s="8"/>
      <c r="AX118" s="1266"/>
      <c r="AY118" s="300" t="s">
        <v>877</v>
      </c>
      <c r="BA118" s="8"/>
      <c r="BB118" s="8"/>
      <c r="BC118" s="8"/>
      <c r="BD118" s="8"/>
      <c r="BE118" s="8"/>
      <c r="BF118" s="8"/>
      <c r="BG118" s="8"/>
      <c r="BH118" s="1266"/>
      <c r="BI118" s="300" t="s">
        <v>877</v>
      </c>
      <c r="BK118" s="8"/>
      <c r="BL118" s="8"/>
      <c r="BM118" s="8"/>
      <c r="BN118" s="8"/>
      <c r="BO118" s="8"/>
      <c r="BP118" s="8"/>
      <c r="BQ118" s="8"/>
      <c r="BR118" s="1266"/>
    </row>
    <row r="119" spans="3:70" x14ac:dyDescent="0.3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66"/>
      <c r="AO119" s="300" t="s">
        <v>877</v>
      </c>
      <c r="AP119" t="s">
        <v>533</v>
      </c>
      <c r="AQ119" s="8"/>
      <c r="AR119" s="8"/>
      <c r="AS119" s="8"/>
      <c r="AT119" s="265"/>
      <c r="AU119" s="265"/>
      <c r="AV119" s="265"/>
      <c r="AW119" s="8"/>
      <c r="AX119" s="1266"/>
      <c r="AY119" s="300" t="s">
        <v>877</v>
      </c>
      <c r="AZ119" t="s">
        <v>534</v>
      </c>
      <c r="BA119" s="8" t="s">
        <v>534</v>
      </c>
      <c r="BB119" s="8"/>
      <c r="BC119" s="8"/>
      <c r="BD119" s="265"/>
      <c r="BE119" s="265"/>
      <c r="BF119" s="265"/>
      <c r="BG119" s="8"/>
      <c r="BH119" s="1266"/>
      <c r="BI119" s="300" t="s">
        <v>877</v>
      </c>
      <c r="BJ119" t="s">
        <v>534</v>
      </c>
      <c r="BK119" s="8" t="s">
        <v>533</v>
      </c>
      <c r="BL119" s="8" t="s">
        <v>540</v>
      </c>
      <c r="BM119" s="8"/>
      <c r="BN119" s="265"/>
      <c r="BO119" s="265"/>
      <c r="BP119" s="265"/>
      <c r="BQ119" s="8"/>
      <c r="BR119" s="1266"/>
    </row>
    <row r="120" spans="3:70" x14ac:dyDescent="0.3">
      <c r="C120" t="s">
        <v>2442</v>
      </c>
      <c r="AE120" s="300" t="s">
        <v>877</v>
      </c>
      <c r="AN120" s="683"/>
      <c r="AO120" s="300" t="s">
        <v>877</v>
      </c>
      <c r="AP120" t="s">
        <v>534</v>
      </c>
      <c r="AQ120" t="s">
        <v>534</v>
      </c>
      <c r="AX120" s="683"/>
      <c r="AY120" s="300" t="s">
        <v>877</v>
      </c>
      <c r="BH120" s="683"/>
      <c r="BI120" s="300" t="s">
        <v>877</v>
      </c>
      <c r="BR120" s="683"/>
    </row>
    <row r="121" spans="3:70" x14ac:dyDescent="0.3">
      <c r="C121" t="s">
        <v>2282</v>
      </c>
      <c r="AE121" s="300" t="s">
        <v>877</v>
      </c>
      <c r="AF121" t="s">
        <v>534</v>
      </c>
      <c r="AN121" s="683"/>
      <c r="AO121" s="300" t="s">
        <v>877</v>
      </c>
      <c r="AP121" t="s">
        <v>535</v>
      </c>
      <c r="AQ121" t="s">
        <v>533</v>
      </c>
      <c r="AX121" s="683"/>
      <c r="AY121" s="300" t="s">
        <v>877</v>
      </c>
      <c r="BH121" s="683"/>
      <c r="BI121" s="300" t="s">
        <v>877</v>
      </c>
      <c r="BR121" s="683"/>
    </row>
    <row r="122" spans="3:70" x14ac:dyDescent="0.3">
      <c r="C122" t="s">
        <v>2443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66"/>
      <c r="AO122" s="300" t="s">
        <v>877</v>
      </c>
      <c r="AP122" t="s">
        <v>533</v>
      </c>
      <c r="AQ122" s="8"/>
      <c r="AR122" s="8"/>
      <c r="AS122" s="8"/>
      <c r="AT122" s="265"/>
      <c r="AU122" s="265"/>
      <c r="AV122" s="265"/>
      <c r="AW122" s="8"/>
      <c r="AX122" s="1266"/>
      <c r="AY122" s="300" t="s">
        <v>877</v>
      </c>
      <c r="AZ122" t="s">
        <v>535</v>
      </c>
      <c r="BA122" s="8" t="s">
        <v>534</v>
      </c>
      <c r="BB122" s="8"/>
      <c r="BC122" s="8"/>
      <c r="BD122" s="265"/>
      <c r="BE122" s="265"/>
      <c r="BF122" s="265"/>
      <c r="BG122" s="8"/>
      <c r="BH122" s="1266"/>
      <c r="BI122" s="300" t="s">
        <v>877</v>
      </c>
      <c r="BK122" s="8"/>
      <c r="BL122" s="8"/>
      <c r="BM122" s="8"/>
      <c r="BN122" s="265"/>
      <c r="BO122" s="265"/>
      <c r="BP122" s="265"/>
      <c r="BQ122" s="8"/>
      <c r="BR122" s="1266"/>
    </row>
    <row r="123" spans="3:70" x14ac:dyDescent="0.3">
      <c r="C123" t="s">
        <v>2444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P123" t="s">
        <v>2229</v>
      </c>
      <c r="AQ123" t="s">
        <v>533</v>
      </c>
      <c r="AR123" t="s">
        <v>534</v>
      </c>
      <c r="AS123" t="s">
        <v>533</v>
      </c>
      <c r="AX123" s="683"/>
      <c r="AY123" s="300" t="s">
        <v>877</v>
      </c>
      <c r="AZ123" t="s">
        <v>534</v>
      </c>
      <c r="BA123" t="s">
        <v>533</v>
      </c>
      <c r="BB123" t="s">
        <v>533</v>
      </c>
      <c r="BC123" t="s">
        <v>545</v>
      </c>
      <c r="BD123" t="s">
        <v>556</v>
      </c>
      <c r="BH123" s="683"/>
      <c r="BI123" s="300" t="s">
        <v>877</v>
      </c>
      <c r="BR123" s="683"/>
    </row>
    <row r="124" spans="3:70" x14ac:dyDescent="0.3">
      <c r="AE124" s="300"/>
      <c r="AN124" s="683"/>
      <c r="AO124" s="300"/>
      <c r="AX124" s="683"/>
      <c r="AY124" s="300"/>
      <c r="BH124" s="683"/>
      <c r="BI124" s="300"/>
      <c r="BR124" s="683"/>
    </row>
    <row r="126" spans="3:70" x14ac:dyDescent="0.3">
      <c r="AY126" t="s">
        <v>2481</v>
      </c>
    </row>
    <row r="130" spans="3:28" x14ac:dyDescent="0.3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3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3">
      <c r="C132" t="s">
        <v>2281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3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3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3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3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3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3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</sheetData>
  <mergeCells count="9">
    <mergeCell ref="E72:F72"/>
    <mergeCell ref="AI10:AJ10"/>
    <mergeCell ref="AI14:AJ14"/>
    <mergeCell ref="BQ10:BR10"/>
    <mergeCell ref="E66:F66"/>
    <mergeCell ref="E67:F67"/>
    <mergeCell ref="E68:F68"/>
    <mergeCell ref="E70:F70"/>
    <mergeCell ref="E71:F71"/>
  </mergeCells>
  <pageMargins left="0.7" right="0.7" top="0.75" bottom="0.75" header="0.3" footer="0.3"/>
  <pageSetup paperSize="9" scale="5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6554E-9D1C-4D9A-80AF-A0D599385747}">
  <sheetPr>
    <pageSetUpPr fitToPage="1"/>
  </sheetPr>
  <dimension ref="B2:JN138"/>
  <sheetViews>
    <sheetView zoomScale="70" zoomScaleNormal="70" workbookViewId="0">
      <pane xSplit="3" topLeftCell="D1" activePane="topRight" state="frozen"/>
      <selection pane="topRight" activeCell="BU28" sqref="BU28"/>
    </sheetView>
  </sheetViews>
  <sheetFormatPr defaultRowHeight="14.4" x14ac:dyDescent="0.3"/>
  <cols>
    <col min="1" max="1" width="2.88671875" customWidth="1"/>
    <col min="2" max="2" width="5.6640625" customWidth="1"/>
    <col min="3" max="3" width="27.88671875" bestFit="1" customWidth="1"/>
    <col min="4" max="29" width="5.6640625" customWidth="1"/>
    <col min="31" max="33" width="3.6640625" customWidth="1"/>
    <col min="34" max="274" width="3.5546875" customWidth="1"/>
  </cols>
  <sheetData>
    <row r="2" spans="2:70" x14ac:dyDescent="0.3">
      <c r="C2" s="205" t="s">
        <v>2412</v>
      </c>
      <c r="D2" s="205" t="s">
        <v>2525</v>
      </c>
      <c r="AE2" s="205"/>
    </row>
    <row r="4" spans="2:70" x14ac:dyDescent="0.3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0" ht="15" thickBot="1" x14ac:dyDescent="0.35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2229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0" x14ac:dyDescent="0.3">
      <c r="B6" s="601"/>
      <c r="C6" s="602" t="s">
        <v>48</v>
      </c>
      <c r="D6" s="253">
        <v>17</v>
      </c>
      <c r="E6" s="229">
        <f t="shared" ref="E6:F21" si="1">COUNTIF(80:80,E$5)</f>
        <v>1</v>
      </c>
      <c r="F6" s="229">
        <f t="shared" si="1"/>
        <v>4</v>
      </c>
      <c r="G6" s="229">
        <f>E6+F6</f>
        <v>5</v>
      </c>
      <c r="H6" s="229">
        <f t="shared" ref="H6:T21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0" x14ac:dyDescent="0.3">
      <c r="B7" s="601"/>
      <c r="C7" s="602" t="s">
        <v>2281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si="2"/>
        <v>1</v>
      </c>
      <c r="I7" s="119">
        <f t="shared" si="2"/>
        <v>0</v>
      </c>
      <c r="J7" s="119">
        <f t="shared" si="2"/>
        <v>0</v>
      </c>
      <c r="K7" s="227">
        <f t="shared" si="2"/>
        <v>0</v>
      </c>
      <c r="L7" s="227">
        <f t="shared" si="2"/>
        <v>0</v>
      </c>
      <c r="M7" s="227">
        <f t="shared" si="2"/>
        <v>0</v>
      </c>
      <c r="N7" s="227">
        <f t="shared" si="2"/>
        <v>0</v>
      </c>
      <c r="O7" s="227">
        <f t="shared" si="2"/>
        <v>0</v>
      </c>
      <c r="P7" s="227">
        <f t="shared" si="2"/>
        <v>0</v>
      </c>
      <c r="Q7" s="227">
        <f t="shared" si="2"/>
        <v>0</v>
      </c>
      <c r="R7" s="227">
        <f t="shared" si="2"/>
        <v>0</v>
      </c>
      <c r="S7" s="227">
        <f t="shared" si="2"/>
        <v>3</v>
      </c>
      <c r="T7" s="227">
        <f t="shared" si="2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0" x14ac:dyDescent="0.3">
      <c r="B8" s="601"/>
      <c r="C8" s="602" t="s">
        <v>2441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si="2"/>
        <v>0</v>
      </c>
      <c r="I8" s="229">
        <f t="shared" si="2"/>
        <v>1</v>
      </c>
      <c r="J8" s="229">
        <f t="shared" si="2"/>
        <v>0</v>
      </c>
      <c r="K8" s="230">
        <f t="shared" si="2"/>
        <v>0</v>
      </c>
      <c r="L8" s="254">
        <f t="shared" si="2"/>
        <v>0</v>
      </c>
      <c r="M8" s="230">
        <f t="shared" si="2"/>
        <v>0</v>
      </c>
      <c r="N8" s="230">
        <f t="shared" si="2"/>
        <v>0</v>
      </c>
      <c r="O8" s="230">
        <f t="shared" si="2"/>
        <v>0</v>
      </c>
      <c r="P8" s="230">
        <f t="shared" si="2"/>
        <v>0</v>
      </c>
      <c r="Q8" s="230">
        <f t="shared" si="2"/>
        <v>1</v>
      </c>
      <c r="R8" s="230">
        <f t="shared" si="2"/>
        <v>0</v>
      </c>
      <c r="S8" s="230">
        <f t="shared" si="2"/>
        <v>0</v>
      </c>
      <c r="T8" s="230">
        <f t="shared" si="2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0" x14ac:dyDescent="0.3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si="2"/>
        <v>0</v>
      </c>
      <c r="I9" s="119">
        <f t="shared" si="2"/>
        <v>1</v>
      </c>
      <c r="J9" s="119">
        <f t="shared" si="2"/>
        <v>0</v>
      </c>
      <c r="K9" s="227">
        <f t="shared" si="2"/>
        <v>0</v>
      </c>
      <c r="L9" s="227">
        <f t="shared" si="2"/>
        <v>0</v>
      </c>
      <c r="M9" s="227">
        <f t="shared" si="2"/>
        <v>0</v>
      </c>
      <c r="N9" s="119">
        <f t="shared" si="2"/>
        <v>0</v>
      </c>
      <c r="O9" s="227">
        <f t="shared" si="2"/>
        <v>0</v>
      </c>
      <c r="P9" s="119">
        <f t="shared" si="2"/>
        <v>0</v>
      </c>
      <c r="Q9" s="119">
        <f t="shared" si="2"/>
        <v>0</v>
      </c>
      <c r="R9" s="119">
        <f t="shared" si="2"/>
        <v>0</v>
      </c>
      <c r="S9" s="119">
        <f t="shared" si="2"/>
        <v>0</v>
      </c>
      <c r="T9" s="119">
        <f t="shared" si="2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</row>
    <row r="10" spans="2:70" x14ac:dyDescent="0.3">
      <c r="B10" s="601"/>
      <c r="C10" s="602" t="s">
        <v>2180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si="2"/>
        <v>1</v>
      </c>
      <c r="I10" s="229">
        <f t="shared" si="2"/>
        <v>1</v>
      </c>
      <c r="J10" s="229">
        <f t="shared" si="2"/>
        <v>0</v>
      </c>
      <c r="K10" s="229">
        <f t="shared" si="2"/>
        <v>0</v>
      </c>
      <c r="L10" s="230">
        <f t="shared" si="2"/>
        <v>0</v>
      </c>
      <c r="M10" s="230">
        <f t="shared" si="2"/>
        <v>0</v>
      </c>
      <c r="N10" s="230">
        <f t="shared" si="2"/>
        <v>0</v>
      </c>
      <c r="O10" s="230">
        <f t="shared" si="2"/>
        <v>0</v>
      </c>
      <c r="P10" s="229">
        <f t="shared" si="2"/>
        <v>0</v>
      </c>
      <c r="Q10" s="229">
        <f t="shared" si="2"/>
        <v>0</v>
      </c>
      <c r="R10" s="229">
        <f t="shared" si="2"/>
        <v>0</v>
      </c>
      <c r="S10" s="229">
        <f t="shared" si="2"/>
        <v>0</v>
      </c>
      <c r="T10" s="229">
        <f t="shared" si="2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1"/>
      <c r="AJ10" s="1301"/>
      <c r="BQ10" s="1301"/>
      <c r="BR10" s="1301"/>
    </row>
    <row r="11" spans="2:70" x14ac:dyDescent="0.3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si="2"/>
        <v>0</v>
      </c>
      <c r="I11" s="119">
        <f t="shared" si="2"/>
        <v>0</v>
      </c>
      <c r="J11" s="119">
        <f t="shared" si="2"/>
        <v>0</v>
      </c>
      <c r="K11" s="227">
        <f t="shared" si="2"/>
        <v>0</v>
      </c>
      <c r="L11" s="227">
        <f t="shared" si="2"/>
        <v>0</v>
      </c>
      <c r="M11" s="227">
        <f t="shared" si="2"/>
        <v>0</v>
      </c>
      <c r="N11" s="227">
        <f t="shared" si="2"/>
        <v>0</v>
      </c>
      <c r="O11" s="227">
        <f t="shared" si="2"/>
        <v>0</v>
      </c>
      <c r="P11" s="227">
        <f t="shared" si="2"/>
        <v>0</v>
      </c>
      <c r="Q11" s="227">
        <f t="shared" si="2"/>
        <v>0</v>
      </c>
      <c r="R11" s="227">
        <f t="shared" si="2"/>
        <v>0</v>
      </c>
      <c r="S11" s="227">
        <f t="shared" si="2"/>
        <v>0</v>
      </c>
      <c r="T11" s="227">
        <f t="shared" si="2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0" x14ac:dyDescent="0.3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si="2"/>
        <v>0</v>
      </c>
      <c r="I12" s="229">
        <f t="shared" si="2"/>
        <v>3</v>
      </c>
      <c r="J12" s="229">
        <f t="shared" si="2"/>
        <v>0</v>
      </c>
      <c r="K12" s="229">
        <f t="shared" si="2"/>
        <v>0</v>
      </c>
      <c r="L12" s="230">
        <f t="shared" si="2"/>
        <v>0</v>
      </c>
      <c r="M12" s="230">
        <f t="shared" si="2"/>
        <v>0</v>
      </c>
      <c r="N12" s="230">
        <f t="shared" si="2"/>
        <v>0</v>
      </c>
      <c r="O12" s="230">
        <f t="shared" si="2"/>
        <v>0</v>
      </c>
      <c r="P12" s="229">
        <f t="shared" si="2"/>
        <v>3</v>
      </c>
      <c r="Q12" s="229">
        <f t="shared" si="2"/>
        <v>0</v>
      </c>
      <c r="R12" s="229">
        <f t="shared" si="2"/>
        <v>0</v>
      </c>
      <c r="S12" s="229">
        <f t="shared" si="2"/>
        <v>0</v>
      </c>
      <c r="T12" s="229">
        <f t="shared" si="2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0" x14ac:dyDescent="0.3">
      <c r="B13" s="601"/>
      <c r="C13" s="602" t="s">
        <v>2148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si="2"/>
        <v>0</v>
      </c>
      <c r="I13" s="119">
        <f t="shared" si="2"/>
        <v>1</v>
      </c>
      <c r="J13" s="119">
        <f t="shared" si="2"/>
        <v>0</v>
      </c>
      <c r="K13" s="227">
        <f t="shared" si="2"/>
        <v>0</v>
      </c>
      <c r="L13" s="227">
        <f t="shared" si="2"/>
        <v>0</v>
      </c>
      <c r="M13" s="227">
        <f t="shared" si="2"/>
        <v>0</v>
      </c>
      <c r="N13" s="227">
        <f t="shared" si="2"/>
        <v>1</v>
      </c>
      <c r="O13" s="227">
        <f t="shared" si="2"/>
        <v>1</v>
      </c>
      <c r="P13" s="227">
        <f t="shared" si="2"/>
        <v>2</v>
      </c>
      <c r="Q13" s="227">
        <f t="shared" si="2"/>
        <v>0</v>
      </c>
      <c r="R13" s="227">
        <f t="shared" si="2"/>
        <v>0</v>
      </c>
      <c r="S13" s="227">
        <f t="shared" si="2"/>
        <v>0</v>
      </c>
      <c r="T13" s="227">
        <f t="shared" si="2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0" x14ac:dyDescent="0.3">
      <c r="B14" s="601"/>
      <c r="C14" s="602" t="s">
        <v>2184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si="2"/>
        <v>2</v>
      </c>
      <c r="I14" s="229">
        <f t="shared" si="2"/>
        <v>1</v>
      </c>
      <c r="J14" s="229">
        <f t="shared" si="2"/>
        <v>0</v>
      </c>
      <c r="K14" s="230">
        <f t="shared" si="2"/>
        <v>0</v>
      </c>
      <c r="L14" s="230">
        <f t="shared" si="2"/>
        <v>0</v>
      </c>
      <c r="M14" s="230">
        <f t="shared" si="2"/>
        <v>0</v>
      </c>
      <c r="N14" s="230">
        <f t="shared" si="2"/>
        <v>0</v>
      </c>
      <c r="O14" s="230">
        <f t="shared" si="2"/>
        <v>0</v>
      </c>
      <c r="P14" s="230">
        <f t="shared" si="2"/>
        <v>0</v>
      </c>
      <c r="Q14" s="230">
        <f t="shared" si="2"/>
        <v>0</v>
      </c>
      <c r="R14" s="230">
        <f t="shared" si="2"/>
        <v>0</v>
      </c>
      <c r="S14" s="230">
        <f t="shared" si="2"/>
        <v>0</v>
      </c>
      <c r="T14" s="230">
        <f t="shared" si="2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1"/>
      <c r="AJ14" s="1301"/>
    </row>
    <row r="15" spans="2:70" x14ac:dyDescent="0.3">
      <c r="B15" s="601"/>
      <c r="C15" s="602" t="s">
        <v>2283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si="2"/>
        <v>5</v>
      </c>
      <c r="I15" s="119">
        <f t="shared" si="2"/>
        <v>2</v>
      </c>
      <c r="J15" s="119">
        <f t="shared" si="2"/>
        <v>0</v>
      </c>
      <c r="K15" s="227">
        <f t="shared" si="2"/>
        <v>0</v>
      </c>
      <c r="L15" s="227">
        <f t="shared" si="2"/>
        <v>0</v>
      </c>
      <c r="M15" s="227">
        <f t="shared" si="2"/>
        <v>0</v>
      </c>
      <c r="N15" s="227">
        <f t="shared" si="2"/>
        <v>0</v>
      </c>
      <c r="O15" s="227">
        <f t="shared" si="2"/>
        <v>0</v>
      </c>
      <c r="P15" s="119">
        <f t="shared" si="2"/>
        <v>0</v>
      </c>
      <c r="Q15" s="119">
        <f t="shared" si="2"/>
        <v>0</v>
      </c>
      <c r="R15" s="119">
        <f t="shared" si="2"/>
        <v>0</v>
      </c>
      <c r="S15" s="119">
        <f t="shared" si="2"/>
        <v>0</v>
      </c>
      <c r="T15" s="119">
        <f t="shared" si="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0" x14ac:dyDescent="0.3">
      <c r="B16" s="601"/>
      <c r="C16" s="602" t="s">
        <v>2280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si="2"/>
        <v>1</v>
      </c>
      <c r="I16" s="229">
        <f t="shared" si="2"/>
        <v>0</v>
      </c>
      <c r="J16" s="229">
        <f t="shared" si="2"/>
        <v>0</v>
      </c>
      <c r="K16" s="230">
        <f t="shared" si="2"/>
        <v>0</v>
      </c>
      <c r="L16" s="230">
        <f t="shared" si="2"/>
        <v>0</v>
      </c>
      <c r="M16" s="230">
        <f t="shared" si="2"/>
        <v>0</v>
      </c>
      <c r="N16" s="230">
        <f t="shared" si="2"/>
        <v>0</v>
      </c>
      <c r="O16" s="230">
        <f t="shared" si="2"/>
        <v>0</v>
      </c>
      <c r="P16" s="230">
        <f t="shared" si="2"/>
        <v>0</v>
      </c>
      <c r="Q16" s="230">
        <f t="shared" si="2"/>
        <v>0</v>
      </c>
      <c r="R16" s="230">
        <f t="shared" si="2"/>
        <v>0</v>
      </c>
      <c r="S16" s="230">
        <f t="shared" si="2"/>
        <v>0</v>
      </c>
      <c r="T16" s="230">
        <f t="shared" si="2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48" x14ac:dyDescent="0.3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si="2"/>
        <v>2</v>
      </c>
      <c r="I17" s="119">
        <f t="shared" si="2"/>
        <v>0</v>
      </c>
      <c r="J17" s="119">
        <f t="shared" si="2"/>
        <v>0</v>
      </c>
      <c r="K17" s="227">
        <f t="shared" si="2"/>
        <v>0</v>
      </c>
      <c r="L17" s="227">
        <f t="shared" si="2"/>
        <v>0</v>
      </c>
      <c r="M17" s="227">
        <f t="shared" si="2"/>
        <v>0</v>
      </c>
      <c r="N17" s="227">
        <f t="shared" si="2"/>
        <v>0</v>
      </c>
      <c r="O17" s="227">
        <f t="shared" si="2"/>
        <v>0</v>
      </c>
      <c r="P17" s="227">
        <f t="shared" si="2"/>
        <v>0</v>
      </c>
      <c r="Q17" s="227">
        <f t="shared" si="2"/>
        <v>0</v>
      </c>
      <c r="R17" s="227">
        <f t="shared" si="2"/>
        <v>0</v>
      </c>
      <c r="S17" s="227">
        <f t="shared" si="2"/>
        <v>0</v>
      </c>
      <c r="T17" s="227">
        <f t="shared" si="2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48" x14ac:dyDescent="0.3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si="2"/>
        <v>2</v>
      </c>
      <c r="I18" s="229">
        <f t="shared" si="2"/>
        <v>0</v>
      </c>
      <c r="J18" s="229">
        <f t="shared" si="2"/>
        <v>1</v>
      </c>
      <c r="K18" s="230">
        <f t="shared" si="2"/>
        <v>1</v>
      </c>
      <c r="L18" s="230">
        <f t="shared" si="2"/>
        <v>0</v>
      </c>
      <c r="M18" s="230">
        <f t="shared" si="2"/>
        <v>0</v>
      </c>
      <c r="N18" s="230">
        <f t="shared" si="2"/>
        <v>0</v>
      </c>
      <c r="O18" s="230">
        <f t="shared" si="2"/>
        <v>0</v>
      </c>
      <c r="P18" s="229">
        <f t="shared" si="2"/>
        <v>0</v>
      </c>
      <c r="Q18" s="229">
        <f t="shared" si="2"/>
        <v>1</v>
      </c>
      <c r="R18" s="229">
        <f t="shared" si="2"/>
        <v>0</v>
      </c>
      <c r="S18" s="229">
        <f t="shared" si="2"/>
        <v>0</v>
      </c>
      <c r="T18" s="229">
        <f t="shared" si="2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48" x14ac:dyDescent="0.3">
      <c r="B19" s="601"/>
      <c r="C19" s="602" t="s">
        <v>2442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si="2"/>
        <v>0</v>
      </c>
      <c r="I19" s="119">
        <f t="shared" si="2"/>
        <v>2</v>
      </c>
      <c r="J19" s="119">
        <f t="shared" si="2"/>
        <v>0</v>
      </c>
      <c r="K19" s="227">
        <f t="shared" si="2"/>
        <v>0</v>
      </c>
      <c r="L19" s="227">
        <f t="shared" si="2"/>
        <v>0</v>
      </c>
      <c r="M19" s="227">
        <f t="shared" si="2"/>
        <v>0</v>
      </c>
      <c r="N19" s="227">
        <f t="shared" si="2"/>
        <v>0</v>
      </c>
      <c r="O19" s="227">
        <f t="shared" si="2"/>
        <v>0</v>
      </c>
      <c r="P19" s="227">
        <f t="shared" si="2"/>
        <v>0</v>
      </c>
      <c r="Q19" s="227">
        <f t="shared" si="2"/>
        <v>0</v>
      </c>
      <c r="R19" s="227">
        <f t="shared" si="2"/>
        <v>0</v>
      </c>
      <c r="S19" s="227">
        <f t="shared" si="2"/>
        <v>0</v>
      </c>
      <c r="T19" s="227">
        <f t="shared" si="2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48" x14ac:dyDescent="0.3">
      <c r="B20" s="601"/>
      <c r="C20" s="602" t="s">
        <v>2282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si="2"/>
        <v>3</v>
      </c>
      <c r="I20" s="229">
        <f t="shared" si="2"/>
        <v>0</v>
      </c>
      <c r="J20" s="229">
        <f t="shared" si="2"/>
        <v>0</v>
      </c>
      <c r="K20" s="230">
        <f t="shared" si="2"/>
        <v>0</v>
      </c>
      <c r="L20" s="230">
        <f t="shared" si="2"/>
        <v>0</v>
      </c>
      <c r="M20" s="230">
        <f t="shared" si="2"/>
        <v>0</v>
      </c>
      <c r="N20" s="230">
        <f t="shared" si="2"/>
        <v>0</v>
      </c>
      <c r="O20" s="230">
        <f t="shared" si="2"/>
        <v>0</v>
      </c>
      <c r="P20" s="230">
        <f t="shared" si="2"/>
        <v>0</v>
      </c>
      <c r="Q20" s="230">
        <f t="shared" si="2"/>
        <v>0</v>
      </c>
      <c r="R20" s="230">
        <f t="shared" si="2"/>
        <v>0</v>
      </c>
      <c r="S20" s="230">
        <f t="shared" si="2"/>
        <v>0</v>
      </c>
      <c r="T20" s="230">
        <f t="shared" si="2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48" x14ac:dyDescent="0.3">
      <c r="B21" s="601"/>
      <c r="C21" s="602" t="s">
        <v>2443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si="2"/>
        <v>3</v>
      </c>
      <c r="I21" s="227">
        <f t="shared" si="2"/>
        <v>0</v>
      </c>
      <c r="J21" s="227">
        <f t="shared" si="2"/>
        <v>0</v>
      </c>
      <c r="K21" s="227">
        <f t="shared" si="2"/>
        <v>0</v>
      </c>
      <c r="L21" s="227">
        <f t="shared" si="2"/>
        <v>0</v>
      </c>
      <c r="M21" s="227">
        <f t="shared" si="2"/>
        <v>0</v>
      </c>
      <c r="N21" s="227">
        <f t="shared" si="2"/>
        <v>0</v>
      </c>
      <c r="O21" s="227">
        <f t="shared" si="2"/>
        <v>0</v>
      </c>
      <c r="P21" s="227">
        <f t="shared" si="2"/>
        <v>0</v>
      </c>
      <c r="Q21" s="227">
        <f t="shared" si="2"/>
        <v>0</v>
      </c>
      <c r="R21" s="227">
        <f t="shared" si="2"/>
        <v>0</v>
      </c>
      <c r="S21" s="227">
        <f t="shared" si="2"/>
        <v>0</v>
      </c>
      <c r="T21" s="227">
        <f t="shared" si="2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48" x14ac:dyDescent="0.3">
      <c r="B22" s="601"/>
      <c r="C22" s="602" t="s">
        <v>2444</v>
      </c>
      <c r="D22" s="228">
        <v>18</v>
      </c>
      <c r="E22" s="229">
        <f t="shared" ref="E22:F23" si="4">COUNTIF(96:96,E$5)</f>
        <v>17</v>
      </c>
      <c r="F22" s="229">
        <f t="shared" si="4"/>
        <v>4</v>
      </c>
      <c r="G22" s="229">
        <f t="shared" si="3"/>
        <v>21</v>
      </c>
      <c r="H22" s="229">
        <f t="shared" ref="H22:T23" si="5">COUNTIF(96:96,H$5)</f>
        <v>4</v>
      </c>
      <c r="I22" s="230">
        <f t="shared" si="5"/>
        <v>2</v>
      </c>
      <c r="J22" s="230">
        <f t="shared" si="5"/>
        <v>0</v>
      </c>
      <c r="K22" s="230">
        <f t="shared" si="5"/>
        <v>0</v>
      </c>
      <c r="L22" s="230">
        <f t="shared" si="5"/>
        <v>0</v>
      </c>
      <c r="M22" s="230">
        <f t="shared" si="5"/>
        <v>0</v>
      </c>
      <c r="N22" s="230">
        <f t="shared" si="5"/>
        <v>0</v>
      </c>
      <c r="O22" s="230">
        <f t="shared" si="5"/>
        <v>0</v>
      </c>
      <c r="P22" s="230">
        <f t="shared" si="5"/>
        <v>1</v>
      </c>
      <c r="Q22" s="230">
        <f t="shared" si="5"/>
        <v>0</v>
      </c>
      <c r="R22" s="230">
        <f t="shared" si="5"/>
        <v>0</v>
      </c>
      <c r="S22" s="230">
        <f t="shared" si="5"/>
        <v>0</v>
      </c>
      <c r="T22" s="230">
        <f t="shared" si="5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48" x14ac:dyDescent="0.3">
      <c r="B23" s="601"/>
      <c r="C23" s="603"/>
      <c r="D23" s="168"/>
      <c r="E23" s="119">
        <f t="shared" si="4"/>
        <v>0</v>
      </c>
      <c r="F23" s="119">
        <f t="shared" si="4"/>
        <v>0</v>
      </c>
      <c r="G23" s="119">
        <f t="shared" si="3"/>
        <v>0</v>
      </c>
      <c r="H23" s="119">
        <f t="shared" si="5"/>
        <v>0</v>
      </c>
      <c r="I23" s="227">
        <f t="shared" si="5"/>
        <v>0</v>
      </c>
      <c r="J23" s="227">
        <f t="shared" si="5"/>
        <v>0</v>
      </c>
      <c r="K23" s="227">
        <f t="shared" si="5"/>
        <v>0</v>
      </c>
      <c r="L23" s="227">
        <f t="shared" si="5"/>
        <v>0</v>
      </c>
      <c r="M23" s="119">
        <f t="shared" si="5"/>
        <v>0</v>
      </c>
      <c r="N23" s="227">
        <f t="shared" si="5"/>
        <v>0</v>
      </c>
      <c r="O23" s="227">
        <f t="shared" si="5"/>
        <v>0</v>
      </c>
      <c r="P23" s="227">
        <f t="shared" si="5"/>
        <v>0</v>
      </c>
      <c r="Q23" s="227">
        <f t="shared" si="5"/>
        <v>0</v>
      </c>
      <c r="R23" s="227">
        <f t="shared" si="5"/>
        <v>0</v>
      </c>
      <c r="S23" s="227">
        <f t="shared" si="5"/>
        <v>0</v>
      </c>
      <c r="T23" s="227">
        <f t="shared" si="5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48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V24" s="8"/>
    </row>
    <row r="25" spans="2:48" x14ac:dyDescent="0.3">
      <c r="C25" s="478" t="s">
        <v>2475</v>
      </c>
      <c r="D25" s="8"/>
      <c r="E25" s="8">
        <f>SUM(E27:E44)</f>
        <v>24</v>
      </c>
      <c r="F25" s="8">
        <f t="shared" ref="F25:T25" si="6">SUM(F27:F44)</f>
        <v>20</v>
      </c>
      <c r="G25" s="8">
        <f t="shared" si="6"/>
        <v>44</v>
      </c>
      <c r="H25" s="8">
        <f t="shared" si="6"/>
        <v>4</v>
      </c>
      <c r="I25" s="8">
        <f t="shared" si="6"/>
        <v>3</v>
      </c>
      <c r="J25" s="8">
        <f t="shared" si="6"/>
        <v>1</v>
      </c>
      <c r="K25" s="8">
        <f t="shared" si="6"/>
        <v>1</v>
      </c>
      <c r="L25" s="8">
        <f t="shared" si="6"/>
        <v>0</v>
      </c>
      <c r="M25" s="8">
        <f t="shared" si="6"/>
        <v>1</v>
      </c>
      <c r="N25" s="8">
        <f t="shared" si="6"/>
        <v>0</v>
      </c>
      <c r="O25" s="8">
        <f t="shared" si="6"/>
        <v>0</v>
      </c>
      <c r="P25" s="8">
        <f t="shared" si="6"/>
        <v>2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8">
        <f t="shared" si="6"/>
        <v>2</v>
      </c>
      <c r="U25" s="8"/>
      <c r="V25" s="8"/>
      <c r="W25" s="8"/>
      <c r="X25" s="8"/>
      <c r="Y25" s="8"/>
      <c r="Z25" s="8"/>
      <c r="AA25" s="8"/>
      <c r="AB25" s="8"/>
      <c r="AC25" s="8"/>
      <c r="AV25" s="8"/>
    </row>
    <row r="26" spans="2:48" ht="15" thickBot="1" x14ac:dyDescent="0.35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2229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V26" s="8"/>
    </row>
    <row r="27" spans="2:48" x14ac:dyDescent="0.3">
      <c r="B27" s="601"/>
      <c r="C27" s="602" t="s">
        <v>48</v>
      </c>
      <c r="D27" s="229">
        <f t="shared" ref="D27:F42" si="7">COUNTIF(107:107,D$5)</f>
        <v>4</v>
      </c>
      <c r="E27" s="229">
        <f t="shared" si="7"/>
        <v>1</v>
      </c>
      <c r="F27" s="229">
        <f t="shared" si="7"/>
        <v>0</v>
      </c>
      <c r="G27" s="229">
        <f>E27+F27</f>
        <v>1</v>
      </c>
      <c r="H27" s="229">
        <f t="shared" ref="H27:T42" si="8">COUNTIF(107:107,H$5)</f>
        <v>0</v>
      </c>
      <c r="I27" s="229">
        <f t="shared" si="8"/>
        <v>0</v>
      </c>
      <c r="J27" s="229">
        <f t="shared" si="8"/>
        <v>0</v>
      </c>
      <c r="K27" s="229">
        <f t="shared" si="8"/>
        <v>0</v>
      </c>
      <c r="L27" s="254">
        <f t="shared" si="8"/>
        <v>0</v>
      </c>
      <c r="M27" s="229">
        <f t="shared" si="8"/>
        <v>0</v>
      </c>
      <c r="N27" s="229">
        <f t="shared" si="8"/>
        <v>0</v>
      </c>
      <c r="O27" s="229">
        <f t="shared" si="8"/>
        <v>0</v>
      </c>
      <c r="P27" s="229">
        <f t="shared" si="8"/>
        <v>0</v>
      </c>
      <c r="Q27" s="229">
        <f t="shared" si="8"/>
        <v>0</v>
      </c>
      <c r="R27" s="229">
        <f t="shared" si="8"/>
        <v>0</v>
      </c>
      <c r="S27" s="229">
        <f t="shared" si="8"/>
        <v>0</v>
      </c>
      <c r="T27" s="229">
        <f t="shared" si="8"/>
        <v>0</v>
      </c>
      <c r="U27" s="8"/>
      <c r="V27" s="8"/>
      <c r="W27" s="8"/>
      <c r="X27" s="8"/>
      <c r="Y27" s="8"/>
      <c r="Z27" s="8"/>
      <c r="AA27" s="8"/>
      <c r="AB27" s="8"/>
      <c r="AC27" s="8"/>
      <c r="AV27" s="8"/>
    </row>
    <row r="28" spans="2:48" x14ac:dyDescent="0.3">
      <c r="B28" s="601"/>
      <c r="C28" s="602" t="s">
        <v>2281</v>
      </c>
      <c r="D28" s="168">
        <f t="shared" si="7"/>
        <v>4</v>
      </c>
      <c r="E28" s="119">
        <f t="shared" si="7"/>
        <v>0</v>
      </c>
      <c r="F28" s="119">
        <f t="shared" si="7"/>
        <v>0</v>
      </c>
      <c r="G28" s="119">
        <f t="shared" ref="G28:G44" si="9">E28+F28</f>
        <v>0</v>
      </c>
      <c r="H28" s="119">
        <f t="shared" si="8"/>
        <v>0</v>
      </c>
      <c r="I28" s="119">
        <f t="shared" si="8"/>
        <v>0</v>
      </c>
      <c r="J28" s="119">
        <f t="shared" si="8"/>
        <v>0</v>
      </c>
      <c r="K28" s="227">
        <f t="shared" si="8"/>
        <v>0</v>
      </c>
      <c r="L28" s="227">
        <f t="shared" si="8"/>
        <v>0</v>
      </c>
      <c r="M28" s="227">
        <f t="shared" si="8"/>
        <v>0</v>
      </c>
      <c r="N28" s="227">
        <f t="shared" si="8"/>
        <v>0</v>
      </c>
      <c r="O28" s="227">
        <f t="shared" si="8"/>
        <v>0</v>
      </c>
      <c r="P28" s="227">
        <f t="shared" si="8"/>
        <v>0</v>
      </c>
      <c r="Q28" s="227">
        <f t="shared" si="8"/>
        <v>0</v>
      </c>
      <c r="R28" s="227">
        <f t="shared" si="8"/>
        <v>0</v>
      </c>
      <c r="S28" s="227">
        <f t="shared" si="8"/>
        <v>0</v>
      </c>
      <c r="T28" s="227">
        <f t="shared" si="8"/>
        <v>2</v>
      </c>
      <c r="U28" s="8"/>
      <c r="V28" s="8"/>
      <c r="W28" s="8"/>
      <c r="X28" s="8"/>
      <c r="Y28" s="8"/>
      <c r="Z28" s="8"/>
      <c r="AA28" s="8"/>
      <c r="AB28" s="8"/>
      <c r="AC28" s="8"/>
      <c r="AV28" s="8"/>
    </row>
    <row r="29" spans="2:48" x14ac:dyDescent="0.3">
      <c r="B29" s="601"/>
      <c r="C29" s="602" t="s">
        <v>2441</v>
      </c>
      <c r="D29" s="228">
        <f t="shared" si="7"/>
        <v>4</v>
      </c>
      <c r="E29" s="229">
        <f t="shared" si="7"/>
        <v>1</v>
      </c>
      <c r="F29" s="229">
        <f t="shared" si="7"/>
        <v>0</v>
      </c>
      <c r="G29" s="229">
        <f t="shared" si="9"/>
        <v>1</v>
      </c>
      <c r="H29" s="229">
        <f t="shared" si="8"/>
        <v>1</v>
      </c>
      <c r="I29" s="229">
        <f t="shared" si="8"/>
        <v>1</v>
      </c>
      <c r="J29" s="229">
        <f t="shared" si="8"/>
        <v>0</v>
      </c>
      <c r="K29" s="230">
        <f t="shared" si="8"/>
        <v>0</v>
      </c>
      <c r="L29" s="254">
        <f t="shared" si="8"/>
        <v>0</v>
      </c>
      <c r="M29" s="230">
        <f t="shared" si="8"/>
        <v>0</v>
      </c>
      <c r="N29" s="230">
        <f t="shared" si="8"/>
        <v>0</v>
      </c>
      <c r="O29" s="230">
        <f t="shared" si="8"/>
        <v>0</v>
      </c>
      <c r="P29" s="230">
        <f t="shared" si="8"/>
        <v>0</v>
      </c>
      <c r="Q29" s="230">
        <f t="shared" si="8"/>
        <v>0</v>
      </c>
      <c r="R29" s="230">
        <f t="shared" si="8"/>
        <v>0</v>
      </c>
      <c r="S29" s="230">
        <f t="shared" si="8"/>
        <v>0</v>
      </c>
      <c r="T29" s="230">
        <f t="shared" si="8"/>
        <v>0</v>
      </c>
      <c r="U29" s="8"/>
      <c r="V29" s="8"/>
      <c r="W29" s="8"/>
      <c r="X29" s="8"/>
      <c r="Y29" s="8"/>
      <c r="Z29" s="8"/>
      <c r="AA29" s="8"/>
      <c r="AB29" s="8"/>
      <c r="AC29" s="8"/>
      <c r="AV29" s="8"/>
    </row>
    <row r="30" spans="2:48" x14ac:dyDescent="0.3">
      <c r="B30" s="601"/>
      <c r="C30" s="602" t="s">
        <v>1459</v>
      </c>
      <c r="D30" s="168">
        <f t="shared" si="7"/>
        <v>3</v>
      </c>
      <c r="E30" s="119">
        <f t="shared" si="7"/>
        <v>0</v>
      </c>
      <c r="F30" s="119">
        <f t="shared" si="7"/>
        <v>0</v>
      </c>
      <c r="G30" s="119">
        <f t="shared" si="9"/>
        <v>0</v>
      </c>
      <c r="H30" s="119">
        <f t="shared" si="8"/>
        <v>0</v>
      </c>
      <c r="I30" s="119">
        <f t="shared" si="8"/>
        <v>0</v>
      </c>
      <c r="J30" s="119">
        <f t="shared" si="8"/>
        <v>0</v>
      </c>
      <c r="K30" s="227">
        <f t="shared" si="8"/>
        <v>0</v>
      </c>
      <c r="L30" s="227">
        <f t="shared" si="8"/>
        <v>0</v>
      </c>
      <c r="M30" s="227">
        <f t="shared" si="8"/>
        <v>0</v>
      </c>
      <c r="N30" s="119">
        <f t="shared" si="8"/>
        <v>0</v>
      </c>
      <c r="O30" s="227">
        <f t="shared" si="8"/>
        <v>0</v>
      </c>
      <c r="P30" s="119">
        <f t="shared" si="8"/>
        <v>0</v>
      </c>
      <c r="Q30" s="119">
        <f t="shared" si="8"/>
        <v>0</v>
      </c>
      <c r="R30" s="119">
        <f t="shared" si="8"/>
        <v>0</v>
      </c>
      <c r="S30" s="119">
        <f t="shared" si="8"/>
        <v>0</v>
      </c>
      <c r="T30" s="119">
        <f t="shared" si="8"/>
        <v>0</v>
      </c>
      <c r="U30" s="8"/>
      <c r="V30" s="8"/>
      <c r="W30" s="8"/>
      <c r="X30" s="8"/>
      <c r="Y30" s="8"/>
      <c r="Z30" s="8"/>
      <c r="AA30" s="8"/>
      <c r="AB30" s="8"/>
      <c r="AC30" s="8"/>
      <c r="AV30" s="8"/>
    </row>
    <row r="31" spans="2:48" x14ac:dyDescent="0.3">
      <c r="B31" s="601"/>
      <c r="C31" s="602" t="s">
        <v>2180</v>
      </c>
      <c r="D31" s="228">
        <f t="shared" si="7"/>
        <v>4</v>
      </c>
      <c r="E31" s="229">
        <f t="shared" si="7"/>
        <v>5</v>
      </c>
      <c r="F31" s="229">
        <f t="shared" si="7"/>
        <v>1</v>
      </c>
      <c r="G31" s="229">
        <f t="shared" si="9"/>
        <v>6</v>
      </c>
      <c r="H31" s="229">
        <f t="shared" si="8"/>
        <v>0</v>
      </c>
      <c r="I31" s="229">
        <f t="shared" si="8"/>
        <v>0</v>
      </c>
      <c r="J31" s="229">
        <f t="shared" si="8"/>
        <v>0</v>
      </c>
      <c r="K31" s="229">
        <f t="shared" si="8"/>
        <v>0</v>
      </c>
      <c r="L31" s="230">
        <f t="shared" si="8"/>
        <v>0</v>
      </c>
      <c r="M31" s="230">
        <f t="shared" si="8"/>
        <v>0</v>
      </c>
      <c r="N31" s="230">
        <f t="shared" si="8"/>
        <v>0</v>
      </c>
      <c r="O31" s="230">
        <f t="shared" si="8"/>
        <v>0</v>
      </c>
      <c r="P31" s="229">
        <f t="shared" si="8"/>
        <v>1</v>
      </c>
      <c r="Q31" s="229">
        <f t="shared" si="8"/>
        <v>0</v>
      </c>
      <c r="R31" s="229">
        <f t="shared" si="8"/>
        <v>0</v>
      </c>
      <c r="S31" s="229">
        <f t="shared" si="8"/>
        <v>0</v>
      </c>
      <c r="T31" s="229">
        <f t="shared" si="8"/>
        <v>0</v>
      </c>
      <c r="U31" s="8"/>
      <c r="V31" s="8"/>
      <c r="W31" s="8"/>
      <c r="X31" s="8"/>
      <c r="Y31" s="8"/>
      <c r="Z31" s="8"/>
      <c r="AA31" s="8"/>
      <c r="AB31" s="8"/>
      <c r="AC31" s="8"/>
      <c r="AV31" s="8"/>
    </row>
    <row r="32" spans="2:48" x14ac:dyDescent="0.3">
      <c r="B32" s="601"/>
      <c r="C32" s="602" t="s">
        <v>1597</v>
      </c>
      <c r="D32" s="168">
        <f t="shared" si="7"/>
        <v>3</v>
      </c>
      <c r="E32" s="119">
        <f t="shared" si="7"/>
        <v>0</v>
      </c>
      <c r="F32" s="119">
        <f t="shared" si="7"/>
        <v>0</v>
      </c>
      <c r="G32" s="119">
        <f t="shared" si="9"/>
        <v>0</v>
      </c>
      <c r="H32" s="119">
        <f t="shared" si="8"/>
        <v>0</v>
      </c>
      <c r="I32" s="119">
        <f t="shared" si="8"/>
        <v>0</v>
      </c>
      <c r="J32" s="119">
        <f t="shared" si="8"/>
        <v>0</v>
      </c>
      <c r="K32" s="227">
        <f t="shared" si="8"/>
        <v>0</v>
      </c>
      <c r="L32" s="227">
        <f t="shared" si="8"/>
        <v>0</v>
      </c>
      <c r="M32" s="227">
        <f t="shared" si="8"/>
        <v>0</v>
      </c>
      <c r="N32" s="227">
        <f t="shared" si="8"/>
        <v>0</v>
      </c>
      <c r="O32" s="227">
        <f t="shared" si="8"/>
        <v>0</v>
      </c>
      <c r="P32" s="227">
        <f t="shared" si="8"/>
        <v>0</v>
      </c>
      <c r="Q32" s="227">
        <f t="shared" si="8"/>
        <v>0</v>
      </c>
      <c r="R32" s="227">
        <f t="shared" si="8"/>
        <v>0</v>
      </c>
      <c r="S32" s="227">
        <f t="shared" si="8"/>
        <v>0</v>
      </c>
      <c r="T32" s="227">
        <f t="shared" si="8"/>
        <v>0</v>
      </c>
      <c r="U32" s="8"/>
      <c r="V32" s="8"/>
      <c r="W32" s="8"/>
      <c r="X32" s="8"/>
      <c r="Y32" s="8"/>
      <c r="Z32" s="8"/>
      <c r="AA32" s="8"/>
      <c r="AB32" s="8"/>
      <c r="AC32" s="8"/>
      <c r="AV32" s="8"/>
    </row>
    <row r="33" spans="2:48" x14ac:dyDescent="0.3">
      <c r="B33" s="601"/>
      <c r="C33" s="602" t="s">
        <v>50</v>
      </c>
      <c r="D33" s="228">
        <f t="shared" si="7"/>
        <v>4</v>
      </c>
      <c r="E33" s="229">
        <f t="shared" si="7"/>
        <v>5</v>
      </c>
      <c r="F33" s="229">
        <f t="shared" si="7"/>
        <v>2</v>
      </c>
      <c r="G33" s="229">
        <f t="shared" si="9"/>
        <v>7</v>
      </c>
      <c r="H33" s="229">
        <f t="shared" si="8"/>
        <v>0</v>
      </c>
      <c r="I33" s="229">
        <f t="shared" si="8"/>
        <v>0</v>
      </c>
      <c r="J33" s="229">
        <f t="shared" si="8"/>
        <v>0</v>
      </c>
      <c r="K33" s="229">
        <f t="shared" si="8"/>
        <v>0</v>
      </c>
      <c r="L33" s="230">
        <f t="shared" si="8"/>
        <v>0</v>
      </c>
      <c r="M33" s="230">
        <f t="shared" si="8"/>
        <v>0</v>
      </c>
      <c r="N33" s="230">
        <f t="shared" si="8"/>
        <v>0</v>
      </c>
      <c r="O33" s="230">
        <f t="shared" si="8"/>
        <v>0</v>
      </c>
      <c r="P33" s="229">
        <f t="shared" si="8"/>
        <v>1</v>
      </c>
      <c r="Q33" s="229">
        <f t="shared" si="8"/>
        <v>0</v>
      </c>
      <c r="R33" s="229">
        <f t="shared" si="8"/>
        <v>0</v>
      </c>
      <c r="S33" s="229">
        <f t="shared" si="8"/>
        <v>0</v>
      </c>
      <c r="T33" s="229">
        <f t="shared" si="8"/>
        <v>0</v>
      </c>
      <c r="U33" s="8"/>
      <c r="V33" s="8"/>
      <c r="W33" s="8"/>
      <c r="X33" s="8"/>
      <c r="Y33" s="8"/>
      <c r="Z33" s="8"/>
      <c r="AA33" s="8"/>
      <c r="AB33" s="8"/>
      <c r="AC33" s="8"/>
      <c r="AV33" s="8"/>
    </row>
    <row r="34" spans="2:48" x14ac:dyDescent="0.3">
      <c r="B34" s="601"/>
      <c r="C34" s="602" t="s">
        <v>2148</v>
      </c>
      <c r="D34" s="168">
        <f t="shared" si="7"/>
        <v>4</v>
      </c>
      <c r="E34" s="119">
        <f t="shared" si="7"/>
        <v>1</v>
      </c>
      <c r="F34" s="119">
        <f t="shared" si="7"/>
        <v>1</v>
      </c>
      <c r="G34" s="119">
        <f t="shared" si="9"/>
        <v>2</v>
      </c>
      <c r="H34" s="119">
        <f t="shared" si="8"/>
        <v>0</v>
      </c>
      <c r="I34" s="119">
        <f t="shared" si="8"/>
        <v>0</v>
      </c>
      <c r="J34" s="119">
        <f t="shared" si="8"/>
        <v>0</v>
      </c>
      <c r="K34" s="227">
        <f t="shared" si="8"/>
        <v>0</v>
      </c>
      <c r="L34" s="227">
        <f t="shared" si="8"/>
        <v>0</v>
      </c>
      <c r="M34" s="227">
        <f t="shared" si="8"/>
        <v>0</v>
      </c>
      <c r="N34" s="227">
        <f t="shared" si="8"/>
        <v>0</v>
      </c>
      <c r="O34" s="227">
        <f t="shared" si="8"/>
        <v>0</v>
      </c>
      <c r="P34" s="227">
        <f t="shared" si="8"/>
        <v>0</v>
      </c>
      <c r="Q34" s="227">
        <f t="shared" si="8"/>
        <v>0</v>
      </c>
      <c r="R34" s="227">
        <f t="shared" si="8"/>
        <v>0</v>
      </c>
      <c r="S34" s="227">
        <f t="shared" si="8"/>
        <v>0</v>
      </c>
      <c r="T34" s="227">
        <f t="shared" si="8"/>
        <v>0</v>
      </c>
      <c r="U34" s="8"/>
      <c r="V34" s="8"/>
      <c r="W34" s="8"/>
      <c r="X34" s="8"/>
      <c r="Y34" s="8"/>
      <c r="Z34" s="8"/>
      <c r="AA34" s="8"/>
      <c r="AB34" s="8"/>
      <c r="AC34" s="8"/>
      <c r="AV34" s="8"/>
    </row>
    <row r="35" spans="2:48" x14ac:dyDescent="0.3">
      <c r="B35" s="601"/>
      <c r="C35" s="602" t="s">
        <v>2184</v>
      </c>
      <c r="D35" s="228">
        <f t="shared" si="7"/>
        <v>4</v>
      </c>
      <c r="E35" s="229">
        <f t="shared" si="7"/>
        <v>1</v>
      </c>
      <c r="F35" s="229">
        <f t="shared" si="7"/>
        <v>1</v>
      </c>
      <c r="G35" s="229">
        <f t="shared" si="9"/>
        <v>2</v>
      </c>
      <c r="H35" s="229">
        <f t="shared" si="8"/>
        <v>0</v>
      </c>
      <c r="I35" s="229">
        <f t="shared" si="8"/>
        <v>1</v>
      </c>
      <c r="J35" s="229">
        <f t="shared" si="8"/>
        <v>0</v>
      </c>
      <c r="K35" s="230">
        <f t="shared" si="8"/>
        <v>0</v>
      </c>
      <c r="L35" s="230">
        <f t="shared" si="8"/>
        <v>0</v>
      </c>
      <c r="M35" s="230">
        <f t="shared" si="8"/>
        <v>0</v>
      </c>
      <c r="N35" s="230">
        <f t="shared" si="8"/>
        <v>0</v>
      </c>
      <c r="O35" s="230">
        <f t="shared" si="8"/>
        <v>0</v>
      </c>
      <c r="P35" s="230">
        <f t="shared" si="8"/>
        <v>0</v>
      </c>
      <c r="Q35" s="230">
        <f t="shared" si="8"/>
        <v>0</v>
      </c>
      <c r="R35" s="230">
        <f t="shared" si="8"/>
        <v>0</v>
      </c>
      <c r="S35" s="230">
        <f t="shared" si="8"/>
        <v>0</v>
      </c>
      <c r="T35" s="230">
        <f t="shared" si="8"/>
        <v>0</v>
      </c>
      <c r="U35" s="8"/>
      <c r="V35" s="8"/>
      <c r="W35" s="8"/>
      <c r="X35" s="8"/>
      <c r="Y35" s="8"/>
      <c r="Z35" s="8"/>
      <c r="AA35" s="8"/>
      <c r="AB35" s="8"/>
      <c r="AC35" s="8"/>
      <c r="AV35" s="8"/>
    </row>
    <row r="36" spans="2:48" x14ac:dyDescent="0.3">
      <c r="B36" s="601"/>
      <c r="C36" s="602" t="s">
        <v>2283</v>
      </c>
      <c r="D36" s="168">
        <f t="shared" si="7"/>
        <v>4</v>
      </c>
      <c r="E36" s="119">
        <f t="shared" si="7"/>
        <v>0</v>
      </c>
      <c r="F36" s="119">
        <f t="shared" si="7"/>
        <v>0</v>
      </c>
      <c r="G36" s="119">
        <f t="shared" si="9"/>
        <v>0</v>
      </c>
      <c r="H36" s="119">
        <f t="shared" si="8"/>
        <v>0</v>
      </c>
      <c r="I36" s="119">
        <f t="shared" si="8"/>
        <v>0</v>
      </c>
      <c r="J36" s="119">
        <f t="shared" si="8"/>
        <v>0</v>
      </c>
      <c r="K36" s="227">
        <f t="shared" si="8"/>
        <v>0</v>
      </c>
      <c r="L36" s="227">
        <f t="shared" si="8"/>
        <v>0</v>
      </c>
      <c r="M36" s="227">
        <f t="shared" si="8"/>
        <v>0</v>
      </c>
      <c r="N36" s="227">
        <f t="shared" si="8"/>
        <v>0</v>
      </c>
      <c r="O36" s="227">
        <f t="shared" si="8"/>
        <v>0</v>
      </c>
      <c r="P36" s="119">
        <f t="shared" si="8"/>
        <v>0</v>
      </c>
      <c r="Q36" s="119">
        <f t="shared" si="8"/>
        <v>0</v>
      </c>
      <c r="R36" s="119">
        <f t="shared" si="8"/>
        <v>0</v>
      </c>
      <c r="S36" s="119">
        <f t="shared" si="8"/>
        <v>0</v>
      </c>
      <c r="T36" s="119">
        <f t="shared" si="8"/>
        <v>0</v>
      </c>
      <c r="U36" s="8"/>
      <c r="V36" s="8"/>
      <c r="W36" s="8"/>
      <c r="X36" s="8"/>
      <c r="Y36" s="8"/>
      <c r="Z36" s="8"/>
      <c r="AA36" s="8"/>
      <c r="AB36" s="8"/>
      <c r="AC36" s="8"/>
      <c r="AV36" s="8"/>
    </row>
    <row r="37" spans="2:48" x14ac:dyDescent="0.3">
      <c r="B37" s="601"/>
      <c r="C37" s="602" t="s">
        <v>2280</v>
      </c>
      <c r="D37" s="228">
        <f t="shared" si="7"/>
        <v>4</v>
      </c>
      <c r="E37" s="229">
        <f t="shared" si="7"/>
        <v>0</v>
      </c>
      <c r="F37" s="229">
        <f t="shared" si="7"/>
        <v>1</v>
      </c>
      <c r="G37" s="229">
        <f t="shared" si="9"/>
        <v>1</v>
      </c>
      <c r="H37" s="229">
        <f t="shared" si="8"/>
        <v>0</v>
      </c>
      <c r="I37" s="229">
        <f t="shared" si="8"/>
        <v>0</v>
      </c>
      <c r="J37" s="229">
        <f t="shared" si="8"/>
        <v>0</v>
      </c>
      <c r="K37" s="230">
        <f t="shared" si="8"/>
        <v>0</v>
      </c>
      <c r="L37" s="230">
        <f t="shared" si="8"/>
        <v>0</v>
      </c>
      <c r="M37" s="230">
        <f t="shared" si="8"/>
        <v>0</v>
      </c>
      <c r="N37" s="230">
        <f t="shared" si="8"/>
        <v>0</v>
      </c>
      <c r="O37" s="230">
        <f t="shared" si="8"/>
        <v>0</v>
      </c>
      <c r="P37" s="230">
        <f t="shared" si="8"/>
        <v>0</v>
      </c>
      <c r="Q37" s="230">
        <f t="shared" si="8"/>
        <v>0</v>
      </c>
      <c r="R37" s="230">
        <f t="shared" si="8"/>
        <v>0</v>
      </c>
      <c r="S37" s="230">
        <f t="shared" si="8"/>
        <v>0</v>
      </c>
      <c r="T37" s="230">
        <f t="shared" si="8"/>
        <v>0</v>
      </c>
      <c r="U37" s="8"/>
      <c r="V37" s="8"/>
      <c r="W37" s="8"/>
      <c r="X37" s="8"/>
      <c r="Y37" s="8"/>
      <c r="Z37" s="8"/>
      <c r="AA37" s="8"/>
      <c r="AB37" s="8"/>
      <c r="AC37" s="8"/>
      <c r="AV37" s="8"/>
    </row>
    <row r="38" spans="2:48" x14ac:dyDescent="0.3">
      <c r="B38" s="601"/>
      <c r="C38" s="602" t="s">
        <v>1591</v>
      </c>
      <c r="D38" s="168">
        <f t="shared" si="7"/>
        <v>3</v>
      </c>
      <c r="E38" s="119">
        <f t="shared" si="7"/>
        <v>0</v>
      </c>
      <c r="F38" s="119">
        <f t="shared" si="7"/>
        <v>3</v>
      </c>
      <c r="G38" s="119">
        <f t="shared" si="9"/>
        <v>3</v>
      </c>
      <c r="H38" s="119">
        <f t="shared" si="8"/>
        <v>1</v>
      </c>
      <c r="I38" s="119">
        <f t="shared" si="8"/>
        <v>0</v>
      </c>
      <c r="J38" s="119">
        <f t="shared" si="8"/>
        <v>0</v>
      </c>
      <c r="K38" s="227">
        <f t="shared" si="8"/>
        <v>0</v>
      </c>
      <c r="L38" s="227">
        <f t="shared" si="8"/>
        <v>0</v>
      </c>
      <c r="M38" s="227">
        <f t="shared" si="8"/>
        <v>0</v>
      </c>
      <c r="N38" s="227">
        <f t="shared" si="8"/>
        <v>0</v>
      </c>
      <c r="O38" s="227">
        <f t="shared" si="8"/>
        <v>0</v>
      </c>
      <c r="P38" s="227">
        <f t="shared" si="8"/>
        <v>0</v>
      </c>
      <c r="Q38" s="227">
        <f t="shared" si="8"/>
        <v>0</v>
      </c>
      <c r="R38" s="227">
        <f t="shared" si="8"/>
        <v>0</v>
      </c>
      <c r="S38" s="227">
        <f t="shared" si="8"/>
        <v>0</v>
      </c>
      <c r="T38" s="227">
        <f t="shared" si="8"/>
        <v>0</v>
      </c>
      <c r="U38" s="8"/>
      <c r="V38" s="8"/>
      <c r="W38" s="8"/>
      <c r="X38" s="8"/>
      <c r="Y38" s="8"/>
      <c r="Z38" s="8"/>
      <c r="AA38" s="8"/>
      <c r="AB38" s="8"/>
      <c r="AC38" s="8"/>
      <c r="AV38" s="8"/>
    </row>
    <row r="39" spans="2:48" x14ac:dyDescent="0.3">
      <c r="B39" s="601"/>
      <c r="C39" s="602" t="s">
        <v>1379</v>
      </c>
      <c r="D39" s="228">
        <f t="shared" si="7"/>
        <v>3</v>
      </c>
      <c r="E39" s="229">
        <f t="shared" si="7"/>
        <v>2</v>
      </c>
      <c r="F39" s="229">
        <f t="shared" si="7"/>
        <v>3</v>
      </c>
      <c r="G39" s="229">
        <f t="shared" si="9"/>
        <v>5</v>
      </c>
      <c r="H39" s="229">
        <f t="shared" si="8"/>
        <v>0</v>
      </c>
      <c r="I39" s="229">
        <f t="shared" si="8"/>
        <v>0</v>
      </c>
      <c r="J39" s="229">
        <f t="shared" si="8"/>
        <v>1</v>
      </c>
      <c r="K39" s="230">
        <f t="shared" si="8"/>
        <v>0</v>
      </c>
      <c r="L39" s="230">
        <f t="shared" si="8"/>
        <v>0</v>
      </c>
      <c r="M39" s="230">
        <f t="shared" si="8"/>
        <v>0</v>
      </c>
      <c r="N39" s="230">
        <f t="shared" si="8"/>
        <v>0</v>
      </c>
      <c r="O39" s="230">
        <f t="shared" si="8"/>
        <v>0</v>
      </c>
      <c r="P39" s="229">
        <f t="shared" si="8"/>
        <v>0</v>
      </c>
      <c r="Q39" s="229">
        <f t="shared" si="8"/>
        <v>0</v>
      </c>
      <c r="R39" s="229">
        <f t="shared" si="8"/>
        <v>0</v>
      </c>
      <c r="S39" s="229">
        <f t="shared" si="8"/>
        <v>0</v>
      </c>
      <c r="T39" s="229">
        <f t="shared" si="8"/>
        <v>0</v>
      </c>
      <c r="U39" s="8"/>
      <c r="V39" s="8"/>
      <c r="W39" s="8"/>
      <c r="X39" s="8"/>
      <c r="Y39" s="8"/>
      <c r="Z39" s="8"/>
      <c r="AA39" s="8"/>
      <c r="AB39" s="8"/>
      <c r="AC39" s="8"/>
      <c r="AV39" s="8"/>
    </row>
    <row r="40" spans="2:48" x14ac:dyDescent="0.3">
      <c r="B40" s="601"/>
      <c r="C40" s="602" t="s">
        <v>2442</v>
      </c>
      <c r="D40" s="168">
        <f t="shared" si="7"/>
        <v>4</v>
      </c>
      <c r="E40" s="119">
        <f t="shared" si="7"/>
        <v>0</v>
      </c>
      <c r="F40" s="119">
        <f t="shared" si="7"/>
        <v>2</v>
      </c>
      <c r="G40" s="119">
        <f t="shared" si="9"/>
        <v>2</v>
      </c>
      <c r="H40" s="119">
        <f t="shared" si="8"/>
        <v>0</v>
      </c>
      <c r="I40" s="119">
        <f t="shared" si="8"/>
        <v>0</v>
      </c>
      <c r="J40" s="119">
        <f t="shared" si="8"/>
        <v>0</v>
      </c>
      <c r="K40" s="227">
        <f t="shared" si="8"/>
        <v>0</v>
      </c>
      <c r="L40" s="227">
        <f t="shared" si="8"/>
        <v>0</v>
      </c>
      <c r="M40" s="227">
        <f t="shared" si="8"/>
        <v>0</v>
      </c>
      <c r="N40" s="227">
        <f t="shared" si="8"/>
        <v>0</v>
      </c>
      <c r="O40" s="227">
        <f t="shared" si="8"/>
        <v>0</v>
      </c>
      <c r="P40" s="227">
        <f t="shared" si="8"/>
        <v>0</v>
      </c>
      <c r="Q40" s="227">
        <f t="shared" si="8"/>
        <v>0</v>
      </c>
      <c r="R40" s="227">
        <f t="shared" si="8"/>
        <v>0</v>
      </c>
      <c r="S40" s="227">
        <f t="shared" si="8"/>
        <v>0</v>
      </c>
      <c r="T40" s="227">
        <f t="shared" si="8"/>
        <v>0</v>
      </c>
      <c r="U40" s="8"/>
      <c r="V40" s="8"/>
      <c r="W40" s="8"/>
      <c r="X40" s="8"/>
      <c r="Y40" s="8"/>
      <c r="Z40" s="8"/>
      <c r="AA40" s="8"/>
      <c r="AB40" s="8"/>
      <c r="AC40" s="8"/>
      <c r="AV40" s="8"/>
    </row>
    <row r="41" spans="2:48" x14ac:dyDescent="0.3">
      <c r="B41" s="601"/>
      <c r="C41" s="602" t="s">
        <v>2282</v>
      </c>
      <c r="D41" s="228">
        <f t="shared" si="7"/>
        <v>4</v>
      </c>
      <c r="E41" s="229">
        <f t="shared" si="7"/>
        <v>1</v>
      </c>
      <c r="F41" s="229">
        <f t="shared" si="7"/>
        <v>1</v>
      </c>
      <c r="G41" s="229">
        <f t="shared" si="9"/>
        <v>2</v>
      </c>
      <c r="H41" s="229">
        <f t="shared" si="8"/>
        <v>1</v>
      </c>
      <c r="I41" s="229">
        <f t="shared" si="8"/>
        <v>0</v>
      </c>
      <c r="J41" s="229">
        <f t="shared" si="8"/>
        <v>0</v>
      </c>
      <c r="K41" s="230">
        <f t="shared" si="8"/>
        <v>0</v>
      </c>
      <c r="L41" s="230">
        <f t="shared" si="8"/>
        <v>0</v>
      </c>
      <c r="M41" s="230">
        <f t="shared" si="8"/>
        <v>0</v>
      </c>
      <c r="N41" s="230">
        <f t="shared" si="8"/>
        <v>0</v>
      </c>
      <c r="O41" s="230">
        <f t="shared" si="8"/>
        <v>0</v>
      </c>
      <c r="P41" s="230">
        <f t="shared" si="8"/>
        <v>0</v>
      </c>
      <c r="Q41" s="230">
        <f t="shared" si="8"/>
        <v>0</v>
      </c>
      <c r="R41" s="230">
        <f t="shared" si="8"/>
        <v>0</v>
      </c>
      <c r="S41" s="230">
        <f t="shared" si="8"/>
        <v>0</v>
      </c>
      <c r="T41" s="230">
        <f t="shared" si="8"/>
        <v>0</v>
      </c>
      <c r="U41" s="8"/>
      <c r="V41" s="8"/>
      <c r="W41" s="8"/>
      <c r="X41" s="8"/>
      <c r="Y41" s="8"/>
      <c r="Z41" s="8"/>
      <c r="AA41" s="8"/>
      <c r="AB41" s="8"/>
      <c r="AC41" s="8"/>
      <c r="AV41" s="8"/>
    </row>
    <row r="42" spans="2:48" x14ac:dyDescent="0.3">
      <c r="B42" s="601"/>
      <c r="C42" s="602" t="s">
        <v>2443</v>
      </c>
      <c r="D42" s="168">
        <f t="shared" si="7"/>
        <v>4</v>
      </c>
      <c r="E42" s="119">
        <f t="shared" si="7"/>
        <v>1</v>
      </c>
      <c r="F42" s="119">
        <f t="shared" si="7"/>
        <v>2</v>
      </c>
      <c r="G42" s="119">
        <f t="shared" si="9"/>
        <v>3</v>
      </c>
      <c r="H42" s="119">
        <f t="shared" si="8"/>
        <v>1</v>
      </c>
      <c r="I42" s="227">
        <f t="shared" si="8"/>
        <v>0</v>
      </c>
      <c r="J42" s="227">
        <f t="shared" si="8"/>
        <v>0</v>
      </c>
      <c r="K42" s="227">
        <f t="shared" si="8"/>
        <v>0</v>
      </c>
      <c r="L42" s="227">
        <f t="shared" si="8"/>
        <v>0</v>
      </c>
      <c r="M42" s="227">
        <f t="shared" si="8"/>
        <v>0</v>
      </c>
      <c r="N42" s="227">
        <f t="shared" si="8"/>
        <v>0</v>
      </c>
      <c r="O42" s="227">
        <f t="shared" si="8"/>
        <v>0</v>
      </c>
      <c r="P42" s="227">
        <f t="shared" si="8"/>
        <v>0</v>
      </c>
      <c r="Q42" s="227">
        <f t="shared" si="8"/>
        <v>0</v>
      </c>
      <c r="R42" s="227">
        <f t="shared" si="8"/>
        <v>0</v>
      </c>
      <c r="S42" s="227">
        <f t="shared" si="8"/>
        <v>0</v>
      </c>
      <c r="T42" s="227">
        <f t="shared" si="8"/>
        <v>0</v>
      </c>
      <c r="U42" s="8"/>
      <c r="V42" s="8"/>
      <c r="W42" s="8"/>
      <c r="X42" s="8"/>
      <c r="Y42" s="8"/>
      <c r="Z42" s="8"/>
      <c r="AA42" s="8"/>
      <c r="AB42" s="8"/>
      <c r="AC42" s="8"/>
      <c r="AV42" s="8"/>
    </row>
    <row r="43" spans="2:48" x14ac:dyDescent="0.3">
      <c r="B43" s="601"/>
      <c r="C43" s="602" t="s">
        <v>2444</v>
      </c>
      <c r="D43" s="228">
        <f t="shared" ref="D43:F44" si="10">COUNTIF(123:123,D$5)</f>
        <v>4</v>
      </c>
      <c r="E43" s="229">
        <f t="shared" si="10"/>
        <v>6</v>
      </c>
      <c r="F43" s="229">
        <f t="shared" si="10"/>
        <v>3</v>
      </c>
      <c r="G43" s="229">
        <f t="shared" si="9"/>
        <v>9</v>
      </c>
      <c r="H43" s="229">
        <f t="shared" ref="H43:T44" si="11">COUNTIF(123:123,H$5)</f>
        <v>0</v>
      </c>
      <c r="I43" s="230">
        <f t="shared" si="11"/>
        <v>1</v>
      </c>
      <c r="J43" s="230">
        <f t="shared" si="11"/>
        <v>0</v>
      </c>
      <c r="K43" s="230">
        <f t="shared" si="11"/>
        <v>1</v>
      </c>
      <c r="L43" s="230">
        <f t="shared" si="11"/>
        <v>0</v>
      </c>
      <c r="M43" s="230">
        <f t="shared" si="11"/>
        <v>1</v>
      </c>
      <c r="N43" s="230">
        <f t="shared" si="11"/>
        <v>0</v>
      </c>
      <c r="O43" s="230">
        <f t="shared" si="11"/>
        <v>0</v>
      </c>
      <c r="P43" s="230">
        <f t="shared" si="11"/>
        <v>0</v>
      </c>
      <c r="Q43" s="230">
        <f t="shared" si="11"/>
        <v>0</v>
      </c>
      <c r="R43" s="230">
        <f t="shared" si="11"/>
        <v>0</v>
      </c>
      <c r="S43" s="230">
        <f t="shared" si="11"/>
        <v>0</v>
      </c>
      <c r="T43" s="230">
        <f t="shared" si="11"/>
        <v>0</v>
      </c>
      <c r="U43" s="8"/>
      <c r="V43" s="8"/>
      <c r="W43" s="8"/>
      <c r="X43" s="8"/>
      <c r="Y43" s="8"/>
      <c r="Z43" s="8"/>
      <c r="AA43" s="8"/>
      <c r="AB43" s="8"/>
      <c r="AC43" s="8"/>
      <c r="AV43" s="8"/>
    </row>
    <row r="44" spans="2:48" x14ac:dyDescent="0.3">
      <c r="B44" s="601"/>
      <c r="C44" s="603"/>
      <c r="D44" s="168">
        <f t="shared" si="10"/>
        <v>0</v>
      </c>
      <c r="E44" s="119">
        <f t="shared" si="10"/>
        <v>0</v>
      </c>
      <c r="F44" s="119">
        <f t="shared" si="10"/>
        <v>0</v>
      </c>
      <c r="G44" s="119">
        <f t="shared" si="9"/>
        <v>0</v>
      </c>
      <c r="H44" s="119">
        <f t="shared" si="11"/>
        <v>0</v>
      </c>
      <c r="I44" s="227">
        <f t="shared" si="11"/>
        <v>0</v>
      </c>
      <c r="J44" s="227">
        <f t="shared" si="11"/>
        <v>0</v>
      </c>
      <c r="K44" s="227">
        <f t="shared" si="11"/>
        <v>0</v>
      </c>
      <c r="L44" s="227">
        <f t="shared" si="11"/>
        <v>0</v>
      </c>
      <c r="M44" s="119">
        <f t="shared" si="11"/>
        <v>0</v>
      </c>
      <c r="N44" s="227">
        <f t="shared" si="11"/>
        <v>0</v>
      </c>
      <c r="O44" s="227">
        <f t="shared" si="11"/>
        <v>0</v>
      </c>
      <c r="P44" s="227">
        <f t="shared" si="11"/>
        <v>0</v>
      </c>
      <c r="Q44" s="227">
        <f t="shared" si="11"/>
        <v>0</v>
      </c>
      <c r="R44" s="227">
        <f t="shared" si="11"/>
        <v>0</v>
      </c>
      <c r="S44" s="227">
        <f t="shared" si="11"/>
        <v>0</v>
      </c>
      <c r="T44" s="227">
        <f t="shared" si="11"/>
        <v>0</v>
      </c>
      <c r="U44" s="8"/>
      <c r="V44" s="8"/>
      <c r="W44" s="8"/>
      <c r="X44" s="8"/>
      <c r="Y44" s="8"/>
      <c r="Z44" s="8"/>
      <c r="AA44" s="8"/>
      <c r="AB44" s="8"/>
      <c r="AC44" s="8"/>
      <c r="AV44" s="8"/>
    </row>
    <row r="45" spans="2:48" x14ac:dyDescent="0.3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V45" s="8"/>
    </row>
    <row r="46" spans="2:48" x14ac:dyDescent="0.3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V46" s="8"/>
    </row>
    <row r="47" spans="2:48" x14ac:dyDescent="0.3">
      <c r="C47" s="478" t="s">
        <v>702</v>
      </c>
      <c r="F47" s="8"/>
      <c r="G47" s="8"/>
      <c r="H47" s="8"/>
      <c r="AC47" s="8"/>
      <c r="AV47" s="8"/>
    </row>
    <row r="48" spans="2:48" ht="15" thickBot="1" x14ac:dyDescent="0.35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V48" s="8"/>
    </row>
    <row r="49" spans="2:48" x14ac:dyDescent="0.3">
      <c r="B49" s="601"/>
      <c r="C49" s="602" t="s">
        <v>2281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V49" s="8"/>
    </row>
    <row r="50" spans="2:48" x14ac:dyDescent="0.3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V50" s="8"/>
    </row>
    <row r="51" spans="2:48" x14ac:dyDescent="0.3">
      <c r="F51" s="8"/>
      <c r="G51" s="8"/>
      <c r="H51" s="8"/>
      <c r="AC51" s="8"/>
      <c r="AV51" s="8"/>
    </row>
    <row r="52" spans="2:48" x14ac:dyDescent="0.3">
      <c r="F52" s="8"/>
      <c r="G52" s="8"/>
      <c r="H52" s="8"/>
      <c r="AC52" s="8"/>
      <c r="AV52" s="8"/>
    </row>
    <row r="53" spans="2:48" x14ac:dyDescent="0.3">
      <c r="C53" s="478" t="s">
        <v>2475</v>
      </c>
      <c r="F53" s="8"/>
      <c r="G53" s="8"/>
      <c r="H53" s="8"/>
      <c r="AC53" s="8"/>
      <c r="AV53" s="8"/>
    </row>
    <row r="54" spans="2:48" ht="15" thickBot="1" x14ac:dyDescent="0.35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V54" s="8"/>
    </row>
    <row r="55" spans="2:48" x14ac:dyDescent="0.3">
      <c r="B55" s="601"/>
      <c r="C55" s="602" t="s">
        <v>2281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V55" s="8"/>
    </row>
    <row r="56" spans="2:48" x14ac:dyDescent="0.3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V56" s="8"/>
    </row>
    <row r="57" spans="2:48" x14ac:dyDescent="0.3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V57" s="8"/>
    </row>
    <row r="58" spans="2:48" x14ac:dyDescent="0.3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V58" s="8"/>
    </row>
    <row r="59" spans="2:48" x14ac:dyDescent="0.3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V59" s="8"/>
    </row>
    <row r="60" spans="2:48" x14ac:dyDescent="0.3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V60" s="8"/>
    </row>
    <row r="61" spans="2:48" x14ac:dyDescent="0.3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V61" s="8"/>
    </row>
    <row r="62" spans="2:48" x14ac:dyDescent="0.3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V62" s="8"/>
    </row>
    <row r="63" spans="2:48" x14ac:dyDescent="0.3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V63" s="8"/>
    </row>
    <row r="64" spans="2:48" x14ac:dyDescent="0.3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V64" s="8"/>
    </row>
    <row r="65" spans="3:274" x14ac:dyDescent="0.3">
      <c r="C65" s="1270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V65" s="8"/>
    </row>
    <row r="66" spans="3:274" x14ac:dyDescent="0.3">
      <c r="C66" s="1267" t="s">
        <v>2474</v>
      </c>
      <c r="D66" s="1268" t="s">
        <v>533</v>
      </c>
      <c r="E66" s="1300">
        <f>SUM(75:75)</f>
        <v>109</v>
      </c>
      <c r="F66" s="1300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V66" s="8"/>
    </row>
    <row r="67" spans="3:274" x14ac:dyDescent="0.3">
      <c r="C67" s="1269" t="s">
        <v>2474</v>
      </c>
      <c r="D67" s="1268" t="s">
        <v>534</v>
      </c>
      <c r="E67" s="1300">
        <f>SUM(76:76)</f>
        <v>96</v>
      </c>
      <c r="F67" s="1300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V67" s="8"/>
    </row>
    <row r="68" spans="3:274" x14ac:dyDescent="0.3">
      <c r="C68" s="1269" t="s">
        <v>2474</v>
      </c>
      <c r="D68" s="1268" t="s">
        <v>535</v>
      </c>
      <c r="E68" s="1300">
        <f>SUM(77:77)</f>
        <v>25</v>
      </c>
      <c r="F68" s="1300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V68" s="8"/>
    </row>
    <row r="69" spans="3:274" x14ac:dyDescent="0.3">
      <c r="C69" t="s">
        <v>2483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V69" s="8"/>
    </row>
    <row r="70" spans="3:274" x14ac:dyDescent="0.3">
      <c r="C70" s="1267" t="s">
        <v>2474</v>
      </c>
      <c r="D70" s="1268" t="s">
        <v>533</v>
      </c>
      <c r="E70" s="1300">
        <f>SUM(102:102)</f>
        <v>24</v>
      </c>
      <c r="F70" s="1300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V70" s="8"/>
    </row>
    <row r="71" spans="3:274" x14ac:dyDescent="0.3">
      <c r="C71" s="1269" t="s">
        <v>2474</v>
      </c>
      <c r="D71" s="1268" t="s">
        <v>534</v>
      </c>
      <c r="E71" s="1300">
        <f>SUM(103:103)</f>
        <v>20</v>
      </c>
      <c r="F71" s="1300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V71" s="8"/>
    </row>
    <row r="72" spans="3:274" x14ac:dyDescent="0.3">
      <c r="C72" s="1269" t="s">
        <v>2474</v>
      </c>
      <c r="D72" s="1268" t="s">
        <v>535</v>
      </c>
      <c r="E72" s="1300">
        <f>SUM(104:104)</f>
        <v>4</v>
      </c>
      <c r="F72" s="1300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V72" s="8"/>
    </row>
    <row r="73" spans="3:274" x14ac:dyDescent="0.3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V73" s="8"/>
    </row>
    <row r="74" spans="3:274" x14ac:dyDescent="0.3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</row>
    <row r="75" spans="3:274" x14ac:dyDescent="0.3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>
        <f>COUNTIF(AO79:AX97,AO75)</f>
        <v>8</v>
      </c>
      <c r="AQ75" s="8"/>
      <c r="AR75" s="8"/>
      <c r="AS75" s="8"/>
      <c r="AT75" s="8"/>
      <c r="AU75" s="8"/>
      <c r="AV75" s="8"/>
      <c r="AY75" s="205" t="s">
        <v>533</v>
      </c>
      <c r="AZ75">
        <f>COUNTIF(AY79:BH97,AY75)</f>
        <v>3</v>
      </c>
      <c r="BI75" s="205" t="s">
        <v>533</v>
      </c>
      <c r="BJ75">
        <f>COUNTIF(BI79:BR97,BI75)</f>
        <v>10</v>
      </c>
      <c r="BS75" s="205" t="s">
        <v>533</v>
      </c>
      <c r="BT75">
        <f>COUNTIF(BS79:CB97,BS75)</f>
        <v>4</v>
      </c>
      <c r="CC75" s="205" t="s">
        <v>533</v>
      </c>
      <c r="CD75">
        <f>COUNTIF(CC79:CL97,CC75)</f>
        <v>3</v>
      </c>
      <c r="CM75" s="205" t="s">
        <v>533</v>
      </c>
      <c r="CN75">
        <f>COUNTIF(CM79:CV97,CM75)</f>
        <v>5</v>
      </c>
      <c r="CW75" s="205" t="s">
        <v>533</v>
      </c>
      <c r="CX75">
        <f>COUNTIF(CW79:DF97,CW75)</f>
        <v>3</v>
      </c>
      <c r="DG75" s="205" t="s">
        <v>533</v>
      </c>
      <c r="DH75">
        <f>COUNTIF(DG79:DP97,DG75)</f>
        <v>4</v>
      </c>
      <c r="DQ75" s="205" t="s">
        <v>533</v>
      </c>
      <c r="DR75">
        <f>COUNTIF(DQ79:DZ97,DQ75)</f>
        <v>7</v>
      </c>
      <c r="EA75" s="205" t="s">
        <v>533</v>
      </c>
      <c r="EB75">
        <f>COUNTIF(EA79:EJ97,EA75)</f>
        <v>5</v>
      </c>
      <c r="EK75" s="205" t="s">
        <v>533</v>
      </c>
      <c r="EL75">
        <f>COUNTIF(EK79:ET97,EK75)</f>
        <v>5</v>
      </c>
      <c r="EU75" s="205" t="s">
        <v>533</v>
      </c>
      <c r="EV75">
        <f>COUNTIF(EU79:FD97,EU75)</f>
        <v>4</v>
      </c>
      <c r="FE75" s="205" t="s">
        <v>533</v>
      </c>
      <c r="FF75">
        <f>COUNTIF(FE79:FN97,FE75)</f>
        <v>5</v>
      </c>
      <c r="FO75" s="205" t="s">
        <v>533</v>
      </c>
      <c r="FP75">
        <f>COUNTIF(FO79:FX97,FO75)</f>
        <v>4</v>
      </c>
      <c r="FY75" s="205" t="s">
        <v>533</v>
      </c>
      <c r="FZ75">
        <f>COUNTIF(FY79:GH97,FY75)</f>
        <v>8</v>
      </c>
      <c r="GI75" s="205" t="s">
        <v>533</v>
      </c>
      <c r="GJ75">
        <f>COUNTIF(GI79:GR97,GI75)</f>
        <v>6</v>
      </c>
      <c r="GS75" s="205" t="s">
        <v>533</v>
      </c>
      <c r="GT75">
        <f>COUNTIF(GS79:HB97,GS75)</f>
        <v>4</v>
      </c>
      <c r="HC75" s="205" t="s">
        <v>533</v>
      </c>
      <c r="HD75">
        <f>COUNTIF(HC79:HL97,HC75)</f>
        <v>9</v>
      </c>
      <c r="HM75" s="205" t="s">
        <v>533</v>
      </c>
      <c r="HN75">
        <f>COUNTIF(HM79:HV97,HM75)</f>
        <v>5</v>
      </c>
      <c r="HW75" s="205" t="s">
        <v>533</v>
      </c>
      <c r="HX75">
        <f>COUNTIF(HW79:IF97,HW75)</f>
        <v>0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</row>
    <row r="76" spans="3:274" x14ac:dyDescent="0.3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>
        <f>COUNTIF(AO79:AX97,AO76)</f>
        <v>6</v>
      </c>
      <c r="AQ76" s="8"/>
      <c r="AR76" s="8"/>
      <c r="AS76" s="8"/>
      <c r="AT76" s="8"/>
      <c r="AU76" s="8"/>
      <c r="AV76" s="8"/>
      <c r="AY76" s="205" t="s">
        <v>534</v>
      </c>
      <c r="AZ76">
        <f>COUNTIF(AY79:BH97,AY76)</f>
        <v>3</v>
      </c>
      <c r="BI76" s="205" t="s">
        <v>534</v>
      </c>
      <c r="BJ76">
        <f>COUNTIF(BI79:BR97,BI76)</f>
        <v>8</v>
      </c>
      <c r="BS76" s="205" t="s">
        <v>534</v>
      </c>
      <c r="BT76">
        <f>COUNTIF(BS79:CB97,BS76)</f>
        <v>4</v>
      </c>
      <c r="CC76" s="205" t="s">
        <v>534</v>
      </c>
      <c r="CD76">
        <f>COUNTIF(CC79:CL97,CC76)</f>
        <v>3</v>
      </c>
      <c r="CM76" s="205" t="s">
        <v>534</v>
      </c>
      <c r="CN76">
        <f>COUNTIF(CM79:CV97,CM76)</f>
        <v>4</v>
      </c>
      <c r="CW76" s="205" t="s">
        <v>534</v>
      </c>
      <c r="CX76">
        <f>COUNTIF(CW79:DF97,CW76)</f>
        <v>3</v>
      </c>
      <c r="DG76" s="205" t="s">
        <v>534</v>
      </c>
      <c r="DH76">
        <f>COUNTIF(DG79:DP97,DG76)</f>
        <v>3</v>
      </c>
      <c r="DQ76" s="205" t="s">
        <v>534</v>
      </c>
      <c r="DR76">
        <f>COUNTIF(DQ79:DZ97,DQ76)</f>
        <v>7</v>
      </c>
      <c r="EA76" s="205" t="s">
        <v>534</v>
      </c>
      <c r="EB76">
        <f>COUNTIF(EA79:EJ97,EA76)</f>
        <v>5</v>
      </c>
      <c r="EK76" s="205" t="s">
        <v>534</v>
      </c>
      <c r="EL76">
        <f>COUNTIF(EK79:ET97,EK76)</f>
        <v>4</v>
      </c>
      <c r="EU76" s="205" t="s">
        <v>534</v>
      </c>
      <c r="EV76">
        <f>COUNTIF(EU79:FD97,EU76)</f>
        <v>4</v>
      </c>
      <c r="FE76" s="205" t="s">
        <v>534</v>
      </c>
      <c r="FF76">
        <f>COUNTIF(FE79:FN97,FE76)</f>
        <v>5</v>
      </c>
      <c r="FO76" s="205" t="s">
        <v>534</v>
      </c>
      <c r="FP76">
        <f>COUNTIF(FO79:FX97,FO76)</f>
        <v>3</v>
      </c>
      <c r="FY76" s="205" t="s">
        <v>534</v>
      </c>
      <c r="FZ76">
        <f>COUNTIF(FY79:GH97,FY76)</f>
        <v>7</v>
      </c>
      <c r="GI76" s="205" t="s">
        <v>534</v>
      </c>
      <c r="GJ76">
        <f>COUNTIF(GI79:GR97,GI76)</f>
        <v>5</v>
      </c>
      <c r="GS76" s="205" t="s">
        <v>534</v>
      </c>
      <c r="GT76">
        <f>COUNTIF(GS79:HB97,GS76)</f>
        <v>3</v>
      </c>
      <c r="HC76" s="205" t="s">
        <v>534</v>
      </c>
      <c r="HD76">
        <f>COUNTIF(HC79:HL97,HC76)</f>
        <v>8</v>
      </c>
      <c r="HM76" s="205" t="s">
        <v>534</v>
      </c>
      <c r="HN76">
        <f>COUNTIF(HM79:HV97,HM76)</f>
        <v>4</v>
      </c>
      <c r="HW76" s="205" t="s">
        <v>534</v>
      </c>
      <c r="HX76">
        <f>COUNTIF(HW79:IF97,HW76)</f>
        <v>0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</row>
    <row r="77" spans="3:274" x14ac:dyDescent="0.3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>
        <f>COUNTIF(AO79:AX97,AO77)</f>
        <v>3</v>
      </c>
      <c r="AQ77" s="8"/>
      <c r="AR77" s="8"/>
      <c r="AS77" s="8"/>
      <c r="AT77" s="8"/>
      <c r="AU77" s="8"/>
      <c r="AV77" s="8"/>
      <c r="AY77" s="205" t="s">
        <v>535</v>
      </c>
      <c r="AZ77">
        <f>COUNTIF(AY79:BH97,AY77)</f>
        <v>1</v>
      </c>
      <c r="BI77" s="205" t="s">
        <v>535</v>
      </c>
      <c r="BJ77">
        <f>COUNTIF(BI79:BR97,BI77)</f>
        <v>0</v>
      </c>
      <c r="BS77" s="205" t="s">
        <v>535</v>
      </c>
      <c r="BT77">
        <f>COUNTIF(BS79:CB97,BS77)</f>
        <v>1</v>
      </c>
      <c r="CC77" s="205" t="s">
        <v>535</v>
      </c>
      <c r="CD77">
        <f>COUNTIF(CC79:CL97,CC77)</f>
        <v>0</v>
      </c>
      <c r="CM77" s="205" t="s">
        <v>535</v>
      </c>
      <c r="CN77">
        <f>COUNTIF(CM79:CV97,CM77)</f>
        <v>1</v>
      </c>
      <c r="CW77" s="205" t="s">
        <v>535</v>
      </c>
      <c r="CX77">
        <f>COUNTIF(CW79:DF97,CW77)</f>
        <v>0</v>
      </c>
      <c r="DG77" s="205" t="s">
        <v>535</v>
      </c>
      <c r="DH77">
        <f>COUNTIF(DG79:DP97,DG77)</f>
        <v>3</v>
      </c>
      <c r="DQ77" s="205" t="s">
        <v>535</v>
      </c>
      <c r="DR77">
        <f>COUNTIF(DQ79:DZ97,DQ77)</f>
        <v>3</v>
      </c>
      <c r="EA77" s="205" t="s">
        <v>535</v>
      </c>
      <c r="EB77">
        <f>COUNTIF(EA79:EJ97,EA77)</f>
        <v>0</v>
      </c>
      <c r="EK77" s="205" t="s">
        <v>535</v>
      </c>
      <c r="EL77">
        <f>COUNTIF(EK79:ET97,EK77)</f>
        <v>0</v>
      </c>
      <c r="EU77" s="205" t="s">
        <v>535</v>
      </c>
      <c r="EV77">
        <f>COUNTIF(EU79:FD97,EU77)</f>
        <v>1</v>
      </c>
      <c r="FE77" s="205" t="s">
        <v>535</v>
      </c>
      <c r="FF77">
        <f>COUNTIF(FE79:FN97,FE77)</f>
        <v>0</v>
      </c>
      <c r="FO77" s="205" t="s">
        <v>535</v>
      </c>
      <c r="FP77">
        <f>COUNTIF(FO79:FX97,FO77)</f>
        <v>2</v>
      </c>
      <c r="FY77" s="205" t="s">
        <v>535</v>
      </c>
      <c r="FZ77">
        <f>COUNTIF(FY79:GH97,FY77)</f>
        <v>1</v>
      </c>
      <c r="GI77" s="205" t="s">
        <v>535</v>
      </c>
      <c r="GJ77">
        <f>COUNTIF(GI79:GR97,GI77)</f>
        <v>3</v>
      </c>
      <c r="GS77" s="205" t="s">
        <v>535</v>
      </c>
      <c r="GT77">
        <f>COUNTIF(GS79:HB97,GS77)</f>
        <v>2</v>
      </c>
      <c r="HC77" s="205" t="s">
        <v>535</v>
      </c>
      <c r="HD77">
        <f>COUNTIF(HC79:HL97,HC77)</f>
        <v>0</v>
      </c>
      <c r="HM77" s="205" t="s">
        <v>535</v>
      </c>
      <c r="HN77">
        <f>COUNTIF(HM79:HV97,HM77)</f>
        <v>3</v>
      </c>
      <c r="HW77" s="205" t="s">
        <v>535</v>
      </c>
      <c r="HX77">
        <f>COUNTIF(HW79:IF97,HW77)</f>
        <v>0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</row>
    <row r="78" spans="3:274" x14ac:dyDescent="0.3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</row>
    <row r="79" spans="3:274" s="205" customFormat="1" x14ac:dyDescent="0.3">
      <c r="C79" s="205" t="s">
        <v>2527</v>
      </c>
      <c r="AE79" s="372" t="s">
        <v>995</v>
      </c>
      <c r="AF79" s="205" t="s">
        <v>2454</v>
      </c>
      <c r="AG79" s="265"/>
      <c r="AH79" s="265"/>
      <c r="AI79" s="265"/>
      <c r="AJ79" s="265"/>
      <c r="AK79" s="265"/>
      <c r="AL79" s="265"/>
      <c r="AM79" s="265"/>
      <c r="AN79" s="1265"/>
      <c r="AO79" s="372" t="s">
        <v>997</v>
      </c>
      <c r="AP79" s="205" t="s">
        <v>2455</v>
      </c>
      <c r="AQ79" s="265"/>
      <c r="AR79" s="265"/>
      <c r="AS79" s="265"/>
      <c r="AT79" s="265"/>
      <c r="AU79" s="265"/>
      <c r="AV79" s="265"/>
      <c r="AW79" s="265"/>
      <c r="AX79" s="1265"/>
      <c r="AY79" s="372" t="s">
        <v>999</v>
      </c>
      <c r="AZ79" s="205" t="s">
        <v>2456</v>
      </c>
      <c r="BA79" s="265"/>
      <c r="BB79" s="265"/>
      <c r="BC79" s="265"/>
      <c r="BD79" s="265"/>
      <c r="BE79" s="265"/>
      <c r="BF79" s="265"/>
      <c r="BG79" s="265"/>
      <c r="BH79" s="1265"/>
      <c r="BI79" s="372" t="s">
        <v>1001</v>
      </c>
      <c r="BJ79" s="205" t="s">
        <v>2457</v>
      </c>
      <c r="BK79" s="265"/>
      <c r="BL79" s="265"/>
      <c r="BM79" s="265"/>
      <c r="BN79" s="265"/>
      <c r="BO79" s="265"/>
      <c r="BP79" s="265"/>
      <c r="BQ79" s="265"/>
      <c r="BR79" s="1265"/>
      <c r="BS79" s="372" t="s">
        <v>1003</v>
      </c>
      <c r="BT79" s="205" t="s">
        <v>2458</v>
      </c>
      <c r="BU79" s="265"/>
      <c r="BV79" s="265"/>
      <c r="BW79" s="265"/>
      <c r="BX79" s="265"/>
      <c r="BY79" s="265"/>
      <c r="BZ79" s="265"/>
      <c r="CA79" s="265"/>
      <c r="CB79" s="1265"/>
      <c r="CC79" s="372" t="s">
        <v>1004</v>
      </c>
      <c r="CD79" s="205" t="s">
        <v>2459</v>
      </c>
      <c r="CE79" s="265"/>
      <c r="CF79" s="265"/>
      <c r="CG79" s="265"/>
      <c r="CH79" s="265"/>
      <c r="CM79" s="372" t="s">
        <v>1006</v>
      </c>
      <c r="CN79" s="205" t="s">
        <v>2460</v>
      </c>
      <c r="CO79" s="265"/>
      <c r="CP79" s="265"/>
      <c r="CQ79" s="265"/>
      <c r="CR79" s="265"/>
      <c r="CS79" s="265"/>
      <c r="CT79" s="265"/>
      <c r="CU79" s="265"/>
      <c r="CV79" s="1265"/>
      <c r="CW79" s="372" t="s">
        <v>1008</v>
      </c>
      <c r="CX79" s="205" t="s">
        <v>2461</v>
      </c>
      <c r="CY79" s="265"/>
      <c r="CZ79" s="265"/>
      <c r="DA79" s="265"/>
      <c r="DB79" s="265"/>
      <c r="DC79" s="265"/>
      <c r="DD79" s="265"/>
      <c r="DE79" s="265"/>
      <c r="DF79" s="1265"/>
      <c r="DG79" s="372" t="s">
        <v>1010</v>
      </c>
      <c r="DH79" s="205" t="s">
        <v>2462</v>
      </c>
      <c r="DI79" s="265"/>
      <c r="DJ79" s="265"/>
      <c r="DK79" s="265"/>
      <c r="DL79" s="265"/>
      <c r="DM79" s="265"/>
      <c r="DN79" s="265"/>
      <c r="DO79" s="265"/>
      <c r="DP79" s="1265"/>
      <c r="DQ79" s="372" t="s">
        <v>1012</v>
      </c>
      <c r="DR79" s="205" t="s">
        <v>2463</v>
      </c>
      <c r="DS79" s="265"/>
      <c r="DT79" s="265"/>
      <c r="DU79" s="265"/>
      <c r="DV79" s="265"/>
      <c r="DW79" s="265"/>
      <c r="DX79" s="265"/>
      <c r="DY79" s="265"/>
      <c r="DZ79" s="1265"/>
      <c r="EA79" s="372" t="s">
        <v>1465</v>
      </c>
      <c r="EB79" s="205" t="s">
        <v>2464</v>
      </c>
      <c r="EC79" s="265"/>
      <c r="ED79" s="265"/>
      <c r="EE79" s="265"/>
      <c r="EF79" s="265"/>
      <c r="EG79" s="265"/>
      <c r="EH79" s="265"/>
      <c r="EI79" s="265"/>
      <c r="EJ79" s="1265"/>
      <c r="EK79" s="372" t="s">
        <v>1466</v>
      </c>
      <c r="EL79" s="205" t="s">
        <v>2465</v>
      </c>
      <c r="EM79" s="265"/>
      <c r="EN79" s="265"/>
      <c r="EO79" s="265"/>
      <c r="EP79" s="265"/>
      <c r="EU79" s="372" t="s">
        <v>1467</v>
      </c>
      <c r="EV79" s="205" t="s">
        <v>2466</v>
      </c>
      <c r="EW79" s="265"/>
      <c r="EX79" s="265"/>
      <c r="EY79" s="265"/>
      <c r="EZ79" s="265"/>
      <c r="FA79" s="265"/>
      <c r="FB79" s="265"/>
      <c r="FC79" s="265"/>
      <c r="FD79" s="1265"/>
      <c r="FE79" s="372" t="s">
        <v>1468</v>
      </c>
      <c r="FF79" s="205" t="s">
        <v>2467</v>
      </c>
      <c r="FG79" s="265"/>
      <c r="FH79" s="265"/>
      <c r="FI79" s="265"/>
      <c r="FJ79" s="265"/>
      <c r="FK79" s="265"/>
      <c r="FL79" s="265"/>
      <c r="FM79" s="265"/>
      <c r="FN79" s="1265"/>
      <c r="FO79" s="372" t="s">
        <v>1469</v>
      </c>
      <c r="FP79" s="205" t="s">
        <v>2468</v>
      </c>
      <c r="FQ79" s="265"/>
      <c r="FR79" s="265"/>
      <c r="FS79" s="265"/>
      <c r="FT79" s="265"/>
      <c r="FU79" s="265"/>
      <c r="FV79" s="265"/>
      <c r="FW79" s="265"/>
      <c r="FX79" s="1265"/>
      <c r="FY79" s="372" t="s">
        <v>1470</v>
      </c>
      <c r="FZ79" s="205" t="s">
        <v>2469</v>
      </c>
      <c r="GA79" s="265"/>
      <c r="GB79" s="265"/>
      <c r="GC79" s="265"/>
      <c r="GD79" s="265"/>
      <c r="GE79" s="265"/>
      <c r="GF79" s="265"/>
      <c r="GG79" s="265"/>
      <c r="GH79" s="1265"/>
      <c r="GI79" s="372" t="s">
        <v>1472</v>
      </c>
      <c r="GJ79" s="205" t="s">
        <v>2470</v>
      </c>
      <c r="GK79" s="265"/>
      <c r="GL79" s="265"/>
      <c r="GM79" s="265"/>
      <c r="GN79" s="265"/>
      <c r="GO79" s="265"/>
      <c r="GP79" s="265"/>
      <c r="GQ79" s="265"/>
      <c r="GR79" s="1265"/>
      <c r="GS79" s="372" t="s">
        <v>1473</v>
      </c>
      <c r="GT79" s="205" t="s">
        <v>2471</v>
      </c>
      <c r="GU79" s="265"/>
      <c r="GV79" s="265"/>
      <c r="GW79" s="265"/>
      <c r="GX79" s="265"/>
      <c r="HC79" s="372" t="s">
        <v>1474</v>
      </c>
      <c r="HD79" s="205" t="s">
        <v>2472</v>
      </c>
      <c r="HE79" s="265"/>
      <c r="HF79" s="265"/>
      <c r="HG79" s="265"/>
      <c r="HH79" s="265"/>
      <c r="HI79" s="265"/>
      <c r="HJ79" s="265"/>
      <c r="HK79" s="265"/>
      <c r="HL79" s="1265"/>
      <c r="HM79" s="372" t="s">
        <v>1475</v>
      </c>
      <c r="HN79" s="205" t="s">
        <v>2473</v>
      </c>
      <c r="HO79" s="265"/>
      <c r="HP79" s="265"/>
      <c r="HQ79" s="265"/>
      <c r="HR79" s="265"/>
      <c r="HS79" s="265"/>
      <c r="HT79" s="265"/>
      <c r="HU79" s="265"/>
      <c r="HV79" s="1265"/>
      <c r="HW79" s="372" t="s">
        <v>2450</v>
      </c>
      <c r="HY79" s="265"/>
      <c r="HZ79" s="265"/>
      <c r="IA79" s="265"/>
      <c r="IB79" s="265"/>
      <c r="IC79" s="265"/>
      <c r="ID79" s="265"/>
      <c r="IE79" s="265"/>
      <c r="IF79" s="1265"/>
      <c r="IG79" s="372" t="s">
        <v>2451</v>
      </c>
      <c r="II79" s="265"/>
      <c r="IJ79" s="265"/>
      <c r="IK79" s="265"/>
      <c r="IL79" s="265"/>
      <c r="IM79" s="265"/>
      <c r="IN79" s="265"/>
      <c r="IO79" s="265"/>
      <c r="IP79" s="1265"/>
      <c r="IQ79" s="372" t="s">
        <v>2452</v>
      </c>
      <c r="IS79" s="265"/>
      <c r="IT79" s="265"/>
      <c r="IU79" s="265"/>
      <c r="IV79" s="265"/>
      <c r="IW79" s="265"/>
      <c r="IX79" s="265"/>
      <c r="IY79" s="265"/>
      <c r="IZ79" s="1265"/>
      <c r="JA79" s="372" t="s">
        <v>2453</v>
      </c>
      <c r="JC79" s="265"/>
      <c r="JD79" s="265"/>
      <c r="JE79" s="265"/>
      <c r="JF79" s="265"/>
      <c r="JK79"/>
      <c r="JL79"/>
      <c r="JM79"/>
      <c r="JN79"/>
    </row>
    <row r="80" spans="3:274" x14ac:dyDescent="0.3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66"/>
      <c r="AO80" s="300"/>
      <c r="AQ80" s="8"/>
      <c r="AR80" s="8"/>
      <c r="AS80" s="8"/>
      <c r="AT80" s="8"/>
      <c r="AU80" s="8"/>
      <c r="AV80" s="8"/>
      <c r="AW80" s="8"/>
      <c r="AX80" s="1266"/>
      <c r="AY80" s="300"/>
      <c r="BA80" s="8"/>
      <c r="BB80" s="8"/>
      <c r="BC80" s="8"/>
      <c r="BD80" s="8"/>
      <c r="BE80" s="8"/>
      <c r="BF80" s="8"/>
      <c r="BG80" s="8"/>
      <c r="BH80" s="1266"/>
      <c r="BI80" s="300"/>
      <c r="BK80" s="8"/>
      <c r="BL80" s="8"/>
      <c r="BM80" s="8"/>
      <c r="BN80" s="8"/>
      <c r="BO80" s="8"/>
      <c r="BP80" s="8"/>
      <c r="BQ80" s="8"/>
      <c r="BR80" s="1266"/>
      <c r="BS80" s="300" t="s">
        <v>534</v>
      </c>
      <c r="BU80" s="8"/>
      <c r="BV80" s="8"/>
      <c r="BW80" s="8"/>
      <c r="BX80" s="8"/>
      <c r="BY80" s="8"/>
      <c r="BZ80" s="8"/>
      <c r="CA80" s="8"/>
      <c r="CB80" s="1266"/>
      <c r="CC80" s="300"/>
      <c r="CE80" s="8"/>
      <c r="CF80" s="8"/>
      <c r="CG80" s="8"/>
      <c r="CH80" s="8"/>
      <c r="CM80" s="300"/>
      <c r="CO80" s="8"/>
      <c r="CP80" s="8"/>
      <c r="CQ80" s="8"/>
      <c r="CR80" s="8"/>
      <c r="CS80" s="8"/>
      <c r="CT80" s="8"/>
      <c r="CU80" s="8"/>
      <c r="CV80" s="1266"/>
      <c r="CW80" s="300"/>
      <c r="CY80" s="8"/>
      <c r="CZ80" s="8"/>
      <c r="DA80" s="8"/>
      <c r="DB80" s="8"/>
      <c r="DC80" s="8"/>
      <c r="DD80" s="8"/>
      <c r="DE80" s="8"/>
      <c r="DF80" s="1266"/>
      <c r="DG80" s="300" t="s">
        <v>534</v>
      </c>
      <c r="DI80" s="8"/>
      <c r="DJ80" s="8"/>
      <c r="DK80" s="8"/>
      <c r="DL80" s="8"/>
      <c r="DM80" s="8"/>
      <c r="DN80" s="8"/>
      <c r="DO80" s="8"/>
      <c r="DP80" s="1266"/>
      <c r="DQ80" s="300" t="s">
        <v>533</v>
      </c>
      <c r="DS80" s="8"/>
      <c r="DT80" s="8"/>
      <c r="DU80" s="8"/>
      <c r="DV80" s="8"/>
      <c r="DW80" s="8"/>
      <c r="DX80" s="8"/>
      <c r="DY80" s="8"/>
      <c r="DZ80" s="1266"/>
      <c r="EA80" s="300"/>
      <c r="EC80" s="8"/>
      <c r="ED80" s="8"/>
      <c r="EE80" s="8"/>
      <c r="EF80" s="8"/>
      <c r="EG80" s="8"/>
      <c r="EH80" s="8"/>
      <c r="EI80" s="8"/>
      <c r="EJ80" s="1266"/>
      <c r="EK80" s="300"/>
      <c r="EM80" s="8"/>
      <c r="EN80" s="8"/>
      <c r="EO80" s="8"/>
      <c r="EP80" s="8"/>
      <c r="EU80" s="300" t="s">
        <v>534</v>
      </c>
      <c r="EW80" s="8"/>
      <c r="EX80" s="8"/>
      <c r="EY80" s="8"/>
      <c r="EZ80" s="8"/>
      <c r="FA80" s="8"/>
      <c r="FB80" s="8"/>
      <c r="FC80" s="8"/>
      <c r="FD80" s="1266"/>
      <c r="FE80" s="300"/>
      <c r="FG80" s="8"/>
      <c r="FH80" s="8"/>
      <c r="FI80" s="8"/>
      <c r="FJ80" s="8"/>
      <c r="FK80" s="8"/>
      <c r="FL80" s="8"/>
      <c r="FM80" s="8"/>
      <c r="FN80" s="1266"/>
      <c r="FO80" s="300"/>
      <c r="FQ80" s="8"/>
      <c r="FR80" s="8"/>
      <c r="FS80" s="8"/>
      <c r="FT80" s="8"/>
      <c r="FU80" s="8"/>
      <c r="FV80" s="8"/>
      <c r="FW80" s="8"/>
      <c r="FX80" s="1266"/>
      <c r="FY80" s="300"/>
      <c r="GA80" s="8"/>
      <c r="GB80" s="8"/>
      <c r="GC80" s="8"/>
      <c r="GD80" s="8"/>
      <c r="GE80" s="8"/>
      <c r="GF80" s="8"/>
      <c r="GG80" s="8"/>
      <c r="GH80" s="1266"/>
      <c r="GI80" s="300"/>
      <c r="GK80" s="8"/>
      <c r="GL80" s="8"/>
      <c r="GM80" s="8"/>
      <c r="GN80" s="8"/>
      <c r="GO80" s="8"/>
      <c r="GP80" s="8"/>
      <c r="GQ80" s="8"/>
      <c r="GR80" s="1266"/>
      <c r="GS80" s="300"/>
      <c r="GU80" s="8"/>
      <c r="GV80" s="8"/>
      <c r="GW80" s="8"/>
      <c r="GX80" s="8"/>
      <c r="HC80" s="300"/>
      <c r="HE80" s="8"/>
      <c r="HF80" s="8"/>
      <c r="HG80" s="8"/>
      <c r="HH80" s="8"/>
      <c r="HI80" s="8"/>
      <c r="HJ80" s="8"/>
      <c r="HK80" s="8"/>
      <c r="HL80" s="1266"/>
      <c r="HM80" s="300" t="s">
        <v>535</v>
      </c>
      <c r="HO80" s="8"/>
      <c r="HP80" s="8"/>
      <c r="HQ80" s="8"/>
      <c r="HR80" s="8"/>
      <c r="HS80" s="8"/>
      <c r="HT80" s="8"/>
      <c r="HU80" s="8"/>
      <c r="HV80" s="1266"/>
      <c r="HW80" s="300"/>
      <c r="HY80" s="8"/>
      <c r="HZ80" s="8"/>
      <c r="IA80" s="8"/>
      <c r="IB80" s="8"/>
      <c r="IC80" s="8"/>
      <c r="ID80" s="8"/>
      <c r="IE80" s="8"/>
      <c r="IF80" s="1266"/>
      <c r="IG80" s="300"/>
      <c r="II80" s="8"/>
      <c r="IJ80" s="8"/>
      <c r="IK80" s="8"/>
      <c r="IL80" s="8"/>
      <c r="IM80" s="8"/>
      <c r="IN80" s="8"/>
      <c r="IO80" s="8"/>
      <c r="IP80" s="1266"/>
      <c r="IQ80" s="300"/>
      <c r="IS80" s="8"/>
      <c r="IT80" s="8"/>
      <c r="IU80" s="8"/>
      <c r="IV80" s="8"/>
      <c r="IW80" s="8"/>
      <c r="IX80" s="8"/>
      <c r="IY80" s="8"/>
      <c r="IZ80" s="1266"/>
      <c r="JA80" s="300"/>
      <c r="JC80" s="8"/>
      <c r="JD80" s="8"/>
      <c r="JE80" s="8"/>
      <c r="JF80" s="8"/>
    </row>
    <row r="81" spans="3:266" x14ac:dyDescent="0.3">
      <c r="C81" t="s">
        <v>2281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66"/>
      <c r="AO81" s="300"/>
      <c r="AQ81" s="8"/>
      <c r="AR81" s="8"/>
      <c r="AS81" s="8"/>
      <c r="AT81" s="8"/>
      <c r="AU81" s="8"/>
      <c r="AV81" s="8"/>
      <c r="AW81" s="8"/>
      <c r="AX81" s="1266"/>
      <c r="AY81" s="300" t="s">
        <v>681</v>
      </c>
      <c r="BA81" s="8"/>
      <c r="BB81" s="8"/>
      <c r="BC81" s="8"/>
      <c r="BD81" s="8"/>
      <c r="BE81" s="8"/>
      <c r="BF81" s="8"/>
      <c r="BG81" s="8"/>
      <c r="BH81" s="1266"/>
      <c r="BI81" s="300"/>
      <c r="BK81" s="8"/>
      <c r="BL81" s="8"/>
      <c r="BM81" s="8"/>
      <c r="BN81" s="8"/>
      <c r="BO81" s="8"/>
      <c r="BP81" s="8"/>
      <c r="BQ81" s="8"/>
      <c r="BR81" s="1266"/>
      <c r="BS81" s="300" t="s">
        <v>534</v>
      </c>
      <c r="BU81" s="8"/>
      <c r="BV81" s="8"/>
      <c r="BW81" s="8"/>
      <c r="BX81" s="8"/>
      <c r="BY81" s="8"/>
      <c r="BZ81" s="8"/>
      <c r="CA81" s="8"/>
      <c r="CB81" s="1266"/>
      <c r="CC81" s="300" t="s">
        <v>681</v>
      </c>
      <c r="CE81" s="8"/>
      <c r="CF81" s="8"/>
      <c r="CG81" s="8"/>
      <c r="CH81" s="8"/>
      <c r="CM81" s="300" t="s">
        <v>681</v>
      </c>
      <c r="CO81" s="8"/>
      <c r="CP81" s="8"/>
      <c r="CQ81" s="8"/>
      <c r="CR81" s="8"/>
      <c r="CS81" s="8"/>
      <c r="CT81" s="8"/>
      <c r="CU81" s="8"/>
      <c r="CV81" s="1266"/>
      <c r="CW81" s="300"/>
      <c r="CY81" s="8"/>
      <c r="CZ81" s="8"/>
      <c r="DA81" s="8"/>
      <c r="DB81" s="8"/>
      <c r="DC81" s="8"/>
      <c r="DD81" s="8"/>
      <c r="DE81" s="8"/>
      <c r="DF81" s="1266"/>
      <c r="DG81" s="300" t="s">
        <v>681</v>
      </c>
      <c r="DI81" s="8"/>
      <c r="DJ81" s="8"/>
      <c r="DK81" s="8"/>
      <c r="DL81" s="8"/>
      <c r="DM81" s="8"/>
      <c r="DN81" s="8"/>
      <c r="DO81" s="8"/>
      <c r="DP81" s="1266"/>
      <c r="DQ81" s="300"/>
      <c r="DS81" s="8"/>
      <c r="DT81" s="8"/>
      <c r="DU81" s="8"/>
      <c r="DV81" s="8"/>
      <c r="DW81" s="8"/>
      <c r="DX81" s="8"/>
      <c r="DY81" s="8"/>
      <c r="DZ81" s="1266"/>
      <c r="EA81" s="300"/>
      <c r="EC81" s="8"/>
      <c r="ED81" s="8"/>
      <c r="EE81" s="8"/>
      <c r="EF81" s="8"/>
      <c r="EG81" s="8"/>
      <c r="EH81" s="8"/>
      <c r="EI81" s="8"/>
      <c r="EJ81" s="1266"/>
      <c r="EK81" s="300" t="s">
        <v>681</v>
      </c>
      <c r="EM81" s="8"/>
      <c r="EN81" s="8"/>
      <c r="EO81" s="8"/>
      <c r="EP81" s="8"/>
      <c r="EU81" s="300"/>
      <c r="EW81" s="8"/>
      <c r="EX81" s="8"/>
      <c r="EY81" s="8"/>
      <c r="EZ81" s="8"/>
      <c r="FA81" s="8"/>
      <c r="FB81" s="8"/>
      <c r="FC81" s="8"/>
      <c r="FD81" s="1266"/>
      <c r="FE81" s="300" t="s">
        <v>681</v>
      </c>
      <c r="FG81" s="8"/>
      <c r="FH81" s="8"/>
      <c r="FI81" s="8"/>
      <c r="FJ81" s="8"/>
      <c r="FK81" s="8"/>
      <c r="FL81" s="8"/>
      <c r="FM81" s="8"/>
      <c r="FN81" s="1266"/>
      <c r="FO81" s="300" t="s">
        <v>681</v>
      </c>
      <c r="FQ81" s="8"/>
      <c r="FR81" s="8"/>
      <c r="FS81" s="8"/>
      <c r="FT81" s="8"/>
      <c r="FU81" s="8"/>
      <c r="FV81" s="8"/>
      <c r="FW81" s="8"/>
      <c r="FX81" s="1266"/>
      <c r="FY81" s="300"/>
      <c r="GA81" s="8"/>
      <c r="GB81" s="8"/>
      <c r="GC81" s="8"/>
      <c r="GD81" s="8"/>
      <c r="GE81" s="8"/>
      <c r="GF81" s="8"/>
      <c r="GG81" s="8"/>
      <c r="GH81" s="1266"/>
      <c r="GI81" s="300" t="s">
        <v>681</v>
      </c>
      <c r="GJ81" t="s">
        <v>2044</v>
      </c>
      <c r="GK81" s="8" t="s">
        <v>534</v>
      </c>
      <c r="GL81" s="8"/>
      <c r="GM81" s="8"/>
      <c r="GN81" s="8"/>
      <c r="GO81" s="8"/>
      <c r="GP81" s="8"/>
      <c r="GQ81" s="8"/>
      <c r="GR81" s="1266"/>
      <c r="GS81" s="300" t="s">
        <v>535</v>
      </c>
      <c r="GU81" s="8"/>
      <c r="GV81" s="8"/>
      <c r="GW81" s="8"/>
      <c r="GX81" s="8"/>
      <c r="HC81" s="300" t="s">
        <v>681</v>
      </c>
      <c r="HD81" t="s">
        <v>2044</v>
      </c>
      <c r="HE81" s="8"/>
      <c r="HF81" s="8"/>
      <c r="HG81" s="8"/>
      <c r="HH81" s="8"/>
      <c r="HI81" s="8"/>
      <c r="HJ81" s="8"/>
      <c r="HK81" s="8"/>
      <c r="HL81" s="1266"/>
      <c r="HM81" s="300"/>
      <c r="HO81" s="8"/>
      <c r="HP81" s="8"/>
      <c r="HQ81" s="8"/>
      <c r="HR81" s="8"/>
      <c r="HS81" s="8"/>
      <c r="HT81" s="8"/>
      <c r="HU81" s="8"/>
      <c r="HV81" s="1266"/>
      <c r="HW81" s="300"/>
      <c r="HY81" s="8"/>
      <c r="HZ81" s="8"/>
      <c r="IA81" s="8"/>
      <c r="IB81" s="8"/>
      <c r="IC81" s="8"/>
      <c r="ID81" s="8"/>
      <c r="IE81" s="8"/>
      <c r="IF81" s="1266"/>
      <c r="IG81" s="300"/>
      <c r="II81" s="8"/>
      <c r="IJ81" s="8"/>
      <c r="IK81" s="8"/>
      <c r="IL81" s="8"/>
      <c r="IM81" s="8"/>
      <c r="IN81" s="8"/>
      <c r="IO81" s="8"/>
      <c r="IP81" s="1266"/>
      <c r="IQ81" s="300"/>
      <c r="IS81" s="8"/>
      <c r="IT81" s="8"/>
      <c r="IU81" s="8"/>
      <c r="IV81" s="8"/>
      <c r="IW81" s="8"/>
      <c r="IX81" s="8"/>
      <c r="IY81" s="8"/>
      <c r="IZ81" s="1266"/>
      <c r="JA81" s="300"/>
      <c r="JC81" s="8"/>
      <c r="JD81" s="8"/>
      <c r="JE81" s="8"/>
      <c r="JF81" s="8"/>
    </row>
    <row r="82" spans="3:266" x14ac:dyDescent="0.3">
      <c r="C82" t="s">
        <v>2441</v>
      </c>
      <c r="AE82" s="300"/>
      <c r="AG82" s="8"/>
      <c r="AH82" s="8"/>
      <c r="AI82" s="8"/>
      <c r="AJ82" s="8"/>
      <c r="AK82" s="8"/>
      <c r="AL82" s="8"/>
      <c r="AM82" s="8"/>
      <c r="AN82" s="1266"/>
      <c r="AO82" s="300"/>
      <c r="AQ82" s="8"/>
      <c r="AR82" s="8"/>
      <c r="AS82" s="8"/>
      <c r="AT82" s="8"/>
      <c r="AU82" s="8"/>
      <c r="AV82" s="8"/>
      <c r="AW82" s="8"/>
      <c r="AX82" s="1266"/>
      <c r="AY82" s="300"/>
      <c r="BA82" s="8"/>
      <c r="BB82" s="8"/>
      <c r="BC82" s="8"/>
      <c r="BD82" s="8"/>
      <c r="BE82" s="8"/>
      <c r="BF82" s="8"/>
      <c r="BG82" s="8"/>
      <c r="BH82" s="1266"/>
      <c r="BI82" s="300" t="s">
        <v>534</v>
      </c>
      <c r="BJ82" t="s">
        <v>534</v>
      </c>
      <c r="BK82" s="8"/>
      <c r="BL82" s="8"/>
      <c r="BM82" s="8"/>
      <c r="BN82" s="8"/>
      <c r="BO82" s="8"/>
      <c r="BP82" s="8"/>
      <c r="BQ82" s="8"/>
      <c r="BR82" s="1266"/>
      <c r="BS82" s="300"/>
      <c r="BU82" s="8"/>
      <c r="BV82" s="8"/>
      <c r="BW82" s="8"/>
      <c r="BX82" s="8"/>
      <c r="BY82" s="8"/>
      <c r="BZ82" s="8"/>
      <c r="CA82" s="8"/>
      <c r="CB82" s="1266"/>
      <c r="CC82" s="300"/>
      <c r="CE82" s="8"/>
      <c r="CF82" s="8"/>
      <c r="CG82" s="8"/>
      <c r="CH82" s="8"/>
      <c r="CM82" s="300"/>
      <c r="CO82" s="8"/>
      <c r="CP82" s="8"/>
      <c r="CQ82" s="8"/>
      <c r="CR82" s="8"/>
      <c r="CS82" s="8"/>
      <c r="CT82" s="8"/>
      <c r="CU82" s="8"/>
      <c r="CV82" s="1266"/>
      <c r="CW82" s="300"/>
      <c r="CY82" s="8"/>
      <c r="CZ82" s="8"/>
      <c r="DA82" s="8"/>
      <c r="DB82" s="8"/>
      <c r="DC82" s="8"/>
      <c r="DD82" s="8"/>
      <c r="DE82" s="8"/>
      <c r="DF82" s="1266"/>
      <c r="DG82" s="300"/>
      <c r="DI82" s="8"/>
      <c r="DJ82" s="8"/>
      <c r="DK82" s="8"/>
      <c r="DL82" s="8"/>
      <c r="DM82" s="8"/>
      <c r="DN82" s="8"/>
      <c r="DO82" s="8"/>
      <c r="DP82" s="1266"/>
      <c r="DQ82" s="300"/>
      <c r="DS82" s="8"/>
      <c r="DT82" s="8"/>
      <c r="DU82" s="8"/>
      <c r="DV82" s="8"/>
      <c r="DW82" s="8"/>
      <c r="DX82" s="8"/>
      <c r="DY82" s="8"/>
      <c r="DZ82" s="1266"/>
      <c r="EA82" s="300"/>
      <c r="EC82" s="8"/>
      <c r="ED82" s="8"/>
      <c r="EE82" s="8"/>
      <c r="EF82" s="8"/>
      <c r="EG82" s="8"/>
      <c r="EH82" s="8"/>
      <c r="EI82" s="8"/>
      <c r="EJ82" s="1266"/>
      <c r="EK82" s="300" t="s">
        <v>533</v>
      </c>
      <c r="EL82" t="s">
        <v>139</v>
      </c>
      <c r="EM82" s="8"/>
      <c r="EN82" s="8"/>
      <c r="EO82" s="8"/>
      <c r="EP82" s="8"/>
      <c r="EU82" s="300"/>
      <c r="EW82" s="8"/>
      <c r="EX82" s="8"/>
      <c r="EY82" s="8"/>
      <c r="EZ82" s="8"/>
      <c r="FA82" s="8"/>
      <c r="FB82" s="8"/>
      <c r="FC82" s="8"/>
      <c r="FD82" s="1266"/>
      <c r="FE82" s="300"/>
      <c r="FG82" s="8"/>
      <c r="FH82" s="8"/>
      <c r="FI82" s="8"/>
      <c r="FJ82" s="8"/>
      <c r="FK82" s="8"/>
      <c r="FL82" s="8"/>
      <c r="FM82" s="8"/>
      <c r="FN82" s="1266"/>
      <c r="FO82" s="300" t="s">
        <v>533</v>
      </c>
      <c r="FQ82" s="8"/>
      <c r="FR82" s="8"/>
      <c r="FS82" s="8"/>
      <c r="FT82" s="8"/>
      <c r="FU82" s="8"/>
      <c r="FV82" s="8"/>
      <c r="FW82" s="8"/>
      <c r="FX82" s="1266"/>
      <c r="FY82" s="300" t="s">
        <v>2229</v>
      </c>
      <c r="FZ82" t="s">
        <v>533</v>
      </c>
      <c r="GA82" s="8"/>
      <c r="GB82" s="8"/>
      <c r="GC82" s="8"/>
      <c r="GD82" s="8"/>
      <c r="GE82" s="8"/>
      <c r="GF82" s="8"/>
      <c r="GG82" s="8"/>
      <c r="GH82" s="1266"/>
      <c r="GI82" s="300"/>
      <c r="GK82" s="8"/>
      <c r="GL82" s="8"/>
      <c r="GM82" s="8"/>
      <c r="GN82" s="8"/>
      <c r="GO82" s="8"/>
      <c r="GP82" s="8"/>
      <c r="GQ82" s="8"/>
      <c r="GR82" s="1266"/>
      <c r="GS82" s="300"/>
      <c r="GU82" s="8"/>
      <c r="GV82" s="8"/>
      <c r="GW82" s="8"/>
      <c r="GX82" s="8"/>
      <c r="HC82" s="300"/>
      <c r="HE82" s="8"/>
      <c r="HF82" s="8"/>
      <c r="HG82" s="8"/>
      <c r="HH82" s="8"/>
      <c r="HI82" s="8"/>
      <c r="HJ82" s="8"/>
      <c r="HK82" s="8"/>
      <c r="HL82" s="1266"/>
      <c r="HM82" s="300" t="s">
        <v>534</v>
      </c>
      <c r="HO82" s="8"/>
      <c r="HP82" s="8"/>
      <c r="HQ82" s="8"/>
      <c r="HR82" s="8"/>
      <c r="HS82" s="8"/>
      <c r="HT82" s="8"/>
      <c r="HU82" s="8"/>
      <c r="HV82" s="1266"/>
      <c r="HW82" s="300"/>
      <c r="HY82" s="8"/>
      <c r="HZ82" s="8"/>
      <c r="IA82" s="8"/>
      <c r="IB82" s="8"/>
      <c r="IC82" s="8"/>
      <c r="ID82" s="8"/>
      <c r="IE82" s="8"/>
      <c r="IF82" s="1266"/>
      <c r="IG82" s="300"/>
      <c r="II82" s="8"/>
      <c r="IJ82" s="8"/>
      <c r="IK82" s="8"/>
      <c r="IL82" s="8"/>
      <c r="IM82" s="8"/>
      <c r="IN82" s="8"/>
      <c r="IO82" s="8"/>
      <c r="IP82" s="1266"/>
      <c r="IQ82" s="300"/>
      <c r="IS82" s="8"/>
      <c r="IT82" s="8"/>
      <c r="IU82" s="8"/>
      <c r="IV82" s="8"/>
      <c r="IW82" s="8"/>
      <c r="IX82" s="8"/>
      <c r="IY82" s="8"/>
      <c r="IZ82" s="1266"/>
      <c r="JA82" s="300"/>
      <c r="JC82" s="8"/>
      <c r="JD82" s="8"/>
      <c r="JE82" s="8"/>
      <c r="JF82" s="8"/>
    </row>
    <row r="83" spans="3:266" x14ac:dyDescent="0.3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66"/>
      <c r="AO83" s="300"/>
      <c r="AQ83" s="8"/>
      <c r="AR83" s="8"/>
      <c r="AS83" s="8"/>
      <c r="AT83" s="8"/>
      <c r="AU83" s="8"/>
      <c r="AV83" s="8"/>
      <c r="AW83" s="8"/>
      <c r="AX83" s="1266"/>
      <c r="AY83" s="300"/>
      <c r="BA83" s="8"/>
      <c r="BB83" s="8"/>
      <c r="BC83" s="8"/>
      <c r="BD83" s="8"/>
      <c r="BE83" s="8"/>
      <c r="BF83" s="8"/>
      <c r="BG83" s="8"/>
      <c r="BH83" s="1266"/>
      <c r="BI83" s="300"/>
      <c r="BK83" s="8"/>
      <c r="BL83" s="8"/>
      <c r="BM83" s="8"/>
      <c r="BN83" s="8"/>
      <c r="BO83" s="8"/>
      <c r="BP83" s="8"/>
      <c r="BQ83" s="8"/>
      <c r="BR83" s="1266"/>
      <c r="BS83" s="300"/>
      <c r="BU83" s="8"/>
      <c r="BV83" s="8"/>
      <c r="BW83" s="8"/>
      <c r="BX83" s="8"/>
      <c r="BY83" s="8"/>
      <c r="BZ83" s="8"/>
      <c r="CA83" s="8"/>
      <c r="CB83" s="1266"/>
      <c r="CC83" s="300"/>
      <c r="CE83" s="8"/>
      <c r="CF83" s="8"/>
      <c r="CG83" s="8"/>
      <c r="CH83" s="8"/>
      <c r="CM83" s="300" t="s">
        <v>2229</v>
      </c>
      <c r="CN83" t="s">
        <v>533</v>
      </c>
      <c r="CO83" s="8" t="s">
        <v>533</v>
      </c>
      <c r="CP83" s="8"/>
      <c r="CQ83" s="8"/>
      <c r="CR83" s="8"/>
      <c r="CS83" s="8"/>
      <c r="CT83" s="8"/>
      <c r="CU83" s="8"/>
      <c r="CV83" s="1266"/>
      <c r="CW83" s="300" t="s">
        <v>534</v>
      </c>
      <c r="CY83" s="8"/>
      <c r="CZ83" s="8"/>
      <c r="DA83" s="8"/>
      <c r="DB83" s="8"/>
      <c r="DC83" s="8"/>
      <c r="DD83" s="8"/>
      <c r="DE83" s="8"/>
      <c r="DF83" s="1266"/>
      <c r="DG83" s="300"/>
      <c r="DI83" s="8"/>
      <c r="DJ83" s="8"/>
      <c r="DK83" s="8"/>
      <c r="DL83" s="8"/>
      <c r="DM83" s="8"/>
      <c r="DN83" s="8"/>
      <c r="DO83" s="8"/>
      <c r="DP83" s="1266"/>
      <c r="DQ83" s="300"/>
      <c r="DS83" s="8"/>
      <c r="DT83" s="8"/>
      <c r="DU83" s="8"/>
      <c r="DV83" s="8"/>
      <c r="DW83" s="8"/>
      <c r="DX83" s="8"/>
      <c r="DY83" s="8"/>
      <c r="DZ83" s="1266"/>
      <c r="EA83" s="300"/>
      <c r="EC83" s="8"/>
      <c r="ED83" s="8"/>
      <c r="EE83" s="8"/>
      <c r="EF83" s="8"/>
      <c r="EG83" s="8"/>
      <c r="EH83" s="8"/>
      <c r="EI83" s="8"/>
      <c r="EJ83" s="1266"/>
      <c r="EK83" s="300" t="s">
        <v>533</v>
      </c>
      <c r="EL83" t="s">
        <v>533</v>
      </c>
      <c r="EM83" s="8"/>
      <c r="EN83" s="8"/>
      <c r="EO83" s="8"/>
      <c r="EP83" s="8"/>
      <c r="EU83" s="300"/>
      <c r="EW83" s="8"/>
      <c r="EX83" s="8"/>
      <c r="EY83" s="8"/>
      <c r="EZ83" s="8"/>
      <c r="FA83" s="8"/>
      <c r="FB83" s="8"/>
      <c r="FC83" s="8"/>
      <c r="FD83" s="1266"/>
      <c r="FE83" s="300"/>
      <c r="FG83" s="8"/>
      <c r="FH83" s="8"/>
      <c r="FI83" s="8"/>
      <c r="FJ83" s="8"/>
      <c r="FK83" s="8"/>
      <c r="FL83" s="8"/>
      <c r="FM83" s="8"/>
      <c r="FN83" s="1266"/>
      <c r="FO83" s="300" t="s">
        <v>534</v>
      </c>
      <c r="FQ83" s="8"/>
      <c r="FR83" s="8"/>
      <c r="FS83" s="8"/>
      <c r="FT83" s="8"/>
      <c r="FU83" s="8"/>
      <c r="FV83" s="8"/>
      <c r="FW83" s="8"/>
      <c r="FX83" s="1266"/>
      <c r="FY83" s="300"/>
      <c r="GA83" s="8"/>
      <c r="GB83" s="8"/>
      <c r="GC83" s="8"/>
      <c r="GD83" s="8"/>
      <c r="GE83" s="8"/>
      <c r="GF83" s="8"/>
      <c r="GG83" s="8"/>
      <c r="GH83" s="1266"/>
      <c r="GI83" s="300" t="s">
        <v>533</v>
      </c>
      <c r="GJ83" t="s">
        <v>534</v>
      </c>
      <c r="GK83" s="8"/>
      <c r="GL83" s="8"/>
      <c r="GM83" s="8"/>
      <c r="GN83" s="8"/>
      <c r="GO83" s="8"/>
      <c r="GP83" s="8"/>
      <c r="GQ83" s="8"/>
      <c r="GR83" s="1266"/>
      <c r="GS83" s="300"/>
      <c r="GU83" s="8"/>
      <c r="GV83" s="8"/>
      <c r="GW83" s="8"/>
      <c r="GX83" s="8"/>
      <c r="HC83" s="300"/>
      <c r="HE83" s="8"/>
      <c r="HF83" s="8"/>
      <c r="HG83" s="8"/>
      <c r="HH83" s="8"/>
      <c r="HI83" s="8"/>
      <c r="HJ83" s="8"/>
      <c r="HK83" s="8"/>
      <c r="HL83" s="1266"/>
      <c r="HM83" s="300"/>
      <c r="HO83" s="8"/>
      <c r="HP83" s="8"/>
      <c r="HQ83" s="8"/>
      <c r="HR83" s="8"/>
      <c r="HS83" s="8"/>
      <c r="HT83" s="8"/>
      <c r="HU83" s="8"/>
      <c r="HV83" s="1266"/>
      <c r="HW83" s="300"/>
      <c r="HY83" s="8"/>
      <c r="HZ83" s="8"/>
      <c r="IA83" s="8"/>
      <c r="IB83" s="8"/>
      <c r="IC83" s="8"/>
      <c r="ID83" s="8"/>
      <c r="IE83" s="8"/>
      <c r="IF83" s="1266"/>
      <c r="IG83" s="300"/>
      <c r="II83" s="8"/>
      <c r="IJ83" s="8"/>
      <c r="IK83" s="8"/>
      <c r="IL83" s="8"/>
      <c r="IM83" s="8"/>
      <c r="IN83" s="8"/>
      <c r="IO83" s="8"/>
      <c r="IP83" s="1266"/>
      <c r="IQ83" s="300"/>
      <c r="IS83" s="8"/>
      <c r="IT83" s="8"/>
      <c r="IU83" s="8"/>
      <c r="IV83" s="8"/>
      <c r="IW83" s="8"/>
      <c r="IX83" s="8"/>
      <c r="IY83" s="8"/>
      <c r="IZ83" s="1266"/>
      <c r="JA83" s="300"/>
      <c r="JC83" s="8"/>
      <c r="JD83" s="8"/>
      <c r="JE83" s="8"/>
      <c r="JF83" s="8"/>
    </row>
    <row r="84" spans="3:266" x14ac:dyDescent="0.3">
      <c r="C84" t="s">
        <v>2180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66"/>
      <c r="AO84" s="300" t="s">
        <v>2229</v>
      </c>
      <c r="AP84" t="s">
        <v>533</v>
      </c>
      <c r="AQ84" s="8"/>
      <c r="AR84" s="8"/>
      <c r="AS84" s="8"/>
      <c r="AT84" s="8"/>
      <c r="AU84" s="8"/>
      <c r="AV84" s="8"/>
      <c r="AW84" s="8"/>
      <c r="AX84" s="1266"/>
      <c r="AY84" s="300" t="s">
        <v>533</v>
      </c>
      <c r="AZ84" t="s">
        <v>534</v>
      </c>
      <c r="BA84" s="8"/>
      <c r="BB84" s="8"/>
      <c r="BC84" s="8"/>
      <c r="BD84" s="8"/>
      <c r="BE84" s="8"/>
      <c r="BF84" s="8"/>
      <c r="BG84" s="8"/>
      <c r="BH84" s="1266"/>
      <c r="BI84" s="300"/>
      <c r="BK84" s="8"/>
      <c r="BL84" s="8"/>
      <c r="BM84" s="8"/>
      <c r="BN84" s="8"/>
      <c r="BO84" s="8"/>
      <c r="BP84" s="8"/>
      <c r="BQ84" s="8"/>
      <c r="BR84" s="1266"/>
      <c r="BS84" s="300" t="s">
        <v>535</v>
      </c>
      <c r="BT84" t="s">
        <v>534</v>
      </c>
      <c r="BU84" s="8"/>
      <c r="BV84" s="8"/>
      <c r="BW84" s="8"/>
      <c r="BX84" s="8"/>
      <c r="BY84" s="8"/>
      <c r="BZ84" s="8"/>
      <c r="CA84" s="8"/>
      <c r="CB84" s="1266"/>
      <c r="CC84" s="300" t="s">
        <v>534</v>
      </c>
      <c r="CE84" s="8"/>
      <c r="CF84" s="8"/>
      <c r="CG84" s="8"/>
      <c r="CH84" s="8"/>
      <c r="CM84" s="300"/>
      <c r="CO84" s="8"/>
      <c r="CP84" s="8"/>
      <c r="CQ84" s="8"/>
      <c r="CR84" s="8"/>
      <c r="CS84" s="8"/>
      <c r="CT84" s="8"/>
      <c r="CU84" s="8"/>
      <c r="CV84" s="1266"/>
      <c r="CW84" s="300" t="s">
        <v>534</v>
      </c>
      <c r="CY84" s="8"/>
      <c r="CZ84" s="8"/>
      <c r="DA84" s="8"/>
      <c r="DB84" s="8"/>
      <c r="DC84" s="8"/>
      <c r="DD84" s="8"/>
      <c r="DE84" s="8"/>
      <c r="DF84" s="1266"/>
      <c r="DG84" s="300"/>
      <c r="DI84" s="8"/>
      <c r="DJ84" s="8"/>
      <c r="DK84" s="8"/>
      <c r="DL84" s="8"/>
      <c r="DM84" s="8"/>
      <c r="DN84" s="8"/>
      <c r="DO84" s="8"/>
      <c r="DP84" s="1266"/>
      <c r="DQ84" s="300" t="s">
        <v>534</v>
      </c>
      <c r="DS84" s="8"/>
      <c r="DT84" s="8"/>
      <c r="DU84" s="8"/>
      <c r="DV84" s="8"/>
      <c r="DW84" s="8"/>
      <c r="DX84" s="8"/>
      <c r="DY84" s="8"/>
      <c r="DZ84" s="1266"/>
      <c r="EA84" s="300" t="s">
        <v>533</v>
      </c>
      <c r="EC84" s="8"/>
      <c r="ED84" s="8"/>
      <c r="EE84" s="8"/>
      <c r="EF84" s="8"/>
      <c r="EG84" s="8"/>
      <c r="EH84" s="8"/>
      <c r="EI84" s="8"/>
      <c r="EJ84" s="1266"/>
      <c r="EK84" s="300" t="s">
        <v>533</v>
      </c>
      <c r="EM84" s="8"/>
      <c r="EN84" s="8"/>
      <c r="EO84" s="8"/>
      <c r="EP84" s="8"/>
      <c r="EU84" s="300"/>
      <c r="EW84" s="8"/>
      <c r="EX84" s="8"/>
      <c r="EY84" s="8"/>
      <c r="EZ84" s="8"/>
      <c r="FA84" s="8"/>
      <c r="FB84" s="8"/>
      <c r="FC84" s="8"/>
      <c r="FD84" s="1266"/>
      <c r="FE84" s="300" t="s">
        <v>534</v>
      </c>
      <c r="FF84" t="s">
        <v>534</v>
      </c>
      <c r="FG84" s="8" t="s">
        <v>534</v>
      </c>
      <c r="FH84" s="8"/>
      <c r="FI84" s="8"/>
      <c r="FJ84" s="8"/>
      <c r="FK84" s="8"/>
      <c r="FL84" s="8"/>
      <c r="FM84" s="8"/>
      <c r="FN84" s="1266"/>
      <c r="FO84" s="300"/>
      <c r="FQ84" s="8"/>
      <c r="FR84" s="8"/>
      <c r="FS84" s="8"/>
      <c r="FT84" s="8"/>
      <c r="FU84" s="8"/>
      <c r="FV84" s="8"/>
      <c r="FW84" s="8"/>
      <c r="FX84" s="1266"/>
      <c r="FY84" s="300"/>
      <c r="GA84" s="8"/>
      <c r="GB84" s="8"/>
      <c r="GC84" s="8"/>
      <c r="GD84" s="8"/>
      <c r="GE84" s="8"/>
      <c r="GF84" s="8"/>
      <c r="GG84" s="8"/>
      <c r="GH84" s="1266"/>
      <c r="GI84" s="300" t="s">
        <v>534</v>
      </c>
      <c r="GK84" s="8"/>
      <c r="GL84" s="8"/>
      <c r="GM84" s="8"/>
      <c r="GN84" s="8"/>
      <c r="GO84" s="8"/>
      <c r="GP84" s="8"/>
      <c r="GQ84" s="8"/>
      <c r="GR84" s="1266"/>
      <c r="GS84" s="300" t="s">
        <v>534</v>
      </c>
      <c r="GU84" s="8"/>
      <c r="GV84" s="8"/>
      <c r="GW84" s="8"/>
      <c r="GX84" s="8"/>
      <c r="HC84" s="300"/>
      <c r="HE84" s="8"/>
      <c r="HF84" s="8"/>
      <c r="HG84" s="8"/>
      <c r="HH84" s="8"/>
      <c r="HI84" s="8"/>
      <c r="HJ84" s="8"/>
      <c r="HK84" s="8"/>
      <c r="HL84" s="1266"/>
      <c r="HM84" s="300"/>
      <c r="HO84" s="8"/>
      <c r="HP84" s="8"/>
      <c r="HQ84" s="8"/>
      <c r="HR84" s="8"/>
      <c r="HS84" s="8"/>
      <c r="HT84" s="8"/>
      <c r="HU84" s="8"/>
      <c r="HV84" s="1266"/>
      <c r="HW84" s="300"/>
      <c r="HY84" s="8"/>
      <c r="HZ84" s="8"/>
      <c r="IA84" s="8"/>
      <c r="IB84" s="8"/>
      <c r="IC84" s="8"/>
      <c r="ID84" s="8"/>
      <c r="IE84" s="8"/>
      <c r="IF84" s="1266"/>
      <c r="IG84" s="300"/>
      <c r="II84" s="8"/>
      <c r="IJ84" s="8"/>
      <c r="IK84" s="8"/>
      <c r="IL84" s="8"/>
      <c r="IM84" s="8"/>
      <c r="IN84" s="8"/>
      <c r="IO84" s="8"/>
      <c r="IP84" s="1266"/>
      <c r="IQ84" s="300"/>
      <c r="IS84" s="8"/>
      <c r="IT84" s="8"/>
      <c r="IU84" s="8"/>
      <c r="IV84" s="8"/>
      <c r="IW84" s="8"/>
      <c r="IX84" s="8"/>
      <c r="IY84" s="8"/>
      <c r="IZ84" s="1266"/>
      <c r="JA84" s="300"/>
      <c r="JC84" s="8"/>
      <c r="JD84" s="8"/>
      <c r="JE84" s="8"/>
      <c r="JF84" s="8"/>
    </row>
    <row r="85" spans="3:266" x14ac:dyDescent="0.3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66"/>
      <c r="AO85" s="300" t="s">
        <v>681</v>
      </c>
      <c r="AQ85" s="8"/>
      <c r="AR85" s="8"/>
      <c r="AS85" s="8"/>
      <c r="AT85" s="8"/>
      <c r="AU85" s="8"/>
      <c r="AV85" s="8"/>
      <c r="AW85" s="8"/>
      <c r="AX85" s="1266"/>
      <c r="AY85" s="300"/>
      <c r="BA85" s="8"/>
      <c r="BB85" s="8"/>
      <c r="BC85" s="8"/>
      <c r="BD85" s="8"/>
      <c r="BE85" s="8"/>
      <c r="BF85" s="8"/>
      <c r="BG85" s="8"/>
      <c r="BH85" s="1266"/>
      <c r="BI85" s="300" t="s">
        <v>681</v>
      </c>
      <c r="BK85" s="8"/>
      <c r="BL85" s="8"/>
      <c r="BM85" s="8"/>
      <c r="BN85" s="8"/>
      <c r="BO85" s="8"/>
      <c r="BP85" s="8"/>
      <c r="BQ85" s="8"/>
      <c r="BR85" s="1266"/>
      <c r="BS85" s="300" t="s">
        <v>681</v>
      </c>
      <c r="BU85" s="8"/>
      <c r="BV85" s="8"/>
      <c r="BW85" s="8"/>
      <c r="BX85" s="8"/>
      <c r="BY85" s="8"/>
      <c r="BZ85" s="8"/>
      <c r="CA85" s="8"/>
      <c r="CB85" s="1266"/>
      <c r="CC85" s="300"/>
      <c r="CE85" s="8"/>
      <c r="CF85" s="8"/>
      <c r="CG85" s="8"/>
      <c r="CH85" s="8"/>
      <c r="CM85" s="300"/>
      <c r="CO85" s="8"/>
      <c r="CP85" s="8"/>
      <c r="CQ85" s="8"/>
      <c r="CR85" s="8"/>
      <c r="CS85" s="8"/>
      <c r="CT85" s="8"/>
      <c r="CU85" s="8"/>
      <c r="CV85" s="1266"/>
      <c r="CW85" s="300" t="s">
        <v>681</v>
      </c>
      <c r="CY85" s="8"/>
      <c r="CZ85" s="8"/>
      <c r="DA85" s="8"/>
      <c r="DB85" s="8"/>
      <c r="DC85" s="8"/>
      <c r="DD85" s="8"/>
      <c r="DE85" s="8"/>
      <c r="DF85" s="1266"/>
      <c r="DG85" s="300"/>
      <c r="DI85" s="8"/>
      <c r="DJ85" s="8"/>
      <c r="DK85" s="8"/>
      <c r="DL85" s="8"/>
      <c r="DM85" s="8"/>
      <c r="DN85" s="8"/>
      <c r="DO85" s="8"/>
      <c r="DP85" s="1266"/>
      <c r="DQ85" s="300" t="s">
        <v>681</v>
      </c>
      <c r="DS85" s="8"/>
      <c r="DT85" s="8"/>
      <c r="DU85" s="8"/>
      <c r="DV85" s="8"/>
      <c r="DW85" s="8"/>
      <c r="DX85" s="8"/>
      <c r="DY85" s="8"/>
      <c r="DZ85" s="1266"/>
      <c r="EA85" s="300" t="s">
        <v>681</v>
      </c>
      <c r="EC85" s="8"/>
      <c r="ED85" s="8"/>
      <c r="EE85" s="8"/>
      <c r="EF85" s="8"/>
      <c r="EG85" s="8"/>
      <c r="EH85" s="8"/>
      <c r="EI85" s="8"/>
      <c r="EJ85" s="1266"/>
      <c r="EK85" s="300"/>
      <c r="EM85" s="8"/>
      <c r="EN85" s="8"/>
      <c r="EO85" s="8"/>
      <c r="EP85" s="8"/>
      <c r="EU85" s="300" t="s">
        <v>681</v>
      </c>
      <c r="EW85" s="8"/>
      <c r="EX85" s="8"/>
      <c r="EY85" s="8"/>
      <c r="EZ85" s="8"/>
      <c r="FA85" s="8"/>
      <c r="FB85" s="8"/>
      <c r="FC85" s="8"/>
      <c r="FD85" s="1266"/>
      <c r="FE85" s="300"/>
      <c r="FG85" s="8"/>
      <c r="FH85" s="8"/>
      <c r="FI85" s="8"/>
      <c r="FJ85" s="8"/>
      <c r="FK85" s="8"/>
      <c r="FL85" s="8"/>
      <c r="FM85" s="8"/>
      <c r="FN85" s="1266"/>
      <c r="FO85" s="300"/>
      <c r="FQ85" s="8"/>
      <c r="FR85" s="8"/>
      <c r="FS85" s="8"/>
      <c r="FT85" s="8"/>
      <c r="FU85" s="8"/>
      <c r="FV85" s="8"/>
      <c r="FW85" s="8"/>
      <c r="FX85" s="1266"/>
      <c r="FY85" s="300" t="s">
        <v>681</v>
      </c>
      <c r="GA85" s="8"/>
      <c r="GB85" s="8"/>
      <c r="GC85" s="8"/>
      <c r="GD85" s="8"/>
      <c r="GE85" s="8"/>
      <c r="GF85" s="8"/>
      <c r="GG85" s="8"/>
      <c r="GH85" s="1266"/>
      <c r="GI85" s="300"/>
      <c r="GK85" s="8"/>
      <c r="GL85" s="8"/>
      <c r="GM85" s="8"/>
      <c r="GN85" s="8"/>
      <c r="GO85" s="8"/>
      <c r="GP85" s="8"/>
      <c r="GQ85" s="8"/>
      <c r="GR85" s="1266"/>
      <c r="GS85" s="300" t="s">
        <v>681</v>
      </c>
      <c r="GU85" s="8"/>
      <c r="GV85" s="8"/>
      <c r="GW85" s="8"/>
      <c r="GX85" s="8"/>
      <c r="HC85" s="300"/>
      <c r="HE85" s="8"/>
      <c r="HF85" s="8"/>
      <c r="HG85" s="8"/>
      <c r="HH85" s="8"/>
      <c r="HI85" s="8"/>
      <c r="HJ85" s="8"/>
      <c r="HK85" s="8"/>
      <c r="HL85" s="1266"/>
      <c r="HM85" s="300" t="s">
        <v>681</v>
      </c>
      <c r="HO85" s="8"/>
      <c r="HP85" s="8"/>
      <c r="HQ85" s="8"/>
      <c r="HR85" s="8"/>
      <c r="HS85" s="8"/>
      <c r="HT85" s="8"/>
      <c r="HU85" s="8"/>
      <c r="HV85" s="1266"/>
      <c r="HW85" s="300"/>
      <c r="HY85" s="8"/>
      <c r="HZ85" s="8"/>
      <c r="IA85" s="8"/>
      <c r="IB85" s="8"/>
      <c r="IC85" s="8"/>
      <c r="ID85" s="8"/>
      <c r="IE85" s="8"/>
      <c r="IF85" s="1266"/>
      <c r="IG85" s="300"/>
      <c r="II85" s="8"/>
      <c r="IJ85" s="8"/>
      <c r="IK85" s="8"/>
      <c r="IL85" s="8"/>
      <c r="IM85" s="8"/>
      <c r="IN85" s="8"/>
      <c r="IO85" s="8"/>
      <c r="IP85" s="1266"/>
      <c r="IQ85" s="300"/>
      <c r="IS85" s="8"/>
      <c r="IT85" s="8"/>
      <c r="IU85" s="8"/>
      <c r="IV85" s="8"/>
      <c r="IW85" s="8"/>
      <c r="IX85" s="8"/>
      <c r="IY85" s="8"/>
      <c r="IZ85" s="1266"/>
      <c r="JA85" s="300"/>
      <c r="JC85" s="8"/>
      <c r="JD85" s="8"/>
      <c r="JE85" s="8"/>
      <c r="JF85" s="8"/>
    </row>
    <row r="86" spans="3:266" x14ac:dyDescent="0.3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66"/>
      <c r="AO86" s="300" t="s">
        <v>534</v>
      </c>
      <c r="AP86" t="s">
        <v>534</v>
      </c>
      <c r="AQ86" s="8" t="s">
        <v>533</v>
      </c>
      <c r="AR86" s="8" t="s">
        <v>533</v>
      </c>
      <c r="AS86" s="8"/>
      <c r="AT86" s="8"/>
      <c r="AU86" s="8"/>
      <c r="AV86" s="8"/>
      <c r="AW86" s="8"/>
      <c r="AX86" s="1266"/>
      <c r="AY86" s="300"/>
      <c r="BA86" s="8"/>
      <c r="BB86" s="8"/>
      <c r="BC86" s="8"/>
      <c r="BD86" s="8"/>
      <c r="BE86" s="8"/>
      <c r="BF86" s="8"/>
      <c r="BG86" s="8"/>
      <c r="BH86" s="1266"/>
      <c r="BI86" s="300" t="s">
        <v>2229</v>
      </c>
      <c r="BJ86" t="s">
        <v>533</v>
      </c>
      <c r="BK86" s="8" t="s">
        <v>533</v>
      </c>
      <c r="BL86" s="8" t="s">
        <v>533</v>
      </c>
      <c r="BM86" s="8" t="s">
        <v>533</v>
      </c>
      <c r="BN86" s="8" t="s">
        <v>992</v>
      </c>
      <c r="BO86" s="8"/>
      <c r="BP86" s="8"/>
      <c r="BQ86" s="8"/>
      <c r="BR86" s="1266"/>
      <c r="BS86" s="300" t="s">
        <v>534</v>
      </c>
      <c r="BT86" t="s">
        <v>533</v>
      </c>
      <c r="BU86" s="8"/>
      <c r="BV86" s="8"/>
      <c r="BW86" s="8"/>
      <c r="BX86" s="8"/>
      <c r="BY86" s="8"/>
      <c r="BZ86" s="8"/>
      <c r="CA86" s="8"/>
      <c r="CB86" s="1266"/>
      <c r="CC86" s="300" t="s">
        <v>534</v>
      </c>
      <c r="CE86" s="8"/>
      <c r="CF86" s="8"/>
      <c r="CG86" s="8"/>
      <c r="CH86" s="8"/>
      <c r="CM86" s="300"/>
      <c r="CO86" s="8"/>
      <c r="CP86" s="8"/>
      <c r="CQ86" s="8"/>
      <c r="CR86" s="8"/>
      <c r="CS86" s="8"/>
      <c r="CT86" s="8"/>
      <c r="CU86" s="8"/>
      <c r="CV86" s="1266"/>
      <c r="CW86" s="300" t="s">
        <v>533</v>
      </c>
      <c r="CY86" s="8"/>
      <c r="CZ86" s="8"/>
      <c r="DA86" s="8"/>
      <c r="DB86" s="8"/>
      <c r="DC86" s="8"/>
      <c r="DD86" s="8"/>
      <c r="DE86" s="8"/>
      <c r="DF86" s="1266"/>
      <c r="DG86" s="300"/>
      <c r="DI86" s="8"/>
      <c r="DJ86" s="8"/>
      <c r="DK86" s="8"/>
      <c r="DL86" s="8"/>
      <c r="DM86" s="8"/>
      <c r="DN86" s="8"/>
      <c r="DO86" s="8"/>
      <c r="DP86" s="1266"/>
      <c r="DQ86" s="300" t="s">
        <v>2229</v>
      </c>
      <c r="DR86" t="s">
        <v>533</v>
      </c>
      <c r="DS86" s="8" t="s">
        <v>533</v>
      </c>
      <c r="DT86" s="8" t="s">
        <v>534</v>
      </c>
      <c r="DU86" s="8"/>
      <c r="DV86" s="8"/>
      <c r="DW86" s="8"/>
      <c r="DX86" s="8"/>
      <c r="DY86" s="8"/>
      <c r="DZ86" s="1266"/>
      <c r="EA86" s="300" t="s">
        <v>533</v>
      </c>
      <c r="EB86" t="s">
        <v>534</v>
      </c>
      <c r="EC86" s="8" t="s">
        <v>533</v>
      </c>
      <c r="ED86" s="8" t="s">
        <v>533</v>
      </c>
      <c r="EE86" s="8" t="s">
        <v>992</v>
      </c>
      <c r="EF86" s="8"/>
      <c r="EG86" s="8"/>
      <c r="EH86" s="8"/>
      <c r="EI86" s="8"/>
      <c r="EJ86" s="1266"/>
      <c r="EK86" s="300" t="s">
        <v>2229</v>
      </c>
      <c r="EL86" t="s">
        <v>533</v>
      </c>
      <c r="EM86" s="8"/>
      <c r="EN86" s="8"/>
      <c r="EO86" s="8"/>
      <c r="EP86" s="8"/>
      <c r="EU86" s="300"/>
      <c r="EW86" s="8"/>
      <c r="EX86" s="8"/>
      <c r="EY86" s="8"/>
      <c r="EZ86" s="8"/>
      <c r="FA86" s="8"/>
      <c r="FB86" s="8"/>
      <c r="FC86" s="8"/>
      <c r="FD86" s="1266"/>
      <c r="FE86" s="300" t="s">
        <v>534</v>
      </c>
      <c r="FG86" s="8"/>
      <c r="FH86" s="8"/>
      <c r="FI86" s="8"/>
      <c r="FJ86" s="8"/>
      <c r="FK86" s="8"/>
      <c r="FL86" s="8"/>
      <c r="FM86" s="8"/>
      <c r="FN86" s="1266"/>
      <c r="FO86" s="300"/>
      <c r="FQ86" s="8"/>
      <c r="FR86" s="8"/>
      <c r="FS86" s="8"/>
      <c r="FT86" s="8"/>
      <c r="FU86" s="8"/>
      <c r="FV86" s="8"/>
      <c r="FW86" s="8"/>
      <c r="FX86" s="1266"/>
      <c r="FY86" s="300" t="s">
        <v>533</v>
      </c>
      <c r="FZ86" t="s">
        <v>533</v>
      </c>
      <c r="GA86" s="8"/>
      <c r="GB86" s="8"/>
      <c r="GC86" s="8"/>
      <c r="GD86" s="8"/>
      <c r="GE86" s="8"/>
      <c r="GF86" s="8"/>
      <c r="GG86" s="8"/>
      <c r="GH86" s="1266"/>
      <c r="GI86" s="300"/>
      <c r="GK86" s="8"/>
      <c r="GL86" s="8"/>
      <c r="GM86" s="8"/>
      <c r="GN86" s="8"/>
      <c r="GO86" s="8"/>
      <c r="GP86" s="8"/>
      <c r="GQ86" s="8"/>
      <c r="GR86" s="1266"/>
      <c r="GS86" s="300" t="s">
        <v>533</v>
      </c>
      <c r="GT86" t="s">
        <v>534</v>
      </c>
      <c r="GU86" s="8"/>
      <c r="GV86" s="8"/>
      <c r="GW86" s="8"/>
      <c r="GX86" s="8"/>
      <c r="HC86" s="300" t="s">
        <v>533</v>
      </c>
      <c r="HE86" s="8"/>
      <c r="HF86" s="8"/>
      <c r="HG86" s="8"/>
      <c r="HH86" s="8"/>
      <c r="HI86" s="8"/>
      <c r="HJ86" s="8"/>
      <c r="HK86" s="8"/>
      <c r="HL86" s="1266"/>
      <c r="HM86" s="300" t="s">
        <v>533</v>
      </c>
      <c r="HN86" t="s">
        <v>533</v>
      </c>
      <c r="HO86" s="8" t="s">
        <v>533</v>
      </c>
      <c r="HP86" s="8" t="s">
        <v>992</v>
      </c>
      <c r="HQ86" s="8"/>
      <c r="HR86" s="8"/>
      <c r="HS86" s="8"/>
      <c r="HT86" s="8"/>
      <c r="HU86" s="8"/>
      <c r="HV86" s="1266"/>
      <c r="HW86" s="300"/>
      <c r="HY86" s="8"/>
      <c r="HZ86" s="8"/>
      <c r="IA86" s="8"/>
      <c r="IB86" s="8"/>
      <c r="IC86" s="8"/>
      <c r="ID86" s="8"/>
      <c r="IE86" s="8"/>
      <c r="IF86" s="1266"/>
      <c r="IG86" s="300"/>
      <c r="II86" s="8"/>
      <c r="IJ86" s="8"/>
      <c r="IK86" s="8"/>
      <c r="IL86" s="8"/>
      <c r="IM86" s="8"/>
      <c r="IN86" s="8"/>
      <c r="IO86" s="8"/>
      <c r="IP86" s="1266"/>
      <c r="IQ86" s="300"/>
      <c r="IS86" s="8"/>
      <c r="IT86" s="8"/>
      <c r="IU86" s="8"/>
      <c r="IV86" s="8"/>
      <c r="IW86" s="8"/>
      <c r="IX86" s="8"/>
      <c r="IY86" s="8"/>
      <c r="IZ86" s="1266"/>
      <c r="JA86" s="300"/>
      <c r="JC86" s="8"/>
      <c r="JD86" s="8"/>
      <c r="JE86" s="8"/>
      <c r="JF86" s="8"/>
    </row>
    <row r="87" spans="3:266" x14ac:dyDescent="0.3">
      <c r="C87" t="s">
        <v>2148</v>
      </c>
      <c r="AE87" s="300"/>
      <c r="AG87" s="8"/>
      <c r="AH87" s="8"/>
      <c r="AI87" s="8"/>
      <c r="AJ87" s="8"/>
      <c r="AK87" s="8"/>
      <c r="AL87" s="8"/>
      <c r="AM87" s="8"/>
      <c r="AN87" s="1266"/>
      <c r="AO87" s="300" t="s">
        <v>533</v>
      </c>
      <c r="AP87" t="s">
        <v>533</v>
      </c>
      <c r="AQ87" s="8" t="s">
        <v>533</v>
      </c>
      <c r="AR87" s="8" t="s">
        <v>534</v>
      </c>
      <c r="AS87" s="8" t="s">
        <v>992</v>
      </c>
      <c r="AT87" s="8"/>
      <c r="AU87" s="8"/>
      <c r="AV87" s="8"/>
      <c r="AW87" s="8"/>
      <c r="AX87" s="1266"/>
      <c r="AY87" s="300"/>
      <c r="BA87" s="8"/>
      <c r="BB87" s="8"/>
      <c r="BC87" s="8"/>
      <c r="BD87" s="8"/>
      <c r="BE87" s="8"/>
      <c r="BF87" s="8"/>
      <c r="BG87" s="8"/>
      <c r="BH87" s="1266"/>
      <c r="BI87" s="300"/>
      <c r="BK87" s="8"/>
      <c r="BL87" s="8"/>
      <c r="BM87" s="8"/>
      <c r="BN87" s="8"/>
      <c r="BO87" s="8"/>
      <c r="BP87" s="8"/>
      <c r="BQ87" s="8"/>
      <c r="BR87" s="1266"/>
      <c r="BS87" s="300" t="s">
        <v>533</v>
      </c>
      <c r="BT87" t="s">
        <v>533</v>
      </c>
      <c r="BU87" s="8"/>
      <c r="BV87" s="8"/>
      <c r="BW87" s="8"/>
      <c r="BX87" s="8"/>
      <c r="BY87" s="8"/>
      <c r="BZ87" s="8"/>
      <c r="CA87" s="8"/>
      <c r="CB87" s="1266"/>
      <c r="CC87" s="300" t="s">
        <v>533</v>
      </c>
      <c r="CD87" t="s">
        <v>533</v>
      </c>
      <c r="CE87" s="8"/>
      <c r="CF87" s="8"/>
      <c r="CG87" s="8"/>
      <c r="CH87" s="8"/>
      <c r="CM87" s="300"/>
      <c r="CO87" s="8"/>
      <c r="CP87" s="8"/>
      <c r="CQ87" s="8"/>
      <c r="CR87" s="8"/>
      <c r="CS87" s="8"/>
      <c r="CT87" s="8"/>
      <c r="CU87" s="8"/>
      <c r="CV87" s="1266"/>
      <c r="CW87" s="300"/>
      <c r="CY87" s="8"/>
      <c r="CZ87" s="8"/>
      <c r="DA87" s="8"/>
      <c r="DB87" s="8"/>
      <c r="DC87" s="8"/>
      <c r="DD87" s="8"/>
      <c r="DE87" s="8"/>
      <c r="DF87" s="1266"/>
      <c r="DG87" s="300"/>
      <c r="DI87" s="8"/>
      <c r="DJ87" s="8"/>
      <c r="DK87" s="8"/>
      <c r="DL87" s="8"/>
      <c r="DM87" s="8"/>
      <c r="DN87" s="8"/>
      <c r="DO87" s="8"/>
      <c r="DP87" s="1266"/>
      <c r="DQ87" s="300"/>
      <c r="DS87" s="8"/>
      <c r="DT87" s="8"/>
      <c r="DU87" s="8"/>
      <c r="DV87" s="8"/>
      <c r="DW87" s="8"/>
      <c r="DX87" s="8"/>
      <c r="DY87" s="8"/>
      <c r="DZ87" s="1266"/>
      <c r="EA87" s="300"/>
      <c r="EC87" s="8"/>
      <c r="ED87" s="8"/>
      <c r="EE87" s="8"/>
      <c r="EF87" s="8"/>
      <c r="EG87" s="8"/>
      <c r="EH87" s="8"/>
      <c r="EI87" s="8"/>
      <c r="EJ87" s="1266"/>
      <c r="EK87" s="300"/>
      <c r="EM87" s="8"/>
      <c r="EN87" s="8"/>
      <c r="EO87" s="8"/>
      <c r="EP87" s="8"/>
      <c r="EU87" s="300" t="s">
        <v>534</v>
      </c>
      <c r="EW87" s="8"/>
      <c r="EX87" s="8"/>
      <c r="EY87" s="8"/>
      <c r="EZ87" s="8"/>
      <c r="FA87" s="8"/>
      <c r="FB87" s="8"/>
      <c r="FC87" s="8"/>
      <c r="FD87" s="1266"/>
      <c r="FE87" s="300" t="s">
        <v>2229</v>
      </c>
      <c r="FF87" t="s">
        <v>534</v>
      </c>
      <c r="FG87" s="8" t="s">
        <v>533</v>
      </c>
      <c r="FH87" s="8" t="s">
        <v>637</v>
      </c>
      <c r="FI87" s="8" t="s">
        <v>533</v>
      </c>
      <c r="FJ87" s="8" t="s">
        <v>533</v>
      </c>
      <c r="FK87" s="8" t="s">
        <v>992</v>
      </c>
      <c r="FL87" s="8"/>
      <c r="FM87" s="8"/>
      <c r="FN87" s="1266"/>
      <c r="FO87" s="300" t="s">
        <v>533</v>
      </c>
      <c r="FP87" t="s">
        <v>693</v>
      </c>
      <c r="FQ87" s="8"/>
      <c r="FR87" s="8"/>
      <c r="FS87" s="8"/>
      <c r="FT87" s="8"/>
      <c r="FU87" s="8"/>
      <c r="FV87" s="8"/>
      <c r="FW87" s="8"/>
      <c r="FX87" s="1266"/>
      <c r="FY87" s="300" t="s">
        <v>534</v>
      </c>
      <c r="FZ87" t="s">
        <v>533</v>
      </c>
      <c r="GA87" s="8" t="s">
        <v>533</v>
      </c>
      <c r="GB87" s="8"/>
      <c r="GC87" s="8"/>
      <c r="GD87" s="8"/>
      <c r="GE87" s="8"/>
      <c r="GF87" s="8"/>
      <c r="GG87" s="8"/>
      <c r="GH87" s="1266"/>
      <c r="GI87" s="300" t="s">
        <v>533</v>
      </c>
      <c r="GK87" s="8"/>
      <c r="GL87" s="8"/>
      <c r="GM87" s="8"/>
      <c r="GN87" s="8"/>
      <c r="GO87" s="8"/>
      <c r="GP87" s="8"/>
      <c r="GQ87" s="8"/>
      <c r="GR87" s="1266"/>
      <c r="GS87" s="300"/>
      <c r="GU87" s="8"/>
      <c r="GV87" s="8"/>
      <c r="GW87" s="8"/>
      <c r="GX87" s="8"/>
      <c r="HC87" s="300" t="s">
        <v>533</v>
      </c>
      <c r="HE87" s="8"/>
      <c r="HF87" s="8"/>
      <c r="HG87" s="8"/>
      <c r="HH87" s="8"/>
      <c r="HI87" s="8"/>
      <c r="HJ87" s="8"/>
      <c r="HK87" s="8"/>
      <c r="HL87" s="1266"/>
      <c r="HM87" s="300"/>
      <c r="HO87" s="8"/>
      <c r="HP87" s="8"/>
      <c r="HQ87" s="8"/>
      <c r="HR87" s="8"/>
      <c r="HS87" s="8"/>
      <c r="HT87" s="8"/>
      <c r="HU87" s="8"/>
      <c r="HV87" s="1266"/>
      <c r="HW87" s="300"/>
      <c r="HY87" s="8"/>
      <c r="HZ87" s="8"/>
      <c r="IA87" s="8"/>
      <c r="IB87" s="8"/>
      <c r="IC87" s="8"/>
      <c r="ID87" s="8"/>
      <c r="IE87" s="8"/>
      <c r="IF87" s="1266"/>
      <c r="IG87" s="300"/>
      <c r="II87" s="8"/>
      <c r="IJ87" s="8"/>
      <c r="IK87" s="8"/>
      <c r="IL87" s="8"/>
      <c r="IM87" s="8"/>
      <c r="IN87" s="8"/>
      <c r="IO87" s="8"/>
      <c r="IP87" s="1266"/>
      <c r="IQ87" s="300"/>
      <c r="IS87" s="8"/>
      <c r="IT87" s="8"/>
      <c r="IU87" s="8"/>
      <c r="IV87" s="8"/>
      <c r="IW87" s="8"/>
      <c r="IX87" s="8"/>
      <c r="IY87" s="8"/>
      <c r="IZ87" s="1266"/>
      <c r="JA87" s="300"/>
      <c r="JC87" s="8"/>
      <c r="JD87" s="8"/>
      <c r="JE87" s="8"/>
      <c r="JF87" s="8"/>
    </row>
    <row r="88" spans="3:266" x14ac:dyDescent="0.3">
      <c r="C88" t="s">
        <v>2184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66"/>
      <c r="AO88" s="300" t="s">
        <v>534</v>
      </c>
      <c r="AQ88" s="8"/>
      <c r="AR88" s="8"/>
      <c r="AS88" s="8"/>
      <c r="AT88" s="8"/>
      <c r="AU88" s="8"/>
      <c r="AV88" s="8"/>
      <c r="AW88" s="8"/>
      <c r="AX88" s="1266"/>
      <c r="AY88" s="300" t="s">
        <v>534</v>
      </c>
      <c r="AZ88" t="s">
        <v>533</v>
      </c>
      <c r="BA88" s="8"/>
      <c r="BB88" s="8"/>
      <c r="BC88" s="8"/>
      <c r="BD88" s="8"/>
      <c r="BE88" s="8"/>
      <c r="BF88" s="8"/>
      <c r="BG88" s="8"/>
      <c r="BH88" s="1266"/>
      <c r="BI88" s="300"/>
      <c r="BK88" s="8"/>
      <c r="BL88" s="8"/>
      <c r="BM88" s="8"/>
      <c r="BN88" s="8"/>
      <c r="BO88" s="8"/>
      <c r="BP88" s="8"/>
      <c r="BQ88" s="8"/>
      <c r="BR88" s="1266"/>
      <c r="BS88" s="300"/>
      <c r="BU88" s="8"/>
      <c r="BV88" s="8"/>
      <c r="BW88" s="8"/>
      <c r="BX88" s="8"/>
      <c r="BY88" s="8"/>
      <c r="BZ88" s="8"/>
      <c r="CA88" s="8"/>
      <c r="CB88" s="1266"/>
      <c r="CC88" s="300"/>
      <c r="CE88" s="8"/>
      <c r="CF88" s="8"/>
      <c r="CG88" s="8"/>
      <c r="CH88" s="8"/>
      <c r="CM88" s="300" t="s">
        <v>533</v>
      </c>
      <c r="CO88" s="8"/>
      <c r="CP88" s="8"/>
      <c r="CQ88" s="8"/>
      <c r="CR88" s="8"/>
      <c r="CS88" s="8"/>
      <c r="CT88" s="8"/>
      <c r="CU88" s="8"/>
      <c r="CV88" s="1266"/>
      <c r="CW88" s="300" t="s">
        <v>533</v>
      </c>
      <c r="CX88" t="s">
        <v>534</v>
      </c>
      <c r="CY88" s="8"/>
      <c r="CZ88" s="8"/>
      <c r="DA88" s="8"/>
      <c r="DB88" s="8"/>
      <c r="DC88" s="8"/>
      <c r="DD88" s="8"/>
      <c r="DE88" s="8"/>
      <c r="DF88" s="1266"/>
      <c r="DG88" s="300" t="s">
        <v>535</v>
      </c>
      <c r="DH88" t="s">
        <v>534</v>
      </c>
      <c r="DI88" s="8"/>
      <c r="DJ88" s="8"/>
      <c r="DK88" s="8"/>
      <c r="DL88" s="8"/>
      <c r="DM88" s="8"/>
      <c r="DN88" s="8"/>
      <c r="DO88" s="8"/>
      <c r="DP88" s="1266"/>
      <c r="DQ88" s="300" t="s">
        <v>535</v>
      </c>
      <c r="DR88" t="s">
        <v>534</v>
      </c>
      <c r="DS88" s="8" t="s">
        <v>533</v>
      </c>
      <c r="DT88" s="8" t="s">
        <v>534</v>
      </c>
      <c r="DU88" s="8"/>
      <c r="DV88" s="8"/>
      <c r="DW88" s="8"/>
      <c r="DX88" s="8"/>
      <c r="DY88" s="8"/>
      <c r="DZ88" s="1266"/>
      <c r="EA88" s="300" t="s">
        <v>534</v>
      </c>
      <c r="EC88" s="8"/>
      <c r="ED88" s="8"/>
      <c r="EE88" s="8"/>
      <c r="EF88" s="8"/>
      <c r="EG88" s="8"/>
      <c r="EH88" s="8"/>
      <c r="EI88" s="8"/>
      <c r="EJ88" s="1266"/>
      <c r="EK88" s="300" t="s">
        <v>534</v>
      </c>
      <c r="EM88" s="8"/>
      <c r="EN88" s="8"/>
      <c r="EO88" s="8"/>
      <c r="EP88" s="8"/>
      <c r="EU88" s="300" t="s">
        <v>534</v>
      </c>
      <c r="EW88" s="8"/>
      <c r="EX88" s="8"/>
      <c r="EY88" s="8"/>
      <c r="EZ88" s="8"/>
      <c r="FA88" s="8"/>
      <c r="FB88" s="8"/>
      <c r="FC88" s="8"/>
      <c r="FD88" s="1266"/>
      <c r="FE88" s="300"/>
      <c r="FG88" s="8"/>
      <c r="FH88" s="8"/>
      <c r="FI88" s="8"/>
      <c r="FJ88" s="8"/>
      <c r="FK88" s="8"/>
      <c r="FL88" s="8"/>
      <c r="FM88" s="8"/>
      <c r="FN88" s="1266"/>
      <c r="FO88" s="300" t="s">
        <v>534</v>
      </c>
      <c r="FQ88" s="8"/>
      <c r="FR88" s="8"/>
      <c r="FS88" s="8"/>
      <c r="FT88" s="8"/>
      <c r="FU88" s="8"/>
      <c r="FV88" s="8"/>
      <c r="FW88" s="8"/>
      <c r="FX88" s="1266"/>
      <c r="FY88" s="300" t="s">
        <v>534</v>
      </c>
      <c r="FZ88" t="s">
        <v>534</v>
      </c>
      <c r="GA88" s="8" t="s">
        <v>534</v>
      </c>
      <c r="GB88" s="8"/>
      <c r="GC88" s="8"/>
      <c r="GD88" s="8"/>
      <c r="GE88" s="8"/>
      <c r="GF88" s="8"/>
      <c r="GG88" s="8"/>
      <c r="GH88" s="1266"/>
      <c r="GI88" s="300" t="s">
        <v>534</v>
      </c>
      <c r="GK88" s="8"/>
      <c r="GL88" s="8"/>
      <c r="GM88" s="8"/>
      <c r="GN88" s="8"/>
      <c r="GO88" s="8"/>
      <c r="GP88" s="8"/>
      <c r="GQ88" s="8"/>
      <c r="GR88" s="1266"/>
      <c r="GS88" s="300" t="s">
        <v>2229</v>
      </c>
      <c r="GT88" t="s">
        <v>534</v>
      </c>
      <c r="GU88" s="8" t="s">
        <v>533</v>
      </c>
      <c r="GV88" s="8"/>
      <c r="GW88" s="8"/>
      <c r="GX88" s="8"/>
      <c r="HC88" s="300"/>
      <c r="HE88" s="8"/>
      <c r="HF88" s="8"/>
      <c r="HG88" s="8"/>
      <c r="HH88" s="8"/>
      <c r="HI88" s="8"/>
      <c r="HJ88" s="8"/>
      <c r="HK88" s="8"/>
      <c r="HL88" s="1266"/>
      <c r="HM88" s="300" t="s">
        <v>534</v>
      </c>
      <c r="HO88" s="8"/>
      <c r="HP88" s="8"/>
      <c r="HQ88" s="8"/>
      <c r="HR88" s="8"/>
      <c r="HS88" s="8"/>
      <c r="HT88" s="8"/>
      <c r="HU88" s="8"/>
      <c r="HV88" s="1266"/>
      <c r="HW88" s="300"/>
      <c r="HY88" s="8"/>
      <c r="HZ88" s="8"/>
      <c r="IA88" s="8"/>
      <c r="IB88" s="8"/>
      <c r="IC88" s="8"/>
      <c r="ID88" s="8"/>
      <c r="IE88" s="8"/>
      <c r="IF88" s="1266"/>
      <c r="IG88" s="300"/>
      <c r="II88" s="8"/>
      <c r="IJ88" s="8"/>
      <c r="IK88" s="8"/>
      <c r="IL88" s="8"/>
      <c r="IM88" s="8"/>
      <c r="IN88" s="8"/>
      <c r="IO88" s="8"/>
      <c r="IP88" s="1266"/>
      <c r="IQ88" s="300"/>
      <c r="IS88" s="8"/>
      <c r="IT88" s="8"/>
      <c r="IU88" s="8"/>
      <c r="IV88" s="8"/>
      <c r="IW88" s="8"/>
      <c r="IX88" s="8"/>
      <c r="IY88" s="8"/>
      <c r="IZ88" s="1266"/>
      <c r="JA88" s="300"/>
      <c r="JC88" s="8"/>
      <c r="JD88" s="8"/>
      <c r="JE88" s="8"/>
      <c r="JF88" s="8"/>
    </row>
    <row r="89" spans="3:266" x14ac:dyDescent="0.3">
      <c r="C89" t="s">
        <v>2283</v>
      </c>
      <c r="AE89" s="300" t="s">
        <v>2229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66"/>
      <c r="AO89" s="300"/>
      <c r="AQ89" s="8"/>
      <c r="AR89" s="8"/>
      <c r="AS89" s="8"/>
      <c r="AT89" s="8"/>
      <c r="AU89" s="8"/>
      <c r="AV89" s="8"/>
      <c r="AW89" s="8"/>
      <c r="AX89" s="1266"/>
      <c r="AY89" s="300"/>
      <c r="BA89" s="8"/>
      <c r="BB89" s="8"/>
      <c r="BC89" s="8"/>
      <c r="BD89" s="8"/>
      <c r="BE89" s="8"/>
      <c r="BF89" s="8"/>
      <c r="BG89" s="8"/>
      <c r="BH89" s="1266"/>
      <c r="BI89" s="300" t="s">
        <v>534</v>
      </c>
      <c r="BK89" s="8"/>
      <c r="BL89" s="8"/>
      <c r="BM89" s="8"/>
      <c r="BN89" s="8"/>
      <c r="BO89" s="8"/>
      <c r="BP89" s="8"/>
      <c r="BQ89" s="8"/>
      <c r="BR89" s="1266"/>
      <c r="BS89" s="300"/>
      <c r="BU89" s="8"/>
      <c r="BV89" s="8"/>
      <c r="BW89" s="8"/>
      <c r="BX89" s="8"/>
      <c r="BY89" s="8"/>
      <c r="BZ89" s="8"/>
      <c r="CA89" s="8"/>
      <c r="CB89" s="1266"/>
      <c r="CC89" s="300"/>
      <c r="CE89" s="8"/>
      <c r="CF89" s="8"/>
      <c r="CG89" s="8"/>
      <c r="CH89" s="8"/>
      <c r="CM89" s="300" t="s">
        <v>534</v>
      </c>
      <c r="CO89" s="8"/>
      <c r="CP89" s="8"/>
      <c r="CQ89" s="8"/>
      <c r="CR89" s="8"/>
      <c r="CS89" s="8"/>
      <c r="CT89" s="8"/>
      <c r="CU89" s="8"/>
      <c r="CV89" s="1266"/>
      <c r="CW89" s="300"/>
      <c r="CY89" s="8"/>
      <c r="CZ89" s="8"/>
      <c r="DA89" s="8"/>
      <c r="DB89" s="8"/>
      <c r="DC89" s="8"/>
      <c r="DD89" s="8"/>
      <c r="DE89" s="8"/>
      <c r="DF89" s="1266"/>
      <c r="DG89" s="300" t="s">
        <v>535</v>
      </c>
      <c r="DH89" t="s">
        <v>533</v>
      </c>
      <c r="DI89" s="8"/>
      <c r="DJ89" s="8"/>
      <c r="DK89" s="8"/>
      <c r="DL89" s="8"/>
      <c r="DM89" s="8"/>
      <c r="DN89" s="8"/>
      <c r="DO89" s="8"/>
      <c r="DP89" s="1266"/>
      <c r="DQ89" s="300"/>
      <c r="DS89" s="8"/>
      <c r="DT89" s="8"/>
      <c r="DU89" s="8"/>
      <c r="DV89" s="8"/>
      <c r="DW89" s="8"/>
      <c r="DX89" s="8"/>
      <c r="DY89" s="8"/>
      <c r="DZ89" s="1266"/>
      <c r="EA89" s="300"/>
      <c r="EC89" s="8"/>
      <c r="ED89" s="8"/>
      <c r="EE89" s="8"/>
      <c r="EF89" s="8"/>
      <c r="EG89" s="8"/>
      <c r="EH89" s="8"/>
      <c r="EI89" s="8"/>
      <c r="EJ89" s="1266"/>
      <c r="EK89" s="300"/>
      <c r="EM89" s="8"/>
      <c r="EN89" s="8"/>
      <c r="EO89" s="8"/>
      <c r="EP89" s="8"/>
      <c r="EU89" s="300" t="s">
        <v>535</v>
      </c>
      <c r="EW89" s="8"/>
      <c r="EX89" s="8"/>
      <c r="EY89" s="8"/>
      <c r="EZ89" s="8"/>
      <c r="FA89" s="8"/>
      <c r="FB89" s="8"/>
      <c r="FC89" s="8"/>
      <c r="FD89" s="1266"/>
      <c r="FE89" s="300" t="s">
        <v>533</v>
      </c>
      <c r="FG89" s="8"/>
      <c r="FH89" s="8"/>
      <c r="FI89" s="8"/>
      <c r="FJ89" s="8"/>
      <c r="FK89" s="8"/>
      <c r="FL89" s="8"/>
      <c r="FM89" s="8"/>
      <c r="FN89" s="1266"/>
      <c r="FO89" s="300"/>
      <c r="FQ89" s="8"/>
      <c r="FR89" s="8"/>
      <c r="FS89" s="8"/>
      <c r="FT89" s="8"/>
      <c r="FU89" s="8"/>
      <c r="FV89" s="8"/>
      <c r="FW89" s="8"/>
      <c r="FX89" s="1266"/>
      <c r="FY89" s="300"/>
      <c r="GA89" s="8"/>
      <c r="GB89" s="8"/>
      <c r="GC89" s="8"/>
      <c r="GD89" s="8"/>
      <c r="GE89" s="8"/>
      <c r="GF89" s="8"/>
      <c r="GG89" s="8"/>
      <c r="GH89" s="1266"/>
      <c r="GI89" s="300" t="s">
        <v>535</v>
      </c>
      <c r="GJ89" t="s">
        <v>2229</v>
      </c>
      <c r="GK89" s="8" t="s">
        <v>533</v>
      </c>
      <c r="GL89" s="8"/>
      <c r="GM89" s="8"/>
      <c r="GN89" s="8"/>
      <c r="GO89" s="8"/>
      <c r="GP89" s="8"/>
      <c r="GQ89" s="8"/>
      <c r="GR89" s="1266"/>
      <c r="GS89" s="300" t="s">
        <v>535</v>
      </c>
      <c r="GU89" s="8"/>
      <c r="GV89" s="8"/>
      <c r="GW89" s="8"/>
      <c r="GX89" s="8"/>
      <c r="HC89" s="300" t="s">
        <v>534</v>
      </c>
      <c r="HE89" s="8"/>
      <c r="HF89" s="8"/>
      <c r="HG89" s="8"/>
      <c r="HH89" s="8"/>
      <c r="HI89" s="8"/>
      <c r="HJ89" s="8"/>
      <c r="HK89" s="8"/>
      <c r="HL89" s="1266"/>
      <c r="HM89" s="300" t="s">
        <v>534</v>
      </c>
      <c r="HN89" t="s">
        <v>533</v>
      </c>
      <c r="HO89" s="8"/>
      <c r="HP89" s="8"/>
      <c r="HQ89" s="8"/>
      <c r="HR89" s="8"/>
      <c r="HS89" s="8"/>
      <c r="HT89" s="8"/>
      <c r="HU89" s="8"/>
      <c r="HV89" s="1266"/>
      <c r="HW89" s="300"/>
      <c r="HY89" s="8"/>
      <c r="HZ89" s="8"/>
      <c r="IA89" s="8"/>
      <c r="IB89" s="8"/>
      <c r="IC89" s="8"/>
      <c r="ID89" s="8"/>
      <c r="IE89" s="8"/>
      <c r="IF89" s="1266"/>
      <c r="IG89" s="300"/>
      <c r="II89" s="8"/>
      <c r="IJ89" s="8"/>
      <c r="IK89" s="8"/>
      <c r="IL89" s="8"/>
      <c r="IM89" s="8"/>
      <c r="IN89" s="8"/>
      <c r="IO89" s="8"/>
      <c r="IP89" s="1266"/>
      <c r="IQ89" s="300"/>
      <c r="IS89" s="8"/>
      <c r="IT89" s="8"/>
      <c r="IU89" s="8"/>
      <c r="IV89" s="8"/>
      <c r="IW89" s="8"/>
      <c r="IX89" s="8"/>
      <c r="IY89" s="8"/>
      <c r="IZ89" s="1266"/>
      <c r="JA89" s="300"/>
      <c r="JC89" s="8"/>
      <c r="JD89" s="8"/>
      <c r="JE89" s="8"/>
      <c r="JF89" s="8"/>
    </row>
    <row r="90" spans="3:266" x14ac:dyDescent="0.3">
      <c r="C90" t="s">
        <v>2280</v>
      </c>
      <c r="AE90" s="300"/>
      <c r="AG90" s="8"/>
      <c r="AH90" s="8"/>
      <c r="AI90" s="8"/>
      <c r="AJ90" s="8"/>
      <c r="AK90" s="8"/>
      <c r="AL90" s="8"/>
      <c r="AM90" s="8"/>
      <c r="AN90" s="1266"/>
      <c r="AO90" s="300" t="s">
        <v>535</v>
      </c>
      <c r="AQ90" s="8"/>
      <c r="AR90" s="8"/>
      <c r="AS90" s="8"/>
      <c r="AT90" s="8"/>
      <c r="AU90" s="8"/>
      <c r="AV90" s="8"/>
      <c r="AW90" s="8"/>
      <c r="AX90" s="1266"/>
      <c r="AY90" s="300"/>
      <c r="BA90" s="8"/>
      <c r="BB90" s="8"/>
      <c r="BC90" s="8"/>
      <c r="BD90" s="8"/>
      <c r="BE90" s="8"/>
      <c r="BF90" s="8"/>
      <c r="BG90" s="8"/>
      <c r="BH90" s="1266"/>
      <c r="BI90" s="300" t="s">
        <v>533</v>
      </c>
      <c r="BK90" s="8"/>
      <c r="BL90" s="8"/>
      <c r="BM90" s="8"/>
      <c r="BN90" s="8"/>
      <c r="BO90" s="8"/>
      <c r="BP90" s="8"/>
      <c r="BQ90" s="8"/>
      <c r="BR90" s="1266"/>
      <c r="BS90" s="300"/>
      <c r="BU90" s="8"/>
      <c r="BV90" s="8"/>
      <c r="BW90" s="8"/>
      <c r="BX90" s="8"/>
      <c r="BY90" s="8"/>
      <c r="BZ90" s="8"/>
      <c r="CA90" s="8"/>
      <c r="CB90" s="1266"/>
      <c r="CC90" s="300" t="s">
        <v>534</v>
      </c>
      <c r="CE90" s="8"/>
      <c r="CF90" s="8"/>
      <c r="CG90" s="8"/>
      <c r="CH90" s="8"/>
      <c r="CM90" s="300"/>
      <c r="CO90" s="8"/>
      <c r="CP90" s="8"/>
      <c r="CQ90" s="8"/>
      <c r="CR90" s="8"/>
      <c r="CS90" s="8"/>
      <c r="CT90" s="8"/>
      <c r="CU90" s="8"/>
      <c r="CV90" s="1266"/>
      <c r="CW90" s="300"/>
      <c r="CY90" s="8"/>
      <c r="CZ90" s="8"/>
      <c r="DA90" s="8"/>
      <c r="DB90" s="8"/>
      <c r="DC90" s="8"/>
      <c r="DD90" s="8"/>
      <c r="DE90" s="8"/>
      <c r="DF90" s="1266"/>
      <c r="DG90" s="300" t="s">
        <v>534</v>
      </c>
      <c r="DI90" s="8"/>
      <c r="DJ90" s="8"/>
      <c r="DK90" s="8"/>
      <c r="DL90" s="8"/>
      <c r="DM90" s="8"/>
      <c r="DN90" s="8"/>
      <c r="DO90" s="8"/>
      <c r="DP90" s="1266"/>
      <c r="DQ90" s="300" t="s">
        <v>534</v>
      </c>
      <c r="DS90" s="8"/>
      <c r="DT90" s="8"/>
      <c r="DU90" s="8"/>
      <c r="DV90" s="8"/>
      <c r="DW90" s="8"/>
      <c r="DX90" s="8"/>
      <c r="DY90" s="8"/>
      <c r="DZ90" s="1266"/>
      <c r="EA90" s="300"/>
      <c r="EC90" s="8"/>
      <c r="ED90" s="8"/>
      <c r="EE90" s="8"/>
      <c r="EF90" s="8"/>
      <c r="EG90" s="8"/>
      <c r="EH90" s="8"/>
      <c r="EI90" s="8"/>
      <c r="EJ90" s="1266"/>
      <c r="EK90" s="300"/>
      <c r="EM90" s="8"/>
      <c r="EN90" s="8"/>
      <c r="EO90" s="8"/>
      <c r="EP90" s="8"/>
      <c r="EU90" s="300"/>
      <c r="EW90" s="8"/>
      <c r="EX90" s="8"/>
      <c r="EY90" s="8"/>
      <c r="EZ90" s="8"/>
      <c r="FA90" s="8"/>
      <c r="FB90" s="8"/>
      <c r="FC90" s="8"/>
      <c r="FD90" s="1266"/>
      <c r="FE90" s="300"/>
      <c r="FG90" s="8"/>
      <c r="FH90" s="8"/>
      <c r="FI90" s="8"/>
      <c r="FJ90" s="8"/>
      <c r="FK90" s="8"/>
      <c r="FL90" s="8"/>
      <c r="FM90" s="8"/>
      <c r="FN90" s="1266"/>
      <c r="FO90" s="300"/>
      <c r="FQ90" s="8"/>
      <c r="FR90" s="8"/>
      <c r="FS90" s="8"/>
      <c r="FT90" s="8"/>
      <c r="FU90" s="8"/>
      <c r="FV90" s="8"/>
      <c r="FW90" s="8"/>
      <c r="FX90" s="1266"/>
      <c r="FY90" s="300" t="s">
        <v>534</v>
      </c>
      <c r="GA90" s="8"/>
      <c r="GB90" s="8"/>
      <c r="GC90" s="8"/>
      <c r="GD90" s="8"/>
      <c r="GE90" s="8"/>
      <c r="GF90" s="8"/>
      <c r="GG90" s="8"/>
      <c r="GH90" s="1266"/>
      <c r="GI90" s="300"/>
      <c r="GK90" s="8"/>
      <c r="GL90" s="8"/>
      <c r="GM90" s="8"/>
      <c r="GN90" s="8"/>
      <c r="GO90" s="8"/>
      <c r="GP90" s="8"/>
      <c r="GQ90" s="8"/>
      <c r="GR90" s="1266"/>
      <c r="GS90" s="300"/>
      <c r="GU90" s="8"/>
      <c r="GV90" s="8"/>
      <c r="GW90" s="8"/>
      <c r="GX90" s="8"/>
      <c r="HC90" s="300"/>
      <c r="HE90" s="8"/>
      <c r="HF90" s="8"/>
      <c r="HG90" s="8"/>
      <c r="HH90" s="8"/>
      <c r="HI90" s="8"/>
      <c r="HJ90" s="8"/>
      <c r="HK90" s="8"/>
      <c r="HL90" s="1266"/>
      <c r="HM90" s="300"/>
      <c r="HO90" s="8"/>
      <c r="HP90" s="8"/>
      <c r="HQ90" s="8"/>
      <c r="HR90" s="8"/>
      <c r="HS90" s="8"/>
      <c r="HT90" s="8"/>
      <c r="HU90" s="8"/>
      <c r="HV90" s="1266"/>
      <c r="HW90" s="300"/>
      <c r="HY90" s="8"/>
      <c r="HZ90" s="8"/>
      <c r="IA90" s="8"/>
      <c r="IB90" s="8"/>
      <c r="IC90" s="8"/>
      <c r="ID90" s="8"/>
      <c r="IE90" s="8"/>
      <c r="IF90" s="1266"/>
      <c r="IG90" s="300"/>
      <c r="II90" s="8"/>
      <c r="IJ90" s="8"/>
      <c r="IK90" s="8"/>
      <c r="IL90" s="8"/>
      <c r="IM90" s="8"/>
      <c r="IN90" s="8"/>
      <c r="IO90" s="8"/>
      <c r="IP90" s="1266"/>
      <c r="IQ90" s="300"/>
      <c r="IS90" s="8"/>
      <c r="IT90" s="8"/>
      <c r="IU90" s="8"/>
      <c r="IV90" s="8"/>
      <c r="IW90" s="8"/>
      <c r="IX90" s="8"/>
      <c r="IY90" s="8"/>
      <c r="IZ90" s="1266"/>
      <c r="JA90" s="300"/>
      <c r="JC90" s="8"/>
      <c r="JD90" s="8"/>
      <c r="JE90" s="8"/>
      <c r="JF90" s="8"/>
    </row>
    <row r="91" spans="3:266" x14ac:dyDescent="0.3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66"/>
      <c r="AO91" s="300" t="s">
        <v>535</v>
      </c>
      <c r="AP91" t="s">
        <v>533</v>
      </c>
      <c r="AQ91" s="8"/>
      <c r="AR91" s="8"/>
      <c r="AS91" s="8"/>
      <c r="AT91" s="8"/>
      <c r="AU91" s="8"/>
      <c r="AV91" s="8"/>
      <c r="AW91" s="8"/>
      <c r="AX91" s="1266"/>
      <c r="AY91" s="300" t="s">
        <v>535</v>
      </c>
      <c r="AZ91" t="s">
        <v>534</v>
      </c>
      <c r="BA91" s="8"/>
      <c r="BB91" s="8"/>
      <c r="BC91" s="8"/>
      <c r="BD91" s="8"/>
      <c r="BE91" s="8"/>
      <c r="BF91" s="8"/>
      <c r="BG91" s="8"/>
      <c r="BH91" s="1266"/>
      <c r="BI91" s="300" t="s">
        <v>533</v>
      </c>
      <c r="BK91" s="8"/>
      <c r="BL91" s="8"/>
      <c r="BM91" s="8"/>
      <c r="BN91" s="8"/>
      <c r="BO91" s="8"/>
      <c r="BP91" s="8"/>
      <c r="BQ91" s="8"/>
      <c r="BR91" s="1266"/>
      <c r="BS91" s="300"/>
      <c r="BU91" s="8"/>
      <c r="BV91" s="8"/>
      <c r="BW91" s="8"/>
      <c r="BX91" s="8"/>
      <c r="BY91" s="8"/>
      <c r="BZ91" s="8"/>
      <c r="CA91" s="8"/>
      <c r="CB91" s="1266"/>
      <c r="CC91" s="300"/>
      <c r="CE91" s="8"/>
      <c r="CF91" s="8"/>
      <c r="CG91" s="8"/>
      <c r="CH91" s="8"/>
      <c r="CM91" s="300"/>
      <c r="CO91" s="8"/>
      <c r="CP91" s="8"/>
      <c r="CQ91" s="8"/>
      <c r="CR91" s="8"/>
      <c r="CS91" s="8"/>
      <c r="CT91" s="8"/>
      <c r="CU91" s="8"/>
      <c r="CV91" s="1266"/>
      <c r="CW91" s="300"/>
      <c r="CY91" s="8"/>
      <c r="CZ91" s="8"/>
      <c r="DA91" s="8"/>
      <c r="DB91" s="8"/>
      <c r="DC91" s="8"/>
      <c r="DD91" s="8"/>
      <c r="DE91" s="8"/>
      <c r="DF91" s="1266"/>
      <c r="DG91" s="300"/>
      <c r="DI91" s="8"/>
      <c r="DJ91" s="8"/>
      <c r="DK91" s="8"/>
      <c r="DL91" s="8"/>
      <c r="DM91" s="8"/>
      <c r="DN91" s="8"/>
      <c r="DO91" s="8"/>
      <c r="DP91" s="1266"/>
      <c r="DQ91" s="300"/>
      <c r="DS91" s="8"/>
      <c r="DT91" s="8"/>
      <c r="DU91" s="8"/>
      <c r="DV91" s="8"/>
      <c r="DW91" s="8"/>
      <c r="DX91" s="8"/>
      <c r="DY91" s="8"/>
      <c r="DZ91" s="1266"/>
      <c r="EA91" s="300"/>
      <c r="EC91" s="8"/>
      <c r="ED91" s="8"/>
      <c r="EE91" s="8"/>
      <c r="EF91" s="8"/>
      <c r="EG91" s="8"/>
      <c r="EH91" s="8"/>
      <c r="EI91" s="8"/>
      <c r="EJ91" s="1266"/>
      <c r="EK91" s="300"/>
      <c r="EM91" s="8"/>
      <c r="EN91" s="8"/>
      <c r="EO91" s="8"/>
      <c r="EP91" s="8"/>
      <c r="EU91" s="300"/>
      <c r="EW91" s="8"/>
      <c r="EX91" s="8"/>
      <c r="EY91" s="8"/>
      <c r="EZ91" s="8"/>
      <c r="FA91" s="8"/>
      <c r="FB91" s="8"/>
      <c r="FC91" s="8"/>
      <c r="FD91" s="1266"/>
      <c r="FE91" s="300"/>
      <c r="FG91" s="8"/>
      <c r="FH91" s="8"/>
      <c r="FI91" s="8"/>
      <c r="FJ91" s="8"/>
      <c r="FK91" s="8"/>
      <c r="FL91" s="8"/>
      <c r="FM91" s="8"/>
      <c r="FN91" s="1266"/>
      <c r="FO91" s="300"/>
      <c r="FQ91" s="8"/>
      <c r="FR91" s="8"/>
      <c r="FS91" s="8"/>
      <c r="FT91" s="8"/>
      <c r="FU91" s="8"/>
      <c r="FV91" s="8"/>
      <c r="FW91" s="8"/>
      <c r="FX91" s="1266"/>
      <c r="FY91" s="300"/>
      <c r="GA91" s="8"/>
      <c r="GB91" s="8"/>
      <c r="GC91" s="8"/>
      <c r="GD91" s="8"/>
      <c r="GE91" s="8"/>
      <c r="GF91" s="8"/>
      <c r="GG91" s="8"/>
      <c r="GH91" s="1266"/>
      <c r="GI91" s="300"/>
      <c r="GK91" s="8"/>
      <c r="GL91" s="8"/>
      <c r="GM91" s="8"/>
      <c r="GN91" s="8"/>
      <c r="GO91" s="8"/>
      <c r="GP91" s="8"/>
      <c r="GQ91" s="8"/>
      <c r="GR91" s="1266"/>
      <c r="GS91" s="300"/>
      <c r="GU91" s="8"/>
      <c r="GV91" s="8"/>
      <c r="GW91" s="8"/>
      <c r="GX91" s="8"/>
      <c r="HC91" s="300"/>
      <c r="HE91" s="8"/>
      <c r="HF91" s="8"/>
      <c r="HG91" s="8"/>
      <c r="HH91" s="8"/>
      <c r="HI91" s="8"/>
      <c r="HJ91" s="8"/>
      <c r="HK91" s="8"/>
      <c r="HL91" s="1266"/>
      <c r="HM91" s="300"/>
      <c r="HO91" s="8"/>
      <c r="HP91" s="8"/>
      <c r="HQ91" s="8"/>
      <c r="HR91" s="8"/>
      <c r="HS91" s="8"/>
      <c r="HT91" s="8"/>
      <c r="HU91" s="8"/>
      <c r="HV91" s="1266"/>
      <c r="HW91" s="300"/>
      <c r="HY91" s="8"/>
      <c r="HZ91" s="8"/>
      <c r="IA91" s="8"/>
      <c r="IB91" s="8"/>
      <c r="IC91" s="8"/>
      <c r="ID91" s="8"/>
      <c r="IE91" s="8"/>
      <c r="IF91" s="1266"/>
      <c r="IG91" s="300"/>
      <c r="II91" s="8"/>
      <c r="IJ91" s="8"/>
      <c r="IK91" s="8"/>
      <c r="IL91" s="8"/>
      <c r="IM91" s="8"/>
      <c r="IN91" s="8"/>
      <c r="IO91" s="8"/>
      <c r="IP91" s="1266"/>
      <c r="IQ91" s="300"/>
      <c r="IS91" s="8"/>
      <c r="IT91" s="8"/>
      <c r="IU91" s="8"/>
      <c r="IV91" s="8"/>
      <c r="IW91" s="8"/>
      <c r="IX91" s="8"/>
      <c r="IY91" s="8"/>
      <c r="IZ91" s="1266"/>
      <c r="JA91" s="300"/>
      <c r="JC91" s="8"/>
      <c r="JD91" s="8"/>
      <c r="JE91" s="8"/>
      <c r="JF91" s="8"/>
    </row>
    <row r="92" spans="3:266" x14ac:dyDescent="0.3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66"/>
      <c r="AO92" s="300" t="s">
        <v>534</v>
      </c>
      <c r="AP92" t="s">
        <v>533</v>
      </c>
      <c r="AQ92" s="8" t="s">
        <v>534</v>
      </c>
      <c r="AR92" s="8"/>
      <c r="AS92" s="8"/>
      <c r="AT92" s="265"/>
      <c r="AU92" s="265"/>
      <c r="AV92" s="265"/>
      <c r="AW92" s="8"/>
      <c r="AX92" s="1266"/>
      <c r="AY92" s="300" t="s">
        <v>533</v>
      </c>
      <c r="BA92" s="8"/>
      <c r="BB92" s="8"/>
      <c r="BC92" s="8"/>
      <c r="BD92" s="265"/>
      <c r="BE92" s="265"/>
      <c r="BF92" s="265"/>
      <c r="BG92" s="8"/>
      <c r="BH92" s="1266"/>
      <c r="BI92" s="300" t="s">
        <v>534</v>
      </c>
      <c r="BJ92" t="s">
        <v>534</v>
      </c>
      <c r="BK92" s="8"/>
      <c r="BL92" s="8"/>
      <c r="BM92" s="8"/>
      <c r="BN92" s="265"/>
      <c r="BO92" s="265"/>
      <c r="BP92" s="265"/>
      <c r="BQ92" s="8"/>
      <c r="BR92" s="1266"/>
      <c r="BS92" s="300"/>
      <c r="BU92" s="8"/>
      <c r="BV92" s="8"/>
      <c r="BW92" s="8"/>
      <c r="BX92" s="265"/>
      <c r="BY92" s="265"/>
      <c r="BZ92" s="265"/>
      <c r="CA92" s="8"/>
      <c r="CB92" s="1266"/>
      <c r="CC92" s="300"/>
      <c r="CE92" s="8"/>
      <c r="CF92" s="8"/>
      <c r="CG92" s="8"/>
      <c r="CH92" s="265"/>
      <c r="CM92" s="300"/>
      <c r="CO92" s="8"/>
      <c r="CP92" s="8"/>
      <c r="CQ92" s="8"/>
      <c r="CR92" s="265"/>
      <c r="CS92" s="265"/>
      <c r="CT92" s="265"/>
      <c r="CU92" s="8"/>
      <c r="CV92" s="1266"/>
      <c r="CW92" s="300"/>
      <c r="CY92" s="8"/>
      <c r="CZ92" s="8"/>
      <c r="DA92" s="8"/>
      <c r="DB92" s="265"/>
      <c r="DC92" s="265"/>
      <c r="DD92" s="265"/>
      <c r="DE92" s="8"/>
      <c r="DF92" s="1266"/>
      <c r="DG92" s="300" t="s">
        <v>535</v>
      </c>
      <c r="DH92" t="s">
        <v>533</v>
      </c>
      <c r="DI92" s="8" t="s">
        <v>533</v>
      </c>
      <c r="DJ92" s="8"/>
      <c r="DK92" s="8"/>
      <c r="DL92" s="265"/>
      <c r="DM92" s="265"/>
      <c r="DN92" s="265"/>
      <c r="DO92" s="8"/>
      <c r="DP92" s="1266"/>
      <c r="DQ92" s="300" t="s">
        <v>534</v>
      </c>
      <c r="DR92" t="s">
        <v>534</v>
      </c>
      <c r="DS92" s="8"/>
      <c r="DT92" s="8"/>
      <c r="DU92" s="8"/>
      <c r="DV92" s="265"/>
      <c r="DW92" s="265"/>
      <c r="DX92" s="265"/>
      <c r="DY92" s="8"/>
      <c r="DZ92" s="1266"/>
      <c r="EA92" s="300" t="s">
        <v>534</v>
      </c>
      <c r="EB92" t="s">
        <v>534</v>
      </c>
      <c r="EC92" s="8"/>
      <c r="ED92" s="8"/>
      <c r="EE92" s="8"/>
      <c r="EF92" s="265"/>
      <c r="EG92" s="265"/>
      <c r="EH92" s="265"/>
      <c r="EI92" s="8"/>
      <c r="EJ92" s="1266"/>
      <c r="EK92" s="300" t="s">
        <v>534</v>
      </c>
      <c r="EM92" s="8"/>
      <c r="EN92" s="8"/>
      <c r="EO92" s="8"/>
      <c r="EP92" s="265"/>
      <c r="EU92" s="300"/>
      <c r="EW92" s="8"/>
      <c r="EX92" s="8"/>
      <c r="EY92" s="8"/>
      <c r="EZ92" s="265"/>
      <c r="FA92" s="265"/>
      <c r="FB92" s="265"/>
      <c r="FC92" s="8"/>
      <c r="FD92" s="1266"/>
      <c r="FE92" s="300"/>
      <c r="FG92" s="8"/>
      <c r="FH92" s="8"/>
      <c r="FI92" s="8"/>
      <c r="FJ92" s="265"/>
      <c r="FK92" s="265"/>
      <c r="FL92" s="265"/>
      <c r="FM92" s="8"/>
      <c r="FN92" s="1266"/>
      <c r="FO92" s="300" t="s">
        <v>533</v>
      </c>
      <c r="FP92" t="s">
        <v>139</v>
      </c>
      <c r="FQ92" s="8"/>
      <c r="FR92" s="8"/>
      <c r="FS92" s="8"/>
      <c r="FT92" s="265"/>
      <c r="FU92" s="265"/>
      <c r="FV92" s="265"/>
      <c r="FW92" s="8"/>
      <c r="FX92" s="1266"/>
      <c r="FY92" s="300" t="s">
        <v>533</v>
      </c>
      <c r="FZ92" t="s">
        <v>534</v>
      </c>
      <c r="GA92" s="8" t="s">
        <v>534</v>
      </c>
      <c r="GB92" s="8"/>
      <c r="GC92" s="8"/>
      <c r="GD92" s="265"/>
      <c r="GE92" s="265"/>
      <c r="GF92" s="265"/>
      <c r="GG92" s="8"/>
      <c r="GH92" s="1266"/>
      <c r="GI92" s="300" t="s">
        <v>535</v>
      </c>
      <c r="GJ92" t="s">
        <v>534</v>
      </c>
      <c r="GK92" s="8" t="s">
        <v>533</v>
      </c>
      <c r="GL92" s="8" t="s">
        <v>545</v>
      </c>
      <c r="GM92" s="8"/>
      <c r="GN92" s="265"/>
      <c r="GO92" s="265"/>
      <c r="GP92" s="265"/>
      <c r="GQ92" s="8"/>
      <c r="GR92" s="1266"/>
      <c r="GS92" s="300" t="s">
        <v>533</v>
      </c>
      <c r="GU92" s="8"/>
      <c r="GV92" s="8"/>
      <c r="GW92" s="8"/>
      <c r="GX92" s="265"/>
      <c r="HC92" s="300" t="s">
        <v>534</v>
      </c>
      <c r="HD92" t="s">
        <v>533</v>
      </c>
      <c r="HE92" s="8" t="s">
        <v>534</v>
      </c>
      <c r="HF92" s="8"/>
      <c r="HG92" s="8"/>
      <c r="HH92" s="265"/>
      <c r="HI92" s="265"/>
      <c r="HJ92" s="265"/>
      <c r="HK92" s="8"/>
      <c r="HL92" s="1266"/>
      <c r="HM92" s="300" t="s">
        <v>533</v>
      </c>
      <c r="HN92" t="s">
        <v>540</v>
      </c>
      <c r="HO92" s="8" t="s">
        <v>534</v>
      </c>
      <c r="HP92" s="8"/>
      <c r="HQ92" s="8"/>
      <c r="HR92" s="265"/>
      <c r="HS92" s="265"/>
      <c r="HT92" s="265"/>
      <c r="HU92" s="8"/>
      <c r="HV92" s="1266"/>
      <c r="HW92" s="300"/>
      <c r="HY92" s="8"/>
      <c r="HZ92" s="8"/>
      <c r="IA92" s="8"/>
      <c r="IB92" s="265"/>
      <c r="IC92" s="265"/>
      <c r="ID92" s="265"/>
      <c r="IE92" s="8"/>
      <c r="IF92" s="1266"/>
      <c r="IG92" s="300"/>
      <c r="II92" s="8"/>
      <c r="IJ92" s="8"/>
      <c r="IK92" s="8"/>
      <c r="IL92" s="265"/>
      <c r="IM92" s="265"/>
      <c r="IN92" s="265"/>
      <c r="IO92" s="8"/>
      <c r="IP92" s="1266"/>
      <c r="IQ92" s="300"/>
      <c r="IS92" s="8"/>
      <c r="IT92" s="8"/>
      <c r="IU92" s="8"/>
      <c r="IV92" s="265"/>
      <c r="IW92" s="265"/>
      <c r="IX92" s="265"/>
      <c r="IY92" s="8"/>
      <c r="IZ92" s="1266"/>
      <c r="JA92" s="300"/>
      <c r="JC92" s="8"/>
      <c r="JD92" s="8"/>
      <c r="JE92" s="8"/>
      <c r="JF92" s="265"/>
    </row>
    <row r="93" spans="3:266" x14ac:dyDescent="0.3">
      <c r="C93" t="s">
        <v>2442</v>
      </c>
      <c r="AE93" s="300" t="s">
        <v>533</v>
      </c>
      <c r="AF93" t="s">
        <v>533</v>
      </c>
      <c r="AN93" s="683"/>
      <c r="AO93" s="300"/>
      <c r="AX93" s="683"/>
      <c r="AY93" s="300"/>
      <c r="BH93" s="683"/>
      <c r="BI93" s="300" t="s">
        <v>533</v>
      </c>
      <c r="BJ93" t="s">
        <v>534</v>
      </c>
      <c r="BR93" s="683"/>
      <c r="BS93" s="300"/>
      <c r="CB93" s="683"/>
      <c r="CC93" s="300"/>
      <c r="CM93" s="300"/>
      <c r="CV93" s="683"/>
      <c r="CW93" s="300"/>
      <c r="DF93" s="683"/>
      <c r="DG93" s="300"/>
      <c r="DP93" s="683"/>
      <c r="DQ93" s="300" t="s">
        <v>533</v>
      </c>
      <c r="DZ93" s="683"/>
      <c r="EA93" s="300" t="s">
        <v>2229</v>
      </c>
      <c r="EB93" t="s">
        <v>533</v>
      </c>
      <c r="EJ93" s="683"/>
      <c r="EK93" s="300"/>
      <c r="EU93" s="300" t="s">
        <v>2229</v>
      </c>
      <c r="EV93" t="s">
        <v>533</v>
      </c>
      <c r="FD93" s="683"/>
      <c r="FE93" s="300"/>
      <c r="FN93" s="683"/>
      <c r="FO93" s="300"/>
      <c r="FX93" s="683"/>
      <c r="FY93" s="300"/>
      <c r="GH93" s="683"/>
      <c r="GI93" s="300"/>
      <c r="GR93" s="683"/>
      <c r="GS93" s="300"/>
      <c r="HC93" s="300" t="s">
        <v>534</v>
      </c>
      <c r="HD93" t="s">
        <v>534</v>
      </c>
      <c r="HL93" s="683"/>
      <c r="HM93" s="300"/>
      <c r="HV93" s="683"/>
      <c r="HW93" s="300"/>
      <c r="IF93" s="683"/>
      <c r="IG93" s="300"/>
      <c r="IP93" s="683"/>
      <c r="IQ93" s="300"/>
      <c r="IZ93" s="683"/>
      <c r="JA93" s="300"/>
    </row>
    <row r="94" spans="3:266" x14ac:dyDescent="0.3">
      <c r="C94" t="s">
        <v>2282</v>
      </c>
      <c r="AE94" s="300" t="s">
        <v>534</v>
      </c>
      <c r="AN94" s="683"/>
      <c r="AO94" s="300"/>
      <c r="AX94" s="683"/>
      <c r="AY94" s="300"/>
      <c r="BH94" s="683"/>
      <c r="BI94" s="300" t="s">
        <v>534</v>
      </c>
      <c r="BR94" s="683"/>
      <c r="BS94" s="300"/>
      <c r="CB94" s="683"/>
      <c r="CC94" s="300"/>
      <c r="CM94" s="300"/>
      <c r="CV94" s="683"/>
      <c r="CW94" s="300"/>
      <c r="DF94" s="683"/>
      <c r="DG94" s="300"/>
      <c r="DP94" s="683"/>
      <c r="DQ94" s="300" t="s">
        <v>535</v>
      </c>
      <c r="DZ94" s="683"/>
      <c r="EA94" s="300"/>
      <c r="EJ94" s="683"/>
      <c r="EK94" s="300"/>
      <c r="EU94" s="300" t="s">
        <v>533</v>
      </c>
      <c r="FD94" s="683"/>
      <c r="FE94" s="300" t="s">
        <v>533</v>
      </c>
      <c r="FN94" s="683"/>
      <c r="FO94" s="300"/>
      <c r="FX94" s="683"/>
      <c r="FY94" s="300" t="s">
        <v>533</v>
      </c>
      <c r="GH94" s="683"/>
      <c r="GI94" s="300" t="s">
        <v>535</v>
      </c>
      <c r="GR94" s="683"/>
      <c r="GS94" s="300"/>
      <c r="HC94" s="300" t="s">
        <v>533</v>
      </c>
      <c r="HL94" s="683"/>
      <c r="HM94" s="300" t="s">
        <v>535</v>
      </c>
      <c r="HV94" s="683"/>
      <c r="HW94" s="300"/>
      <c r="IF94" s="683"/>
      <c r="IG94" s="300"/>
      <c r="IP94" s="683"/>
      <c r="IQ94" s="300"/>
      <c r="IZ94" s="683"/>
      <c r="JA94" s="300"/>
    </row>
    <row r="95" spans="3:266" x14ac:dyDescent="0.3">
      <c r="C95" t="s">
        <v>2443</v>
      </c>
      <c r="AE95" s="300"/>
      <c r="AG95" s="8"/>
      <c r="AH95" s="8"/>
      <c r="AI95" s="8"/>
      <c r="AJ95" s="265"/>
      <c r="AK95" s="265"/>
      <c r="AL95" s="265"/>
      <c r="AM95" s="8"/>
      <c r="AN95" s="1266"/>
      <c r="AO95" s="300" t="s">
        <v>535</v>
      </c>
      <c r="AQ95" s="8"/>
      <c r="AR95" s="8"/>
      <c r="AS95" s="8"/>
      <c r="AT95" s="265"/>
      <c r="AU95" s="265"/>
      <c r="AV95" s="265"/>
      <c r="AW95" s="8"/>
      <c r="AX95" s="1266"/>
      <c r="AY95" s="300"/>
      <c r="BA95" s="8"/>
      <c r="BB95" s="8"/>
      <c r="BC95" s="8"/>
      <c r="BD95" s="265"/>
      <c r="BE95" s="265"/>
      <c r="BF95" s="265"/>
      <c r="BG95" s="8"/>
      <c r="BH95" s="1266"/>
      <c r="BI95" s="300" t="s">
        <v>533</v>
      </c>
      <c r="BJ95" t="s">
        <v>533</v>
      </c>
      <c r="BK95" s="8"/>
      <c r="BL95" s="8"/>
      <c r="BM95" s="8"/>
      <c r="BN95" s="265"/>
      <c r="BO95" s="265"/>
      <c r="BP95" s="265"/>
      <c r="BQ95" s="8"/>
      <c r="BR95" s="1266"/>
      <c r="BS95" s="300" t="s">
        <v>533</v>
      </c>
      <c r="BU95" s="8"/>
      <c r="BV95" s="8"/>
      <c r="BW95" s="8"/>
      <c r="BX95" s="265"/>
      <c r="BY95" s="265"/>
      <c r="BZ95" s="265"/>
      <c r="CA95" s="8"/>
      <c r="CB95" s="1266"/>
      <c r="CC95" s="300"/>
      <c r="CE95" s="8"/>
      <c r="CF95" s="8"/>
      <c r="CG95" s="8"/>
      <c r="CH95" s="265"/>
      <c r="CM95" s="300" t="s">
        <v>534</v>
      </c>
      <c r="CO95" s="8"/>
      <c r="CP95" s="8"/>
      <c r="CQ95" s="8"/>
      <c r="CR95" s="265"/>
      <c r="CS95" s="265"/>
      <c r="CT95" s="265"/>
      <c r="CU95" s="8"/>
      <c r="CV95" s="1266"/>
      <c r="CW95" s="300"/>
      <c r="CY95" s="8"/>
      <c r="CZ95" s="8"/>
      <c r="DA95" s="8"/>
      <c r="DB95" s="265"/>
      <c r="DC95" s="265"/>
      <c r="DD95" s="265"/>
      <c r="DE95" s="8"/>
      <c r="DF95" s="1266"/>
      <c r="DG95" s="300" t="s">
        <v>533</v>
      </c>
      <c r="DI95" s="8"/>
      <c r="DJ95" s="8"/>
      <c r="DK95" s="8"/>
      <c r="DL95" s="265"/>
      <c r="DM95" s="265"/>
      <c r="DN95" s="265"/>
      <c r="DO95" s="8"/>
      <c r="DP95" s="1266"/>
      <c r="DQ95" s="300"/>
      <c r="DS95" s="8"/>
      <c r="DT95" s="8"/>
      <c r="DU95" s="8"/>
      <c r="DV95" s="265"/>
      <c r="DW95" s="265"/>
      <c r="DX95" s="265"/>
      <c r="DY95" s="8"/>
      <c r="DZ95" s="1266"/>
      <c r="EA95" s="300" t="s">
        <v>534</v>
      </c>
      <c r="EC95" s="8"/>
      <c r="ED95" s="8"/>
      <c r="EE95" s="8"/>
      <c r="EF95" s="265"/>
      <c r="EG95" s="265"/>
      <c r="EH95" s="265"/>
      <c r="EI95" s="8"/>
      <c r="EJ95" s="1266"/>
      <c r="EK95" s="300" t="s">
        <v>534</v>
      </c>
      <c r="EL95" t="s">
        <v>534</v>
      </c>
      <c r="EM95" s="8"/>
      <c r="EN95" s="8"/>
      <c r="EO95" s="8"/>
      <c r="EP95" s="265"/>
      <c r="EU95" s="300" t="s">
        <v>534</v>
      </c>
      <c r="EW95" s="8"/>
      <c r="EX95" s="8"/>
      <c r="EY95" s="8"/>
      <c r="EZ95" s="265"/>
      <c r="FA95" s="265"/>
      <c r="FB95" s="265"/>
      <c r="FC95" s="8"/>
      <c r="FD95" s="1266"/>
      <c r="FE95" s="300"/>
      <c r="FG95" s="8"/>
      <c r="FH95" s="8"/>
      <c r="FI95" s="8"/>
      <c r="FJ95" s="265"/>
      <c r="FK95" s="265"/>
      <c r="FL95" s="265"/>
      <c r="FM95" s="8"/>
      <c r="FN95" s="1266"/>
      <c r="FO95" s="300" t="s">
        <v>535</v>
      </c>
      <c r="FP95" t="s">
        <v>534</v>
      </c>
      <c r="FQ95" s="8"/>
      <c r="FR95" s="8"/>
      <c r="FS95" s="8"/>
      <c r="FT95" s="265"/>
      <c r="FU95" s="265"/>
      <c r="FV95" s="265"/>
      <c r="FW95" s="8"/>
      <c r="FX95" s="1266"/>
      <c r="FY95" s="300"/>
      <c r="GA95" s="8"/>
      <c r="GB95" s="8"/>
      <c r="GC95" s="8"/>
      <c r="GD95" s="265"/>
      <c r="GE95" s="265"/>
      <c r="GF95" s="265"/>
      <c r="GG95" s="8"/>
      <c r="GH95" s="1266"/>
      <c r="GI95" s="300" t="s">
        <v>533</v>
      </c>
      <c r="GK95" s="8"/>
      <c r="GL95" s="8"/>
      <c r="GM95" s="8"/>
      <c r="GN95" s="265"/>
      <c r="GO95" s="265"/>
      <c r="GP95" s="265"/>
      <c r="GQ95" s="8"/>
      <c r="GR95" s="1266"/>
      <c r="GS95" s="300" t="s">
        <v>533</v>
      </c>
      <c r="GU95" s="8"/>
      <c r="GV95" s="8"/>
      <c r="GW95" s="8"/>
      <c r="GX95" s="265"/>
      <c r="HC95" s="300" t="s">
        <v>534</v>
      </c>
      <c r="HD95" t="s">
        <v>534</v>
      </c>
      <c r="HE95" s="8" t="s">
        <v>534</v>
      </c>
      <c r="HF95" s="8"/>
      <c r="HG95" s="8"/>
      <c r="HH95" s="265"/>
      <c r="HI95" s="265"/>
      <c r="HJ95" s="265"/>
      <c r="HK95" s="8"/>
      <c r="HL95" s="1266"/>
      <c r="HM95" s="300" t="s">
        <v>535</v>
      </c>
      <c r="HO95" s="8"/>
      <c r="HP95" s="8"/>
      <c r="HQ95" s="8"/>
      <c r="HR95" s="265"/>
      <c r="HS95" s="265"/>
      <c r="HT95" s="265"/>
      <c r="HU95" s="8"/>
      <c r="HV95" s="1266"/>
      <c r="HW95" s="300"/>
      <c r="HY95" s="8"/>
      <c r="HZ95" s="8"/>
      <c r="IA95" s="8"/>
      <c r="IB95" s="265"/>
      <c r="IC95" s="265"/>
      <c r="ID95" s="265"/>
      <c r="IE95" s="8"/>
      <c r="IF95" s="1266"/>
      <c r="IG95" s="300"/>
      <c r="II95" s="8"/>
      <c r="IJ95" s="8"/>
      <c r="IK95" s="8"/>
      <c r="IL95" s="265"/>
      <c r="IM95" s="265"/>
      <c r="IN95" s="265"/>
      <c r="IO95" s="8"/>
      <c r="IP95" s="1266"/>
      <c r="IQ95" s="300"/>
      <c r="IS95" s="8"/>
      <c r="IT95" s="8"/>
      <c r="IU95" s="8"/>
      <c r="IV95" s="265"/>
      <c r="IW95" s="265"/>
      <c r="IX95" s="265"/>
      <c r="IY95" s="8"/>
      <c r="IZ95" s="1266"/>
      <c r="JA95" s="300"/>
      <c r="JC95" s="8"/>
      <c r="JD95" s="8"/>
      <c r="JE95" s="8"/>
      <c r="JF95" s="265"/>
    </row>
    <row r="96" spans="3:266" x14ac:dyDescent="0.3">
      <c r="C96" t="s">
        <v>2444</v>
      </c>
      <c r="AE96" s="300" t="s">
        <v>534</v>
      </c>
      <c r="AN96" s="683"/>
      <c r="AO96" s="300"/>
      <c r="AX96" s="683"/>
      <c r="AY96" s="300"/>
      <c r="BH96" s="683"/>
      <c r="BI96" s="300" t="s">
        <v>533</v>
      </c>
      <c r="BJ96" t="s">
        <v>534</v>
      </c>
      <c r="BR96" s="683"/>
      <c r="BS96" s="300"/>
      <c r="CB96" s="683"/>
      <c r="CC96" s="300" t="s">
        <v>533</v>
      </c>
      <c r="CM96" s="300" t="s">
        <v>535</v>
      </c>
      <c r="CN96" t="s">
        <v>534</v>
      </c>
      <c r="CO96" t="s">
        <v>534</v>
      </c>
      <c r="CP96" t="s">
        <v>533</v>
      </c>
      <c r="CQ96" t="s">
        <v>533</v>
      </c>
      <c r="CV96" s="683"/>
      <c r="CW96" s="300" t="s">
        <v>533</v>
      </c>
      <c r="DF96" s="683"/>
      <c r="DG96" s="300"/>
      <c r="DP96" s="683"/>
      <c r="DQ96" s="300" t="s">
        <v>535</v>
      </c>
      <c r="DR96" t="s">
        <v>533</v>
      </c>
      <c r="DS96" t="s">
        <v>533</v>
      </c>
      <c r="DZ96" s="683"/>
      <c r="EA96" s="300"/>
      <c r="EJ96" s="683"/>
      <c r="EK96" s="300"/>
      <c r="EU96" s="300" t="s">
        <v>533</v>
      </c>
      <c r="EV96" t="s">
        <v>533</v>
      </c>
      <c r="FD96" s="683"/>
      <c r="FE96" s="300"/>
      <c r="FN96" s="683"/>
      <c r="FO96" s="300" t="s">
        <v>2229</v>
      </c>
      <c r="FP96" t="s">
        <v>535</v>
      </c>
      <c r="FQ96" t="s">
        <v>533</v>
      </c>
      <c r="FX96" s="683"/>
      <c r="FY96" s="300" t="s">
        <v>535</v>
      </c>
      <c r="FZ96" t="s">
        <v>533</v>
      </c>
      <c r="GH96" s="683"/>
      <c r="GI96" s="300" t="s">
        <v>533</v>
      </c>
      <c r="GR96" s="683"/>
      <c r="GS96" s="300"/>
      <c r="HC96" s="300" t="s">
        <v>2229</v>
      </c>
      <c r="HD96" t="s">
        <v>533</v>
      </c>
      <c r="HE96" t="s">
        <v>533</v>
      </c>
      <c r="HF96" t="s">
        <v>533</v>
      </c>
      <c r="HG96" t="s">
        <v>533</v>
      </c>
      <c r="HH96" t="s">
        <v>533</v>
      </c>
      <c r="HI96" t="s">
        <v>992</v>
      </c>
      <c r="HL96" s="683"/>
      <c r="HM96" s="300"/>
      <c r="HV96" s="683"/>
      <c r="HW96" s="300"/>
      <c r="IF96" s="683"/>
      <c r="IG96" s="300"/>
      <c r="IP96" s="683"/>
      <c r="IQ96" s="300"/>
      <c r="IZ96" s="683"/>
      <c r="JA96" s="300"/>
    </row>
    <row r="97" spans="3:261" x14ac:dyDescent="0.3">
      <c r="AE97" s="300"/>
      <c r="AN97" s="683"/>
      <c r="AO97" s="300"/>
      <c r="AX97" s="683"/>
      <c r="AY97" s="300"/>
      <c r="BH97" s="683"/>
      <c r="BI97" s="300"/>
      <c r="BR97" s="683"/>
      <c r="BS97" s="300"/>
      <c r="CB97" s="683"/>
      <c r="CC97" s="300"/>
      <c r="CM97" s="300"/>
      <c r="CV97" s="683"/>
      <c r="CW97" s="300"/>
      <c r="DF97" s="683"/>
      <c r="DG97" s="300"/>
      <c r="DP97" s="683"/>
      <c r="DQ97" s="300"/>
      <c r="DZ97" s="683"/>
      <c r="EA97" s="300"/>
      <c r="EJ97" s="683"/>
      <c r="EK97" s="300"/>
      <c r="EU97" s="300"/>
      <c r="FD97" s="683"/>
      <c r="FE97" s="300"/>
      <c r="FN97" s="683"/>
      <c r="FO97" s="300"/>
      <c r="FX97" s="683"/>
      <c r="FY97" s="300"/>
      <c r="GH97" s="683"/>
      <c r="GI97" s="300"/>
      <c r="GR97" s="683"/>
      <c r="GS97" s="300"/>
      <c r="HC97" s="300"/>
      <c r="HL97" s="683"/>
      <c r="HM97" s="300"/>
      <c r="HV97" s="683"/>
      <c r="HW97" s="300"/>
      <c r="IF97" s="683"/>
      <c r="IG97" s="300"/>
      <c r="IP97" s="683"/>
      <c r="IQ97" s="300"/>
      <c r="IZ97" s="683"/>
      <c r="JA97" s="300"/>
    </row>
    <row r="102" spans="3:261" x14ac:dyDescent="0.3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>
        <f>COUNTIF(AO106:AX124,AO102)</f>
        <v>8</v>
      </c>
      <c r="AQ102" s="8"/>
      <c r="AR102" s="8"/>
      <c r="AS102" s="8"/>
      <c r="AT102" s="8"/>
      <c r="AU102" s="8"/>
      <c r="AV102" s="8"/>
      <c r="AY102" s="205" t="s">
        <v>533</v>
      </c>
      <c r="AZ102">
        <f>COUNTIF(AY106:BH124,AY102)</f>
        <v>7</v>
      </c>
      <c r="BI102" s="205" t="s">
        <v>533</v>
      </c>
      <c r="BJ102">
        <f>COUNTIF(BI106:BR124,BI102)</f>
        <v>2</v>
      </c>
    </row>
    <row r="103" spans="3:261" x14ac:dyDescent="0.3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>
        <f>COUNTIF(AO106:AX124,AO103)</f>
        <v>6</v>
      </c>
      <c r="AQ103" s="8"/>
      <c r="AR103" s="8"/>
      <c r="AS103" s="8"/>
      <c r="AT103" s="8"/>
      <c r="AU103" s="8"/>
      <c r="AV103" s="8"/>
      <c r="AY103" s="205" t="s">
        <v>534</v>
      </c>
      <c r="AZ103">
        <f>COUNTIF(AY106:BH124,AY103)</f>
        <v>6</v>
      </c>
      <c r="BI103" s="205" t="s">
        <v>534</v>
      </c>
      <c r="BJ103">
        <f>COUNTIF(BI106:BR124,BI103)</f>
        <v>2</v>
      </c>
    </row>
    <row r="104" spans="3:261" x14ac:dyDescent="0.3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>
        <f>COUNTIF(AO106:AX124,AO104)</f>
        <v>3</v>
      </c>
      <c r="AQ104" s="8"/>
      <c r="AR104" s="8"/>
      <c r="AS104" s="8"/>
      <c r="AT104" s="8"/>
      <c r="AU104" s="8"/>
      <c r="AV104" s="8"/>
      <c r="AY104" s="205" t="s">
        <v>535</v>
      </c>
      <c r="AZ104">
        <f>COUNTIF(AY106:BH124,AY104)</f>
        <v>1</v>
      </c>
      <c r="BI104" s="205" t="s">
        <v>535</v>
      </c>
      <c r="BJ104">
        <f>COUNTIF(BI106:BR124,BI104)</f>
        <v>0</v>
      </c>
    </row>
    <row r="105" spans="3:261" x14ac:dyDescent="0.3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</row>
    <row r="106" spans="3:261" x14ac:dyDescent="0.3">
      <c r="C106" s="205" t="s">
        <v>2477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2450</v>
      </c>
      <c r="AF106" s="205" t="s">
        <v>2478</v>
      </c>
      <c r="AG106" s="265"/>
      <c r="AH106" s="265"/>
      <c r="AI106" s="265"/>
      <c r="AJ106" s="265"/>
      <c r="AK106" s="265"/>
      <c r="AL106" s="265"/>
      <c r="AM106" s="265"/>
      <c r="AN106" s="1265"/>
      <c r="AO106" s="372" t="s">
        <v>2451</v>
      </c>
      <c r="AP106" s="205" t="s">
        <v>2479</v>
      </c>
      <c r="AQ106" s="265"/>
      <c r="AR106" s="265"/>
      <c r="AS106" s="265"/>
      <c r="AT106" s="265"/>
      <c r="AU106" s="265"/>
      <c r="AV106" s="265"/>
      <c r="AW106" s="265"/>
      <c r="AX106" s="1265"/>
      <c r="AY106" s="372" t="s">
        <v>2452</v>
      </c>
      <c r="AZ106" s="205" t="s">
        <v>2480</v>
      </c>
      <c r="BA106" s="265"/>
      <c r="BB106" s="265"/>
      <c r="BC106" s="265"/>
      <c r="BD106" s="265"/>
      <c r="BE106" s="265"/>
      <c r="BF106" s="265"/>
      <c r="BG106" s="265"/>
      <c r="BH106" s="1265"/>
      <c r="BI106" s="372" t="s">
        <v>2453</v>
      </c>
      <c r="BJ106" s="205" t="s">
        <v>2482</v>
      </c>
      <c r="BK106" s="265"/>
      <c r="BL106" s="265"/>
      <c r="BM106" s="265"/>
      <c r="BN106" s="265"/>
      <c r="BO106" s="265"/>
      <c r="BP106" s="265"/>
      <c r="BQ106" s="265"/>
      <c r="BR106" s="1265"/>
    </row>
    <row r="107" spans="3:261" x14ac:dyDescent="0.3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66"/>
      <c r="AO107" s="300" t="s">
        <v>877</v>
      </c>
      <c r="AP107" t="s">
        <v>533</v>
      </c>
      <c r="AQ107" s="8"/>
      <c r="AR107" s="8"/>
      <c r="AS107" s="8"/>
      <c r="AT107" s="8"/>
      <c r="AU107" s="8"/>
      <c r="AV107" s="8"/>
      <c r="AW107" s="8"/>
      <c r="AX107" s="1266"/>
      <c r="AY107" s="300" t="s">
        <v>877</v>
      </c>
      <c r="BA107" s="8"/>
      <c r="BB107" s="8"/>
      <c r="BC107" s="8"/>
      <c r="BD107" s="8"/>
      <c r="BE107" s="8"/>
      <c r="BF107" s="8"/>
      <c r="BG107" s="8"/>
      <c r="BH107" s="1266"/>
      <c r="BI107" s="300" t="s">
        <v>877</v>
      </c>
      <c r="BK107" s="8"/>
      <c r="BL107" s="8"/>
      <c r="BM107" s="8"/>
      <c r="BN107" s="8"/>
      <c r="BO107" s="8"/>
      <c r="BP107" s="8"/>
      <c r="BQ107" s="8"/>
      <c r="BR107" s="1266"/>
    </row>
    <row r="108" spans="3:261" x14ac:dyDescent="0.3">
      <c r="C108" t="s">
        <v>2281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66"/>
      <c r="AO108" s="300" t="s">
        <v>877</v>
      </c>
      <c r="AP108" t="s">
        <v>681</v>
      </c>
      <c r="AQ108" s="8"/>
      <c r="AR108" s="8"/>
      <c r="AS108" s="8"/>
      <c r="AT108" s="8"/>
      <c r="AU108" s="8"/>
      <c r="AV108" s="8"/>
      <c r="AW108" s="8"/>
      <c r="AX108" s="1266"/>
      <c r="AY108" s="300" t="s">
        <v>877</v>
      </c>
      <c r="BA108" s="8"/>
      <c r="BB108" s="8"/>
      <c r="BC108" s="8"/>
      <c r="BD108" s="8"/>
      <c r="BE108" s="8"/>
      <c r="BF108" s="8"/>
      <c r="BG108" s="8"/>
      <c r="BH108" s="1266"/>
      <c r="BI108" s="300" t="s">
        <v>877</v>
      </c>
      <c r="BK108" s="8"/>
      <c r="BL108" s="8"/>
      <c r="BM108" s="8"/>
      <c r="BN108" s="8"/>
      <c r="BO108" s="8"/>
      <c r="BP108" s="8"/>
      <c r="BQ108" s="8"/>
      <c r="BR108" s="1266"/>
    </row>
    <row r="109" spans="3:261" x14ac:dyDescent="0.3">
      <c r="C109" t="s">
        <v>2441</v>
      </c>
      <c r="AE109" s="300" t="s">
        <v>877</v>
      </c>
      <c r="AF109" t="s">
        <v>2229</v>
      </c>
      <c r="AG109" s="8" t="s">
        <v>533</v>
      </c>
      <c r="AH109" s="8"/>
      <c r="AI109" s="8"/>
      <c r="AJ109" s="8"/>
      <c r="AK109" s="8"/>
      <c r="AL109" s="8"/>
      <c r="AM109" s="8"/>
      <c r="AN109" s="1266"/>
      <c r="AO109" s="300" t="s">
        <v>877</v>
      </c>
      <c r="AP109" t="s">
        <v>535</v>
      </c>
      <c r="AQ109" s="8"/>
      <c r="AR109" s="8"/>
      <c r="AS109" s="8"/>
      <c r="AT109" s="8"/>
      <c r="AU109" s="8"/>
      <c r="AV109" s="8"/>
      <c r="AW109" s="8"/>
      <c r="AX109" s="1266"/>
      <c r="AY109" s="300" t="s">
        <v>877</v>
      </c>
      <c r="BA109" s="8"/>
      <c r="BB109" s="8"/>
      <c r="BC109" s="8"/>
      <c r="BD109" s="8"/>
      <c r="BE109" s="8"/>
      <c r="BF109" s="8"/>
      <c r="BG109" s="8"/>
      <c r="BH109" s="1266"/>
      <c r="BI109" s="300" t="s">
        <v>877</v>
      </c>
      <c r="BK109" s="8"/>
      <c r="BL109" s="8"/>
      <c r="BM109" s="8"/>
      <c r="BN109" s="8"/>
      <c r="BO109" s="8"/>
      <c r="BP109" s="8"/>
      <c r="BQ109" s="8"/>
      <c r="BR109" s="1266"/>
    </row>
    <row r="110" spans="3:261" x14ac:dyDescent="0.3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66"/>
      <c r="AO110" s="300" t="s">
        <v>877</v>
      </c>
      <c r="AQ110" s="8"/>
      <c r="AR110" s="8"/>
      <c r="AS110" s="8"/>
      <c r="AT110" s="8"/>
      <c r="AU110" s="8"/>
      <c r="AV110" s="8"/>
      <c r="AW110" s="8"/>
      <c r="AX110" s="1266"/>
      <c r="AY110" s="300" t="s">
        <v>877</v>
      </c>
      <c r="BA110" s="8"/>
      <c r="BB110" s="8"/>
      <c r="BC110" s="8"/>
      <c r="BD110" s="8"/>
      <c r="BE110" s="8"/>
      <c r="BF110" s="8"/>
      <c r="BG110" s="8"/>
      <c r="BH110" s="1266"/>
      <c r="BI110" s="300" t="s">
        <v>877</v>
      </c>
      <c r="BK110" s="8"/>
      <c r="BL110" s="8"/>
      <c r="BM110" s="8"/>
      <c r="BN110" s="8"/>
      <c r="BO110" s="8"/>
      <c r="BP110" s="8"/>
      <c r="BQ110" s="8"/>
      <c r="BR110" s="1266"/>
    </row>
    <row r="111" spans="3:261" x14ac:dyDescent="0.3">
      <c r="C111" t="s">
        <v>2180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66"/>
      <c r="AO111" s="300" t="s">
        <v>877</v>
      </c>
      <c r="AQ111" s="8"/>
      <c r="AR111" s="8"/>
      <c r="AS111" s="8"/>
      <c r="AT111" s="8"/>
      <c r="AU111" s="8"/>
      <c r="AV111" s="8"/>
      <c r="AW111" s="8"/>
      <c r="AX111" s="1266"/>
      <c r="AY111" s="300" t="s">
        <v>877</v>
      </c>
      <c r="AZ111" t="s">
        <v>533</v>
      </c>
      <c r="BA111" s="8"/>
      <c r="BB111" s="8"/>
      <c r="BC111" s="8"/>
      <c r="BD111" s="8"/>
      <c r="BE111" s="8"/>
      <c r="BF111" s="8"/>
      <c r="BG111" s="8"/>
      <c r="BH111" s="1266"/>
      <c r="BI111" s="300" t="s">
        <v>877</v>
      </c>
      <c r="BJ111" t="s">
        <v>533</v>
      </c>
      <c r="BK111" s="8"/>
      <c r="BL111" s="8"/>
      <c r="BM111" s="8"/>
      <c r="BN111" s="8"/>
      <c r="BO111" s="8"/>
      <c r="BP111" s="8"/>
      <c r="BQ111" s="8"/>
      <c r="BR111" s="1266"/>
    </row>
    <row r="112" spans="3:261" x14ac:dyDescent="0.3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66"/>
      <c r="AO112" s="300" t="s">
        <v>877</v>
      </c>
      <c r="AQ112" s="8"/>
      <c r="AR112" s="8"/>
      <c r="AS112" s="8"/>
      <c r="AT112" s="8"/>
      <c r="AU112" s="8"/>
      <c r="AV112" s="8"/>
      <c r="AW112" s="8"/>
      <c r="AX112" s="1266"/>
      <c r="AY112" s="300" t="s">
        <v>877</v>
      </c>
      <c r="BA112" s="8"/>
      <c r="BB112" s="8"/>
      <c r="BC112" s="8"/>
      <c r="BD112" s="8"/>
      <c r="BE112" s="8"/>
      <c r="BF112" s="8"/>
      <c r="BG112" s="8"/>
      <c r="BH112" s="1266"/>
      <c r="BI112" s="300" t="s">
        <v>877</v>
      </c>
      <c r="BK112" s="8"/>
      <c r="BL112" s="8"/>
      <c r="BM112" s="8"/>
      <c r="BN112" s="8"/>
      <c r="BO112" s="8"/>
      <c r="BP112" s="8"/>
      <c r="BQ112" s="8"/>
      <c r="BR112" s="1266"/>
    </row>
    <row r="113" spans="3:70" x14ac:dyDescent="0.3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66"/>
      <c r="AO113" s="300" t="s">
        <v>877</v>
      </c>
      <c r="AP113" t="s">
        <v>533</v>
      </c>
      <c r="AQ113" s="8" t="s">
        <v>533</v>
      </c>
      <c r="AR113" s="8"/>
      <c r="AS113" s="8"/>
      <c r="AT113" s="8"/>
      <c r="AU113" s="8"/>
      <c r="AV113" s="8"/>
      <c r="AW113" s="8"/>
      <c r="AX113" s="1266"/>
      <c r="AY113" s="300" t="s">
        <v>877</v>
      </c>
      <c r="AZ113" t="s">
        <v>533</v>
      </c>
      <c r="BA113" s="8" t="s">
        <v>534</v>
      </c>
      <c r="BB113" s="8" t="s">
        <v>533</v>
      </c>
      <c r="BC113" s="8" t="s">
        <v>533</v>
      </c>
      <c r="BD113" s="8" t="s">
        <v>992</v>
      </c>
      <c r="BE113" s="8"/>
      <c r="BF113" s="8"/>
      <c r="BG113" s="8"/>
      <c r="BH113" s="1266"/>
      <c r="BI113" s="300" t="s">
        <v>877</v>
      </c>
      <c r="BJ113" t="s">
        <v>534</v>
      </c>
      <c r="BK113" s="8"/>
      <c r="BL113" s="8"/>
      <c r="BM113" s="8"/>
      <c r="BN113" s="8"/>
      <c r="BO113" s="8"/>
      <c r="BP113" s="8"/>
      <c r="BQ113" s="8"/>
      <c r="BR113" s="1266"/>
    </row>
    <row r="114" spans="3:70" x14ac:dyDescent="0.3">
      <c r="C114" t="s">
        <v>2148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66"/>
      <c r="AO114" s="300" t="s">
        <v>877</v>
      </c>
      <c r="AQ114" s="8"/>
      <c r="AR114" s="8"/>
      <c r="AS114" s="8"/>
      <c r="AT114" s="8"/>
      <c r="AU114" s="8"/>
      <c r="AV114" s="8"/>
      <c r="AW114" s="8"/>
      <c r="AX114" s="1266"/>
      <c r="AY114" s="300" t="s">
        <v>877</v>
      </c>
      <c r="BA114" s="8"/>
      <c r="BB114" s="8"/>
      <c r="BC114" s="8"/>
      <c r="BD114" s="8"/>
      <c r="BE114" s="8"/>
      <c r="BF114" s="8"/>
      <c r="BG114" s="8"/>
      <c r="BH114" s="1266"/>
      <c r="BI114" s="300" t="s">
        <v>877</v>
      </c>
      <c r="BK114" s="8"/>
      <c r="BL114" s="8"/>
      <c r="BM114" s="8"/>
      <c r="BN114" s="8"/>
      <c r="BO114" s="8"/>
      <c r="BP114" s="8"/>
      <c r="BQ114" s="8"/>
      <c r="BR114" s="1266"/>
    </row>
    <row r="115" spans="3:70" x14ac:dyDescent="0.3">
      <c r="C115" t="s">
        <v>2184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66"/>
      <c r="AO115" s="300" t="s">
        <v>877</v>
      </c>
      <c r="AQ115" s="8"/>
      <c r="AR115" s="8"/>
      <c r="AS115" s="8"/>
      <c r="AT115" s="8"/>
      <c r="AU115" s="8"/>
      <c r="AV115" s="8"/>
      <c r="AW115" s="8"/>
      <c r="AX115" s="1266"/>
      <c r="AY115" s="300" t="s">
        <v>877</v>
      </c>
      <c r="AZ115" t="s">
        <v>2229</v>
      </c>
      <c r="BA115" s="8" t="s">
        <v>533</v>
      </c>
      <c r="BB115" s="8"/>
      <c r="BC115" s="8"/>
      <c r="BD115" s="8"/>
      <c r="BE115" s="8"/>
      <c r="BF115" s="8"/>
      <c r="BG115" s="8"/>
      <c r="BH115" s="1266"/>
      <c r="BI115" s="300" t="s">
        <v>877</v>
      </c>
      <c r="BK115" s="8"/>
      <c r="BL115" s="8"/>
      <c r="BM115" s="8"/>
      <c r="BN115" s="8"/>
      <c r="BO115" s="8"/>
      <c r="BP115" s="8"/>
      <c r="BQ115" s="8"/>
      <c r="BR115" s="1266"/>
    </row>
    <row r="116" spans="3:70" x14ac:dyDescent="0.3">
      <c r="C116" t="s">
        <v>2283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66"/>
      <c r="AO116" s="300" t="s">
        <v>877</v>
      </c>
      <c r="AQ116" s="8"/>
      <c r="AR116" s="8"/>
      <c r="AS116" s="8"/>
      <c r="AT116" s="8"/>
      <c r="AU116" s="8"/>
      <c r="AV116" s="8"/>
      <c r="AW116" s="8"/>
      <c r="AX116" s="1266"/>
      <c r="AY116" s="300" t="s">
        <v>877</v>
      </c>
      <c r="BA116" s="8"/>
      <c r="BB116" s="8"/>
      <c r="BC116" s="8"/>
      <c r="BD116" s="8"/>
      <c r="BE116" s="8"/>
      <c r="BF116" s="8"/>
      <c r="BG116" s="8"/>
      <c r="BH116" s="1266"/>
      <c r="BI116" s="300" t="s">
        <v>877</v>
      </c>
      <c r="BK116" s="8"/>
      <c r="BL116" s="8"/>
      <c r="BM116" s="8"/>
      <c r="BN116" s="8"/>
      <c r="BO116" s="8"/>
      <c r="BP116" s="8"/>
      <c r="BQ116" s="8"/>
      <c r="BR116" s="1266"/>
    </row>
    <row r="117" spans="3:70" x14ac:dyDescent="0.3">
      <c r="C117" t="s">
        <v>2280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66"/>
      <c r="AO117" s="300" t="s">
        <v>877</v>
      </c>
      <c r="AQ117" s="8"/>
      <c r="AR117" s="8"/>
      <c r="AS117" s="8"/>
      <c r="AT117" s="8"/>
      <c r="AU117" s="8"/>
      <c r="AV117" s="8"/>
      <c r="AW117" s="8"/>
      <c r="AX117" s="1266"/>
      <c r="AY117" s="300" t="s">
        <v>877</v>
      </c>
      <c r="AZ117" t="s">
        <v>534</v>
      </c>
      <c r="BA117" s="8"/>
      <c r="BB117" s="8"/>
      <c r="BC117" s="8"/>
      <c r="BD117" s="8"/>
      <c r="BE117" s="8"/>
      <c r="BF117" s="8"/>
      <c r="BG117" s="8"/>
      <c r="BH117" s="1266"/>
      <c r="BI117" s="300" t="s">
        <v>877</v>
      </c>
      <c r="BK117" s="8"/>
      <c r="BL117" s="8"/>
      <c r="BM117" s="8"/>
      <c r="BN117" s="8"/>
      <c r="BO117" s="8"/>
      <c r="BP117" s="8"/>
      <c r="BQ117" s="8"/>
      <c r="BR117" s="1266"/>
    </row>
    <row r="118" spans="3:70" x14ac:dyDescent="0.3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66"/>
      <c r="AO118" s="300" t="s">
        <v>877</v>
      </c>
      <c r="AP118" t="s">
        <v>535</v>
      </c>
      <c r="AQ118" s="8" t="s">
        <v>534</v>
      </c>
      <c r="AR118" s="8" t="s">
        <v>534</v>
      </c>
      <c r="AS118" s="8" t="s">
        <v>534</v>
      </c>
      <c r="AT118" s="8"/>
      <c r="AU118" s="8"/>
      <c r="AV118" s="8"/>
      <c r="AW118" s="8"/>
      <c r="AX118" s="1266"/>
      <c r="AY118" s="300" t="s">
        <v>877</v>
      </c>
      <c r="BA118" s="8"/>
      <c r="BB118" s="8"/>
      <c r="BC118" s="8"/>
      <c r="BD118" s="8"/>
      <c r="BE118" s="8"/>
      <c r="BF118" s="8"/>
      <c r="BG118" s="8"/>
      <c r="BH118" s="1266"/>
      <c r="BI118" s="300" t="s">
        <v>877</v>
      </c>
      <c r="BK118" s="8"/>
      <c r="BL118" s="8"/>
      <c r="BM118" s="8"/>
      <c r="BN118" s="8"/>
      <c r="BO118" s="8"/>
      <c r="BP118" s="8"/>
      <c r="BQ118" s="8"/>
      <c r="BR118" s="1266"/>
    </row>
    <row r="119" spans="3:70" x14ac:dyDescent="0.3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66"/>
      <c r="AO119" s="300" t="s">
        <v>877</v>
      </c>
      <c r="AP119" t="s">
        <v>533</v>
      </c>
      <c r="AQ119" s="8"/>
      <c r="AR119" s="8"/>
      <c r="AS119" s="8"/>
      <c r="AT119" s="265"/>
      <c r="AU119" s="265"/>
      <c r="AV119" s="265"/>
      <c r="AW119" s="8"/>
      <c r="AX119" s="1266"/>
      <c r="AY119" s="300" t="s">
        <v>877</v>
      </c>
      <c r="AZ119" t="s">
        <v>534</v>
      </c>
      <c r="BA119" s="8" t="s">
        <v>534</v>
      </c>
      <c r="BB119" s="8"/>
      <c r="BC119" s="8"/>
      <c r="BD119" s="265"/>
      <c r="BE119" s="265"/>
      <c r="BF119" s="265"/>
      <c r="BG119" s="8"/>
      <c r="BH119" s="1266"/>
      <c r="BI119" s="300" t="s">
        <v>877</v>
      </c>
      <c r="BJ119" t="s">
        <v>534</v>
      </c>
      <c r="BK119" s="8" t="s">
        <v>533</v>
      </c>
      <c r="BL119" s="8" t="s">
        <v>540</v>
      </c>
      <c r="BM119" s="8"/>
      <c r="BN119" s="265"/>
      <c r="BO119" s="265"/>
      <c r="BP119" s="265"/>
      <c r="BQ119" s="8"/>
      <c r="BR119" s="1266"/>
    </row>
    <row r="120" spans="3:70" x14ac:dyDescent="0.3">
      <c r="C120" t="s">
        <v>2442</v>
      </c>
      <c r="AE120" s="300" t="s">
        <v>877</v>
      </c>
      <c r="AN120" s="683"/>
      <c r="AO120" s="300" t="s">
        <v>877</v>
      </c>
      <c r="AP120" t="s">
        <v>534</v>
      </c>
      <c r="AQ120" t="s">
        <v>534</v>
      </c>
      <c r="AX120" s="683"/>
      <c r="AY120" s="300" t="s">
        <v>877</v>
      </c>
      <c r="BH120" s="683"/>
      <c r="BI120" s="300" t="s">
        <v>877</v>
      </c>
      <c r="BR120" s="683"/>
    </row>
    <row r="121" spans="3:70" x14ac:dyDescent="0.3">
      <c r="C121" t="s">
        <v>2282</v>
      </c>
      <c r="AE121" s="300" t="s">
        <v>877</v>
      </c>
      <c r="AF121" t="s">
        <v>534</v>
      </c>
      <c r="AN121" s="683"/>
      <c r="AO121" s="300" t="s">
        <v>877</v>
      </c>
      <c r="AP121" t="s">
        <v>535</v>
      </c>
      <c r="AQ121" t="s">
        <v>533</v>
      </c>
      <c r="AX121" s="683"/>
      <c r="AY121" s="300" t="s">
        <v>877</v>
      </c>
      <c r="BH121" s="683"/>
      <c r="BI121" s="300" t="s">
        <v>877</v>
      </c>
      <c r="BR121" s="683"/>
    </row>
    <row r="122" spans="3:70" x14ac:dyDescent="0.3">
      <c r="C122" t="s">
        <v>2443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66"/>
      <c r="AO122" s="300" t="s">
        <v>877</v>
      </c>
      <c r="AP122" t="s">
        <v>533</v>
      </c>
      <c r="AQ122" s="8"/>
      <c r="AR122" s="8"/>
      <c r="AS122" s="8"/>
      <c r="AT122" s="265"/>
      <c r="AU122" s="265"/>
      <c r="AV122" s="265"/>
      <c r="AW122" s="8"/>
      <c r="AX122" s="1266"/>
      <c r="AY122" s="300" t="s">
        <v>877</v>
      </c>
      <c r="AZ122" t="s">
        <v>535</v>
      </c>
      <c r="BA122" s="8" t="s">
        <v>534</v>
      </c>
      <c r="BB122" s="8"/>
      <c r="BC122" s="8"/>
      <c r="BD122" s="265"/>
      <c r="BE122" s="265"/>
      <c r="BF122" s="265"/>
      <c r="BG122" s="8"/>
      <c r="BH122" s="1266"/>
      <c r="BI122" s="300" t="s">
        <v>877</v>
      </c>
      <c r="BK122" s="8"/>
      <c r="BL122" s="8"/>
      <c r="BM122" s="8"/>
      <c r="BN122" s="265"/>
      <c r="BO122" s="265"/>
      <c r="BP122" s="265"/>
      <c r="BQ122" s="8"/>
      <c r="BR122" s="1266"/>
    </row>
    <row r="123" spans="3:70" x14ac:dyDescent="0.3">
      <c r="C123" t="s">
        <v>2444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P123" t="s">
        <v>2229</v>
      </c>
      <c r="AQ123" t="s">
        <v>533</v>
      </c>
      <c r="AR123" t="s">
        <v>534</v>
      </c>
      <c r="AS123" t="s">
        <v>533</v>
      </c>
      <c r="AX123" s="683"/>
      <c r="AY123" s="300" t="s">
        <v>877</v>
      </c>
      <c r="AZ123" t="s">
        <v>534</v>
      </c>
      <c r="BA123" t="s">
        <v>533</v>
      </c>
      <c r="BB123" t="s">
        <v>533</v>
      </c>
      <c r="BC123" t="s">
        <v>545</v>
      </c>
      <c r="BD123" t="s">
        <v>556</v>
      </c>
      <c r="BH123" s="683"/>
      <c r="BI123" s="300" t="s">
        <v>877</v>
      </c>
      <c r="BR123" s="683"/>
    </row>
    <row r="124" spans="3:70" x14ac:dyDescent="0.3">
      <c r="AE124" s="300"/>
      <c r="AN124" s="683"/>
      <c r="AO124" s="300"/>
      <c r="AX124" s="683"/>
      <c r="AY124" s="300"/>
      <c r="BH124" s="683"/>
      <c r="BI124" s="300"/>
      <c r="BR124" s="683"/>
    </row>
    <row r="126" spans="3:70" x14ac:dyDescent="0.3">
      <c r="AY126" t="s">
        <v>2481</v>
      </c>
    </row>
    <row r="130" spans="3:28" x14ac:dyDescent="0.3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3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3">
      <c r="C132" t="s">
        <v>2281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3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3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3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3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3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3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</sheetData>
  <mergeCells count="9">
    <mergeCell ref="E70:F70"/>
    <mergeCell ref="E71:F71"/>
    <mergeCell ref="E72:F72"/>
    <mergeCell ref="AI10:AJ10"/>
    <mergeCell ref="BQ10:BR10"/>
    <mergeCell ref="AI14:AJ14"/>
    <mergeCell ref="E66:F66"/>
    <mergeCell ref="E67:F67"/>
    <mergeCell ref="E68:F68"/>
  </mergeCells>
  <pageMargins left="0.7" right="0.7" top="0.75" bottom="0.75" header="0.3" footer="0.3"/>
  <pageSetup paperSize="9" scale="5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6832-A29A-4B9F-913D-7D4CF27296F3}">
  <sheetPr>
    <tabColor theme="8"/>
    <pageSetUpPr fitToPage="1"/>
  </sheetPr>
  <dimension ref="B2:JX231"/>
  <sheetViews>
    <sheetView topLeftCell="A144" zoomScale="70" zoomScaleNormal="70" workbookViewId="0">
      <pane xSplit="3" topLeftCell="D1" activePane="topRight" state="frozen"/>
      <selection pane="topRight" activeCell="EG185" sqref="EG185"/>
    </sheetView>
  </sheetViews>
  <sheetFormatPr defaultRowHeight="14.4" x14ac:dyDescent="0.3"/>
  <cols>
    <col min="1" max="1" width="2.88671875" customWidth="1"/>
    <col min="2" max="2" width="5.6640625" customWidth="1"/>
    <col min="3" max="3" width="27.88671875" bestFit="1" customWidth="1"/>
    <col min="4" max="33" width="3.6640625" customWidth="1"/>
    <col min="34" max="284" width="3.5546875" customWidth="1"/>
  </cols>
  <sheetData>
    <row r="2" spans="2:78" x14ac:dyDescent="0.3">
      <c r="C2" s="205" t="s">
        <v>2412</v>
      </c>
      <c r="D2" s="205" t="s">
        <v>2525</v>
      </c>
      <c r="AE2" s="205"/>
    </row>
    <row r="4" spans="2:78" x14ac:dyDescent="0.3">
      <c r="C4" s="478" t="s">
        <v>702</v>
      </c>
      <c r="D4" s="8"/>
      <c r="E4" s="8">
        <f>SUM(E6:E23)</f>
        <v>109</v>
      </c>
      <c r="F4" s="8">
        <f t="shared" ref="F4:T4" si="0">SUM(F6:F23)</f>
        <v>96</v>
      </c>
      <c r="G4" s="8">
        <f t="shared" si="0"/>
        <v>205</v>
      </c>
      <c r="H4" s="8">
        <f t="shared" si="0"/>
        <v>25</v>
      </c>
      <c r="I4" s="8">
        <f t="shared" si="0"/>
        <v>14</v>
      </c>
      <c r="J4" s="8">
        <f t="shared" si="0"/>
        <v>1</v>
      </c>
      <c r="K4" s="8">
        <f t="shared" si="0"/>
        <v>1</v>
      </c>
      <c r="L4" s="8">
        <f t="shared" si="0"/>
        <v>0</v>
      </c>
      <c r="M4" s="8">
        <f t="shared" si="0"/>
        <v>0</v>
      </c>
      <c r="N4" s="8">
        <f t="shared" si="0"/>
        <v>1</v>
      </c>
      <c r="O4" s="8">
        <f t="shared" si="0"/>
        <v>1</v>
      </c>
      <c r="P4" s="8">
        <f t="shared" si="0"/>
        <v>6</v>
      </c>
      <c r="Q4" s="8">
        <f t="shared" si="0"/>
        <v>2</v>
      </c>
      <c r="R4" s="8">
        <f t="shared" si="0"/>
        <v>0</v>
      </c>
      <c r="S4" s="8">
        <f t="shared" si="0"/>
        <v>3</v>
      </c>
      <c r="T4" s="8">
        <f t="shared" si="0"/>
        <v>20</v>
      </c>
      <c r="U4" s="8"/>
      <c r="V4" s="8"/>
      <c r="W4" s="8"/>
      <c r="X4" s="8"/>
      <c r="Y4" s="8"/>
      <c r="Z4" s="8"/>
      <c r="AA4" s="8"/>
      <c r="AB4" s="8"/>
      <c r="AC4" s="8"/>
    </row>
    <row r="5" spans="2:78" ht="15" thickBot="1" x14ac:dyDescent="0.35">
      <c r="D5" s="206" t="s">
        <v>877</v>
      </c>
      <c r="E5" s="207" t="s">
        <v>533</v>
      </c>
      <c r="F5" s="207" t="s">
        <v>534</v>
      </c>
      <c r="G5" s="207" t="s">
        <v>610</v>
      </c>
      <c r="H5" s="207" t="s">
        <v>535</v>
      </c>
      <c r="I5" s="207" t="s">
        <v>2229</v>
      </c>
      <c r="J5" s="207" t="s">
        <v>540</v>
      </c>
      <c r="K5" s="207" t="s">
        <v>545</v>
      </c>
      <c r="L5" s="373" t="s">
        <v>557</v>
      </c>
      <c r="M5" s="207" t="s">
        <v>556</v>
      </c>
      <c r="N5" s="207" t="s">
        <v>637</v>
      </c>
      <c r="O5" s="208" t="s">
        <v>693</v>
      </c>
      <c r="P5" s="208" t="s">
        <v>992</v>
      </c>
      <c r="Q5" s="208" t="s">
        <v>139</v>
      </c>
      <c r="R5" s="208" t="s">
        <v>669</v>
      </c>
      <c r="S5" s="208" t="s">
        <v>2044</v>
      </c>
      <c r="T5" s="208" t="s">
        <v>681</v>
      </c>
      <c r="U5" s="265"/>
      <c r="V5" s="265"/>
      <c r="W5" s="265"/>
      <c r="X5" s="265"/>
      <c r="Y5" s="265"/>
      <c r="Z5" s="265"/>
      <c r="AA5" s="265"/>
      <c r="AB5" s="265"/>
      <c r="AC5" s="265"/>
    </row>
    <row r="6" spans="2:78" x14ac:dyDescent="0.3">
      <c r="B6" s="601"/>
      <c r="C6" s="602" t="s">
        <v>48</v>
      </c>
      <c r="D6" s="253">
        <v>17</v>
      </c>
      <c r="E6" s="229">
        <f t="shared" ref="E6:F23" si="1">COUNTIF(80:80,E$5)</f>
        <v>1</v>
      </c>
      <c r="F6" s="229">
        <f t="shared" si="1"/>
        <v>4</v>
      </c>
      <c r="G6" s="229">
        <f>E6+F6</f>
        <v>5</v>
      </c>
      <c r="H6" s="229">
        <f t="shared" ref="H6:T6" si="2">COUNTIF(80:80,H$5)</f>
        <v>1</v>
      </c>
      <c r="I6" s="229">
        <f t="shared" si="2"/>
        <v>0</v>
      </c>
      <c r="J6" s="229">
        <f t="shared" si="2"/>
        <v>0</v>
      </c>
      <c r="K6" s="229">
        <f t="shared" si="2"/>
        <v>0</v>
      </c>
      <c r="L6" s="254">
        <f t="shared" si="2"/>
        <v>0</v>
      </c>
      <c r="M6" s="229">
        <f t="shared" si="2"/>
        <v>0</v>
      </c>
      <c r="N6" s="229">
        <f t="shared" si="2"/>
        <v>0</v>
      </c>
      <c r="O6" s="229">
        <f t="shared" si="2"/>
        <v>0</v>
      </c>
      <c r="P6" s="229">
        <f t="shared" si="2"/>
        <v>0</v>
      </c>
      <c r="Q6" s="229">
        <f t="shared" si="2"/>
        <v>0</v>
      </c>
      <c r="R6" s="229">
        <f t="shared" si="2"/>
        <v>0</v>
      </c>
      <c r="S6" s="229">
        <f t="shared" si="2"/>
        <v>0</v>
      </c>
      <c r="T6" s="229">
        <f t="shared" si="2"/>
        <v>0</v>
      </c>
      <c r="U6" s="8"/>
      <c r="V6" s="8"/>
      <c r="W6" s="8"/>
      <c r="X6" s="8"/>
      <c r="Y6" s="8"/>
      <c r="Z6" s="8"/>
      <c r="AA6" s="8"/>
      <c r="AB6" s="8"/>
      <c r="AC6" s="8"/>
    </row>
    <row r="7" spans="2:78" x14ac:dyDescent="0.3">
      <c r="B7" s="601"/>
      <c r="C7" s="602" t="s">
        <v>2281</v>
      </c>
      <c r="D7" s="168">
        <v>20</v>
      </c>
      <c r="E7" s="119">
        <f t="shared" si="1"/>
        <v>0</v>
      </c>
      <c r="F7" s="119">
        <f t="shared" si="1"/>
        <v>2</v>
      </c>
      <c r="G7" s="119">
        <f t="shared" ref="G7:G23" si="3">E7+F7</f>
        <v>2</v>
      </c>
      <c r="H7" s="119">
        <f t="shared" ref="H7:T7" si="4">COUNTIF(81:81,H$5)</f>
        <v>1</v>
      </c>
      <c r="I7" s="119">
        <f t="shared" si="4"/>
        <v>0</v>
      </c>
      <c r="J7" s="119">
        <f t="shared" si="4"/>
        <v>0</v>
      </c>
      <c r="K7" s="227">
        <f t="shared" si="4"/>
        <v>0</v>
      </c>
      <c r="L7" s="227">
        <f t="shared" si="4"/>
        <v>0</v>
      </c>
      <c r="M7" s="227">
        <f t="shared" si="4"/>
        <v>0</v>
      </c>
      <c r="N7" s="227">
        <f t="shared" si="4"/>
        <v>0</v>
      </c>
      <c r="O7" s="227">
        <f t="shared" si="4"/>
        <v>0</v>
      </c>
      <c r="P7" s="227">
        <f t="shared" si="4"/>
        <v>0</v>
      </c>
      <c r="Q7" s="227">
        <f t="shared" si="4"/>
        <v>0</v>
      </c>
      <c r="R7" s="227">
        <f t="shared" si="4"/>
        <v>0</v>
      </c>
      <c r="S7" s="227">
        <f t="shared" si="4"/>
        <v>3</v>
      </c>
      <c r="T7" s="227">
        <f t="shared" si="4"/>
        <v>10</v>
      </c>
      <c r="U7" s="8"/>
      <c r="V7" s="8"/>
      <c r="W7" s="8"/>
      <c r="X7" s="8"/>
      <c r="Y7" s="8"/>
      <c r="Z7" s="8"/>
      <c r="AA7" s="8"/>
      <c r="AB7" s="8"/>
      <c r="AC7" s="8"/>
    </row>
    <row r="8" spans="2:78" x14ac:dyDescent="0.3">
      <c r="B8" s="601"/>
      <c r="C8" s="602" t="s">
        <v>2441</v>
      </c>
      <c r="D8" s="228">
        <v>20</v>
      </c>
      <c r="E8" s="229">
        <f t="shared" si="1"/>
        <v>3</v>
      </c>
      <c r="F8" s="229">
        <f t="shared" si="1"/>
        <v>3</v>
      </c>
      <c r="G8" s="229">
        <f t="shared" si="3"/>
        <v>6</v>
      </c>
      <c r="H8" s="229">
        <f t="shared" ref="H8:T8" si="5">COUNTIF(82:82,H$5)</f>
        <v>0</v>
      </c>
      <c r="I8" s="229">
        <f t="shared" si="5"/>
        <v>1</v>
      </c>
      <c r="J8" s="229">
        <f t="shared" si="5"/>
        <v>0</v>
      </c>
      <c r="K8" s="230">
        <f t="shared" si="5"/>
        <v>0</v>
      </c>
      <c r="L8" s="254">
        <f t="shared" si="5"/>
        <v>0</v>
      </c>
      <c r="M8" s="230">
        <f t="shared" si="5"/>
        <v>0</v>
      </c>
      <c r="N8" s="230">
        <f t="shared" si="5"/>
        <v>0</v>
      </c>
      <c r="O8" s="230">
        <f t="shared" si="5"/>
        <v>0</v>
      </c>
      <c r="P8" s="230">
        <f t="shared" si="5"/>
        <v>0</v>
      </c>
      <c r="Q8" s="230">
        <f t="shared" si="5"/>
        <v>1</v>
      </c>
      <c r="R8" s="230">
        <f t="shared" si="5"/>
        <v>0</v>
      </c>
      <c r="S8" s="230">
        <f t="shared" si="5"/>
        <v>0</v>
      </c>
      <c r="T8" s="230">
        <f t="shared" si="5"/>
        <v>0</v>
      </c>
      <c r="U8" s="8"/>
      <c r="V8" s="8"/>
      <c r="W8" s="8"/>
      <c r="X8" s="8"/>
      <c r="Y8" s="8"/>
      <c r="Z8" s="8"/>
      <c r="AA8" s="8"/>
      <c r="AB8" s="8"/>
      <c r="AC8" s="8"/>
    </row>
    <row r="9" spans="2:78" x14ac:dyDescent="0.3">
      <c r="B9" s="601"/>
      <c r="C9" s="602" t="s">
        <v>1459</v>
      </c>
      <c r="D9" s="168">
        <v>18</v>
      </c>
      <c r="E9" s="119">
        <f t="shared" si="1"/>
        <v>6</v>
      </c>
      <c r="F9" s="119">
        <f t="shared" si="1"/>
        <v>3</v>
      </c>
      <c r="G9" s="119">
        <f t="shared" si="3"/>
        <v>9</v>
      </c>
      <c r="H9" s="119">
        <f t="shared" ref="H9:T9" si="6">COUNTIF(83:83,H$5)</f>
        <v>0</v>
      </c>
      <c r="I9" s="119">
        <f t="shared" si="6"/>
        <v>1</v>
      </c>
      <c r="J9" s="119">
        <f t="shared" si="6"/>
        <v>0</v>
      </c>
      <c r="K9" s="227">
        <f t="shared" si="6"/>
        <v>0</v>
      </c>
      <c r="L9" s="227">
        <f t="shared" si="6"/>
        <v>0</v>
      </c>
      <c r="M9" s="227">
        <f t="shared" si="6"/>
        <v>0</v>
      </c>
      <c r="N9" s="119">
        <f t="shared" si="6"/>
        <v>0</v>
      </c>
      <c r="O9" s="227">
        <f t="shared" si="6"/>
        <v>0</v>
      </c>
      <c r="P9" s="119">
        <f t="shared" si="6"/>
        <v>0</v>
      </c>
      <c r="Q9" s="119">
        <f t="shared" si="6"/>
        <v>0</v>
      </c>
      <c r="R9" s="119">
        <f t="shared" si="6"/>
        <v>0</v>
      </c>
      <c r="S9" s="119">
        <f t="shared" si="6"/>
        <v>0</v>
      </c>
      <c r="T9" s="119">
        <f t="shared" si="6"/>
        <v>0</v>
      </c>
      <c r="U9" s="8"/>
      <c r="V9" s="8"/>
      <c r="W9" s="8"/>
      <c r="X9" s="8"/>
      <c r="Y9" s="8"/>
      <c r="Z9" s="8"/>
      <c r="AA9" s="8"/>
      <c r="AB9" s="8"/>
      <c r="AC9" s="8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5"/>
      <c r="BN9" s="205"/>
      <c r="BO9" s="205"/>
      <c r="BP9" s="205"/>
      <c r="BQ9" s="205"/>
      <c r="BR9" s="205"/>
      <c r="BS9" s="205"/>
      <c r="BT9" s="205"/>
      <c r="BU9" s="205"/>
      <c r="BV9" s="205"/>
      <c r="BW9" s="205"/>
    </row>
    <row r="10" spans="2:78" x14ac:dyDescent="0.3">
      <c r="B10" s="601"/>
      <c r="C10" s="602" t="s">
        <v>2180</v>
      </c>
      <c r="D10" s="228">
        <v>18</v>
      </c>
      <c r="E10" s="229">
        <f t="shared" si="1"/>
        <v>4</v>
      </c>
      <c r="F10" s="229">
        <f t="shared" si="1"/>
        <v>12</v>
      </c>
      <c r="G10" s="229">
        <f t="shared" si="3"/>
        <v>16</v>
      </c>
      <c r="H10" s="229">
        <f t="shared" ref="H10:T10" si="7">COUNTIF(84:84,H$5)</f>
        <v>1</v>
      </c>
      <c r="I10" s="229">
        <f t="shared" si="7"/>
        <v>1</v>
      </c>
      <c r="J10" s="229">
        <f t="shared" si="7"/>
        <v>0</v>
      </c>
      <c r="K10" s="229">
        <f t="shared" si="7"/>
        <v>0</v>
      </c>
      <c r="L10" s="230">
        <f t="shared" si="7"/>
        <v>0</v>
      </c>
      <c r="M10" s="230">
        <f t="shared" si="7"/>
        <v>0</v>
      </c>
      <c r="N10" s="230">
        <f t="shared" si="7"/>
        <v>0</v>
      </c>
      <c r="O10" s="230">
        <f t="shared" si="7"/>
        <v>0</v>
      </c>
      <c r="P10" s="229">
        <f t="shared" si="7"/>
        <v>0</v>
      </c>
      <c r="Q10" s="229">
        <f t="shared" si="7"/>
        <v>0</v>
      </c>
      <c r="R10" s="229">
        <f t="shared" si="7"/>
        <v>0</v>
      </c>
      <c r="S10" s="229">
        <f t="shared" si="7"/>
        <v>0</v>
      </c>
      <c r="T10" s="229">
        <f t="shared" si="7"/>
        <v>0</v>
      </c>
      <c r="U10" s="8"/>
      <c r="V10" s="8"/>
      <c r="W10" s="8"/>
      <c r="X10" s="8"/>
      <c r="Y10" s="8"/>
      <c r="Z10" s="8"/>
      <c r="AA10" s="8"/>
      <c r="AB10" s="8"/>
      <c r="AC10" s="8"/>
      <c r="AI10" s="1301"/>
      <c r="AJ10" s="1301"/>
      <c r="BY10" s="1301"/>
      <c r="BZ10" s="1301"/>
    </row>
    <row r="11" spans="2:78" x14ac:dyDescent="0.3">
      <c r="B11" s="601"/>
      <c r="C11" s="602" t="s">
        <v>1597</v>
      </c>
      <c r="D11" s="168">
        <v>20</v>
      </c>
      <c r="E11" s="119">
        <f t="shared" si="1"/>
        <v>0</v>
      </c>
      <c r="F11" s="119">
        <f t="shared" si="1"/>
        <v>0</v>
      </c>
      <c r="G11" s="119">
        <f t="shared" si="3"/>
        <v>0</v>
      </c>
      <c r="H11" s="119">
        <f t="shared" ref="H11:T11" si="8">COUNTIF(85:85,H$5)</f>
        <v>0</v>
      </c>
      <c r="I11" s="119">
        <f t="shared" si="8"/>
        <v>0</v>
      </c>
      <c r="J11" s="119">
        <f t="shared" si="8"/>
        <v>0</v>
      </c>
      <c r="K11" s="227">
        <f t="shared" si="8"/>
        <v>0</v>
      </c>
      <c r="L11" s="227">
        <f t="shared" si="8"/>
        <v>0</v>
      </c>
      <c r="M11" s="227">
        <f t="shared" si="8"/>
        <v>0</v>
      </c>
      <c r="N11" s="227">
        <f t="shared" si="8"/>
        <v>0</v>
      </c>
      <c r="O11" s="227">
        <f t="shared" si="8"/>
        <v>0</v>
      </c>
      <c r="P11" s="227">
        <f t="shared" si="8"/>
        <v>0</v>
      </c>
      <c r="Q11" s="227">
        <f t="shared" si="8"/>
        <v>0</v>
      </c>
      <c r="R11" s="227">
        <f t="shared" si="8"/>
        <v>0</v>
      </c>
      <c r="S11" s="227">
        <f t="shared" si="8"/>
        <v>0</v>
      </c>
      <c r="T11" s="227">
        <f t="shared" si="8"/>
        <v>10</v>
      </c>
      <c r="U11" s="8"/>
      <c r="V11" s="8"/>
      <c r="W11" s="8"/>
      <c r="X11" s="8"/>
      <c r="Y11" s="8"/>
      <c r="Z11" s="8"/>
      <c r="AA11" s="8"/>
      <c r="AB11" s="8"/>
      <c r="AC11" s="8"/>
    </row>
    <row r="12" spans="2:78" x14ac:dyDescent="0.3">
      <c r="B12" s="601"/>
      <c r="C12" s="602" t="s">
        <v>50</v>
      </c>
      <c r="D12" s="228">
        <v>20</v>
      </c>
      <c r="E12" s="229">
        <f t="shared" si="1"/>
        <v>22</v>
      </c>
      <c r="F12" s="229">
        <f t="shared" si="1"/>
        <v>8</v>
      </c>
      <c r="G12" s="229">
        <f t="shared" si="3"/>
        <v>30</v>
      </c>
      <c r="H12" s="229">
        <f t="shared" ref="H12:T12" si="9">COUNTIF(86:86,H$5)</f>
        <v>0</v>
      </c>
      <c r="I12" s="229">
        <f t="shared" si="9"/>
        <v>3</v>
      </c>
      <c r="J12" s="229">
        <f t="shared" si="9"/>
        <v>0</v>
      </c>
      <c r="K12" s="229">
        <f t="shared" si="9"/>
        <v>0</v>
      </c>
      <c r="L12" s="230">
        <f t="shared" si="9"/>
        <v>0</v>
      </c>
      <c r="M12" s="230">
        <f t="shared" si="9"/>
        <v>0</v>
      </c>
      <c r="N12" s="230">
        <f t="shared" si="9"/>
        <v>0</v>
      </c>
      <c r="O12" s="230">
        <f t="shared" si="9"/>
        <v>0</v>
      </c>
      <c r="P12" s="229">
        <f t="shared" si="9"/>
        <v>3</v>
      </c>
      <c r="Q12" s="229">
        <f t="shared" si="9"/>
        <v>0</v>
      </c>
      <c r="R12" s="229">
        <f t="shared" si="9"/>
        <v>0</v>
      </c>
      <c r="S12" s="229">
        <f t="shared" si="9"/>
        <v>0</v>
      </c>
      <c r="T12" s="229">
        <f t="shared" si="9"/>
        <v>0</v>
      </c>
      <c r="U12" s="8"/>
      <c r="V12" s="8"/>
      <c r="W12" s="8"/>
      <c r="X12" s="8"/>
      <c r="Y12" s="8"/>
      <c r="Z12" s="8"/>
      <c r="AA12" s="8"/>
      <c r="AB12" s="8"/>
      <c r="AC12" s="8"/>
    </row>
    <row r="13" spans="2:78" x14ac:dyDescent="0.3">
      <c r="B13" s="601"/>
      <c r="C13" s="602" t="s">
        <v>2148</v>
      </c>
      <c r="D13" s="168">
        <v>12</v>
      </c>
      <c r="E13" s="119">
        <f t="shared" si="1"/>
        <v>15</v>
      </c>
      <c r="F13" s="119">
        <f t="shared" si="1"/>
        <v>4</v>
      </c>
      <c r="G13" s="119">
        <f t="shared" si="3"/>
        <v>19</v>
      </c>
      <c r="H13" s="119">
        <f t="shared" ref="H13:T13" si="10">COUNTIF(87:87,H$5)</f>
        <v>0</v>
      </c>
      <c r="I13" s="119">
        <f t="shared" si="10"/>
        <v>1</v>
      </c>
      <c r="J13" s="119">
        <f t="shared" si="10"/>
        <v>0</v>
      </c>
      <c r="K13" s="227">
        <f t="shared" si="10"/>
        <v>0</v>
      </c>
      <c r="L13" s="227">
        <f t="shared" si="10"/>
        <v>0</v>
      </c>
      <c r="M13" s="227">
        <f t="shared" si="10"/>
        <v>0</v>
      </c>
      <c r="N13" s="227">
        <f t="shared" si="10"/>
        <v>1</v>
      </c>
      <c r="O13" s="227">
        <f t="shared" si="10"/>
        <v>1</v>
      </c>
      <c r="P13" s="227">
        <f t="shared" si="10"/>
        <v>2</v>
      </c>
      <c r="Q13" s="227">
        <f t="shared" si="10"/>
        <v>0</v>
      </c>
      <c r="R13" s="227">
        <f t="shared" si="10"/>
        <v>0</v>
      </c>
      <c r="S13" s="227">
        <f t="shared" si="10"/>
        <v>0</v>
      </c>
      <c r="T13" s="227">
        <f t="shared" si="10"/>
        <v>0</v>
      </c>
      <c r="U13" s="8"/>
      <c r="V13" s="8"/>
      <c r="W13" s="8"/>
      <c r="X13" s="8"/>
      <c r="Y13" s="8"/>
      <c r="Z13" s="8"/>
      <c r="AA13" s="8"/>
      <c r="AB13" s="8"/>
      <c r="AC13" s="8"/>
    </row>
    <row r="14" spans="2:78" x14ac:dyDescent="0.3">
      <c r="B14" s="601"/>
      <c r="C14" s="602" t="s">
        <v>2184</v>
      </c>
      <c r="D14" s="228">
        <v>18</v>
      </c>
      <c r="E14" s="229">
        <f t="shared" si="1"/>
        <v>7</v>
      </c>
      <c r="F14" s="229">
        <f t="shared" si="1"/>
        <v>17</v>
      </c>
      <c r="G14" s="229">
        <f t="shared" si="3"/>
        <v>24</v>
      </c>
      <c r="H14" s="229">
        <f t="shared" ref="H14:T14" si="11">COUNTIF(88:88,H$5)</f>
        <v>2</v>
      </c>
      <c r="I14" s="229">
        <f t="shared" si="11"/>
        <v>1</v>
      </c>
      <c r="J14" s="229">
        <f t="shared" si="11"/>
        <v>0</v>
      </c>
      <c r="K14" s="230">
        <f t="shared" si="11"/>
        <v>0</v>
      </c>
      <c r="L14" s="230">
        <f t="shared" si="11"/>
        <v>0</v>
      </c>
      <c r="M14" s="230">
        <f t="shared" si="11"/>
        <v>0</v>
      </c>
      <c r="N14" s="230">
        <f t="shared" si="11"/>
        <v>0</v>
      </c>
      <c r="O14" s="230">
        <f t="shared" si="11"/>
        <v>0</v>
      </c>
      <c r="P14" s="230">
        <f t="shared" si="11"/>
        <v>0</v>
      </c>
      <c r="Q14" s="230">
        <f t="shared" si="11"/>
        <v>0</v>
      </c>
      <c r="R14" s="230">
        <f t="shared" si="11"/>
        <v>0</v>
      </c>
      <c r="S14" s="230">
        <f t="shared" si="11"/>
        <v>0</v>
      </c>
      <c r="T14" s="230">
        <f t="shared" si="11"/>
        <v>0</v>
      </c>
      <c r="U14" s="8"/>
      <c r="V14" s="8"/>
      <c r="W14" s="8"/>
      <c r="X14" s="8"/>
      <c r="Y14" s="8"/>
      <c r="Z14" s="8"/>
      <c r="AA14" s="8"/>
      <c r="AB14" s="8"/>
      <c r="AC14" s="8"/>
      <c r="AI14" s="1301"/>
      <c r="AJ14" s="1301"/>
    </row>
    <row r="15" spans="2:78" x14ac:dyDescent="0.3">
      <c r="B15" s="601"/>
      <c r="C15" s="602" t="s">
        <v>2283</v>
      </c>
      <c r="D15" s="168">
        <v>20</v>
      </c>
      <c r="E15" s="119">
        <f t="shared" si="1"/>
        <v>5</v>
      </c>
      <c r="F15" s="119">
        <f t="shared" si="1"/>
        <v>4</v>
      </c>
      <c r="G15" s="119">
        <f t="shared" si="3"/>
        <v>9</v>
      </c>
      <c r="H15" s="119">
        <f t="shared" ref="H15:T15" si="12">COUNTIF(89:89,H$5)</f>
        <v>5</v>
      </c>
      <c r="I15" s="119">
        <f t="shared" si="12"/>
        <v>2</v>
      </c>
      <c r="J15" s="119">
        <f t="shared" si="12"/>
        <v>0</v>
      </c>
      <c r="K15" s="227">
        <f t="shared" si="12"/>
        <v>0</v>
      </c>
      <c r="L15" s="227">
        <f t="shared" si="12"/>
        <v>0</v>
      </c>
      <c r="M15" s="227">
        <f t="shared" si="12"/>
        <v>0</v>
      </c>
      <c r="N15" s="227">
        <f t="shared" si="12"/>
        <v>0</v>
      </c>
      <c r="O15" s="227">
        <f t="shared" si="12"/>
        <v>0</v>
      </c>
      <c r="P15" s="119">
        <f t="shared" si="12"/>
        <v>0</v>
      </c>
      <c r="Q15" s="119">
        <f t="shared" si="12"/>
        <v>0</v>
      </c>
      <c r="R15" s="119">
        <f t="shared" si="12"/>
        <v>0</v>
      </c>
      <c r="S15" s="119">
        <f t="shared" si="12"/>
        <v>0</v>
      </c>
      <c r="T15" s="119">
        <f t="shared" si="12"/>
        <v>0</v>
      </c>
      <c r="U15" s="8"/>
      <c r="V15" s="8"/>
      <c r="W15" s="8"/>
      <c r="X15" s="8"/>
      <c r="Y15" s="8"/>
      <c r="Z15" s="8"/>
      <c r="AA15" s="8"/>
      <c r="AB15" s="8"/>
      <c r="AC15" s="8"/>
    </row>
    <row r="16" spans="2:78" x14ac:dyDescent="0.3">
      <c r="B16" s="601"/>
      <c r="C16" s="602" t="s">
        <v>2280</v>
      </c>
      <c r="D16" s="228">
        <v>20</v>
      </c>
      <c r="E16" s="229">
        <f t="shared" si="1"/>
        <v>1</v>
      </c>
      <c r="F16" s="229">
        <f t="shared" si="1"/>
        <v>4</v>
      </c>
      <c r="G16" s="229">
        <f t="shared" si="3"/>
        <v>5</v>
      </c>
      <c r="H16" s="229">
        <f t="shared" ref="H16:T16" si="13">COUNTIF(90:90,H$5)</f>
        <v>1</v>
      </c>
      <c r="I16" s="229">
        <f t="shared" si="13"/>
        <v>0</v>
      </c>
      <c r="J16" s="229">
        <f t="shared" si="13"/>
        <v>0</v>
      </c>
      <c r="K16" s="230">
        <f t="shared" si="13"/>
        <v>0</v>
      </c>
      <c r="L16" s="230">
        <f t="shared" si="13"/>
        <v>0</v>
      </c>
      <c r="M16" s="230">
        <f t="shared" si="13"/>
        <v>0</v>
      </c>
      <c r="N16" s="230">
        <f t="shared" si="13"/>
        <v>0</v>
      </c>
      <c r="O16" s="230">
        <f t="shared" si="13"/>
        <v>0</v>
      </c>
      <c r="P16" s="230">
        <f t="shared" si="13"/>
        <v>0</v>
      </c>
      <c r="Q16" s="230">
        <f t="shared" si="13"/>
        <v>0</v>
      </c>
      <c r="R16" s="230">
        <f t="shared" si="13"/>
        <v>0</v>
      </c>
      <c r="S16" s="230">
        <f t="shared" si="13"/>
        <v>0</v>
      </c>
      <c r="T16" s="230">
        <f t="shared" si="13"/>
        <v>0</v>
      </c>
      <c r="U16" s="8"/>
      <c r="V16" s="8"/>
      <c r="W16" s="8"/>
      <c r="X16" s="8"/>
      <c r="Y16" s="8"/>
      <c r="Z16" s="8"/>
      <c r="AA16" s="8"/>
      <c r="AB16" s="8"/>
      <c r="AC16" s="8"/>
    </row>
    <row r="17" spans="2:50" x14ac:dyDescent="0.3">
      <c r="B17" s="601"/>
      <c r="C17" s="602" t="s">
        <v>1591</v>
      </c>
      <c r="D17" s="168">
        <v>14</v>
      </c>
      <c r="E17" s="119">
        <f t="shared" si="1"/>
        <v>2</v>
      </c>
      <c r="F17" s="119">
        <f t="shared" si="1"/>
        <v>2</v>
      </c>
      <c r="G17" s="119">
        <f t="shared" si="3"/>
        <v>4</v>
      </c>
      <c r="H17" s="119">
        <f t="shared" ref="H17:T17" si="14">COUNTIF(91:91,H$5)</f>
        <v>2</v>
      </c>
      <c r="I17" s="119">
        <f t="shared" si="14"/>
        <v>0</v>
      </c>
      <c r="J17" s="119">
        <f t="shared" si="14"/>
        <v>0</v>
      </c>
      <c r="K17" s="227">
        <f t="shared" si="14"/>
        <v>0</v>
      </c>
      <c r="L17" s="227">
        <f t="shared" si="14"/>
        <v>0</v>
      </c>
      <c r="M17" s="227">
        <f t="shared" si="14"/>
        <v>0</v>
      </c>
      <c r="N17" s="227">
        <f t="shared" si="14"/>
        <v>0</v>
      </c>
      <c r="O17" s="227">
        <f t="shared" si="14"/>
        <v>0</v>
      </c>
      <c r="P17" s="227">
        <f t="shared" si="14"/>
        <v>0</v>
      </c>
      <c r="Q17" s="227">
        <f t="shared" si="14"/>
        <v>0</v>
      </c>
      <c r="R17" s="227">
        <f t="shared" si="14"/>
        <v>0</v>
      </c>
      <c r="S17" s="227">
        <f t="shared" si="14"/>
        <v>0</v>
      </c>
      <c r="T17" s="227">
        <f t="shared" si="14"/>
        <v>0</v>
      </c>
      <c r="U17" s="8"/>
      <c r="V17" s="8"/>
      <c r="W17" s="8"/>
      <c r="X17" s="8"/>
      <c r="Y17" s="8"/>
      <c r="Z17" s="8"/>
      <c r="AA17" s="8"/>
      <c r="AB17" s="8"/>
      <c r="AC17" s="8"/>
    </row>
    <row r="18" spans="2:50" x14ac:dyDescent="0.3">
      <c r="B18" s="601"/>
      <c r="C18" s="602" t="s">
        <v>1379</v>
      </c>
      <c r="D18" s="228">
        <v>18</v>
      </c>
      <c r="E18" s="229">
        <f t="shared" si="1"/>
        <v>10</v>
      </c>
      <c r="F18" s="229">
        <f t="shared" si="1"/>
        <v>15</v>
      </c>
      <c r="G18" s="229">
        <f t="shared" si="3"/>
        <v>25</v>
      </c>
      <c r="H18" s="229">
        <f t="shared" ref="H18:T18" si="15">COUNTIF(92:92,H$5)</f>
        <v>2</v>
      </c>
      <c r="I18" s="229">
        <f t="shared" si="15"/>
        <v>0</v>
      </c>
      <c r="J18" s="229">
        <f t="shared" si="15"/>
        <v>1</v>
      </c>
      <c r="K18" s="230">
        <f t="shared" si="15"/>
        <v>1</v>
      </c>
      <c r="L18" s="230">
        <f t="shared" si="15"/>
        <v>0</v>
      </c>
      <c r="M18" s="230">
        <f t="shared" si="15"/>
        <v>0</v>
      </c>
      <c r="N18" s="230">
        <f t="shared" si="15"/>
        <v>0</v>
      </c>
      <c r="O18" s="230">
        <f t="shared" si="15"/>
        <v>0</v>
      </c>
      <c r="P18" s="229">
        <f t="shared" si="15"/>
        <v>0</v>
      </c>
      <c r="Q18" s="229">
        <f t="shared" si="15"/>
        <v>1</v>
      </c>
      <c r="R18" s="229">
        <f t="shared" si="15"/>
        <v>0</v>
      </c>
      <c r="S18" s="229">
        <f t="shared" si="15"/>
        <v>0</v>
      </c>
      <c r="T18" s="229">
        <f t="shared" si="15"/>
        <v>0</v>
      </c>
      <c r="U18" s="8"/>
      <c r="V18" s="8"/>
      <c r="W18" s="8"/>
      <c r="X18" s="8"/>
      <c r="Y18" s="8"/>
      <c r="Z18" s="8"/>
      <c r="AA18" s="8"/>
      <c r="AB18" s="8"/>
      <c r="AC18" s="8"/>
    </row>
    <row r="19" spans="2:50" x14ac:dyDescent="0.3">
      <c r="B19" s="601"/>
      <c r="C19" s="602" t="s">
        <v>2442</v>
      </c>
      <c r="D19" s="168">
        <v>15</v>
      </c>
      <c r="E19" s="119">
        <f t="shared" si="1"/>
        <v>6</v>
      </c>
      <c r="F19" s="119">
        <f t="shared" si="1"/>
        <v>3</v>
      </c>
      <c r="G19" s="119">
        <f t="shared" si="3"/>
        <v>9</v>
      </c>
      <c r="H19" s="119">
        <f t="shared" ref="H19:T19" si="16">COUNTIF(93:93,H$5)</f>
        <v>0</v>
      </c>
      <c r="I19" s="119">
        <f t="shared" si="16"/>
        <v>2</v>
      </c>
      <c r="J19" s="119">
        <f t="shared" si="16"/>
        <v>0</v>
      </c>
      <c r="K19" s="227">
        <f t="shared" si="16"/>
        <v>0</v>
      </c>
      <c r="L19" s="227">
        <f t="shared" si="16"/>
        <v>0</v>
      </c>
      <c r="M19" s="227">
        <f t="shared" si="16"/>
        <v>0</v>
      </c>
      <c r="N19" s="227">
        <f t="shared" si="16"/>
        <v>0</v>
      </c>
      <c r="O19" s="227">
        <f t="shared" si="16"/>
        <v>0</v>
      </c>
      <c r="P19" s="227">
        <f t="shared" si="16"/>
        <v>0</v>
      </c>
      <c r="Q19" s="227">
        <f t="shared" si="16"/>
        <v>0</v>
      </c>
      <c r="R19" s="227">
        <f t="shared" si="16"/>
        <v>0</v>
      </c>
      <c r="S19" s="227">
        <f t="shared" si="16"/>
        <v>0</v>
      </c>
      <c r="T19" s="227">
        <f t="shared" si="16"/>
        <v>0</v>
      </c>
      <c r="U19" s="8"/>
      <c r="V19" s="8"/>
      <c r="W19" s="8"/>
      <c r="X19" s="8"/>
      <c r="Y19" s="8"/>
      <c r="Z19" s="8"/>
      <c r="AA19" s="8"/>
      <c r="AB19" s="8"/>
      <c r="AC19" s="8"/>
    </row>
    <row r="20" spans="2:50" x14ac:dyDescent="0.3">
      <c r="B20" s="601"/>
      <c r="C20" s="602" t="s">
        <v>2282</v>
      </c>
      <c r="D20" s="228">
        <v>20</v>
      </c>
      <c r="E20" s="229">
        <f t="shared" si="1"/>
        <v>4</v>
      </c>
      <c r="F20" s="229">
        <f t="shared" si="1"/>
        <v>2</v>
      </c>
      <c r="G20" s="229">
        <f t="shared" si="3"/>
        <v>6</v>
      </c>
      <c r="H20" s="229">
        <f t="shared" ref="H20:T20" si="17">COUNTIF(94:94,H$5)</f>
        <v>3</v>
      </c>
      <c r="I20" s="229">
        <f t="shared" si="17"/>
        <v>0</v>
      </c>
      <c r="J20" s="229">
        <f t="shared" si="17"/>
        <v>0</v>
      </c>
      <c r="K20" s="230">
        <f t="shared" si="17"/>
        <v>0</v>
      </c>
      <c r="L20" s="230">
        <f t="shared" si="17"/>
        <v>0</v>
      </c>
      <c r="M20" s="230">
        <f t="shared" si="17"/>
        <v>0</v>
      </c>
      <c r="N20" s="230">
        <f t="shared" si="17"/>
        <v>0</v>
      </c>
      <c r="O20" s="230">
        <f t="shared" si="17"/>
        <v>0</v>
      </c>
      <c r="P20" s="230">
        <f t="shared" si="17"/>
        <v>0</v>
      </c>
      <c r="Q20" s="230">
        <f t="shared" si="17"/>
        <v>0</v>
      </c>
      <c r="R20" s="230">
        <f t="shared" si="17"/>
        <v>0</v>
      </c>
      <c r="S20" s="230">
        <f t="shared" si="17"/>
        <v>0</v>
      </c>
      <c r="T20" s="230">
        <f t="shared" si="17"/>
        <v>0</v>
      </c>
      <c r="U20" s="8"/>
      <c r="V20" s="8"/>
      <c r="W20" s="8"/>
      <c r="X20" s="8"/>
      <c r="Y20" s="8"/>
      <c r="Z20" s="8"/>
      <c r="AA20" s="8"/>
      <c r="AB20" s="8"/>
      <c r="AC20" s="8"/>
    </row>
    <row r="21" spans="2:50" x14ac:dyDescent="0.3">
      <c r="B21" s="601"/>
      <c r="C21" s="602" t="s">
        <v>2443</v>
      </c>
      <c r="D21" s="168">
        <v>19</v>
      </c>
      <c r="E21" s="119">
        <f t="shared" si="1"/>
        <v>6</v>
      </c>
      <c r="F21" s="119">
        <f t="shared" si="1"/>
        <v>9</v>
      </c>
      <c r="G21" s="119">
        <f t="shared" si="3"/>
        <v>15</v>
      </c>
      <c r="H21" s="119">
        <f t="shared" ref="H21:T21" si="18">COUNTIF(95:95,H$5)</f>
        <v>3</v>
      </c>
      <c r="I21" s="227">
        <f t="shared" si="18"/>
        <v>0</v>
      </c>
      <c r="J21" s="227">
        <f t="shared" si="18"/>
        <v>0</v>
      </c>
      <c r="K21" s="227">
        <f t="shared" si="18"/>
        <v>0</v>
      </c>
      <c r="L21" s="227">
        <f t="shared" si="18"/>
        <v>0</v>
      </c>
      <c r="M21" s="227">
        <f t="shared" si="18"/>
        <v>0</v>
      </c>
      <c r="N21" s="227">
        <f t="shared" si="18"/>
        <v>0</v>
      </c>
      <c r="O21" s="227">
        <f t="shared" si="18"/>
        <v>0</v>
      </c>
      <c r="P21" s="227">
        <f t="shared" si="18"/>
        <v>0</v>
      </c>
      <c r="Q21" s="227">
        <f t="shared" si="18"/>
        <v>0</v>
      </c>
      <c r="R21" s="227">
        <f t="shared" si="18"/>
        <v>0</v>
      </c>
      <c r="S21" s="227">
        <f t="shared" si="18"/>
        <v>0</v>
      </c>
      <c r="T21" s="227">
        <f t="shared" si="18"/>
        <v>0</v>
      </c>
      <c r="U21" s="8"/>
      <c r="V21" s="8"/>
      <c r="W21" s="8"/>
      <c r="X21" s="8"/>
      <c r="Y21" s="8"/>
      <c r="Z21" s="8"/>
      <c r="AA21" s="8"/>
      <c r="AB21" s="8"/>
      <c r="AC21" s="8"/>
    </row>
    <row r="22" spans="2:50" x14ac:dyDescent="0.3">
      <c r="B22" s="601"/>
      <c r="C22" s="602" t="s">
        <v>2444</v>
      </c>
      <c r="D22" s="228">
        <v>18</v>
      </c>
      <c r="E22" s="229">
        <f t="shared" si="1"/>
        <v>17</v>
      </c>
      <c r="F22" s="229">
        <f t="shared" si="1"/>
        <v>4</v>
      </c>
      <c r="G22" s="229">
        <f t="shared" si="3"/>
        <v>21</v>
      </c>
      <c r="H22" s="229">
        <f t="shared" ref="H22:T22" si="19">COUNTIF(96:96,H$5)</f>
        <v>4</v>
      </c>
      <c r="I22" s="230">
        <f t="shared" si="19"/>
        <v>2</v>
      </c>
      <c r="J22" s="230">
        <f t="shared" si="19"/>
        <v>0</v>
      </c>
      <c r="K22" s="230">
        <f t="shared" si="19"/>
        <v>0</v>
      </c>
      <c r="L22" s="230">
        <f t="shared" si="19"/>
        <v>0</v>
      </c>
      <c r="M22" s="230">
        <f t="shared" si="19"/>
        <v>0</v>
      </c>
      <c r="N22" s="230">
        <f t="shared" si="19"/>
        <v>0</v>
      </c>
      <c r="O22" s="230">
        <f t="shared" si="19"/>
        <v>0</v>
      </c>
      <c r="P22" s="230">
        <f t="shared" si="19"/>
        <v>1</v>
      </c>
      <c r="Q22" s="230">
        <f t="shared" si="19"/>
        <v>0</v>
      </c>
      <c r="R22" s="230">
        <f t="shared" si="19"/>
        <v>0</v>
      </c>
      <c r="S22" s="230">
        <f t="shared" si="19"/>
        <v>0</v>
      </c>
      <c r="T22" s="230">
        <f t="shared" si="19"/>
        <v>0</v>
      </c>
      <c r="U22" s="8"/>
      <c r="V22" s="8"/>
      <c r="W22" s="8"/>
      <c r="X22" s="8"/>
      <c r="Y22" s="8"/>
      <c r="Z22" s="8"/>
      <c r="AA22" s="8"/>
      <c r="AB22" s="8"/>
      <c r="AC22" s="8"/>
    </row>
    <row r="23" spans="2:50" x14ac:dyDescent="0.3">
      <c r="B23" s="601"/>
      <c r="C23" s="603"/>
      <c r="D23" s="168"/>
      <c r="E23" s="119">
        <f t="shared" si="1"/>
        <v>0</v>
      </c>
      <c r="F23" s="119">
        <f t="shared" si="1"/>
        <v>0</v>
      </c>
      <c r="G23" s="119">
        <f t="shared" si="3"/>
        <v>0</v>
      </c>
      <c r="H23" s="119">
        <f t="shared" ref="H23:T23" si="20">COUNTIF(97:97,H$5)</f>
        <v>0</v>
      </c>
      <c r="I23" s="227">
        <f t="shared" si="20"/>
        <v>0</v>
      </c>
      <c r="J23" s="227">
        <f t="shared" si="20"/>
        <v>0</v>
      </c>
      <c r="K23" s="227">
        <f t="shared" si="20"/>
        <v>0</v>
      </c>
      <c r="L23" s="227">
        <f t="shared" si="20"/>
        <v>0</v>
      </c>
      <c r="M23" s="119">
        <f t="shared" si="20"/>
        <v>0</v>
      </c>
      <c r="N23" s="227">
        <f t="shared" si="20"/>
        <v>0</v>
      </c>
      <c r="O23" s="227">
        <f t="shared" si="20"/>
        <v>0</v>
      </c>
      <c r="P23" s="227">
        <f t="shared" si="20"/>
        <v>0</v>
      </c>
      <c r="Q23" s="227">
        <f t="shared" si="20"/>
        <v>0</v>
      </c>
      <c r="R23" s="227">
        <f t="shared" si="20"/>
        <v>0</v>
      </c>
      <c r="S23" s="227">
        <f t="shared" si="20"/>
        <v>0</v>
      </c>
      <c r="T23" s="227">
        <f t="shared" si="20"/>
        <v>0</v>
      </c>
      <c r="U23" s="8"/>
      <c r="V23" s="8"/>
      <c r="W23" s="8"/>
      <c r="X23" s="8"/>
      <c r="Y23" s="8"/>
      <c r="Z23" s="8"/>
      <c r="AA23" s="8"/>
      <c r="AB23" s="8"/>
      <c r="AC23" s="8"/>
    </row>
    <row r="24" spans="2:50" x14ac:dyDescent="0.3">
      <c r="F24" s="8"/>
      <c r="G24" s="8"/>
      <c r="H24" s="8"/>
      <c r="I24" s="265"/>
      <c r="J24" s="265"/>
      <c r="K24" s="26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X24" s="8"/>
    </row>
    <row r="25" spans="2:50" x14ac:dyDescent="0.3">
      <c r="C25" s="478" t="s">
        <v>2475</v>
      </c>
      <c r="D25" s="8"/>
      <c r="E25" s="8">
        <f>SUM(E27:E44)</f>
        <v>24</v>
      </c>
      <c r="F25" s="8">
        <f t="shared" ref="F25:T25" si="21">SUM(F27:F44)</f>
        <v>20</v>
      </c>
      <c r="G25" s="8">
        <f t="shared" si="21"/>
        <v>44</v>
      </c>
      <c r="H25" s="8">
        <f t="shared" si="21"/>
        <v>4</v>
      </c>
      <c r="I25" s="8">
        <f t="shared" si="21"/>
        <v>3</v>
      </c>
      <c r="J25" s="8">
        <f t="shared" si="21"/>
        <v>1</v>
      </c>
      <c r="K25" s="8">
        <f t="shared" si="21"/>
        <v>1</v>
      </c>
      <c r="L25" s="8">
        <f t="shared" si="21"/>
        <v>0</v>
      </c>
      <c r="M25" s="8">
        <f t="shared" si="21"/>
        <v>1</v>
      </c>
      <c r="N25" s="8">
        <f t="shared" si="21"/>
        <v>0</v>
      </c>
      <c r="O25" s="8">
        <f t="shared" si="21"/>
        <v>0</v>
      </c>
      <c r="P25" s="8">
        <f t="shared" si="21"/>
        <v>2</v>
      </c>
      <c r="Q25" s="8">
        <f t="shared" si="21"/>
        <v>0</v>
      </c>
      <c r="R25" s="8">
        <f t="shared" si="21"/>
        <v>0</v>
      </c>
      <c r="S25" s="8">
        <f t="shared" si="21"/>
        <v>0</v>
      </c>
      <c r="T25" s="8">
        <f t="shared" si="21"/>
        <v>2</v>
      </c>
      <c r="U25" s="8"/>
      <c r="V25" s="8"/>
      <c r="W25" s="8"/>
      <c r="X25" s="8"/>
      <c r="Y25" s="8"/>
      <c r="Z25" s="8"/>
      <c r="AA25" s="8"/>
      <c r="AB25" s="8"/>
      <c r="AC25" s="8"/>
      <c r="AX25" s="8"/>
    </row>
    <row r="26" spans="2:50" ht="15" thickBot="1" x14ac:dyDescent="0.35">
      <c r="D26" s="206" t="s">
        <v>877</v>
      </c>
      <c r="E26" s="207" t="s">
        <v>533</v>
      </c>
      <c r="F26" s="207" t="s">
        <v>534</v>
      </c>
      <c r="G26" s="207" t="s">
        <v>610</v>
      </c>
      <c r="H26" s="207" t="s">
        <v>535</v>
      </c>
      <c r="I26" s="207" t="s">
        <v>2229</v>
      </c>
      <c r="J26" s="207" t="s">
        <v>540</v>
      </c>
      <c r="K26" s="207" t="s">
        <v>545</v>
      </c>
      <c r="L26" s="373" t="s">
        <v>557</v>
      </c>
      <c r="M26" s="207" t="s">
        <v>556</v>
      </c>
      <c r="N26" s="207" t="s">
        <v>637</v>
      </c>
      <c r="O26" s="208" t="s">
        <v>693</v>
      </c>
      <c r="P26" s="208" t="s">
        <v>992</v>
      </c>
      <c r="Q26" s="208" t="s">
        <v>139</v>
      </c>
      <c r="R26" s="208" t="s">
        <v>669</v>
      </c>
      <c r="S26" s="208" t="s">
        <v>2044</v>
      </c>
      <c r="T26" s="208" t="s">
        <v>681</v>
      </c>
      <c r="U26" s="265"/>
      <c r="V26" s="265"/>
      <c r="W26" s="265"/>
      <c r="X26" s="265"/>
      <c r="Y26" s="265"/>
      <c r="Z26" s="265"/>
      <c r="AA26" s="265"/>
      <c r="AB26" s="265"/>
      <c r="AC26" s="265"/>
      <c r="AX26" s="8"/>
    </row>
    <row r="27" spans="2:50" x14ac:dyDescent="0.3">
      <c r="B27" s="601"/>
      <c r="C27" s="602" t="s">
        <v>48</v>
      </c>
      <c r="D27" s="229">
        <f t="shared" ref="D27:F44" si="22">COUNTIF(107:107,D$5)</f>
        <v>4</v>
      </c>
      <c r="E27" s="229">
        <f t="shared" si="22"/>
        <v>1</v>
      </c>
      <c r="F27" s="229">
        <f t="shared" si="22"/>
        <v>0</v>
      </c>
      <c r="G27" s="229">
        <f>E27+F27</f>
        <v>1</v>
      </c>
      <c r="H27" s="229">
        <f t="shared" ref="H27:T27" si="23">COUNTIF(107:107,H$5)</f>
        <v>0</v>
      </c>
      <c r="I27" s="229">
        <f t="shared" si="23"/>
        <v>0</v>
      </c>
      <c r="J27" s="229">
        <f t="shared" si="23"/>
        <v>0</v>
      </c>
      <c r="K27" s="229">
        <f t="shared" si="23"/>
        <v>0</v>
      </c>
      <c r="L27" s="254">
        <f t="shared" si="23"/>
        <v>0</v>
      </c>
      <c r="M27" s="229">
        <f t="shared" si="23"/>
        <v>0</v>
      </c>
      <c r="N27" s="229">
        <f t="shared" si="23"/>
        <v>0</v>
      </c>
      <c r="O27" s="229">
        <f t="shared" si="23"/>
        <v>0</v>
      </c>
      <c r="P27" s="229">
        <f t="shared" si="23"/>
        <v>0</v>
      </c>
      <c r="Q27" s="229">
        <f t="shared" si="23"/>
        <v>0</v>
      </c>
      <c r="R27" s="229">
        <f t="shared" si="23"/>
        <v>0</v>
      </c>
      <c r="S27" s="229">
        <f t="shared" si="23"/>
        <v>0</v>
      </c>
      <c r="T27" s="229">
        <f t="shared" si="23"/>
        <v>0</v>
      </c>
      <c r="U27" s="8"/>
      <c r="V27" s="8"/>
      <c r="W27" s="8"/>
      <c r="X27" s="8"/>
      <c r="Y27" s="8"/>
      <c r="Z27" s="8"/>
      <c r="AA27" s="8"/>
      <c r="AB27" s="8"/>
      <c r="AC27" s="8"/>
      <c r="AX27" s="8"/>
    </row>
    <row r="28" spans="2:50" x14ac:dyDescent="0.3">
      <c r="B28" s="601"/>
      <c r="C28" s="602" t="s">
        <v>2281</v>
      </c>
      <c r="D28" s="168">
        <f t="shared" si="22"/>
        <v>4</v>
      </c>
      <c r="E28" s="119">
        <f t="shared" si="22"/>
        <v>0</v>
      </c>
      <c r="F28" s="119">
        <f t="shared" si="22"/>
        <v>0</v>
      </c>
      <c r="G28" s="119">
        <f t="shared" ref="G28:G44" si="24">E28+F28</f>
        <v>0</v>
      </c>
      <c r="H28" s="119">
        <f t="shared" ref="H28:T28" si="25">COUNTIF(108:108,H$5)</f>
        <v>0</v>
      </c>
      <c r="I28" s="119">
        <f t="shared" si="25"/>
        <v>0</v>
      </c>
      <c r="J28" s="119">
        <f t="shared" si="25"/>
        <v>0</v>
      </c>
      <c r="K28" s="227">
        <f t="shared" si="25"/>
        <v>0</v>
      </c>
      <c r="L28" s="227">
        <f t="shared" si="25"/>
        <v>0</v>
      </c>
      <c r="M28" s="227">
        <f t="shared" si="25"/>
        <v>0</v>
      </c>
      <c r="N28" s="227">
        <f t="shared" si="25"/>
        <v>0</v>
      </c>
      <c r="O28" s="227">
        <f t="shared" si="25"/>
        <v>0</v>
      </c>
      <c r="P28" s="227">
        <f t="shared" si="25"/>
        <v>0</v>
      </c>
      <c r="Q28" s="227">
        <f t="shared" si="25"/>
        <v>0</v>
      </c>
      <c r="R28" s="227">
        <f t="shared" si="25"/>
        <v>0</v>
      </c>
      <c r="S28" s="227">
        <f t="shared" si="25"/>
        <v>0</v>
      </c>
      <c r="T28" s="227">
        <f t="shared" si="25"/>
        <v>2</v>
      </c>
      <c r="U28" s="8"/>
      <c r="V28" s="8"/>
      <c r="W28" s="8"/>
      <c r="X28" s="8"/>
      <c r="Y28" s="8"/>
      <c r="Z28" s="8"/>
      <c r="AA28" s="8"/>
      <c r="AB28" s="8"/>
      <c r="AC28" s="8"/>
      <c r="AX28" s="8"/>
    </row>
    <row r="29" spans="2:50" x14ac:dyDescent="0.3">
      <c r="B29" s="601"/>
      <c r="C29" s="602" t="s">
        <v>2441</v>
      </c>
      <c r="D29" s="228">
        <f t="shared" si="22"/>
        <v>4</v>
      </c>
      <c r="E29" s="229">
        <f t="shared" si="22"/>
        <v>1</v>
      </c>
      <c r="F29" s="229">
        <f t="shared" si="22"/>
        <v>0</v>
      </c>
      <c r="G29" s="229">
        <f t="shared" si="24"/>
        <v>1</v>
      </c>
      <c r="H29" s="229">
        <f t="shared" ref="H29:T29" si="26">COUNTIF(109:109,H$5)</f>
        <v>1</v>
      </c>
      <c r="I29" s="229">
        <f t="shared" si="26"/>
        <v>1</v>
      </c>
      <c r="J29" s="229">
        <f t="shared" si="26"/>
        <v>0</v>
      </c>
      <c r="K29" s="230">
        <f t="shared" si="26"/>
        <v>0</v>
      </c>
      <c r="L29" s="254">
        <f t="shared" si="26"/>
        <v>0</v>
      </c>
      <c r="M29" s="230">
        <f t="shared" si="26"/>
        <v>0</v>
      </c>
      <c r="N29" s="230">
        <f t="shared" si="26"/>
        <v>0</v>
      </c>
      <c r="O29" s="230">
        <f t="shared" si="26"/>
        <v>0</v>
      </c>
      <c r="P29" s="230">
        <f t="shared" si="26"/>
        <v>0</v>
      </c>
      <c r="Q29" s="230">
        <f t="shared" si="26"/>
        <v>0</v>
      </c>
      <c r="R29" s="230">
        <f t="shared" si="26"/>
        <v>0</v>
      </c>
      <c r="S29" s="230">
        <f t="shared" si="26"/>
        <v>0</v>
      </c>
      <c r="T29" s="230">
        <f t="shared" si="26"/>
        <v>0</v>
      </c>
      <c r="U29" s="8"/>
      <c r="V29" s="8"/>
      <c r="W29" s="8"/>
      <c r="X29" s="8"/>
      <c r="Y29" s="8"/>
      <c r="Z29" s="8"/>
      <c r="AA29" s="8"/>
      <c r="AB29" s="8"/>
      <c r="AC29" s="8"/>
      <c r="AX29" s="8"/>
    </row>
    <row r="30" spans="2:50" x14ac:dyDescent="0.3">
      <c r="B30" s="601"/>
      <c r="C30" s="602" t="s">
        <v>1459</v>
      </c>
      <c r="D30" s="168">
        <f t="shared" si="22"/>
        <v>3</v>
      </c>
      <c r="E30" s="119">
        <f t="shared" si="22"/>
        <v>0</v>
      </c>
      <c r="F30" s="119">
        <f t="shared" si="22"/>
        <v>0</v>
      </c>
      <c r="G30" s="119">
        <f t="shared" si="24"/>
        <v>0</v>
      </c>
      <c r="H30" s="119">
        <f t="shared" ref="H30:T30" si="27">COUNTIF(110:110,H$5)</f>
        <v>0</v>
      </c>
      <c r="I30" s="119">
        <f t="shared" si="27"/>
        <v>0</v>
      </c>
      <c r="J30" s="119">
        <f t="shared" si="27"/>
        <v>0</v>
      </c>
      <c r="K30" s="227">
        <f t="shared" si="27"/>
        <v>0</v>
      </c>
      <c r="L30" s="227">
        <f t="shared" si="27"/>
        <v>0</v>
      </c>
      <c r="M30" s="227">
        <f t="shared" si="27"/>
        <v>0</v>
      </c>
      <c r="N30" s="119">
        <f t="shared" si="27"/>
        <v>0</v>
      </c>
      <c r="O30" s="227">
        <f t="shared" si="27"/>
        <v>0</v>
      </c>
      <c r="P30" s="119">
        <f t="shared" si="27"/>
        <v>0</v>
      </c>
      <c r="Q30" s="119">
        <f t="shared" si="27"/>
        <v>0</v>
      </c>
      <c r="R30" s="119">
        <f t="shared" si="27"/>
        <v>0</v>
      </c>
      <c r="S30" s="119">
        <f t="shared" si="27"/>
        <v>0</v>
      </c>
      <c r="T30" s="119">
        <f t="shared" si="27"/>
        <v>0</v>
      </c>
      <c r="U30" s="8"/>
      <c r="V30" s="8"/>
      <c r="W30" s="8"/>
      <c r="X30" s="8"/>
      <c r="Y30" s="8"/>
      <c r="Z30" s="8"/>
      <c r="AA30" s="8"/>
      <c r="AB30" s="8"/>
      <c r="AC30" s="8"/>
      <c r="AX30" s="8"/>
    </row>
    <row r="31" spans="2:50" x14ac:dyDescent="0.3">
      <c r="B31" s="601"/>
      <c r="C31" s="602" t="s">
        <v>2180</v>
      </c>
      <c r="D31" s="228">
        <f t="shared" si="22"/>
        <v>4</v>
      </c>
      <c r="E31" s="229">
        <f t="shared" si="22"/>
        <v>5</v>
      </c>
      <c r="F31" s="229">
        <f t="shared" si="22"/>
        <v>1</v>
      </c>
      <c r="G31" s="229">
        <f t="shared" si="24"/>
        <v>6</v>
      </c>
      <c r="H31" s="229">
        <f t="shared" ref="H31:T31" si="28">COUNTIF(111:111,H$5)</f>
        <v>0</v>
      </c>
      <c r="I31" s="229">
        <f t="shared" si="28"/>
        <v>0</v>
      </c>
      <c r="J31" s="229">
        <f t="shared" si="28"/>
        <v>0</v>
      </c>
      <c r="K31" s="229">
        <f t="shared" si="28"/>
        <v>0</v>
      </c>
      <c r="L31" s="230">
        <f t="shared" si="28"/>
        <v>0</v>
      </c>
      <c r="M31" s="230">
        <f t="shared" si="28"/>
        <v>0</v>
      </c>
      <c r="N31" s="230">
        <f t="shared" si="28"/>
        <v>0</v>
      </c>
      <c r="O31" s="230">
        <f t="shared" si="28"/>
        <v>0</v>
      </c>
      <c r="P31" s="229">
        <f t="shared" si="28"/>
        <v>1</v>
      </c>
      <c r="Q31" s="229">
        <f t="shared" si="28"/>
        <v>0</v>
      </c>
      <c r="R31" s="229">
        <f t="shared" si="28"/>
        <v>0</v>
      </c>
      <c r="S31" s="229">
        <f t="shared" si="28"/>
        <v>0</v>
      </c>
      <c r="T31" s="229">
        <f t="shared" si="28"/>
        <v>0</v>
      </c>
      <c r="U31" s="8"/>
      <c r="V31" s="8"/>
      <c r="W31" s="8"/>
      <c r="X31" s="8"/>
      <c r="Y31" s="8"/>
      <c r="Z31" s="8"/>
      <c r="AA31" s="8"/>
      <c r="AB31" s="8"/>
      <c r="AC31" s="8"/>
      <c r="AX31" s="8"/>
    </row>
    <row r="32" spans="2:50" x14ac:dyDescent="0.3">
      <c r="B32" s="601"/>
      <c r="C32" s="602" t="s">
        <v>1597</v>
      </c>
      <c r="D32" s="168">
        <f t="shared" si="22"/>
        <v>3</v>
      </c>
      <c r="E32" s="119">
        <f t="shared" si="22"/>
        <v>0</v>
      </c>
      <c r="F32" s="119">
        <f t="shared" si="22"/>
        <v>0</v>
      </c>
      <c r="G32" s="119">
        <f t="shared" si="24"/>
        <v>0</v>
      </c>
      <c r="H32" s="119">
        <f t="shared" ref="H32:T32" si="29">COUNTIF(112:112,H$5)</f>
        <v>0</v>
      </c>
      <c r="I32" s="119">
        <f t="shared" si="29"/>
        <v>0</v>
      </c>
      <c r="J32" s="119">
        <f t="shared" si="29"/>
        <v>0</v>
      </c>
      <c r="K32" s="227">
        <f t="shared" si="29"/>
        <v>0</v>
      </c>
      <c r="L32" s="227">
        <f t="shared" si="29"/>
        <v>0</v>
      </c>
      <c r="M32" s="227">
        <f t="shared" si="29"/>
        <v>0</v>
      </c>
      <c r="N32" s="227">
        <f t="shared" si="29"/>
        <v>0</v>
      </c>
      <c r="O32" s="227">
        <f t="shared" si="29"/>
        <v>0</v>
      </c>
      <c r="P32" s="227">
        <f t="shared" si="29"/>
        <v>0</v>
      </c>
      <c r="Q32" s="227">
        <f t="shared" si="29"/>
        <v>0</v>
      </c>
      <c r="R32" s="227">
        <f t="shared" si="29"/>
        <v>0</v>
      </c>
      <c r="S32" s="227">
        <f t="shared" si="29"/>
        <v>0</v>
      </c>
      <c r="T32" s="227">
        <f t="shared" si="29"/>
        <v>0</v>
      </c>
      <c r="U32" s="8"/>
      <c r="V32" s="8"/>
      <c r="W32" s="8"/>
      <c r="X32" s="8"/>
      <c r="Y32" s="8"/>
      <c r="Z32" s="8"/>
      <c r="AA32" s="8"/>
      <c r="AB32" s="8"/>
      <c r="AC32" s="8"/>
      <c r="AX32" s="8"/>
    </row>
    <row r="33" spans="2:50" x14ac:dyDescent="0.3">
      <c r="B33" s="601"/>
      <c r="C33" s="602" t="s">
        <v>50</v>
      </c>
      <c r="D33" s="228">
        <f t="shared" si="22"/>
        <v>4</v>
      </c>
      <c r="E33" s="229">
        <f t="shared" si="22"/>
        <v>5</v>
      </c>
      <c r="F33" s="229">
        <f t="shared" si="22"/>
        <v>2</v>
      </c>
      <c r="G33" s="229">
        <f t="shared" si="24"/>
        <v>7</v>
      </c>
      <c r="H33" s="229">
        <f t="shared" ref="H33:T33" si="30">COUNTIF(113:113,H$5)</f>
        <v>0</v>
      </c>
      <c r="I33" s="229">
        <f t="shared" si="30"/>
        <v>0</v>
      </c>
      <c r="J33" s="229">
        <f t="shared" si="30"/>
        <v>0</v>
      </c>
      <c r="K33" s="229">
        <f t="shared" si="30"/>
        <v>0</v>
      </c>
      <c r="L33" s="230">
        <f t="shared" si="30"/>
        <v>0</v>
      </c>
      <c r="M33" s="230">
        <f t="shared" si="30"/>
        <v>0</v>
      </c>
      <c r="N33" s="230">
        <f t="shared" si="30"/>
        <v>0</v>
      </c>
      <c r="O33" s="230">
        <f t="shared" si="30"/>
        <v>0</v>
      </c>
      <c r="P33" s="229">
        <f t="shared" si="30"/>
        <v>1</v>
      </c>
      <c r="Q33" s="229">
        <f t="shared" si="30"/>
        <v>0</v>
      </c>
      <c r="R33" s="229">
        <f t="shared" si="30"/>
        <v>0</v>
      </c>
      <c r="S33" s="229">
        <f t="shared" si="30"/>
        <v>0</v>
      </c>
      <c r="T33" s="229">
        <f t="shared" si="30"/>
        <v>0</v>
      </c>
      <c r="U33" s="8"/>
      <c r="V33" s="8"/>
      <c r="W33" s="8"/>
      <c r="X33" s="8"/>
      <c r="Y33" s="8"/>
      <c r="Z33" s="8"/>
      <c r="AA33" s="8"/>
      <c r="AB33" s="8"/>
      <c r="AC33" s="8"/>
      <c r="AX33" s="8"/>
    </row>
    <row r="34" spans="2:50" x14ac:dyDescent="0.3">
      <c r="B34" s="601"/>
      <c r="C34" s="602" t="s">
        <v>2148</v>
      </c>
      <c r="D34" s="168">
        <f t="shared" si="22"/>
        <v>4</v>
      </c>
      <c r="E34" s="119">
        <f t="shared" si="22"/>
        <v>1</v>
      </c>
      <c r="F34" s="119">
        <f t="shared" si="22"/>
        <v>1</v>
      </c>
      <c r="G34" s="119">
        <f t="shared" si="24"/>
        <v>2</v>
      </c>
      <c r="H34" s="119">
        <f t="shared" ref="H34:T34" si="31">COUNTIF(114:114,H$5)</f>
        <v>0</v>
      </c>
      <c r="I34" s="119">
        <f t="shared" si="31"/>
        <v>0</v>
      </c>
      <c r="J34" s="119">
        <f t="shared" si="31"/>
        <v>0</v>
      </c>
      <c r="K34" s="227">
        <f t="shared" si="31"/>
        <v>0</v>
      </c>
      <c r="L34" s="227">
        <f t="shared" si="31"/>
        <v>0</v>
      </c>
      <c r="M34" s="227">
        <f t="shared" si="31"/>
        <v>0</v>
      </c>
      <c r="N34" s="227">
        <f t="shared" si="31"/>
        <v>0</v>
      </c>
      <c r="O34" s="227">
        <f t="shared" si="31"/>
        <v>0</v>
      </c>
      <c r="P34" s="227">
        <f t="shared" si="31"/>
        <v>0</v>
      </c>
      <c r="Q34" s="227">
        <f t="shared" si="31"/>
        <v>0</v>
      </c>
      <c r="R34" s="227">
        <f t="shared" si="31"/>
        <v>0</v>
      </c>
      <c r="S34" s="227">
        <f t="shared" si="31"/>
        <v>0</v>
      </c>
      <c r="T34" s="227">
        <f t="shared" si="31"/>
        <v>0</v>
      </c>
      <c r="U34" s="8"/>
      <c r="V34" s="8"/>
      <c r="W34" s="8"/>
      <c r="X34" s="8"/>
      <c r="Y34" s="8"/>
      <c r="Z34" s="8"/>
      <c r="AA34" s="8"/>
      <c r="AB34" s="8"/>
      <c r="AC34" s="8"/>
      <c r="AX34" s="8"/>
    </row>
    <row r="35" spans="2:50" x14ac:dyDescent="0.3">
      <c r="B35" s="601"/>
      <c r="C35" s="602" t="s">
        <v>2184</v>
      </c>
      <c r="D35" s="228">
        <f t="shared" si="22"/>
        <v>4</v>
      </c>
      <c r="E35" s="229">
        <f t="shared" si="22"/>
        <v>1</v>
      </c>
      <c r="F35" s="229">
        <f t="shared" si="22"/>
        <v>1</v>
      </c>
      <c r="G35" s="229">
        <f t="shared" si="24"/>
        <v>2</v>
      </c>
      <c r="H35" s="229">
        <f t="shared" ref="H35:T35" si="32">COUNTIF(115:115,H$5)</f>
        <v>0</v>
      </c>
      <c r="I35" s="229">
        <f t="shared" si="32"/>
        <v>1</v>
      </c>
      <c r="J35" s="229">
        <f t="shared" si="32"/>
        <v>0</v>
      </c>
      <c r="K35" s="230">
        <f t="shared" si="32"/>
        <v>0</v>
      </c>
      <c r="L35" s="230">
        <f t="shared" si="32"/>
        <v>0</v>
      </c>
      <c r="M35" s="230">
        <f t="shared" si="32"/>
        <v>0</v>
      </c>
      <c r="N35" s="230">
        <f t="shared" si="32"/>
        <v>0</v>
      </c>
      <c r="O35" s="230">
        <f t="shared" si="32"/>
        <v>0</v>
      </c>
      <c r="P35" s="230">
        <f t="shared" si="32"/>
        <v>0</v>
      </c>
      <c r="Q35" s="230">
        <f t="shared" si="32"/>
        <v>0</v>
      </c>
      <c r="R35" s="230">
        <f t="shared" si="32"/>
        <v>0</v>
      </c>
      <c r="S35" s="230">
        <f t="shared" si="32"/>
        <v>0</v>
      </c>
      <c r="T35" s="230">
        <f t="shared" si="32"/>
        <v>0</v>
      </c>
      <c r="U35" s="8"/>
      <c r="V35" s="8"/>
      <c r="W35" s="8"/>
      <c r="X35" s="8"/>
      <c r="Y35" s="8"/>
      <c r="Z35" s="8"/>
      <c r="AA35" s="8"/>
      <c r="AB35" s="8"/>
      <c r="AC35" s="8"/>
      <c r="AX35" s="8"/>
    </row>
    <row r="36" spans="2:50" x14ac:dyDescent="0.3">
      <c r="B36" s="601"/>
      <c r="C36" s="602" t="s">
        <v>2283</v>
      </c>
      <c r="D36" s="168">
        <f t="shared" si="22"/>
        <v>4</v>
      </c>
      <c r="E36" s="119">
        <f t="shared" si="22"/>
        <v>0</v>
      </c>
      <c r="F36" s="119">
        <f t="shared" si="22"/>
        <v>0</v>
      </c>
      <c r="G36" s="119">
        <f t="shared" si="24"/>
        <v>0</v>
      </c>
      <c r="H36" s="119">
        <f t="shared" ref="H36:T36" si="33">COUNTIF(116:116,H$5)</f>
        <v>0</v>
      </c>
      <c r="I36" s="119">
        <f t="shared" si="33"/>
        <v>0</v>
      </c>
      <c r="J36" s="119">
        <f t="shared" si="33"/>
        <v>0</v>
      </c>
      <c r="K36" s="227">
        <f t="shared" si="33"/>
        <v>0</v>
      </c>
      <c r="L36" s="227">
        <f t="shared" si="33"/>
        <v>0</v>
      </c>
      <c r="M36" s="227">
        <f t="shared" si="33"/>
        <v>0</v>
      </c>
      <c r="N36" s="227">
        <f t="shared" si="33"/>
        <v>0</v>
      </c>
      <c r="O36" s="227">
        <f t="shared" si="33"/>
        <v>0</v>
      </c>
      <c r="P36" s="119">
        <f t="shared" si="33"/>
        <v>0</v>
      </c>
      <c r="Q36" s="119">
        <f t="shared" si="33"/>
        <v>0</v>
      </c>
      <c r="R36" s="119">
        <f t="shared" si="33"/>
        <v>0</v>
      </c>
      <c r="S36" s="119">
        <f t="shared" si="33"/>
        <v>0</v>
      </c>
      <c r="T36" s="119">
        <f t="shared" si="33"/>
        <v>0</v>
      </c>
      <c r="U36" s="8"/>
      <c r="V36" s="8"/>
      <c r="W36" s="8"/>
      <c r="X36" s="8"/>
      <c r="Y36" s="8"/>
      <c r="Z36" s="8"/>
      <c r="AA36" s="8"/>
      <c r="AB36" s="8"/>
      <c r="AC36" s="8"/>
      <c r="AX36" s="8"/>
    </row>
    <row r="37" spans="2:50" x14ac:dyDescent="0.3">
      <c r="B37" s="601"/>
      <c r="C37" s="602" t="s">
        <v>2280</v>
      </c>
      <c r="D37" s="228">
        <f t="shared" si="22"/>
        <v>4</v>
      </c>
      <c r="E37" s="229">
        <f t="shared" si="22"/>
        <v>0</v>
      </c>
      <c r="F37" s="229">
        <f t="shared" si="22"/>
        <v>1</v>
      </c>
      <c r="G37" s="229">
        <f t="shared" si="24"/>
        <v>1</v>
      </c>
      <c r="H37" s="229">
        <f t="shared" ref="H37:T37" si="34">COUNTIF(117:117,H$5)</f>
        <v>0</v>
      </c>
      <c r="I37" s="229">
        <f t="shared" si="34"/>
        <v>0</v>
      </c>
      <c r="J37" s="229">
        <f t="shared" si="34"/>
        <v>0</v>
      </c>
      <c r="K37" s="230">
        <f t="shared" si="34"/>
        <v>0</v>
      </c>
      <c r="L37" s="230">
        <f t="shared" si="34"/>
        <v>0</v>
      </c>
      <c r="M37" s="230">
        <f t="shared" si="34"/>
        <v>0</v>
      </c>
      <c r="N37" s="230">
        <f t="shared" si="34"/>
        <v>0</v>
      </c>
      <c r="O37" s="230">
        <f t="shared" si="34"/>
        <v>0</v>
      </c>
      <c r="P37" s="230">
        <f t="shared" si="34"/>
        <v>0</v>
      </c>
      <c r="Q37" s="230">
        <f t="shared" si="34"/>
        <v>0</v>
      </c>
      <c r="R37" s="230">
        <f t="shared" si="34"/>
        <v>0</v>
      </c>
      <c r="S37" s="230">
        <f t="shared" si="34"/>
        <v>0</v>
      </c>
      <c r="T37" s="230">
        <f t="shared" si="34"/>
        <v>0</v>
      </c>
      <c r="U37" s="8"/>
      <c r="V37" s="8"/>
      <c r="W37" s="8"/>
      <c r="X37" s="8"/>
      <c r="Y37" s="8"/>
      <c r="Z37" s="8"/>
      <c r="AA37" s="8"/>
      <c r="AB37" s="8"/>
      <c r="AC37" s="8"/>
      <c r="AX37" s="8"/>
    </row>
    <row r="38" spans="2:50" x14ac:dyDescent="0.3">
      <c r="B38" s="601"/>
      <c r="C38" s="602" t="s">
        <v>1591</v>
      </c>
      <c r="D38" s="168">
        <f t="shared" si="22"/>
        <v>3</v>
      </c>
      <c r="E38" s="119">
        <f t="shared" si="22"/>
        <v>0</v>
      </c>
      <c r="F38" s="119">
        <f t="shared" si="22"/>
        <v>3</v>
      </c>
      <c r="G38" s="119">
        <f t="shared" si="24"/>
        <v>3</v>
      </c>
      <c r="H38" s="119">
        <f t="shared" ref="H38:T38" si="35">COUNTIF(118:118,H$5)</f>
        <v>1</v>
      </c>
      <c r="I38" s="119">
        <f t="shared" si="35"/>
        <v>0</v>
      </c>
      <c r="J38" s="119">
        <f t="shared" si="35"/>
        <v>0</v>
      </c>
      <c r="K38" s="227">
        <f t="shared" si="35"/>
        <v>0</v>
      </c>
      <c r="L38" s="227">
        <f t="shared" si="35"/>
        <v>0</v>
      </c>
      <c r="M38" s="227">
        <f t="shared" si="35"/>
        <v>0</v>
      </c>
      <c r="N38" s="227">
        <f t="shared" si="35"/>
        <v>0</v>
      </c>
      <c r="O38" s="227">
        <f t="shared" si="35"/>
        <v>0</v>
      </c>
      <c r="P38" s="227">
        <f t="shared" si="35"/>
        <v>0</v>
      </c>
      <c r="Q38" s="227">
        <f t="shared" si="35"/>
        <v>0</v>
      </c>
      <c r="R38" s="227">
        <f t="shared" si="35"/>
        <v>0</v>
      </c>
      <c r="S38" s="227">
        <f t="shared" si="35"/>
        <v>0</v>
      </c>
      <c r="T38" s="227">
        <f t="shared" si="35"/>
        <v>0</v>
      </c>
      <c r="U38" s="8"/>
      <c r="V38" s="8"/>
      <c r="W38" s="8"/>
      <c r="X38" s="8"/>
      <c r="Y38" s="8"/>
      <c r="Z38" s="8"/>
      <c r="AA38" s="8"/>
      <c r="AB38" s="8"/>
      <c r="AC38" s="8"/>
      <c r="AX38" s="8"/>
    </row>
    <row r="39" spans="2:50" x14ac:dyDescent="0.3">
      <c r="B39" s="601"/>
      <c r="C39" s="602" t="s">
        <v>1379</v>
      </c>
      <c r="D39" s="228">
        <f t="shared" si="22"/>
        <v>3</v>
      </c>
      <c r="E39" s="229">
        <f t="shared" si="22"/>
        <v>2</v>
      </c>
      <c r="F39" s="229">
        <f t="shared" si="22"/>
        <v>3</v>
      </c>
      <c r="G39" s="229">
        <f t="shared" si="24"/>
        <v>5</v>
      </c>
      <c r="H39" s="229">
        <f t="shared" ref="H39:T39" si="36">COUNTIF(119:119,H$5)</f>
        <v>0</v>
      </c>
      <c r="I39" s="229">
        <f t="shared" si="36"/>
        <v>0</v>
      </c>
      <c r="J39" s="229">
        <f t="shared" si="36"/>
        <v>1</v>
      </c>
      <c r="K39" s="230">
        <f t="shared" si="36"/>
        <v>0</v>
      </c>
      <c r="L39" s="230">
        <f t="shared" si="36"/>
        <v>0</v>
      </c>
      <c r="M39" s="230">
        <f t="shared" si="36"/>
        <v>0</v>
      </c>
      <c r="N39" s="230">
        <f t="shared" si="36"/>
        <v>0</v>
      </c>
      <c r="O39" s="230">
        <f t="shared" si="36"/>
        <v>0</v>
      </c>
      <c r="P39" s="229">
        <f t="shared" si="36"/>
        <v>0</v>
      </c>
      <c r="Q39" s="229">
        <f t="shared" si="36"/>
        <v>0</v>
      </c>
      <c r="R39" s="229">
        <f t="shared" si="36"/>
        <v>0</v>
      </c>
      <c r="S39" s="229">
        <f t="shared" si="36"/>
        <v>0</v>
      </c>
      <c r="T39" s="229">
        <f t="shared" si="36"/>
        <v>0</v>
      </c>
      <c r="U39" s="8"/>
      <c r="V39" s="8"/>
      <c r="W39" s="8"/>
      <c r="X39" s="8"/>
      <c r="Y39" s="8"/>
      <c r="Z39" s="8"/>
      <c r="AA39" s="8"/>
      <c r="AB39" s="8"/>
      <c r="AC39" s="8"/>
      <c r="AX39" s="8"/>
    </row>
    <row r="40" spans="2:50" x14ac:dyDescent="0.3">
      <c r="B40" s="601"/>
      <c r="C40" s="602" t="s">
        <v>2442</v>
      </c>
      <c r="D40" s="168">
        <f t="shared" si="22"/>
        <v>4</v>
      </c>
      <c r="E40" s="119">
        <f t="shared" si="22"/>
        <v>0</v>
      </c>
      <c r="F40" s="119">
        <f t="shared" si="22"/>
        <v>2</v>
      </c>
      <c r="G40" s="119">
        <f t="shared" si="24"/>
        <v>2</v>
      </c>
      <c r="H40" s="119">
        <f t="shared" ref="H40:T40" si="37">COUNTIF(120:120,H$5)</f>
        <v>0</v>
      </c>
      <c r="I40" s="119">
        <f t="shared" si="37"/>
        <v>0</v>
      </c>
      <c r="J40" s="119">
        <f t="shared" si="37"/>
        <v>0</v>
      </c>
      <c r="K40" s="227">
        <f t="shared" si="37"/>
        <v>0</v>
      </c>
      <c r="L40" s="227">
        <f t="shared" si="37"/>
        <v>0</v>
      </c>
      <c r="M40" s="227">
        <f t="shared" si="37"/>
        <v>0</v>
      </c>
      <c r="N40" s="227">
        <f t="shared" si="37"/>
        <v>0</v>
      </c>
      <c r="O40" s="227">
        <f t="shared" si="37"/>
        <v>0</v>
      </c>
      <c r="P40" s="227">
        <f t="shared" si="37"/>
        <v>0</v>
      </c>
      <c r="Q40" s="227">
        <f t="shared" si="37"/>
        <v>0</v>
      </c>
      <c r="R40" s="227">
        <f t="shared" si="37"/>
        <v>0</v>
      </c>
      <c r="S40" s="227">
        <f t="shared" si="37"/>
        <v>0</v>
      </c>
      <c r="T40" s="227">
        <f t="shared" si="37"/>
        <v>0</v>
      </c>
      <c r="U40" s="8"/>
      <c r="V40" s="8"/>
      <c r="W40" s="8"/>
      <c r="X40" s="8"/>
      <c r="Y40" s="8"/>
      <c r="Z40" s="8"/>
      <c r="AA40" s="8"/>
      <c r="AB40" s="8"/>
      <c r="AC40" s="8"/>
      <c r="AX40" s="8"/>
    </row>
    <row r="41" spans="2:50" x14ac:dyDescent="0.3">
      <c r="B41" s="601"/>
      <c r="C41" s="602" t="s">
        <v>2282</v>
      </c>
      <c r="D41" s="228">
        <f t="shared" si="22"/>
        <v>4</v>
      </c>
      <c r="E41" s="229">
        <f t="shared" si="22"/>
        <v>1</v>
      </c>
      <c r="F41" s="229">
        <f t="shared" si="22"/>
        <v>1</v>
      </c>
      <c r="G41" s="229">
        <f t="shared" si="24"/>
        <v>2</v>
      </c>
      <c r="H41" s="229">
        <f t="shared" ref="H41:T41" si="38">COUNTIF(121:121,H$5)</f>
        <v>1</v>
      </c>
      <c r="I41" s="229">
        <f t="shared" si="38"/>
        <v>0</v>
      </c>
      <c r="J41" s="229">
        <f t="shared" si="38"/>
        <v>0</v>
      </c>
      <c r="K41" s="230">
        <f t="shared" si="38"/>
        <v>0</v>
      </c>
      <c r="L41" s="230">
        <f t="shared" si="38"/>
        <v>0</v>
      </c>
      <c r="M41" s="230">
        <f t="shared" si="38"/>
        <v>0</v>
      </c>
      <c r="N41" s="230">
        <f t="shared" si="38"/>
        <v>0</v>
      </c>
      <c r="O41" s="230">
        <f t="shared" si="38"/>
        <v>0</v>
      </c>
      <c r="P41" s="230">
        <f t="shared" si="38"/>
        <v>0</v>
      </c>
      <c r="Q41" s="230">
        <f t="shared" si="38"/>
        <v>0</v>
      </c>
      <c r="R41" s="230">
        <f t="shared" si="38"/>
        <v>0</v>
      </c>
      <c r="S41" s="230">
        <f t="shared" si="38"/>
        <v>0</v>
      </c>
      <c r="T41" s="230">
        <f t="shared" si="38"/>
        <v>0</v>
      </c>
      <c r="U41" s="8"/>
      <c r="V41" s="8"/>
      <c r="W41" s="8"/>
      <c r="X41" s="8"/>
      <c r="Y41" s="8"/>
      <c r="Z41" s="8"/>
      <c r="AA41" s="8"/>
      <c r="AB41" s="8"/>
      <c r="AC41" s="8"/>
      <c r="AX41" s="8"/>
    </row>
    <row r="42" spans="2:50" x14ac:dyDescent="0.3">
      <c r="B42" s="601"/>
      <c r="C42" s="602" t="s">
        <v>2443</v>
      </c>
      <c r="D42" s="168">
        <f t="shared" si="22"/>
        <v>4</v>
      </c>
      <c r="E42" s="119">
        <f t="shared" si="22"/>
        <v>1</v>
      </c>
      <c r="F42" s="119">
        <f t="shared" si="22"/>
        <v>2</v>
      </c>
      <c r="G42" s="119">
        <f t="shared" si="24"/>
        <v>3</v>
      </c>
      <c r="H42" s="119">
        <f t="shared" ref="H42:T42" si="39">COUNTIF(122:122,H$5)</f>
        <v>1</v>
      </c>
      <c r="I42" s="227">
        <f t="shared" si="39"/>
        <v>0</v>
      </c>
      <c r="J42" s="227">
        <f t="shared" si="39"/>
        <v>0</v>
      </c>
      <c r="K42" s="227">
        <f t="shared" si="39"/>
        <v>0</v>
      </c>
      <c r="L42" s="227">
        <f t="shared" si="39"/>
        <v>0</v>
      </c>
      <c r="M42" s="227">
        <f t="shared" si="39"/>
        <v>0</v>
      </c>
      <c r="N42" s="227">
        <f t="shared" si="39"/>
        <v>0</v>
      </c>
      <c r="O42" s="227">
        <f t="shared" si="39"/>
        <v>0</v>
      </c>
      <c r="P42" s="227">
        <f t="shared" si="39"/>
        <v>0</v>
      </c>
      <c r="Q42" s="227">
        <f t="shared" si="39"/>
        <v>0</v>
      </c>
      <c r="R42" s="227">
        <f t="shared" si="39"/>
        <v>0</v>
      </c>
      <c r="S42" s="227">
        <f t="shared" si="39"/>
        <v>0</v>
      </c>
      <c r="T42" s="227">
        <f t="shared" si="39"/>
        <v>0</v>
      </c>
      <c r="U42" s="8"/>
      <c r="V42" s="8"/>
      <c r="W42" s="8"/>
      <c r="X42" s="8"/>
      <c r="Y42" s="8"/>
      <c r="Z42" s="8"/>
      <c r="AA42" s="8"/>
      <c r="AB42" s="8"/>
      <c r="AC42" s="8"/>
      <c r="AX42" s="8"/>
    </row>
    <row r="43" spans="2:50" x14ac:dyDescent="0.3">
      <c r="B43" s="601"/>
      <c r="C43" s="602" t="s">
        <v>2444</v>
      </c>
      <c r="D43" s="228">
        <f t="shared" si="22"/>
        <v>4</v>
      </c>
      <c r="E43" s="229">
        <f t="shared" si="22"/>
        <v>6</v>
      </c>
      <c r="F43" s="229">
        <f t="shared" si="22"/>
        <v>3</v>
      </c>
      <c r="G43" s="229">
        <f t="shared" si="24"/>
        <v>9</v>
      </c>
      <c r="H43" s="229">
        <f t="shared" ref="H43:T43" si="40">COUNTIF(123:123,H$5)</f>
        <v>0</v>
      </c>
      <c r="I43" s="230">
        <f t="shared" si="40"/>
        <v>1</v>
      </c>
      <c r="J43" s="230">
        <f t="shared" si="40"/>
        <v>0</v>
      </c>
      <c r="K43" s="230">
        <f t="shared" si="40"/>
        <v>1</v>
      </c>
      <c r="L43" s="230">
        <f t="shared" si="40"/>
        <v>0</v>
      </c>
      <c r="M43" s="230">
        <f t="shared" si="40"/>
        <v>1</v>
      </c>
      <c r="N43" s="230">
        <f t="shared" si="40"/>
        <v>0</v>
      </c>
      <c r="O43" s="230">
        <f t="shared" si="40"/>
        <v>0</v>
      </c>
      <c r="P43" s="230">
        <f t="shared" si="40"/>
        <v>0</v>
      </c>
      <c r="Q43" s="230">
        <f t="shared" si="40"/>
        <v>0</v>
      </c>
      <c r="R43" s="230">
        <f t="shared" si="40"/>
        <v>0</v>
      </c>
      <c r="S43" s="230">
        <f t="shared" si="40"/>
        <v>0</v>
      </c>
      <c r="T43" s="230">
        <f t="shared" si="40"/>
        <v>0</v>
      </c>
      <c r="U43" s="8"/>
      <c r="V43" s="8"/>
      <c r="W43" s="8"/>
      <c r="X43" s="8"/>
      <c r="Y43" s="8"/>
      <c r="Z43" s="8"/>
      <c r="AA43" s="8"/>
      <c r="AB43" s="8"/>
      <c r="AC43" s="8"/>
      <c r="AX43" s="8"/>
    </row>
    <row r="44" spans="2:50" x14ac:dyDescent="0.3">
      <c r="B44" s="601"/>
      <c r="C44" s="603"/>
      <c r="D44" s="168">
        <f t="shared" si="22"/>
        <v>0</v>
      </c>
      <c r="E44" s="119">
        <f t="shared" si="22"/>
        <v>0</v>
      </c>
      <c r="F44" s="119">
        <f t="shared" si="22"/>
        <v>0</v>
      </c>
      <c r="G44" s="119">
        <f t="shared" si="24"/>
        <v>0</v>
      </c>
      <c r="H44" s="119">
        <f t="shared" ref="H44:T44" si="41">COUNTIF(124:124,H$5)</f>
        <v>0</v>
      </c>
      <c r="I44" s="227">
        <f t="shared" si="41"/>
        <v>0</v>
      </c>
      <c r="J44" s="227">
        <f t="shared" si="41"/>
        <v>0</v>
      </c>
      <c r="K44" s="227">
        <f t="shared" si="41"/>
        <v>0</v>
      </c>
      <c r="L44" s="227">
        <f t="shared" si="41"/>
        <v>0</v>
      </c>
      <c r="M44" s="119">
        <f t="shared" si="41"/>
        <v>0</v>
      </c>
      <c r="N44" s="227">
        <f t="shared" si="41"/>
        <v>0</v>
      </c>
      <c r="O44" s="227">
        <f t="shared" si="41"/>
        <v>0</v>
      </c>
      <c r="P44" s="227">
        <f t="shared" si="41"/>
        <v>0</v>
      </c>
      <c r="Q44" s="227">
        <f t="shared" si="41"/>
        <v>0</v>
      </c>
      <c r="R44" s="227">
        <f t="shared" si="41"/>
        <v>0</v>
      </c>
      <c r="S44" s="227">
        <f t="shared" si="41"/>
        <v>0</v>
      </c>
      <c r="T44" s="227">
        <f t="shared" si="41"/>
        <v>0</v>
      </c>
      <c r="U44" s="8"/>
      <c r="V44" s="8"/>
      <c r="W44" s="8"/>
      <c r="X44" s="8"/>
      <c r="Y44" s="8"/>
      <c r="Z44" s="8"/>
      <c r="AA44" s="8"/>
      <c r="AB44" s="8"/>
      <c r="AC44" s="8"/>
      <c r="AX44" s="8"/>
    </row>
    <row r="45" spans="2:50" x14ac:dyDescent="0.3">
      <c r="F45" s="8"/>
      <c r="G45" s="8"/>
      <c r="H45" s="8"/>
      <c r="I45" s="265"/>
      <c r="J45" s="265"/>
      <c r="K45" s="265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X45" s="8"/>
    </row>
    <row r="46" spans="2:50" x14ac:dyDescent="0.3">
      <c r="F46" s="8"/>
      <c r="G46" s="8"/>
      <c r="H46" s="8"/>
      <c r="I46" s="265"/>
      <c r="J46" s="265"/>
      <c r="K46" s="265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X46" s="8"/>
    </row>
    <row r="47" spans="2:50" x14ac:dyDescent="0.3">
      <c r="C47" s="478" t="s">
        <v>702</v>
      </c>
      <c r="F47" s="8"/>
      <c r="G47" s="8"/>
      <c r="H47" s="8"/>
      <c r="AC47" s="8"/>
      <c r="AX47" s="8"/>
    </row>
    <row r="48" spans="2:50" ht="15" thickBot="1" x14ac:dyDescent="0.35">
      <c r="D48" s="206" t="s">
        <v>877</v>
      </c>
      <c r="E48" s="207" t="s">
        <v>991</v>
      </c>
      <c r="F48" s="207" t="s">
        <v>993</v>
      </c>
      <c r="G48" s="207" t="s">
        <v>990</v>
      </c>
      <c r="H48" s="8"/>
      <c r="AC48" s="265"/>
      <c r="AX48" s="8"/>
    </row>
    <row r="49" spans="2:50" x14ac:dyDescent="0.3">
      <c r="B49" s="601"/>
      <c r="C49" s="602" t="s">
        <v>2281</v>
      </c>
      <c r="D49" s="229">
        <f>COUNT(E132:X132)</f>
        <v>10</v>
      </c>
      <c r="E49" s="229">
        <f>SUM(E132:X132)</f>
        <v>123</v>
      </c>
      <c r="F49" s="229">
        <f>SUM(E133:X133)</f>
        <v>12</v>
      </c>
      <c r="G49" s="229">
        <f>SUM(E134:X134)</f>
        <v>7</v>
      </c>
      <c r="H49" s="8"/>
      <c r="AC49" s="8"/>
      <c r="AX49" s="8"/>
    </row>
    <row r="50" spans="2:50" x14ac:dyDescent="0.3">
      <c r="B50" s="601"/>
      <c r="C50" s="603" t="s">
        <v>1597</v>
      </c>
      <c r="D50" s="168">
        <f>COUNT(E136:X136)</f>
        <v>10</v>
      </c>
      <c r="E50" s="119">
        <f>SUM(E136:X136)</f>
        <v>105</v>
      </c>
      <c r="F50" s="119">
        <f>SUM(E137:X137)</f>
        <v>34</v>
      </c>
      <c r="G50" s="119">
        <f>SUM(E138:X138)</f>
        <v>7</v>
      </c>
      <c r="H50" s="8"/>
      <c r="AC50" s="8"/>
      <c r="AX50" s="8"/>
    </row>
    <row r="51" spans="2:50" x14ac:dyDescent="0.3">
      <c r="F51" s="8"/>
      <c r="G51" s="8"/>
      <c r="H51" s="8"/>
      <c r="AC51" s="8"/>
      <c r="AX51" s="8"/>
    </row>
    <row r="52" spans="2:50" x14ac:dyDescent="0.3">
      <c r="F52" s="8"/>
      <c r="G52" s="8"/>
      <c r="H52" s="8"/>
      <c r="AC52" s="8"/>
      <c r="AX52" s="8"/>
    </row>
    <row r="53" spans="2:50" x14ac:dyDescent="0.3">
      <c r="C53" s="478" t="s">
        <v>2475</v>
      </c>
      <c r="F53" s="8"/>
      <c r="G53" s="8"/>
      <c r="H53" s="8"/>
      <c r="AC53" s="8"/>
      <c r="AX53" s="8"/>
    </row>
    <row r="54" spans="2:50" ht="15" thickBot="1" x14ac:dyDescent="0.35">
      <c r="D54" s="206" t="s">
        <v>877</v>
      </c>
      <c r="E54" s="207" t="s">
        <v>991</v>
      </c>
      <c r="F54" s="207" t="s">
        <v>993</v>
      </c>
      <c r="G54" s="207" t="s">
        <v>990</v>
      </c>
      <c r="H54" s="8"/>
      <c r="AC54" s="8"/>
      <c r="AX54" s="8"/>
    </row>
    <row r="55" spans="2:50" x14ac:dyDescent="0.3">
      <c r="B55" s="601"/>
      <c r="C55" s="602" t="s">
        <v>2281</v>
      </c>
      <c r="D55" s="229">
        <f>COUNT(Y132:AB132)</f>
        <v>4</v>
      </c>
      <c r="E55" s="229">
        <f>SUM(Y132:AB132)</f>
        <v>88</v>
      </c>
      <c r="F55" s="229">
        <f>SUM(Y133:AB133)</f>
        <v>8</v>
      </c>
      <c r="G55" s="229">
        <f>SUM(Y134:AB134)</f>
        <v>3</v>
      </c>
      <c r="H55" s="8"/>
      <c r="AC55" s="8"/>
      <c r="AX55" s="8"/>
    </row>
    <row r="56" spans="2:50" x14ac:dyDescent="0.3">
      <c r="B56" s="601"/>
      <c r="C56" s="603" t="s">
        <v>1597</v>
      </c>
      <c r="D56" s="168">
        <v>0</v>
      </c>
      <c r="E56" s="119">
        <v>0</v>
      </c>
      <c r="F56" s="119">
        <v>0</v>
      </c>
      <c r="G56" s="119">
        <v>0</v>
      </c>
      <c r="H56" s="8"/>
      <c r="I56" s="265"/>
      <c r="J56" s="265"/>
      <c r="K56" s="26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X56" s="8"/>
    </row>
    <row r="57" spans="2:50" x14ac:dyDescent="0.3">
      <c r="F57" s="8"/>
      <c r="G57" s="8"/>
      <c r="H57" s="8"/>
      <c r="I57" s="265"/>
      <c r="J57" s="265"/>
      <c r="K57" s="265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X57" s="8"/>
    </row>
    <row r="58" spans="2:50" x14ac:dyDescent="0.3">
      <c r="F58" s="8"/>
      <c r="G58" s="8"/>
      <c r="H58" s="8"/>
      <c r="I58" s="265"/>
      <c r="J58" s="265"/>
      <c r="K58" s="265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X58" s="8"/>
    </row>
    <row r="59" spans="2:50" x14ac:dyDescent="0.3">
      <c r="F59" s="8"/>
      <c r="G59" s="8"/>
      <c r="H59" s="8"/>
      <c r="I59" s="265"/>
      <c r="J59" s="265"/>
      <c r="K59" s="265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X59" s="8"/>
    </row>
    <row r="60" spans="2:50" x14ac:dyDescent="0.3">
      <c r="F60" s="8"/>
      <c r="G60" s="8"/>
      <c r="H60" s="8"/>
      <c r="I60" s="265"/>
      <c r="J60" s="265"/>
      <c r="K60" s="265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X60" s="8"/>
    </row>
    <row r="61" spans="2:50" x14ac:dyDescent="0.3">
      <c r="F61" s="8"/>
      <c r="G61" s="8"/>
      <c r="H61" s="8"/>
      <c r="I61" s="265"/>
      <c r="J61" s="265"/>
      <c r="K61" s="265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X61" s="8"/>
    </row>
    <row r="62" spans="2:50" x14ac:dyDescent="0.3">
      <c r="F62" s="8"/>
      <c r="G62" s="8"/>
      <c r="H62" s="8"/>
      <c r="I62" s="265"/>
      <c r="J62" s="265"/>
      <c r="K62" s="265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X62" s="8"/>
    </row>
    <row r="63" spans="2:50" x14ac:dyDescent="0.3">
      <c r="F63" s="8"/>
      <c r="G63" s="8"/>
      <c r="H63" s="8"/>
      <c r="I63" s="265"/>
      <c r="J63" s="265"/>
      <c r="K63" s="265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X63" s="8"/>
    </row>
    <row r="64" spans="2:50" x14ac:dyDescent="0.3">
      <c r="F64" s="8"/>
      <c r="G64" s="8"/>
      <c r="H64" s="8"/>
      <c r="I64" s="265"/>
      <c r="J64" s="265"/>
      <c r="K64" s="265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X64" s="8"/>
    </row>
    <row r="65" spans="3:284" x14ac:dyDescent="0.3">
      <c r="C65" s="1270" t="s">
        <v>1695</v>
      </c>
      <c r="F65" s="8"/>
      <c r="G65" s="8"/>
      <c r="H65" s="8"/>
      <c r="I65" s="265"/>
      <c r="J65" s="265"/>
      <c r="K65" s="265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X65" s="8"/>
    </row>
    <row r="66" spans="3:284" x14ac:dyDescent="0.3">
      <c r="C66" s="1267" t="s">
        <v>2474</v>
      </c>
      <c r="D66" s="1268" t="s">
        <v>533</v>
      </c>
      <c r="E66" s="1300">
        <f>SUM(75:75)</f>
        <v>109</v>
      </c>
      <c r="F66" s="1300"/>
      <c r="G66" s="8"/>
      <c r="H66" s="8"/>
      <c r="I66" s="265"/>
      <c r="J66" s="265"/>
      <c r="K66" s="265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X66" s="8"/>
    </row>
    <row r="67" spans="3:284" x14ac:dyDescent="0.3">
      <c r="C67" s="1269" t="s">
        <v>2474</v>
      </c>
      <c r="D67" s="1268" t="s">
        <v>534</v>
      </c>
      <c r="E67" s="1300">
        <f>SUM(76:76)</f>
        <v>96</v>
      </c>
      <c r="F67" s="1300"/>
      <c r="G67" s="8"/>
      <c r="H67" s="8"/>
      <c r="I67" s="265"/>
      <c r="J67" s="265"/>
      <c r="K67" s="265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X67" s="8"/>
    </row>
    <row r="68" spans="3:284" x14ac:dyDescent="0.3">
      <c r="C68" s="1269" t="s">
        <v>2474</v>
      </c>
      <c r="D68" s="1268" t="s">
        <v>535</v>
      </c>
      <c r="E68" s="1300">
        <f>SUM(77:77)</f>
        <v>25</v>
      </c>
      <c r="F68" s="1300"/>
      <c r="G68" s="8"/>
      <c r="H68" s="8"/>
      <c r="I68" s="265"/>
      <c r="J68" s="265"/>
      <c r="K68" s="265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X68" s="8"/>
    </row>
    <row r="69" spans="3:284" x14ac:dyDescent="0.3">
      <c r="C69" t="s">
        <v>2483</v>
      </c>
      <c r="F69" s="8"/>
      <c r="G69" s="8"/>
      <c r="H69" s="8"/>
      <c r="I69" s="265"/>
      <c r="J69" s="265"/>
      <c r="K69" s="265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X69" s="8"/>
    </row>
    <row r="70" spans="3:284" x14ac:dyDescent="0.3">
      <c r="C70" s="1267" t="s">
        <v>2474</v>
      </c>
      <c r="D70" s="1268" t="s">
        <v>533</v>
      </c>
      <c r="E70" s="1300">
        <f>SUM(102:102)</f>
        <v>24</v>
      </c>
      <c r="F70" s="1300"/>
      <c r="G70" s="8"/>
      <c r="H70" s="8"/>
      <c r="I70" s="265"/>
      <c r="J70" s="265"/>
      <c r="K70" s="265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X70" s="8"/>
    </row>
    <row r="71" spans="3:284" x14ac:dyDescent="0.3">
      <c r="C71" s="1269" t="s">
        <v>2474</v>
      </c>
      <c r="D71" s="1268" t="s">
        <v>534</v>
      </c>
      <c r="E71" s="1300">
        <f>SUM(103:103)</f>
        <v>20</v>
      </c>
      <c r="F71" s="1300"/>
      <c r="G71" s="8"/>
      <c r="H71" s="8"/>
      <c r="I71" s="265"/>
      <c r="J71" s="265"/>
      <c r="K71" s="265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X71" s="8"/>
    </row>
    <row r="72" spans="3:284" x14ac:dyDescent="0.3">
      <c r="C72" s="1269" t="s">
        <v>2474</v>
      </c>
      <c r="D72" s="1268" t="s">
        <v>535</v>
      </c>
      <c r="E72" s="1300">
        <f>SUM(104:104)</f>
        <v>4</v>
      </c>
      <c r="F72" s="1300"/>
      <c r="G72" s="8"/>
      <c r="H72" s="8"/>
      <c r="I72" s="265"/>
      <c r="J72" s="265"/>
      <c r="K72" s="265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X72" s="8"/>
    </row>
    <row r="73" spans="3:284" x14ac:dyDescent="0.3">
      <c r="G73" s="8"/>
      <c r="H73" s="8"/>
      <c r="I73" s="265"/>
      <c r="J73" s="265"/>
      <c r="K73" s="265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X73" s="8"/>
    </row>
    <row r="74" spans="3:284" x14ac:dyDescent="0.3">
      <c r="AG74" s="8"/>
      <c r="AH74" s="8"/>
      <c r="AI74" s="8"/>
      <c r="AJ74" s="265"/>
      <c r="AK74" s="265"/>
      <c r="AL74" s="265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3:284" x14ac:dyDescent="0.3">
      <c r="AE75" s="205" t="s">
        <v>533</v>
      </c>
      <c r="AF75">
        <f>COUNTIF(AE79:AN97,AE75)</f>
        <v>7</v>
      </c>
      <c r="AG75" s="8"/>
      <c r="AH75" s="8"/>
      <c r="AI75" s="8"/>
      <c r="AJ75" s="265"/>
      <c r="AK75" s="265"/>
      <c r="AL75" s="265"/>
      <c r="AM75" s="8"/>
      <c r="AN75" s="8"/>
      <c r="AO75" s="205" t="s">
        <v>533</v>
      </c>
      <c r="AP75" s="205"/>
      <c r="AQ75" s="205"/>
      <c r="AR75">
        <f>COUNTIF(AO79:AZ97,AO75)</f>
        <v>8</v>
      </c>
      <c r="AS75" s="8"/>
      <c r="AT75" s="8"/>
      <c r="AU75" s="8"/>
      <c r="AV75" s="8"/>
      <c r="AW75" s="8"/>
      <c r="AX75" s="8"/>
      <c r="BA75" s="205" t="s">
        <v>533</v>
      </c>
      <c r="BB75" s="205"/>
      <c r="BC75" s="205"/>
      <c r="BD75" s="205"/>
      <c r="BE75">
        <f>COUNTIF(BA79:BM97,BA75)</f>
        <v>3</v>
      </c>
      <c r="BN75" s="205" t="s">
        <v>533</v>
      </c>
      <c r="BO75" s="205"/>
      <c r="BP75" s="205"/>
      <c r="BQ75" s="205"/>
      <c r="BR75">
        <f>COUNTIF(BN79:BZ97,BN75)</f>
        <v>10</v>
      </c>
      <c r="CA75" s="205" t="s">
        <v>533</v>
      </c>
      <c r="CB75">
        <f>COUNTIF(CA79:CJ97,CA75)</f>
        <v>4</v>
      </c>
      <c r="CK75" s="205" t="s">
        <v>533</v>
      </c>
      <c r="CL75">
        <f>COUNTIF(CK79:CT97,CK75)</f>
        <v>3</v>
      </c>
      <c r="CU75" s="205" t="s">
        <v>533</v>
      </c>
      <c r="CV75">
        <f>COUNTIF(CU79:DD97,CU75)</f>
        <v>5</v>
      </c>
      <c r="DE75" s="205" t="s">
        <v>533</v>
      </c>
      <c r="DF75">
        <f>COUNTIF(DE79:DN97,DE75)</f>
        <v>3</v>
      </c>
      <c r="DO75" s="205" t="s">
        <v>533</v>
      </c>
      <c r="DP75">
        <f>COUNTIF(DO79:DX97,DO75)</f>
        <v>4</v>
      </c>
      <c r="DY75" s="205" t="s">
        <v>533</v>
      </c>
      <c r="DZ75">
        <f>COUNTIF(DY79:EH97,DY75)</f>
        <v>7</v>
      </c>
      <c r="EI75" s="205" t="s">
        <v>533</v>
      </c>
      <c r="EJ75">
        <f>COUNTIF(EI79:ER97,EI75)</f>
        <v>5</v>
      </c>
      <c r="ES75" s="205" t="s">
        <v>533</v>
      </c>
      <c r="ET75">
        <f>COUNTIF(ES79:FB97,ES75)</f>
        <v>5</v>
      </c>
      <c r="FC75" s="205" t="s">
        <v>533</v>
      </c>
      <c r="FD75">
        <f>COUNTIF(FC79:FL97,FC75)</f>
        <v>4</v>
      </c>
      <c r="FM75" s="205" t="s">
        <v>533</v>
      </c>
      <c r="FN75">
        <f>COUNTIF(FM79:FV97,FM75)</f>
        <v>5</v>
      </c>
      <c r="FW75" s="205" t="s">
        <v>533</v>
      </c>
      <c r="FX75" s="205"/>
      <c r="FY75">
        <f>COUNTIF(FW79:GG97,FW75)</f>
        <v>4</v>
      </c>
      <c r="GH75" s="205" t="s">
        <v>533</v>
      </c>
      <c r="GI75">
        <f>COUNTIF(GH79:GQ97,GH75)</f>
        <v>8</v>
      </c>
      <c r="GR75" s="205" t="s">
        <v>533</v>
      </c>
      <c r="GS75">
        <f>COUNTIF(GR79:HA97,GR75)</f>
        <v>6</v>
      </c>
      <c r="HB75" s="205" t="s">
        <v>533</v>
      </c>
      <c r="HC75">
        <f>COUNTIF(HB79:HK97,HB75)</f>
        <v>4</v>
      </c>
      <c r="HL75" s="205" t="s">
        <v>533</v>
      </c>
      <c r="HM75">
        <f>COUNTIF(HL79:HU97,HL75)</f>
        <v>9</v>
      </c>
      <c r="HV75" s="205" t="s">
        <v>533</v>
      </c>
      <c r="HW75" s="205"/>
      <c r="HX75">
        <f>COUNTIF(HV79:IF97,HV75)</f>
        <v>5</v>
      </c>
      <c r="IG75" s="205" t="s">
        <v>533</v>
      </c>
      <c r="IH75">
        <f>COUNTIF(IG79:IP97,IG75)</f>
        <v>0</v>
      </c>
      <c r="IQ75" s="205" t="s">
        <v>533</v>
      </c>
      <c r="IR75">
        <f>COUNTIF(IQ79:IZ97,IQ75)</f>
        <v>0</v>
      </c>
      <c r="JA75" s="205" t="s">
        <v>533</v>
      </c>
      <c r="JB75">
        <f>COUNTIF(JA79:JJ97,JA75)</f>
        <v>0</v>
      </c>
      <c r="JK75" s="205" t="s">
        <v>533</v>
      </c>
      <c r="JL75">
        <f>COUNTIF(JK79:JT97,JK75)</f>
        <v>0</v>
      </c>
    </row>
    <row r="76" spans="3:284" x14ac:dyDescent="0.3">
      <c r="AE76" s="205" t="s">
        <v>534</v>
      </c>
      <c r="AF76">
        <f>COUNTIF(AE79:AN97,AE76)</f>
        <v>7</v>
      </c>
      <c r="AG76" s="8"/>
      <c r="AH76" s="8"/>
      <c r="AI76" s="8"/>
      <c r="AJ76" s="265"/>
      <c r="AK76" s="265"/>
      <c r="AL76" s="265"/>
      <c r="AM76" s="8"/>
      <c r="AN76" s="8"/>
      <c r="AO76" s="205" t="s">
        <v>534</v>
      </c>
      <c r="AP76" s="205"/>
      <c r="AQ76" s="205"/>
      <c r="AR76">
        <f>COUNTIF(AO79:AZ97,AO76)</f>
        <v>6</v>
      </c>
      <c r="AS76" s="8"/>
      <c r="AT76" s="8"/>
      <c r="AU76" s="8"/>
      <c r="AV76" s="8"/>
      <c r="AW76" s="8"/>
      <c r="AX76" s="8"/>
      <c r="BA76" s="205" t="s">
        <v>534</v>
      </c>
      <c r="BB76" s="205"/>
      <c r="BC76" s="205"/>
      <c r="BD76" s="205"/>
      <c r="BE76">
        <f>COUNTIF(BA79:BM97,BA76)</f>
        <v>3</v>
      </c>
      <c r="BN76" s="205" t="s">
        <v>534</v>
      </c>
      <c r="BO76" s="205"/>
      <c r="BP76" s="205"/>
      <c r="BQ76" s="205"/>
      <c r="BR76">
        <f>COUNTIF(BN79:BZ97,BN76)</f>
        <v>8</v>
      </c>
      <c r="CA76" s="205" t="s">
        <v>534</v>
      </c>
      <c r="CB76">
        <f>COUNTIF(CA79:CJ97,CA76)</f>
        <v>4</v>
      </c>
      <c r="CK76" s="205" t="s">
        <v>534</v>
      </c>
      <c r="CL76">
        <f>COUNTIF(CK79:CT97,CK76)</f>
        <v>3</v>
      </c>
      <c r="CU76" s="205" t="s">
        <v>534</v>
      </c>
      <c r="CV76">
        <f>COUNTIF(CU79:DD97,CU76)</f>
        <v>4</v>
      </c>
      <c r="DE76" s="205" t="s">
        <v>534</v>
      </c>
      <c r="DF76">
        <f>COUNTIF(DE79:DN97,DE76)</f>
        <v>3</v>
      </c>
      <c r="DO76" s="205" t="s">
        <v>534</v>
      </c>
      <c r="DP76">
        <f>COUNTIF(DO79:DX97,DO76)</f>
        <v>3</v>
      </c>
      <c r="DY76" s="205" t="s">
        <v>534</v>
      </c>
      <c r="DZ76">
        <f>COUNTIF(DY79:EH97,DY76)</f>
        <v>7</v>
      </c>
      <c r="EI76" s="205" t="s">
        <v>534</v>
      </c>
      <c r="EJ76">
        <f>COUNTIF(EI79:ER97,EI76)</f>
        <v>5</v>
      </c>
      <c r="ES76" s="205" t="s">
        <v>534</v>
      </c>
      <c r="ET76">
        <f>COUNTIF(ES79:FB97,ES76)</f>
        <v>4</v>
      </c>
      <c r="FC76" s="205" t="s">
        <v>534</v>
      </c>
      <c r="FD76">
        <f>COUNTIF(FC79:FL97,FC76)</f>
        <v>4</v>
      </c>
      <c r="FM76" s="205" t="s">
        <v>534</v>
      </c>
      <c r="FN76">
        <f>COUNTIF(FM79:FV97,FM76)</f>
        <v>5</v>
      </c>
      <c r="FW76" s="205" t="s">
        <v>534</v>
      </c>
      <c r="FX76" s="205"/>
      <c r="FY76">
        <f>COUNTIF(FW79:GG97,FW76)</f>
        <v>3</v>
      </c>
      <c r="GH76" s="205" t="s">
        <v>534</v>
      </c>
      <c r="GI76">
        <f>COUNTIF(GH79:GQ97,GH76)</f>
        <v>7</v>
      </c>
      <c r="GR76" s="205" t="s">
        <v>534</v>
      </c>
      <c r="GS76">
        <f>COUNTIF(GR79:HA97,GR76)</f>
        <v>5</v>
      </c>
      <c r="HB76" s="205" t="s">
        <v>534</v>
      </c>
      <c r="HC76">
        <f>COUNTIF(HB79:HK97,HB76)</f>
        <v>3</v>
      </c>
      <c r="HL76" s="205" t="s">
        <v>534</v>
      </c>
      <c r="HM76">
        <f>COUNTIF(HL79:HU97,HL76)</f>
        <v>8</v>
      </c>
      <c r="HV76" s="205" t="s">
        <v>534</v>
      </c>
      <c r="HW76" s="205"/>
      <c r="HX76">
        <f>COUNTIF(HV79:IF97,HV76)</f>
        <v>4</v>
      </c>
      <c r="IG76" s="205" t="s">
        <v>534</v>
      </c>
      <c r="IH76">
        <f>COUNTIF(IG79:IP97,IG76)</f>
        <v>0</v>
      </c>
      <c r="IQ76" s="205" t="s">
        <v>534</v>
      </c>
      <c r="IR76">
        <f>COUNTIF(IQ79:IZ97,IQ76)</f>
        <v>0</v>
      </c>
      <c r="JA76" s="205" t="s">
        <v>534</v>
      </c>
      <c r="JB76">
        <f>COUNTIF(JA79:JJ97,JA76)</f>
        <v>0</v>
      </c>
      <c r="JK76" s="205" t="s">
        <v>534</v>
      </c>
      <c r="JL76">
        <f>COUNTIF(JK79:JT97,JK76)</f>
        <v>0</v>
      </c>
    </row>
    <row r="77" spans="3:284" x14ac:dyDescent="0.3">
      <c r="AE77" s="205" t="s">
        <v>535</v>
      </c>
      <c r="AF77">
        <f>COUNTIF(AE79:AN97,AE77)</f>
        <v>1</v>
      </c>
      <c r="AG77" s="8"/>
      <c r="AH77" s="8"/>
      <c r="AI77" s="8"/>
      <c r="AJ77" s="265"/>
      <c r="AK77" s="265"/>
      <c r="AL77" s="265"/>
      <c r="AM77" s="8"/>
      <c r="AN77" s="8"/>
      <c r="AO77" s="205" t="s">
        <v>535</v>
      </c>
      <c r="AP77" s="205"/>
      <c r="AQ77" s="205"/>
      <c r="AR77">
        <f>COUNTIF(AO79:AZ97,AO77)</f>
        <v>3</v>
      </c>
      <c r="AS77" s="8"/>
      <c r="AT77" s="8"/>
      <c r="AU77" s="8"/>
      <c r="AV77" s="8"/>
      <c r="AW77" s="8"/>
      <c r="AX77" s="8"/>
      <c r="BA77" s="205" t="s">
        <v>535</v>
      </c>
      <c r="BB77" s="205"/>
      <c r="BC77" s="205"/>
      <c r="BD77" s="205"/>
      <c r="BE77">
        <f>COUNTIF(BA79:BM97,BA77)</f>
        <v>1</v>
      </c>
      <c r="BN77" s="205" t="s">
        <v>535</v>
      </c>
      <c r="BO77" s="205"/>
      <c r="BP77" s="205"/>
      <c r="BQ77" s="205"/>
      <c r="BR77">
        <f>COUNTIF(BN79:BZ97,BN77)</f>
        <v>0</v>
      </c>
      <c r="CA77" s="205" t="s">
        <v>535</v>
      </c>
      <c r="CB77">
        <f>COUNTIF(CA79:CJ97,CA77)</f>
        <v>1</v>
      </c>
      <c r="CK77" s="205" t="s">
        <v>535</v>
      </c>
      <c r="CL77">
        <f>COUNTIF(CK79:CT97,CK77)</f>
        <v>0</v>
      </c>
      <c r="CU77" s="205" t="s">
        <v>535</v>
      </c>
      <c r="CV77">
        <f>COUNTIF(CU79:DD97,CU77)</f>
        <v>1</v>
      </c>
      <c r="DE77" s="205" t="s">
        <v>535</v>
      </c>
      <c r="DF77">
        <f>COUNTIF(DE79:DN97,DE77)</f>
        <v>0</v>
      </c>
      <c r="DO77" s="205" t="s">
        <v>535</v>
      </c>
      <c r="DP77">
        <f>COUNTIF(DO79:DX97,DO77)</f>
        <v>3</v>
      </c>
      <c r="DY77" s="205" t="s">
        <v>535</v>
      </c>
      <c r="DZ77">
        <f>COUNTIF(DY79:EH97,DY77)</f>
        <v>3</v>
      </c>
      <c r="EI77" s="205" t="s">
        <v>535</v>
      </c>
      <c r="EJ77">
        <f>COUNTIF(EI79:ER97,EI77)</f>
        <v>0</v>
      </c>
      <c r="ES77" s="205" t="s">
        <v>535</v>
      </c>
      <c r="ET77">
        <f>COUNTIF(ES79:FB97,ES77)</f>
        <v>0</v>
      </c>
      <c r="FC77" s="205" t="s">
        <v>535</v>
      </c>
      <c r="FD77">
        <f>COUNTIF(FC79:FL97,FC77)</f>
        <v>1</v>
      </c>
      <c r="FM77" s="205" t="s">
        <v>535</v>
      </c>
      <c r="FN77">
        <f>COUNTIF(FM79:FV97,FM77)</f>
        <v>0</v>
      </c>
      <c r="FW77" s="205" t="s">
        <v>535</v>
      </c>
      <c r="FX77" s="205"/>
      <c r="FY77">
        <f>COUNTIF(FW79:GG97,FW77)</f>
        <v>2</v>
      </c>
      <c r="GH77" s="205" t="s">
        <v>535</v>
      </c>
      <c r="GI77">
        <f>COUNTIF(GH79:GQ97,GH77)</f>
        <v>1</v>
      </c>
      <c r="GR77" s="205" t="s">
        <v>535</v>
      </c>
      <c r="GS77">
        <f>COUNTIF(GR79:HA97,GR77)</f>
        <v>3</v>
      </c>
      <c r="HB77" s="205" t="s">
        <v>535</v>
      </c>
      <c r="HC77">
        <f>COUNTIF(HB79:HK97,HB77)</f>
        <v>2</v>
      </c>
      <c r="HL77" s="205" t="s">
        <v>535</v>
      </c>
      <c r="HM77">
        <f>COUNTIF(HL79:HU97,HL77)</f>
        <v>0</v>
      </c>
      <c r="HV77" s="205" t="s">
        <v>535</v>
      </c>
      <c r="HW77" s="205"/>
      <c r="HX77">
        <f>COUNTIF(HV79:IF97,HV77)</f>
        <v>3</v>
      </c>
      <c r="IG77" s="205" t="s">
        <v>535</v>
      </c>
      <c r="IH77">
        <f>COUNTIF(IG79:IP97,IG77)</f>
        <v>0</v>
      </c>
      <c r="IQ77" s="205" t="s">
        <v>535</v>
      </c>
      <c r="IR77">
        <f>COUNTIF(IQ79:IZ97,IQ77)</f>
        <v>0</v>
      </c>
      <c r="JA77" s="205" t="s">
        <v>535</v>
      </c>
      <c r="JB77">
        <f>COUNTIF(JA79:JJ97,JA77)</f>
        <v>0</v>
      </c>
      <c r="JK77" s="205" t="s">
        <v>535</v>
      </c>
      <c r="JL77">
        <f>COUNTIF(JK79:JT97,JK77)</f>
        <v>0</v>
      </c>
    </row>
    <row r="78" spans="3:284" x14ac:dyDescent="0.3">
      <c r="AG78" s="8"/>
      <c r="AH78" s="8"/>
      <c r="AI78" s="8"/>
      <c r="AJ78" s="265"/>
      <c r="AK78" s="265"/>
      <c r="AL78" s="265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 spans="3:284" s="205" customFormat="1" x14ac:dyDescent="0.3">
      <c r="C79" s="205" t="s">
        <v>2476</v>
      </c>
      <c r="AE79" s="372" t="s">
        <v>995</v>
      </c>
      <c r="AF79" s="205" t="s">
        <v>2454</v>
      </c>
      <c r="AG79" s="265"/>
      <c r="AH79" s="265"/>
      <c r="AI79" s="265"/>
      <c r="AJ79" s="265"/>
      <c r="AK79" s="265"/>
      <c r="AL79" s="265"/>
      <c r="AM79" s="265"/>
      <c r="AN79" s="1265"/>
      <c r="AO79" s="372" t="s">
        <v>997</v>
      </c>
      <c r="AR79" s="205" t="s">
        <v>2455</v>
      </c>
      <c r="AS79" s="265"/>
      <c r="AT79" s="265"/>
      <c r="AU79" s="265"/>
      <c r="AV79" s="265"/>
      <c r="AW79" s="265"/>
      <c r="AX79" s="265"/>
      <c r="AY79" s="265"/>
      <c r="AZ79" s="1265"/>
      <c r="BA79" s="372" t="s">
        <v>999</v>
      </c>
      <c r="BE79" s="205" t="s">
        <v>2456</v>
      </c>
      <c r="BF79" s="265"/>
      <c r="BG79" s="265"/>
      <c r="BH79" s="265"/>
      <c r="BI79" s="265"/>
      <c r="BJ79" s="265"/>
      <c r="BK79" s="265"/>
      <c r="BL79" s="265"/>
      <c r="BM79" s="1265"/>
      <c r="BN79" s="372" t="s">
        <v>1001</v>
      </c>
      <c r="BR79" s="205" t="s">
        <v>2457</v>
      </c>
      <c r="BS79" s="265"/>
      <c r="BT79" s="265"/>
      <c r="BU79" s="265"/>
      <c r="BV79" s="265"/>
      <c r="BW79" s="265"/>
      <c r="BX79" s="265"/>
      <c r="BY79" s="265"/>
      <c r="BZ79" s="1265"/>
      <c r="CA79" s="372" t="s">
        <v>1003</v>
      </c>
      <c r="CB79" s="205" t="s">
        <v>2458</v>
      </c>
      <c r="CC79" s="265"/>
      <c r="CD79" s="265"/>
      <c r="CE79" s="265"/>
      <c r="CF79" s="265"/>
      <c r="CG79" s="265"/>
      <c r="CH79" s="265"/>
      <c r="CI79" s="265"/>
      <c r="CJ79" s="1265"/>
      <c r="CK79" s="372" t="s">
        <v>1004</v>
      </c>
      <c r="CL79" s="205" t="s">
        <v>2459</v>
      </c>
      <c r="CM79" s="265"/>
      <c r="CN79" s="265"/>
      <c r="CO79" s="265"/>
      <c r="CP79" s="265"/>
      <c r="CU79" s="372" t="s">
        <v>1006</v>
      </c>
      <c r="CV79" s="205" t="s">
        <v>2460</v>
      </c>
      <c r="CW79" s="265"/>
      <c r="CX79" s="265"/>
      <c r="CY79" s="265"/>
      <c r="CZ79" s="265"/>
      <c r="DA79" s="265"/>
      <c r="DB79" s="265"/>
      <c r="DC79" s="265"/>
      <c r="DD79" s="1265"/>
      <c r="DE79" s="372" t="s">
        <v>1008</v>
      </c>
      <c r="DF79" s="205" t="s">
        <v>2461</v>
      </c>
      <c r="DG79" s="265"/>
      <c r="DH79" s="265"/>
      <c r="DI79" s="265"/>
      <c r="DJ79" s="265"/>
      <c r="DK79" s="265"/>
      <c r="DL79" s="265"/>
      <c r="DM79" s="265"/>
      <c r="DN79" s="1265"/>
      <c r="DO79" s="372" t="s">
        <v>1010</v>
      </c>
      <c r="DP79" s="205" t="s">
        <v>2462</v>
      </c>
      <c r="DQ79" s="265"/>
      <c r="DR79" s="265"/>
      <c r="DS79" s="265"/>
      <c r="DT79" s="265"/>
      <c r="DU79" s="265"/>
      <c r="DV79" s="265"/>
      <c r="DW79" s="265"/>
      <c r="DX79" s="1265"/>
      <c r="DY79" s="372" t="s">
        <v>1012</v>
      </c>
      <c r="DZ79" s="205" t="s">
        <v>2463</v>
      </c>
      <c r="EA79" s="265"/>
      <c r="EB79" s="265"/>
      <c r="EC79" s="265"/>
      <c r="ED79" s="265"/>
      <c r="EE79" s="265"/>
      <c r="EF79" s="265"/>
      <c r="EG79" s="265"/>
      <c r="EH79" s="1265"/>
      <c r="EI79" s="372" t="s">
        <v>1465</v>
      </c>
      <c r="EJ79" s="205" t="s">
        <v>2464</v>
      </c>
      <c r="EK79" s="265"/>
      <c r="EL79" s="265"/>
      <c r="EM79" s="265"/>
      <c r="EN79" s="265"/>
      <c r="EO79" s="265"/>
      <c r="EP79" s="265"/>
      <c r="EQ79" s="265"/>
      <c r="ER79" s="1265"/>
      <c r="ES79" s="372" t="s">
        <v>1466</v>
      </c>
      <c r="ET79" s="205" t="s">
        <v>2465</v>
      </c>
      <c r="EU79" s="265"/>
      <c r="EV79" s="265"/>
      <c r="EW79" s="265"/>
      <c r="EX79" s="265"/>
      <c r="FC79" s="372" t="s">
        <v>1467</v>
      </c>
      <c r="FD79" s="205" t="s">
        <v>2466</v>
      </c>
      <c r="FE79" s="265"/>
      <c r="FF79" s="265"/>
      <c r="FG79" s="265"/>
      <c r="FH79" s="265"/>
      <c r="FI79" s="265"/>
      <c r="FJ79" s="265"/>
      <c r="FK79" s="265"/>
      <c r="FL79" s="1265"/>
      <c r="FM79" s="372" t="s">
        <v>1468</v>
      </c>
      <c r="FN79" s="205" t="s">
        <v>2467</v>
      </c>
      <c r="FO79" s="265"/>
      <c r="FP79" s="265"/>
      <c r="FQ79" s="265"/>
      <c r="FR79" s="265"/>
      <c r="FS79" s="265"/>
      <c r="FT79" s="265"/>
      <c r="FU79" s="265"/>
      <c r="FV79" s="1265"/>
      <c r="FW79" s="372" t="s">
        <v>1469</v>
      </c>
      <c r="FY79" s="205" t="s">
        <v>2468</v>
      </c>
      <c r="FZ79" s="265"/>
      <c r="GA79" s="265"/>
      <c r="GB79" s="265"/>
      <c r="GC79" s="265"/>
      <c r="GD79" s="265"/>
      <c r="GE79" s="265"/>
      <c r="GF79" s="265"/>
      <c r="GG79" s="1265"/>
      <c r="GH79" s="372" t="s">
        <v>1470</v>
      </c>
      <c r="GI79" s="205" t="s">
        <v>2469</v>
      </c>
      <c r="GJ79" s="265"/>
      <c r="GK79" s="265"/>
      <c r="GL79" s="265"/>
      <c r="GM79" s="265"/>
      <c r="GN79" s="265"/>
      <c r="GO79" s="265"/>
      <c r="GP79" s="265"/>
      <c r="GQ79" s="1265"/>
      <c r="GR79" s="372" t="s">
        <v>1472</v>
      </c>
      <c r="GS79" s="205" t="s">
        <v>2470</v>
      </c>
      <c r="GT79" s="265"/>
      <c r="GU79" s="265"/>
      <c r="GV79" s="265"/>
      <c r="GW79" s="265"/>
      <c r="GX79" s="265"/>
      <c r="GY79" s="265"/>
      <c r="GZ79" s="265"/>
      <c r="HA79" s="1265"/>
      <c r="HB79" s="372" t="s">
        <v>1473</v>
      </c>
      <c r="HC79" s="205" t="s">
        <v>2471</v>
      </c>
      <c r="HD79" s="265"/>
      <c r="HE79" s="265"/>
      <c r="HF79" s="265"/>
      <c r="HG79" s="265"/>
      <c r="HL79" s="372" t="s">
        <v>1474</v>
      </c>
      <c r="HM79" s="205" t="s">
        <v>2472</v>
      </c>
      <c r="HN79" s="265"/>
      <c r="HO79" s="265"/>
      <c r="HP79" s="265"/>
      <c r="HQ79" s="265"/>
      <c r="HR79" s="265"/>
      <c r="HS79" s="265"/>
      <c r="HT79" s="265"/>
      <c r="HU79" s="1265"/>
      <c r="HV79" s="372" t="s">
        <v>1475</v>
      </c>
      <c r="HX79" s="205" t="s">
        <v>2473</v>
      </c>
      <c r="HY79" s="265"/>
      <c r="HZ79" s="265"/>
      <c r="IA79" s="265"/>
      <c r="IB79" s="265"/>
      <c r="IC79" s="265"/>
      <c r="ID79" s="265"/>
      <c r="IE79" s="265"/>
      <c r="IF79" s="1265"/>
      <c r="IG79" s="372" t="s">
        <v>2450</v>
      </c>
      <c r="II79" s="265"/>
      <c r="IJ79" s="265"/>
      <c r="IK79" s="265"/>
      <c r="IL79" s="265"/>
      <c r="IM79" s="265"/>
      <c r="IN79" s="265"/>
      <c r="IO79" s="265"/>
      <c r="IP79" s="1265"/>
      <c r="IQ79" s="372" t="s">
        <v>2451</v>
      </c>
      <c r="IS79" s="265"/>
      <c r="IT79" s="265"/>
      <c r="IU79" s="265"/>
      <c r="IV79" s="265"/>
      <c r="IW79" s="265"/>
      <c r="IX79" s="265"/>
      <c r="IY79" s="265"/>
      <c r="IZ79" s="1265"/>
      <c r="JA79" s="372" t="s">
        <v>2452</v>
      </c>
      <c r="JC79" s="265"/>
      <c r="JD79" s="265"/>
      <c r="JE79" s="265"/>
      <c r="JF79" s="265"/>
      <c r="JG79" s="265"/>
      <c r="JH79" s="265"/>
      <c r="JI79" s="265"/>
      <c r="JJ79" s="1265"/>
      <c r="JK79" s="372" t="s">
        <v>2453</v>
      </c>
      <c r="JM79" s="265"/>
      <c r="JN79" s="265"/>
      <c r="JO79" s="265"/>
      <c r="JP79" s="265"/>
      <c r="JU79"/>
      <c r="JV79"/>
      <c r="JW79"/>
      <c r="JX79"/>
    </row>
    <row r="80" spans="3:284" x14ac:dyDescent="0.3">
      <c r="C80" t="s">
        <v>48</v>
      </c>
      <c r="AE80" s="300" t="s">
        <v>534</v>
      </c>
      <c r="AG80" s="8"/>
      <c r="AH80" s="8"/>
      <c r="AI80" s="8"/>
      <c r="AJ80" s="8"/>
      <c r="AK80" s="8"/>
      <c r="AL80" s="8"/>
      <c r="AM80" s="8"/>
      <c r="AN80" s="1266"/>
      <c r="AO80" s="300"/>
      <c r="AS80" s="8"/>
      <c r="AT80" s="8"/>
      <c r="AU80" s="8"/>
      <c r="AV80" s="8"/>
      <c r="AW80" s="8"/>
      <c r="AX80" s="8"/>
      <c r="AY80" s="8"/>
      <c r="AZ80" s="1266"/>
      <c r="BA80" s="300"/>
      <c r="BF80" s="8"/>
      <c r="BG80" s="8"/>
      <c r="BH80" s="8"/>
      <c r="BI80" s="8"/>
      <c r="BJ80" s="8"/>
      <c r="BK80" s="8"/>
      <c r="BL80" s="8"/>
      <c r="BM80" s="1266"/>
      <c r="BN80" s="300"/>
      <c r="BS80" s="8"/>
      <c r="BT80" s="8"/>
      <c r="BU80" s="8"/>
      <c r="BV80" s="8"/>
      <c r="BW80" s="8"/>
      <c r="BX80" s="8"/>
      <c r="BY80" s="8"/>
      <c r="BZ80" s="1266"/>
      <c r="CA80" s="300" t="s">
        <v>534</v>
      </c>
      <c r="CC80" s="8"/>
      <c r="CD80" s="8"/>
      <c r="CE80" s="8"/>
      <c r="CF80" s="8"/>
      <c r="CG80" s="8"/>
      <c r="CH80" s="8"/>
      <c r="CI80" s="8"/>
      <c r="CJ80" s="1266"/>
      <c r="CK80" s="300"/>
      <c r="CM80" s="8"/>
      <c r="CN80" s="8"/>
      <c r="CO80" s="8"/>
      <c r="CP80" s="8"/>
      <c r="CU80" s="300"/>
      <c r="CW80" s="8"/>
      <c r="CX80" s="8"/>
      <c r="CY80" s="8"/>
      <c r="CZ80" s="8"/>
      <c r="DA80" s="8"/>
      <c r="DB80" s="8"/>
      <c r="DC80" s="8"/>
      <c r="DD80" s="1266"/>
      <c r="DE80" s="300"/>
      <c r="DG80" s="8"/>
      <c r="DH80" s="8"/>
      <c r="DI80" s="8"/>
      <c r="DJ80" s="8"/>
      <c r="DK80" s="8"/>
      <c r="DL80" s="8"/>
      <c r="DM80" s="8"/>
      <c r="DN80" s="1266"/>
      <c r="DO80" s="300" t="s">
        <v>534</v>
      </c>
      <c r="DQ80" s="8"/>
      <c r="DR80" s="8"/>
      <c r="DS80" s="8"/>
      <c r="DT80" s="8"/>
      <c r="DU80" s="8"/>
      <c r="DV80" s="8"/>
      <c r="DW80" s="8"/>
      <c r="DX80" s="1266"/>
      <c r="DY80" s="300" t="s">
        <v>533</v>
      </c>
      <c r="EA80" s="8"/>
      <c r="EB80" s="8"/>
      <c r="EC80" s="8"/>
      <c r="ED80" s="8"/>
      <c r="EE80" s="8"/>
      <c r="EF80" s="8"/>
      <c r="EG80" s="8"/>
      <c r="EH80" s="1266"/>
      <c r="EI80" s="300"/>
      <c r="EK80" s="8"/>
      <c r="EL80" s="8"/>
      <c r="EM80" s="8"/>
      <c r="EN80" s="8"/>
      <c r="EO80" s="8"/>
      <c r="EP80" s="8"/>
      <c r="EQ80" s="8"/>
      <c r="ER80" s="1266"/>
      <c r="ES80" s="300"/>
      <c r="EU80" s="8"/>
      <c r="EV80" s="8"/>
      <c r="EW80" s="8"/>
      <c r="EX80" s="8"/>
      <c r="FC80" s="300" t="s">
        <v>534</v>
      </c>
      <c r="FE80" s="8"/>
      <c r="FF80" s="8"/>
      <c r="FG80" s="8"/>
      <c r="FH80" s="8"/>
      <c r="FI80" s="8"/>
      <c r="FJ80" s="8"/>
      <c r="FK80" s="8"/>
      <c r="FL80" s="1266"/>
      <c r="FM80" s="300"/>
      <c r="FO80" s="8"/>
      <c r="FP80" s="8"/>
      <c r="FQ80" s="8"/>
      <c r="FR80" s="8"/>
      <c r="FS80" s="8"/>
      <c r="FT80" s="8"/>
      <c r="FU80" s="8"/>
      <c r="FV80" s="1266"/>
      <c r="FW80" s="300"/>
      <c r="FZ80" s="8"/>
      <c r="GA80" s="8"/>
      <c r="GB80" s="8"/>
      <c r="GC80" s="8"/>
      <c r="GD80" s="8"/>
      <c r="GE80" s="8"/>
      <c r="GF80" s="8"/>
      <c r="GG80" s="1266"/>
      <c r="GH80" s="300"/>
      <c r="GJ80" s="8"/>
      <c r="GK80" s="8"/>
      <c r="GL80" s="8"/>
      <c r="GM80" s="8"/>
      <c r="GN80" s="8"/>
      <c r="GO80" s="8"/>
      <c r="GP80" s="8"/>
      <c r="GQ80" s="1266"/>
      <c r="GR80" s="300"/>
      <c r="GT80" s="8"/>
      <c r="GU80" s="8"/>
      <c r="GV80" s="8"/>
      <c r="GW80" s="8"/>
      <c r="GX80" s="8"/>
      <c r="GY80" s="8"/>
      <c r="GZ80" s="8"/>
      <c r="HA80" s="1266"/>
      <c r="HB80" s="300"/>
      <c r="HD80" s="8"/>
      <c r="HE80" s="8"/>
      <c r="HF80" s="8"/>
      <c r="HG80" s="8"/>
      <c r="HL80" s="300"/>
      <c r="HN80" s="8"/>
      <c r="HO80" s="8"/>
      <c r="HP80" s="8"/>
      <c r="HQ80" s="8"/>
      <c r="HR80" s="8"/>
      <c r="HS80" s="8"/>
      <c r="HT80" s="8"/>
      <c r="HU80" s="1266"/>
      <c r="HV80" s="300" t="s">
        <v>535</v>
      </c>
      <c r="HY80" s="8"/>
      <c r="HZ80" s="8"/>
      <c r="IA80" s="8"/>
      <c r="IB80" s="8"/>
      <c r="IC80" s="8"/>
      <c r="ID80" s="8"/>
      <c r="IE80" s="8"/>
      <c r="IF80" s="1266"/>
      <c r="IG80" s="300"/>
      <c r="II80" s="8"/>
      <c r="IJ80" s="8"/>
      <c r="IK80" s="8"/>
      <c r="IL80" s="8"/>
      <c r="IM80" s="8"/>
      <c r="IN80" s="8"/>
      <c r="IO80" s="8"/>
      <c r="IP80" s="1266"/>
      <c r="IQ80" s="300"/>
      <c r="IS80" s="8"/>
      <c r="IT80" s="8"/>
      <c r="IU80" s="8"/>
      <c r="IV80" s="8"/>
      <c r="IW80" s="8"/>
      <c r="IX80" s="8"/>
      <c r="IY80" s="8"/>
      <c r="IZ80" s="1266"/>
      <c r="JA80" s="300"/>
      <c r="JC80" s="8"/>
      <c r="JD80" s="8"/>
      <c r="JE80" s="8"/>
      <c r="JF80" s="8"/>
      <c r="JG80" s="8"/>
      <c r="JH80" s="8"/>
      <c r="JI80" s="8"/>
      <c r="JJ80" s="1266"/>
      <c r="JK80" s="300"/>
      <c r="JM80" s="8"/>
      <c r="JN80" s="8"/>
      <c r="JO80" s="8"/>
      <c r="JP80" s="8"/>
    </row>
    <row r="81" spans="3:276" x14ac:dyDescent="0.3">
      <c r="C81" t="s">
        <v>2281</v>
      </c>
      <c r="AE81" s="300" t="s">
        <v>681</v>
      </c>
      <c r="AF81" t="s">
        <v>2044</v>
      </c>
      <c r="AG81" s="8"/>
      <c r="AH81" s="8"/>
      <c r="AI81" s="8"/>
      <c r="AJ81" s="8"/>
      <c r="AK81" s="8"/>
      <c r="AL81" s="8"/>
      <c r="AM81" s="8"/>
      <c r="AN81" s="1266"/>
      <c r="AO81" s="300"/>
      <c r="AS81" s="8"/>
      <c r="AT81" s="8"/>
      <c r="AU81" s="8"/>
      <c r="AV81" s="8"/>
      <c r="AW81" s="8"/>
      <c r="AX81" s="8"/>
      <c r="AY81" s="8"/>
      <c r="AZ81" s="1266"/>
      <c r="BA81" s="300" t="s">
        <v>681</v>
      </c>
      <c r="BF81" s="8"/>
      <c r="BG81" s="8"/>
      <c r="BH81" s="8"/>
      <c r="BI81" s="8"/>
      <c r="BJ81" s="8"/>
      <c r="BK81" s="8"/>
      <c r="BL81" s="8"/>
      <c r="BM81" s="1266"/>
      <c r="BN81" s="300"/>
      <c r="BS81" s="8"/>
      <c r="BT81" s="8"/>
      <c r="BU81" s="8"/>
      <c r="BV81" s="8"/>
      <c r="BW81" s="8"/>
      <c r="BX81" s="8"/>
      <c r="BY81" s="8"/>
      <c r="BZ81" s="1266"/>
      <c r="CA81" s="300" t="s">
        <v>534</v>
      </c>
      <c r="CC81" s="8"/>
      <c r="CD81" s="8"/>
      <c r="CE81" s="8"/>
      <c r="CF81" s="8"/>
      <c r="CG81" s="8"/>
      <c r="CH81" s="8"/>
      <c r="CI81" s="8"/>
      <c r="CJ81" s="1266"/>
      <c r="CK81" s="300" t="s">
        <v>681</v>
      </c>
      <c r="CM81" s="8"/>
      <c r="CN81" s="8"/>
      <c r="CO81" s="8"/>
      <c r="CP81" s="8"/>
      <c r="CU81" s="300" t="s">
        <v>681</v>
      </c>
      <c r="CW81" s="8"/>
      <c r="CX81" s="8"/>
      <c r="CY81" s="8"/>
      <c r="CZ81" s="8"/>
      <c r="DA81" s="8"/>
      <c r="DB81" s="8"/>
      <c r="DC81" s="8"/>
      <c r="DD81" s="1266"/>
      <c r="DE81" s="300"/>
      <c r="DG81" s="8"/>
      <c r="DH81" s="8"/>
      <c r="DI81" s="8"/>
      <c r="DJ81" s="8"/>
      <c r="DK81" s="8"/>
      <c r="DL81" s="8"/>
      <c r="DM81" s="8"/>
      <c r="DN81" s="1266"/>
      <c r="DO81" s="300" t="s">
        <v>681</v>
      </c>
      <c r="DQ81" s="8"/>
      <c r="DR81" s="8"/>
      <c r="DS81" s="8"/>
      <c r="DT81" s="8"/>
      <c r="DU81" s="8"/>
      <c r="DV81" s="8"/>
      <c r="DW81" s="8"/>
      <c r="DX81" s="1266"/>
      <c r="DY81" s="300"/>
      <c r="EA81" s="8"/>
      <c r="EB81" s="8"/>
      <c r="EC81" s="8"/>
      <c r="ED81" s="8"/>
      <c r="EE81" s="8"/>
      <c r="EF81" s="8"/>
      <c r="EG81" s="8"/>
      <c r="EH81" s="1266"/>
      <c r="EI81" s="300"/>
      <c r="EK81" s="8"/>
      <c r="EL81" s="8"/>
      <c r="EM81" s="8"/>
      <c r="EN81" s="8"/>
      <c r="EO81" s="8"/>
      <c r="EP81" s="8"/>
      <c r="EQ81" s="8"/>
      <c r="ER81" s="1266"/>
      <c r="ES81" s="300" t="s">
        <v>681</v>
      </c>
      <c r="EU81" s="8"/>
      <c r="EV81" s="8"/>
      <c r="EW81" s="8"/>
      <c r="EX81" s="8"/>
      <c r="FC81" s="300"/>
      <c r="FE81" s="8"/>
      <c r="FF81" s="8"/>
      <c r="FG81" s="8"/>
      <c r="FH81" s="8"/>
      <c r="FI81" s="8"/>
      <c r="FJ81" s="8"/>
      <c r="FK81" s="8"/>
      <c r="FL81" s="1266"/>
      <c r="FM81" s="300" t="s">
        <v>681</v>
      </c>
      <c r="FO81" s="8"/>
      <c r="FP81" s="8"/>
      <c r="FQ81" s="8"/>
      <c r="FR81" s="8"/>
      <c r="FS81" s="8"/>
      <c r="FT81" s="8"/>
      <c r="FU81" s="8"/>
      <c r="FV81" s="1266"/>
      <c r="FW81" s="300" t="s">
        <v>681</v>
      </c>
      <c r="FZ81" s="8"/>
      <c r="GA81" s="8"/>
      <c r="GB81" s="8"/>
      <c r="GC81" s="8"/>
      <c r="GD81" s="8"/>
      <c r="GE81" s="8"/>
      <c r="GF81" s="8"/>
      <c r="GG81" s="1266"/>
      <c r="GH81" s="300"/>
      <c r="GJ81" s="8"/>
      <c r="GK81" s="8"/>
      <c r="GL81" s="8"/>
      <c r="GM81" s="8"/>
      <c r="GN81" s="8"/>
      <c r="GO81" s="8"/>
      <c r="GP81" s="8"/>
      <c r="GQ81" s="1266"/>
      <c r="GR81" s="300" t="s">
        <v>681</v>
      </c>
      <c r="GS81" t="s">
        <v>2044</v>
      </c>
      <c r="GT81" s="8" t="s">
        <v>534</v>
      </c>
      <c r="GU81" s="8"/>
      <c r="GV81" s="8"/>
      <c r="GW81" s="8"/>
      <c r="GX81" s="8"/>
      <c r="GY81" s="8"/>
      <c r="GZ81" s="8"/>
      <c r="HA81" s="1266"/>
      <c r="HB81" s="300" t="s">
        <v>535</v>
      </c>
      <c r="HD81" s="8"/>
      <c r="HE81" s="8"/>
      <c r="HF81" s="8"/>
      <c r="HG81" s="8"/>
      <c r="HL81" s="300" t="s">
        <v>681</v>
      </c>
      <c r="HM81" t="s">
        <v>2044</v>
      </c>
      <c r="HN81" s="8"/>
      <c r="HO81" s="8"/>
      <c r="HP81" s="8"/>
      <c r="HQ81" s="8"/>
      <c r="HR81" s="8"/>
      <c r="HS81" s="8"/>
      <c r="HT81" s="8"/>
      <c r="HU81" s="1266"/>
      <c r="HV81" s="300"/>
      <c r="HY81" s="8"/>
      <c r="HZ81" s="8"/>
      <c r="IA81" s="8"/>
      <c r="IB81" s="8"/>
      <c r="IC81" s="8"/>
      <c r="ID81" s="8"/>
      <c r="IE81" s="8"/>
      <c r="IF81" s="1266"/>
      <c r="IG81" s="300"/>
      <c r="II81" s="8"/>
      <c r="IJ81" s="8"/>
      <c r="IK81" s="8"/>
      <c r="IL81" s="8"/>
      <c r="IM81" s="8"/>
      <c r="IN81" s="8"/>
      <c r="IO81" s="8"/>
      <c r="IP81" s="1266"/>
      <c r="IQ81" s="300"/>
      <c r="IS81" s="8"/>
      <c r="IT81" s="8"/>
      <c r="IU81" s="8"/>
      <c r="IV81" s="8"/>
      <c r="IW81" s="8"/>
      <c r="IX81" s="8"/>
      <c r="IY81" s="8"/>
      <c r="IZ81" s="1266"/>
      <c r="JA81" s="300"/>
      <c r="JC81" s="8"/>
      <c r="JD81" s="8"/>
      <c r="JE81" s="8"/>
      <c r="JF81" s="8"/>
      <c r="JG81" s="8"/>
      <c r="JH81" s="8"/>
      <c r="JI81" s="8"/>
      <c r="JJ81" s="1266"/>
      <c r="JK81" s="300"/>
      <c r="JM81" s="8"/>
      <c r="JN81" s="8"/>
      <c r="JO81" s="8"/>
      <c r="JP81" s="8"/>
    </row>
    <row r="82" spans="3:276" x14ac:dyDescent="0.3">
      <c r="C82" t="s">
        <v>2441</v>
      </c>
      <c r="AE82" s="300"/>
      <c r="AG82" s="8"/>
      <c r="AH82" s="8"/>
      <c r="AI82" s="8"/>
      <c r="AJ82" s="8"/>
      <c r="AK82" s="8"/>
      <c r="AL82" s="8"/>
      <c r="AM82" s="8"/>
      <c r="AN82" s="1266"/>
      <c r="AO82" s="300"/>
      <c r="AS82" s="8"/>
      <c r="AT82" s="8"/>
      <c r="AU82" s="8"/>
      <c r="AV82" s="8"/>
      <c r="AW82" s="8"/>
      <c r="AX82" s="8"/>
      <c r="AY82" s="8"/>
      <c r="AZ82" s="1266"/>
      <c r="BA82" s="300"/>
      <c r="BF82" s="8"/>
      <c r="BG82" s="8"/>
      <c r="BH82" s="8"/>
      <c r="BI82" s="8"/>
      <c r="BJ82" s="8"/>
      <c r="BK82" s="8"/>
      <c r="BL82" s="8"/>
      <c r="BM82" s="1266"/>
      <c r="BN82" s="300" t="s">
        <v>534</v>
      </c>
      <c r="BR82" t="s">
        <v>534</v>
      </c>
      <c r="BS82" s="8"/>
      <c r="BT82" s="8"/>
      <c r="BU82" s="8"/>
      <c r="BV82" s="8"/>
      <c r="BW82" s="8"/>
      <c r="BX82" s="8"/>
      <c r="BY82" s="8"/>
      <c r="BZ82" s="1266"/>
      <c r="CA82" s="300"/>
      <c r="CC82" s="8"/>
      <c r="CD82" s="8"/>
      <c r="CE82" s="8"/>
      <c r="CF82" s="8"/>
      <c r="CG82" s="8"/>
      <c r="CH82" s="8"/>
      <c r="CI82" s="8"/>
      <c r="CJ82" s="1266"/>
      <c r="CK82" s="300"/>
      <c r="CM82" s="8"/>
      <c r="CN82" s="8"/>
      <c r="CO82" s="8"/>
      <c r="CP82" s="8"/>
      <c r="CU82" s="300"/>
      <c r="CW82" s="8"/>
      <c r="CX82" s="8"/>
      <c r="CY82" s="8"/>
      <c r="CZ82" s="8"/>
      <c r="DA82" s="8"/>
      <c r="DB82" s="8"/>
      <c r="DC82" s="8"/>
      <c r="DD82" s="1266"/>
      <c r="DE82" s="300"/>
      <c r="DG82" s="8"/>
      <c r="DH82" s="8"/>
      <c r="DI82" s="8"/>
      <c r="DJ82" s="8"/>
      <c r="DK82" s="8"/>
      <c r="DL82" s="8"/>
      <c r="DM82" s="8"/>
      <c r="DN82" s="1266"/>
      <c r="DO82" s="300"/>
      <c r="DQ82" s="8"/>
      <c r="DR82" s="8"/>
      <c r="DS82" s="8"/>
      <c r="DT82" s="8"/>
      <c r="DU82" s="8"/>
      <c r="DV82" s="8"/>
      <c r="DW82" s="8"/>
      <c r="DX82" s="1266"/>
      <c r="DY82" s="300"/>
      <c r="EA82" s="8"/>
      <c r="EB82" s="8"/>
      <c r="EC82" s="8"/>
      <c r="ED82" s="8"/>
      <c r="EE82" s="8"/>
      <c r="EF82" s="8"/>
      <c r="EG82" s="8"/>
      <c r="EH82" s="1266"/>
      <c r="EI82" s="300"/>
      <c r="EK82" s="8"/>
      <c r="EL82" s="8"/>
      <c r="EM82" s="8"/>
      <c r="EN82" s="8"/>
      <c r="EO82" s="8"/>
      <c r="EP82" s="8"/>
      <c r="EQ82" s="8"/>
      <c r="ER82" s="1266"/>
      <c r="ES82" s="300" t="s">
        <v>533</v>
      </c>
      <c r="ET82" t="s">
        <v>139</v>
      </c>
      <c r="EU82" s="8"/>
      <c r="EV82" s="8"/>
      <c r="EW82" s="8"/>
      <c r="EX82" s="8"/>
      <c r="FC82" s="300"/>
      <c r="FE82" s="8"/>
      <c r="FF82" s="8"/>
      <c r="FG82" s="8"/>
      <c r="FH82" s="8"/>
      <c r="FI82" s="8"/>
      <c r="FJ82" s="8"/>
      <c r="FK82" s="8"/>
      <c r="FL82" s="1266"/>
      <c r="FM82" s="300"/>
      <c r="FO82" s="8"/>
      <c r="FP82" s="8"/>
      <c r="FQ82" s="8"/>
      <c r="FR82" s="8"/>
      <c r="FS82" s="8"/>
      <c r="FT82" s="8"/>
      <c r="FU82" s="8"/>
      <c r="FV82" s="1266"/>
      <c r="FW82" s="300" t="s">
        <v>533</v>
      </c>
      <c r="FZ82" s="8"/>
      <c r="GA82" s="8"/>
      <c r="GB82" s="8"/>
      <c r="GC82" s="8"/>
      <c r="GD82" s="8"/>
      <c r="GE82" s="8"/>
      <c r="GF82" s="8"/>
      <c r="GG82" s="1266"/>
      <c r="GH82" s="300" t="s">
        <v>2229</v>
      </c>
      <c r="GI82" t="s">
        <v>533</v>
      </c>
      <c r="GJ82" s="8"/>
      <c r="GK82" s="8"/>
      <c r="GL82" s="8"/>
      <c r="GM82" s="8"/>
      <c r="GN82" s="8"/>
      <c r="GO82" s="8"/>
      <c r="GP82" s="8"/>
      <c r="GQ82" s="1266"/>
      <c r="GR82" s="300"/>
      <c r="GT82" s="8"/>
      <c r="GU82" s="8"/>
      <c r="GV82" s="8"/>
      <c r="GW82" s="8"/>
      <c r="GX82" s="8"/>
      <c r="GY82" s="8"/>
      <c r="GZ82" s="8"/>
      <c r="HA82" s="1266"/>
      <c r="HB82" s="300"/>
      <c r="HD82" s="8"/>
      <c r="HE82" s="8"/>
      <c r="HF82" s="8"/>
      <c r="HG82" s="8"/>
      <c r="HL82" s="300"/>
      <c r="HN82" s="8"/>
      <c r="HO82" s="8"/>
      <c r="HP82" s="8"/>
      <c r="HQ82" s="8"/>
      <c r="HR82" s="8"/>
      <c r="HS82" s="8"/>
      <c r="HT82" s="8"/>
      <c r="HU82" s="1266"/>
      <c r="HV82" s="300" t="s">
        <v>534</v>
      </c>
      <c r="HY82" s="8"/>
      <c r="HZ82" s="8"/>
      <c r="IA82" s="8"/>
      <c r="IB82" s="8"/>
      <c r="IC82" s="8"/>
      <c r="ID82" s="8"/>
      <c r="IE82" s="8"/>
      <c r="IF82" s="1266"/>
      <c r="IG82" s="300"/>
      <c r="II82" s="8"/>
      <c r="IJ82" s="8"/>
      <c r="IK82" s="8"/>
      <c r="IL82" s="8"/>
      <c r="IM82" s="8"/>
      <c r="IN82" s="8"/>
      <c r="IO82" s="8"/>
      <c r="IP82" s="1266"/>
      <c r="IQ82" s="300"/>
      <c r="IS82" s="8"/>
      <c r="IT82" s="8"/>
      <c r="IU82" s="8"/>
      <c r="IV82" s="8"/>
      <c r="IW82" s="8"/>
      <c r="IX82" s="8"/>
      <c r="IY82" s="8"/>
      <c r="IZ82" s="1266"/>
      <c r="JA82" s="300"/>
      <c r="JC82" s="8"/>
      <c r="JD82" s="8"/>
      <c r="JE82" s="8"/>
      <c r="JF82" s="8"/>
      <c r="JG82" s="8"/>
      <c r="JH82" s="8"/>
      <c r="JI82" s="8"/>
      <c r="JJ82" s="1266"/>
      <c r="JK82" s="300"/>
      <c r="JM82" s="8"/>
      <c r="JN82" s="8"/>
      <c r="JO82" s="8"/>
      <c r="JP82" s="8"/>
    </row>
    <row r="83" spans="3:276" x14ac:dyDescent="0.3">
      <c r="C83" t="s">
        <v>1459</v>
      </c>
      <c r="AE83" s="300" t="s">
        <v>533</v>
      </c>
      <c r="AG83" s="8"/>
      <c r="AH83" s="8"/>
      <c r="AI83" s="8"/>
      <c r="AJ83" s="8"/>
      <c r="AK83" s="8"/>
      <c r="AL83" s="8"/>
      <c r="AM83" s="8"/>
      <c r="AN83" s="1266"/>
      <c r="AO83" s="300"/>
      <c r="AS83" s="8"/>
      <c r="AT83" s="8"/>
      <c r="AU83" s="8"/>
      <c r="AV83" s="8"/>
      <c r="AW83" s="8"/>
      <c r="AX83" s="8"/>
      <c r="AY83" s="8"/>
      <c r="AZ83" s="1266"/>
      <c r="BA83" s="300"/>
      <c r="BF83" s="8"/>
      <c r="BG83" s="8"/>
      <c r="BH83" s="8"/>
      <c r="BI83" s="8"/>
      <c r="BJ83" s="8"/>
      <c r="BK83" s="8"/>
      <c r="BL83" s="8"/>
      <c r="BM83" s="1266"/>
      <c r="BN83" s="300"/>
      <c r="BS83" s="8"/>
      <c r="BT83" s="8"/>
      <c r="BU83" s="8"/>
      <c r="BV83" s="8"/>
      <c r="BW83" s="8"/>
      <c r="BX83" s="8"/>
      <c r="BY83" s="8"/>
      <c r="BZ83" s="1266"/>
      <c r="CA83" s="300"/>
      <c r="CC83" s="8"/>
      <c r="CD83" s="8"/>
      <c r="CE83" s="8"/>
      <c r="CF83" s="8"/>
      <c r="CG83" s="8"/>
      <c r="CH83" s="8"/>
      <c r="CI83" s="8"/>
      <c r="CJ83" s="1266"/>
      <c r="CK83" s="300"/>
      <c r="CM83" s="8"/>
      <c r="CN83" s="8"/>
      <c r="CO83" s="8"/>
      <c r="CP83" s="8"/>
      <c r="CU83" s="300" t="s">
        <v>2229</v>
      </c>
      <c r="CV83" t="s">
        <v>533</v>
      </c>
      <c r="CW83" s="8" t="s">
        <v>533</v>
      </c>
      <c r="CX83" s="8"/>
      <c r="CY83" s="8"/>
      <c r="CZ83" s="8"/>
      <c r="DA83" s="8"/>
      <c r="DB83" s="8"/>
      <c r="DC83" s="8"/>
      <c r="DD83" s="1266"/>
      <c r="DE83" s="300" t="s">
        <v>534</v>
      </c>
      <c r="DG83" s="8"/>
      <c r="DH83" s="8"/>
      <c r="DI83" s="8"/>
      <c r="DJ83" s="8"/>
      <c r="DK83" s="8"/>
      <c r="DL83" s="8"/>
      <c r="DM83" s="8"/>
      <c r="DN83" s="1266"/>
      <c r="DO83" s="300"/>
      <c r="DQ83" s="8"/>
      <c r="DR83" s="8"/>
      <c r="DS83" s="8"/>
      <c r="DT83" s="8"/>
      <c r="DU83" s="8"/>
      <c r="DV83" s="8"/>
      <c r="DW83" s="8"/>
      <c r="DX83" s="1266"/>
      <c r="DY83" s="300"/>
      <c r="EA83" s="8"/>
      <c r="EB83" s="8"/>
      <c r="EC83" s="8"/>
      <c r="ED83" s="8"/>
      <c r="EE83" s="8"/>
      <c r="EF83" s="8"/>
      <c r="EG83" s="8"/>
      <c r="EH83" s="1266"/>
      <c r="EI83" s="300"/>
      <c r="EK83" s="8"/>
      <c r="EL83" s="8"/>
      <c r="EM83" s="8"/>
      <c r="EN83" s="8"/>
      <c r="EO83" s="8"/>
      <c r="EP83" s="8"/>
      <c r="EQ83" s="8"/>
      <c r="ER83" s="1266"/>
      <c r="ES83" s="300" t="s">
        <v>533</v>
      </c>
      <c r="ET83" t="s">
        <v>533</v>
      </c>
      <c r="EU83" s="8"/>
      <c r="EV83" s="8"/>
      <c r="EW83" s="8"/>
      <c r="EX83" s="8"/>
      <c r="FC83" s="300"/>
      <c r="FE83" s="8"/>
      <c r="FF83" s="8"/>
      <c r="FG83" s="8"/>
      <c r="FH83" s="8"/>
      <c r="FI83" s="8"/>
      <c r="FJ83" s="8"/>
      <c r="FK83" s="8"/>
      <c r="FL83" s="1266"/>
      <c r="FM83" s="300"/>
      <c r="FO83" s="8"/>
      <c r="FP83" s="8"/>
      <c r="FQ83" s="8"/>
      <c r="FR83" s="8"/>
      <c r="FS83" s="8"/>
      <c r="FT83" s="8"/>
      <c r="FU83" s="8"/>
      <c r="FV83" s="1266"/>
      <c r="FW83" s="300" t="s">
        <v>534</v>
      </c>
      <c r="FZ83" s="8"/>
      <c r="GA83" s="8"/>
      <c r="GB83" s="8"/>
      <c r="GC83" s="8"/>
      <c r="GD83" s="8"/>
      <c r="GE83" s="8"/>
      <c r="GF83" s="8"/>
      <c r="GG83" s="1266"/>
      <c r="GH83" s="300"/>
      <c r="GJ83" s="8"/>
      <c r="GK83" s="8"/>
      <c r="GL83" s="8"/>
      <c r="GM83" s="8"/>
      <c r="GN83" s="8"/>
      <c r="GO83" s="8"/>
      <c r="GP83" s="8"/>
      <c r="GQ83" s="1266"/>
      <c r="GR83" s="300" t="s">
        <v>533</v>
      </c>
      <c r="GS83" t="s">
        <v>534</v>
      </c>
      <c r="GT83" s="8"/>
      <c r="GU83" s="8"/>
      <c r="GV83" s="8"/>
      <c r="GW83" s="8"/>
      <c r="GX83" s="8"/>
      <c r="GY83" s="8"/>
      <c r="GZ83" s="8"/>
      <c r="HA83" s="1266"/>
      <c r="HB83" s="300"/>
      <c r="HD83" s="8"/>
      <c r="HE83" s="8"/>
      <c r="HF83" s="8"/>
      <c r="HG83" s="8"/>
      <c r="HL83" s="300"/>
      <c r="HN83" s="8"/>
      <c r="HO83" s="8"/>
      <c r="HP83" s="8"/>
      <c r="HQ83" s="8"/>
      <c r="HR83" s="8"/>
      <c r="HS83" s="8"/>
      <c r="HT83" s="8"/>
      <c r="HU83" s="1266"/>
      <c r="HV83" s="300"/>
      <c r="HY83" s="8"/>
      <c r="HZ83" s="8"/>
      <c r="IA83" s="8"/>
      <c r="IB83" s="8"/>
      <c r="IC83" s="8"/>
      <c r="ID83" s="8"/>
      <c r="IE83" s="8"/>
      <c r="IF83" s="1266"/>
      <c r="IG83" s="300"/>
      <c r="II83" s="8"/>
      <c r="IJ83" s="8"/>
      <c r="IK83" s="8"/>
      <c r="IL83" s="8"/>
      <c r="IM83" s="8"/>
      <c r="IN83" s="8"/>
      <c r="IO83" s="8"/>
      <c r="IP83" s="1266"/>
      <c r="IQ83" s="300"/>
      <c r="IS83" s="8"/>
      <c r="IT83" s="8"/>
      <c r="IU83" s="8"/>
      <c r="IV83" s="8"/>
      <c r="IW83" s="8"/>
      <c r="IX83" s="8"/>
      <c r="IY83" s="8"/>
      <c r="IZ83" s="1266"/>
      <c r="JA83" s="300"/>
      <c r="JC83" s="8"/>
      <c r="JD83" s="8"/>
      <c r="JE83" s="8"/>
      <c r="JF83" s="8"/>
      <c r="JG83" s="8"/>
      <c r="JH83" s="8"/>
      <c r="JI83" s="8"/>
      <c r="JJ83" s="1266"/>
      <c r="JK83" s="300"/>
      <c r="JM83" s="8"/>
      <c r="JN83" s="8"/>
      <c r="JO83" s="8"/>
      <c r="JP83" s="8"/>
    </row>
    <row r="84" spans="3:276" x14ac:dyDescent="0.3">
      <c r="C84" t="s">
        <v>2180</v>
      </c>
      <c r="AE84" s="300" t="s">
        <v>534</v>
      </c>
      <c r="AF84" t="s">
        <v>534</v>
      </c>
      <c r="AG84" s="8"/>
      <c r="AH84" s="8"/>
      <c r="AI84" s="8"/>
      <c r="AJ84" s="8"/>
      <c r="AK84" s="8"/>
      <c r="AL84" s="8"/>
      <c r="AM84" s="8"/>
      <c r="AN84" s="1266"/>
      <c r="AO84" s="300" t="s">
        <v>2229</v>
      </c>
      <c r="AR84" t="s">
        <v>533</v>
      </c>
      <c r="AS84" s="8"/>
      <c r="AT84" s="8"/>
      <c r="AU84" s="8"/>
      <c r="AV84" s="8"/>
      <c r="AW84" s="8"/>
      <c r="AX84" s="8"/>
      <c r="AY84" s="8"/>
      <c r="AZ84" s="1266"/>
      <c r="BA84" s="300" t="s">
        <v>533</v>
      </c>
      <c r="BE84" t="s">
        <v>534</v>
      </c>
      <c r="BF84" s="8"/>
      <c r="BG84" s="8"/>
      <c r="BH84" s="8"/>
      <c r="BI84" s="8"/>
      <c r="BJ84" s="8"/>
      <c r="BK84" s="8"/>
      <c r="BL84" s="8"/>
      <c r="BM84" s="1266"/>
      <c r="BN84" s="300"/>
      <c r="BS84" s="8"/>
      <c r="BT84" s="8"/>
      <c r="BU84" s="8"/>
      <c r="BV84" s="8"/>
      <c r="BW84" s="8"/>
      <c r="BX84" s="8"/>
      <c r="BY84" s="8"/>
      <c r="BZ84" s="1266"/>
      <c r="CA84" s="300" t="s">
        <v>535</v>
      </c>
      <c r="CB84" t="s">
        <v>534</v>
      </c>
      <c r="CC84" s="8"/>
      <c r="CD84" s="8"/>
      <c r="CE84" s="8"/>
      <c r="CF84" s="8"/>
      <c r="CG84" s="8"/>
      <c r="CH84" s="8"/>
      <c r="CI84" s="8"/>
      <c r="CJ84" s="1266"/>
      <c r="CK84" s="300" t="s">
        <v>534</v>
      </c>
      <c r="CM84" s="8"/>
      <c r="CN84" s="8"/>
      <c r="CO84" s="8"/>
      <c r="CP84" s="8"/>
      <c r="CU84" s="300"/>
      <c r="CW84" s="8"/>
      <c r="CX84" s="8"/>
      <c r="CY84" s="8"/>
      <c r="CZ84" s="8"/>
      <c r="DA84" s="8"/>
      <c r="DB84" s="8"/>
      <c r="DC84" s="8"/>
      <c r="DD84" s="1266"/>
      <c r="DE84" s="300" t="s">
        <v>534</v>
      </c>
      <c r="DG84" s="8"/>
      <c r="DH84" s="8"/>
      <c r="DI84" s="8"/>
      <c r="DJ84" s="8"/>
      <c r="DK84" s="8"/>
      <c r="DL84" s="8"/>
      <c r="DM84" s="8"/>
      <c r="DN84" s="1266"/>
      <c r="DO84" s="300"/>
      <c r="DQ84" s="8"/>
      <c r="DR84" s="8"/>
      <c r="DS84" s="8"/>
      <c r="DT84" s="8"/>
      <c r="DU84" s="8"/>
      <c r="DV84" s="8"/>
      <c r="DW84" s="8"/>
      <c r="DX84" s="1266"/>
      <c r="DY84" s="300" t="s">
        <v>534</v>
      </c>
      <c r="EA84" s="8"/>
      <c r="EB84" s="8"/>
      <c r="EC84" s="8"/>
      <c r="ED84" s="8"/>
      <c r="EE84" s="8"/>
      <c r="EF84" s="8"/>
      <c r="EG84" s="8"/>
      <c r="EH84" s="1266"/>
      <c r="EI84" s="300" t="s">
        <v>533</v>
      </c>
      <c r="EK84" s="8"/>
      <c r="EL84" s="8"/>
      <c r="EM84" s="8"/>
      <c r="EN84" s="8"/>
      <c r="EO84" s="8"/>
      <c r="EP84" s="8"/>
      <c r="EQ84" s="8"/>
      <c r="ER84" s="1266"/>
      <c r="ES84" s="300" t="s">
        <v>533</v>
      </c>
      <c r="EU84" s="8"/>
      <c r="EV84" s="8"/>
      <c r="EW84" s="8"/>
      <c r="EX84" s="8"/>
      <c r="FC84" s="300"/>
      <c r="FE84" s="8"/>
      <c r="FF84" s="8"/>
      <c r="FG84" s="8"/>
      <c r="FH84" s="8"/>
      <c r="FI84" s="8"/>
      <c r="FJ84" s="8"/>
      <c r="FK84" s="8"/>
      <c r="FL84" s="1266"/>
      <c r="FM84" s="300" t="s">
        <v>534</v>
      </c>
      <c r="FN84" t="s">
        <v>534</v>
      </c>
      <c r="FO84" s="8" t="s">
        <v>534</v>
      </c>
      <c r="FP84" s="8"/>
      <c r="FQ84" s="8"/>
      <c r="FR84" s="8"/>
      <c r="FS84" s="8"/>
      <c r="FT84" s="8"/>
      <c r="FU84" s="8"/>
      <c r="FV84" s="1266"/>
      <c r="FW84" s="300"/>
      <c r="FZ84" s="8"/>
      <c r="GA84" s="8"/>
      <c r="GB84" s="8"/>
      <c r="GC84" s="8"/>
      <c r="GD84" s="8"/>
      <c r="GE84" s="8"/>
      <c r="GF84" s="8"/>
      <c r="GG84" s="1266"/>
      <c r="GH84" s="300"/>
      <c r="GJ84" s="8"/>
      <c r="GK84" s="8"/>
      <c r="GL84" s="8"/>
      <c r="GM84" s="8"/>
      <c r="GN84" s="8"/>
      <c r="GO84" s="8"/>
      <c r="GP84" s="8"/>
      <c r="GQ84" s="1266"/>
      <c r="GR84" s="300" t="s">
        <v>534</v>
      </c>
      <c r="GT84" s="8"/>
      <c r="GU84" s="8"/>
      <c r="GV84" s="8"/>
      <c r="GW84" s="8"/>
      <c r="GX84" s="8"/>
      <c r="GY84" s="8"/>
      <c r="GZ84" s="8"/>
      <c r="HA84" s="1266"/>
      <c r="HB84" s="300" t="s">
        <v>534</v>
      </c>
      <c r="HD84" s="8"/>
      <c r="HE84" s="8"/>
      <c r="HF84" s="8"/>
      <c r="HG84" s="8"/>
      <c r="HL84" s="300"/>
      <c r="HN84" s="8"/>
      <c r="HO84" s="8"/>
      <c r="HP84" s="8"/>
      <c r="HQ84" s="8"/>
      <c r="HR84" s="8"/>
      <c r="HS84" s="8"/>
      <c r="HT84" s="8"/>
      <c r="HU84" s="1266"/>
      <c r="HV84" s="300"/>
      <c r="HY84" s="8"/>
      <c r="HZ84" s="8"/>
      <c r="IA84" s="8"/>
      <c r="IB84" s="8"/>
      <c r="IC84" s="8"/>
      <c r="ID84" s="8"/>
      <c r="IE84" s="8"/>
      <c r="IF84" s="1266"/>
      <c r="IG84" s="300"/>
      <c r="II84" s="8"/>
      <c r="IJ84" s="8"/>
      <c r="IK84" s="8"/>
      <c r="IL84" s="8"/>
      <c r="IM84" s="8"/>
      <c r="IN84" s="8"/>
      <c r="IO84" s="8"/>
      <c r="IP84" s="1266"/>
      <c r="IQ84" s="300"/>
      <c r="IS84" s="8"/>
      <c r="IT84" s="8"/>
      <c r="IU84" s="8"/>
      <c r="IV84" s="8"/>
      <c r="IW84" s="8"/>
      <c r="IX84" s="8"/>
      <c r="IY84" s="8"/>
      <c r="IZ84" s="1266"/>
      <c r="JA84" s="300"/>
      <c r="JC84" s="8"/>
      <c r="JD84" s="8"/>
      <c r="JE84" s="8"/>
      <c r="JF84" s="8"/>
      <c r="JG84" s="8"/>
      <c r="JH84" s="8"/>
      <c r="JI84" s="8"/>
      <c r="JJ84" s="1266"/>
      <c r="JK84" s="300"/>
      <c r="JM84" s="8"/>
      <c r="JN84" s="8"/>
      <c r="JO84" s="8"/>
      <c r="JP84" s="8"/>
    </row>
    <row r="85" spans="3:276" x14ac:dyDescent="0.3">
      <c r="C85" t="s">
        <v>1597</v>
      </c>
      <c r="AE85" s="300"/>
      <c r="AG85" s="8"/>
      <c r="AH85" s="8"/>
      <c r="AI85" s="8"/>
      <c r="AJ85" s="8"/>
      <c r="AK85" s="8"/>
      <c r="AL85" s="8"/>
      <c r="AM85" s="8"/>
      <c r="AN85" s="1266"/>
      <c r="AO85" s="300" t="s">
        <v>681</v>
      </c>
      <c r="AS85" s="8"/>
      <c r="AT85" s="8"/>
      <c r="AU85" s="8"/>
      <c r="AV85" s="8"/>
      <c r="AW85" s="8"/>
      <c r="AX85" s="8"/>
      <c r="AY85" s="8"/>
      <c r="AZ85" s="1266"/>
      <c r="BA85" s="300"/>
      <c r="BF85" s="8"/>
      <c r="BG85" s="8"/>
      <c r="BH85" s="8"/>
      <c r="BI85" s="8"/>
      <c r="BJ85" s="8"/>
      <c r="BK85" s="8"/>
      <c r="BL85" s="8"/>
      <c r="BM85" s="1266"/>
      <c r="BN85" s="300" t="s">
        <v>681</v>
      </c>
      <c r="BS85" s="8"/>
      <c r="BT85" s="8"/>
      <c r="BU85" s="8"/>
      <c r="BV85" s="8"/>
      <c r="BW85" s="8"/>
      <c r="BX85" s="8"/>
      <c r="BY85" s="8"/>
      <c r="BZ85" s="1266"/>
      <c r="CA85" s="300" t="s">
        <v>681</v>
      </c>
      <c r="CC85" s="8"/>
      <c r="CD85" s="8"/>
      <c r="CE85" s="8"/>
      <c r="CF85" s="8"/>
      <c r="CG85" s="8"/>
      <c r="CH85" s="8"/>
      <c r="CI85" s="8"/>
      <c r="CJ85" s="1266"/>
      <c r="CK85" s="300"/>
      <c r="CM85" s="8"/>
      <c r="CN85" s="8"/>
      <c r="CO85" s="8"/>
      <c r="CP85" s="8"/>
      <c r="CU85" s="300"/>
      <c r="CW85" s="8"/>
      <c r="CX85" s="8"/>
      <c r="CY85" s="8"/>
      <c r="CZ85" s="8"/>
      <c r="DA85" s="8"/>
      <c r="DB85" s="8"/>
      <c r="DC85" s="8"/>
      <c r="DD85" s="1266"/>
      <c r="DE85" s="300" t="s">
        <v>681</v>
      </c>
      <c r="DG85" s="8"/>
      <c r="DH85" s="8"/>
      <c r="DI85" s="8"/>
      <c r="DJ85" s="8"/>
      <c r="DK85" s="8"/>
      <c r="DL85" s="8"/>
      <c r="DM85" s="8"/>
      <c r="DN85" s="1266"/>
      <c r="DO85" s="300"/>
      <c r="DQ85" s="8"/>
      <c r="DR85" s="8"/>
      <c r="DS85" s="8"/>
      <c r="DT85" s="8"/>
      <c r="DU85" s="8"/>
      <c r="DV85" s="8"/>
      <c r="DW85" s="8"/>
      <c r="DX85" s="1266"/>
      <c r="DY85" s="300" t="s">
        <v>681</v>
      </c>
      <c r="EA85" s="8"/>
      <c r="EB85" s="8"/>
      <c r="EC85" s="8"/>
      <c r="ED85" s="8"/>
      <c r="EE85" s="8"/>
      <c r="EF85" s="8"/>
      <c r="EG85" s="8"/>
      <c r="EH85" s="1266"/>
      <c r="EI85" s="300" t="s">
        <v>681</v>
      </c>
      <c r="EK85" s="8"/>
      <c r="EL85" s="8"/>
      <c r="EM85" s="8"/>
      <c r="EN85" s="8"/>
      <c r="EO85" s="8"/>
      <c r="EP85" s="8"/>
      <c r="EQ85" s="8"/>
      <c r="ER85" s="1266"/>
      <c r="ES85" s="300"/>
      <c r="EU85" s="8"/>
      <c r="EV85" s="8"/>
      <c r="EW85" s="8"/>
      <c r="EX85" s="8"/>
      <c r="FC85" s="300" t="s">
        <v>681</v>
      </c>
      <c r="FE85" s="8"/>
      <c r="FF85" s="8"/>
      <c r="FG85" s="8"/>
      <c r="FH85" s="8"/>
      <c r="FI85" s="8"/>
      <c r="FJ85" s="8"/>
      <c r="FK85" s="8"/>
      <c r="FL85" s="1266"/>
      <c r="FM85" s="300"/>
      <c r="FO85" s="8"/>
      <c r="FP85" s="8"/>
      <c r="FQ85" s="8"/>
      <c r="FR85" s="8"/>
      <c r="FS85" s="8"/>
      <c r="FT85" s="8"/>
      <c r="FU85" s="8"/>
      <c r="FV85" s="1266"/>
      <c r="FW85" s="300"/>
      <c r="FZ85" s="8"/>
      <c r="GA85" s="8"/>
      <c r="GB85" s="8"/>
      <c r="GC85" s="8"/>
      <c r="GD85" s="8"/>
      <c r="GE85" s="8"/>
      <c r="GF85" s="8"/>
      <c r="GG85" s="1266"/>
      <c r="GH85" s="300" t="s">
        <v>681</v>
      </c>
      <c r="GJ85" s="8"/>
      <c r="GK85" s="8"/>
      <c r="GL85" s="8"/>
      <c r="GM85" s="8"/>
      <c r="GN85" s="8"/>
      <c r="GO85" s="8"/>
      <c r="GP85" s="8"/>
      <c r="GQ85" s="1266"/>
      <c r="GR85" s="300"/>
      <c r="GT85" s="8"/>
      <c r="GU85" s="8"/>
      <c r="GV85" s="8"/>
      <c r="GW85" s="8"/>
      <c r="GX85" s="8"/>
      <c r="GY85" s="8"/>
      <c r="GZ85" s="8"/>
      <c r="HA85" s="1266"/>
      <c r="HB85" s="300" t="s">
        <v>681</v>
      </c>
      <c r="HD85" s="8"/>
      <c r="HE85" s="8"/>
      <c r="HF85" s="8"/>
      <c r="HG85" s="8"/>
      <c r="HL85" s="300"/>
      <c r="HN85" s="8"/>
      <c r="HO85" s="8"/>
      <c r="HP85" s="8"/>
      <c r="HQ85" s="8"/>
      <c r="HR85" s="8"/>
      <c r="HS85" s="8"/>
      <c r="HT85" s="8"/>
      <c r="HU85" s="1266"/>
      <c r="HV85" s="300" t="s">
        <v>681</v>
      </c>
      <c r="HY85" s="8"/>
      <c r="HZ85" s="8"/>
      <c r="IA85" s="8"/>
      <c r="IB85" s="8"/>
      <c r="IC85" s="8"/>
      <c r="ID85" s="8"/>
      <c r="IE85" s="8"/>
      <c r="IF85" s="1266"/>
      <c r="IG85" s="300"/>
      <c r="II85" s="8"/>
      <c r="IJ85" s="8"/>
      <c r="IK85" s="8"/>
      <c r="IL85" s="8"/>
      <c r="IM85" s="8"/>
      <c r="IN85" s="8"/>
      <c r="IO85" s="8"/>
      <c r="IP85" s="1266"/>
      <c r="IQ85" s="300"/>
      <c r="IS85" s="8"/>
      <c r="IT85" s="8"/>
      <c r="IU85" s="8"/>
      <c r="IV85" s="8"/>
      <c r="IW85" s="8"/>
      <c r="IX85" s="8"/>
      <c r="IY85" s="8"/>
      <c r="IZ85" s="1266"/>
      <c r="JA85" s="300"/>
      <c r="JC85" s="8"/>
      <c r="JD85" s="8"/>
      <c r="JE85" s="8"/>
      <c r="JF85" s="8"/>
      <c r="JG85" s="8"/>
      <c r="JH85" s="8"/>
      <c r="JI85" s="8"/>
      <c r="JJ85" s="1266"/>
      <c r="JK85" s="300"/>
      <c r="JM85" s="8"/>
      <c r="JN85" s="8"/>
      <c r="JO85" s="8"/>
      <c r="JP85" s="8"/>
    </row>
    <row r="86" spans="3:276" x14ac:dyDescent="0.3">
      <c r="C86" t="s">
        <v>50</v>
      </c>
      <c r="AE86" s="300" t="s">
        <v>533</v>
      </c>
      <c r="AG86" s="8"/>
      <c r="AH86" s="8"/>
      <c r="AI86" s="8"/>
      <c r="AJ86" s="8"/>
      <c r="AK86" s="8"/>
      <c r="AL86" s="8"/>
      <c r="AM86" s="8"/>
      <c r="AN86" s="1266"/>
      <c r="AO86" s="300" t="s">
        <v>534</v>
      </c>
      <c r="AR86" t="s">
        <v>534</v>
      </c>
      <c r="AS86" s="8" t="s">
        <v>533</v>
      </c>
      <c r="AT86" s="8" t="s">
        <v>533</v>
      </c>
      <c r="AU86" s="8"/>
      <c r="AV86" s="8"/>
      <c r="AW86" s="8"/>
      <c r="AX86" s="8"/>
      <c r="AY86" s="8"/>
      <c r="AZ86" s="1266"/>
      <c r="BA86" s="300"/>
      <c r="BF86" s="8"/>
      <c r="BG86" s="8"/>
      <c r="BH86" s="8"/>
      <c r="BI86" s="8"/>
      <c r="BJ86" s="8"/>
      <c r="BK86" s="8"/>
      <c r="BL86" s="8"/>
      <c r="BM86" s="1266"/>
      <c r="BN86" s="300" t="s">
        <v>2229</v>
      </c>
      <c r="BR86" t="s">
        <v>533</v>
      </c>
      <c r="BS86" s="8" t="s">
        <v>533</v>
      </c>
      <c r="BT86" s="8" t="s">
        <v>533</v>
      </c>
      <c r="BU86" s="8" t="s">
        <v>533</v>
      </c>
      <c r="BV86" s="8" t="s">
        <v>992</v>
      </c>
      <c r="BW86" s="8"/>
      <c r="BX86" s="8"/>
      <c r="BY86" s="8"/>
      <c r="BZ86" s="1266"/>
      <c r="CA86" s="300" t="s">
        <v>534</v>
      </c>
      <c r="CB86" t="s">
        <v>533</v>
      </c>
      <c r="CC86" s="8"/>
      <c r="CD86" s="8"/>
      <c r="CE86" s="8"/>
      <c r="CF86" s="8"/>
      <c r="CG86" s="8"/>
      <c r="CH86" s="8"/>
      <c r="CI86" s="8"/>
      <c r="CJ86" s="1266"/>
      <c r="CK86" s="300" t="s">
        <v>534</v>
      </c>
      <c r="CM86" s="8"/>
      <c r="CN86" s="8"/>
      <c r="CO86" s="8"/>
      <c r="CP86" s="8"/>
      <c r="CU86" s="300"/>
      <c r="CW86" s="8"/>
      <c r="CX86" s="8"/>
      <c r="CY86" s="8"/>
      <c r="CZ86" s="8"/>
      <c r="DA86" s="8"/>
      <c r="DB86" s="8"/>
      <c r="DC86" s="8"/>
      <c r="DD86" s="1266"/>
      <c r="DE86" s="300" t="s">
        <v>533</v>
      </c>
      <c r="DG86" s="8"/>
      <c r="DH86" s="8"/>
      <c r="DI86" s="8"/>
      <c r="DJ86" s="8"/>
      <c r="DK86" s="8"/>
      <c r="DL86" s="8"/>
      <c r="DM86" s="8"/>
      <c r="DN86" s="1266"/>
      <c r="DO86" s="300"/>
      <c r="DQ86" s="8"/>
      <c r="DR86" s="8"/>
      <c r="DS86" s="8"/>
      <c r="DT86" s="8"/>
      <c r="DU86" s="8"/>
      <c r="DV86" s="8"/>
      <c r="DW86" s="8"/>
      <c r="DX86" s="1266"/>
      <c r="DY86" s="300" t="s">
        <v>2229</v>
      </c>
      <c r="DZ86" t="s">
        <v>533</v>
      </c>
      <c r="EA86" s="8" t="s">
        <v>533</v>
      </c>
      <c r="EB86" s="8" t="s">
        <v>534</v>
      </c>
      <c r="EC86" s="8"/>
      <c r="ED86" s="8"/>
      <c r="EE86" s="8"/>
      <c r="EF86" s="8"/>
      <c r="EG86" s="8"/>
      <c r="EH86" s="1266"/>
      <c r="EI86" s="300" t="s">
        <v>533</v>
      </c>
      <c r="EJ86" t="s">
        <v>534</v>
      </c>
      <c r="EK86" s="8" t="s">
        <v>533</v>
      </c>
      <c r="EL86" s="8" t="s">
        <v>533</v>
      </c>
      <c r="EM86" s="8" t="s">
        <v>992</v>
      </c>
      <c r="EN86" s="8"/>
      <c r="EO86" s="8"/>
      <c r="EP86" s="8"/>
      <c r="EQ86" s="8"/>
      <c r="ER86" s="1266"/>
      <c r="ES86" s="300" t="s">
        <v>2229</v>
      </c>
      <c r="ET86" t="s">
        <v>533</v>
      </c>
      <c r="EU86" s="8"/>
      <c r="EV86" s="8"/>
      <c r="EW86" s="8"/>
      <c r="EX86" s="8"/>
      <c r="FC86" s="300"/>
      <c r="FE86" s="8"/>
      <c r="FF86" s="8"/>
      <c r="FG86" s="8"/>
      <c r="FH86" s="8"/>
      <c r="FI86" s="8"/>
      <c r="FJ86" s="8"/>
      <c r="FK86" s="8"/>
      <c r="FL86" s="1266"/>
      <c r="FM86" s="300" t="s">
        <v>534</v>
      </c>
      <c r="FO86" s="8"/>
      <c r="FP86" s="8"/>
      <c r="FQ86" s="8"/>
      <c r="FR86" s="8"/>
      <c r="FS86" s="8"/>
      <c r="FT86" s="8"/>
      <c r="FU86" s="8"/>
      <c r="FV86" s="1266"/>
      <c r="FW86" s="300"/>
      <c r="FZ86" s="8"/>
      <c r="GA86" s="8"/>
      <c r="GB86" s="8"/>
      <c r="GC86" s="8"/>
      <c r="GD86" s="8"/>
      <c r="GE86" s="8"/>
      <c r="GF86" s="8"/>
      <c r="GG86" s="1266"/>
      <c r="GH86" s="300" t="s">
        <v>533</v>
      </c>
      <c r="GI86" t="s">
        <v>533</v>
      </c>
      <c r="GJ86" s="8"/>
      <c r="GK86" s="8"/>
      <c r="GL86" s="8"/>
      <c r="GM86" s="8"/>
      <c r="GN86" s="8"/>
      <c r="GO86" s="8"/>
      <c r="GP86" s="8"/>
      <c r="GQ86" s="1266"/>
      <c r="GR86" s="300"/>
      <c r="GT86" s="8"/>
      <c r="GU86" s="8"/>
      <c r="GV86" s="8"/>
      <c r="GW86" s="8"/>
      <c r="GX86" s="8"/>
      <c r="GY86" s="8"/>
      <c r="GZ86" s="8"/>
      <c r="HA86" s="1266"/>
      <c r="HB86" s="300" t="s">
        <v>533</v>
      </c>
      <c r="HC86" t="s">
        <v>534</v>
      </c>
      <c r="HD86" s="8"/>
      <c r="HE86" s="8"/>
      <c r="HF86" s="8"/>
      <c r="HG86" s="8"/>
      <c r="HL86" s="300" t="s">
        <v>533</v>
      </c>
      <c r="HN86" s="8"/>
      <c r="HO86" s="8"/>
      <c r="HP86" s="8"/>
      <c r="HQ86" s="8"/>
      <c r="HR86" s="8"/>
      <c r="HS86" s="8"/>
      <c r="HT86" s="8"/>
      <c r="HU86" s="1266"/>
      <c r="HV86" s="300" t="s">
        <v>533</v>
      </c>
      <c r="HX86" t="s">
        <v>533</v>
      </c>
      <c r="HY86" s="8" t="s">
        <v>533</v>
      </c>
      <c r="HZ86" s="8" t="s">
        <v>992</v>
      </c>
      <c r="IA86" s="8"/>
      <c r="IB86" s="8"/>
      <c r="IC86" s="8"/>
      <c r="ID86" s="8"/>
      <c r="IE86" s="8"/>
      <c r="IF86" s="1266"/>
      <c r="IG86" s="300"/>
      <c r="II86" s="8"/>
      <c r="IJ86" s="8"/>
      <c r="IK86" s="8"/>
      <c r="IL86" s="8"/>
      <c r="IM86" s="8"/>
      <c r="IN86" s="8"/>
      <c r="IO86" s="8"/>
      <c r="IP86" s="1266"/>
      <c r="IQ86" s="300"/>
      <c r="IS86" s="8"/>
      <c r="IT86" s="8"/>
      <c r="IU86" s="8"/>
      <c r="IV86" s="8"/>
      <c r="IW86" s="8"/>
      <c r="IX86" s="8"/>
      <c r="IY86" s="8"/>
      <c r="IZ86" s="1266"/>
      <c r="JA86" s="300"/>
      <c r="JC86" s="8"/>
      <c r="JD86" s="8"/>
      <c r="JE86" s="8"/>
      <c r="JF86" s="8"/>
      <c r="JG86" s="8"/>
      <c r="JH86" s="8"/>
      <c r="JI86" s="8"/>
      <c r="JJ86" s="1266"/>
      <c r="JK86" s="300"/>
      <c r="JM86" s="8"/>
      <c r="JN86" s="8"/>
      <c r="JO86" s="8"/>
      <c r="JP86" s="8"/>
    </row>
    <row r="87" spans="3:276" x14ac:dyDescent="0.3">
      <c r="C87" t="s">
        <v>2148</v>
      </c>
      <c r="AE87" s="300"/>
      <c r="AG87" s="8"/>
      <c r="AH87" s="8"/>
      <c r="AI87" s="8"/>
      <c r="AJ87" s="8"/>
      <c r="AK87" s="8"/>
      <c r="AL87" s="8"/>
      <c r="AM87" s="8"/>
      <c r="AN87" s="1266"/>
      <c r="AO87" s="300" t="s">
        <v>533</v>
      </c>
      <c r="AR87" t="s">
        <v>533</v>
      </c>
      <c r="AS87" s="8" t="s">
        <v>533</v>
      </c>
      <c r="AT87" s="8" t="s">
        <v>534</v>
      </c>
      <c r="AU87" s="8" t="s">
        <v>992</v>
      </c>
      <c r="AV87" s="8"/>
      <c r="AW87" s="8"/>
      <c r="AX87" s="8"/>
      <c r="AY87" s="8"/>
      <c r="AZ87" s="1266"/>
      <c r="BA87" s="300"/>
      <c r="BF87" s="8"/>
      <c r="BG87" s="8"/>
      <c r="BH87" s="8"/>
      <c r="BI87" s="8"/>
      <c r="BJ87" s="8"/>
      <c r="BK87" s="8"/>
      <c r="BL87" s="8"/>
      <c r="BM87" s="1266"/>
      <c r="BN87" s="300"/>
      <c r="BS87" s="8"/>
      <c r="BT87" s="8"/>
      <c r="BU87" s="8"/>
      <c r="BV87" s="8"/>
      <c r="BW87" s="8"/>
      <c r="BX87" s="8"/>
      <c r="BY87" s="8"/>
      <c r="BZ87" s="1266"/>
      <c r="CA87" s="300" t="s">
        <v>533</v>
      </c>
      <c r="CB87" t="s">
        <v>533</v>
      </c>
      <c r="CC87" s="8"/>
      <c r="CD87" s="8"/>
      <c r="CE87" s="8"/>
      <c r="CF87" s="8"/>
      <c r="CG87" s="8"/>
      <c r="CH87" s="8"/>
      <c r="CI87" s="8"/>
      <c r="CJ87" s="1266"/>
      <c r="CK87" s="300" t="s">
        <v>533</v>
      </c>
      <c r="CL87" t="s">
        <v>533</v>
      </c>
      <c r="CM87" s="8"/>
      <c r="CN87" s="8"/>
      <c r="CO87" s="8"/>
      <c r="CP87" s="8"/>
      <c r="CU87" s="300"/>
      <c r="CW87" s="8"/>
      <c r="CX87" s="8"/>
      <c r="CY87" s="8"/>
      <c r="CZ87" s="8"/>
      <c r="DA87" s="8"/>
      <c r="DB87" s="8"/>
      <c r="DC87" s="8"/>
      <c r="DD87" s="1266"/>
      <c r="DE87" s="300"/>
      <c r="DG87" s="8"/>
      <c r="DH87" s="8"/>
      <c r="DI87" s="8"/>
      <c r="DJ87" s="8"/>
      <c r="DK87" s="8"/>
      <c r="DL87" s="8"/>
      <c r="DM87" s="8"/>
      <c r="DN87" s="1266"/>
      <c r="DO87" s="300"/>
      <c r="DQ87" s="8"/>
      <c r="DR87" s="8"/>
      <c r="DS87" s="8"/>
      <c r="DT87" s="8"/>
      <c r="DU87" s="8"/>
      <c r="DV87" s="8"/>
      <c r="DW87" s="8"/>
      <c r="DX87" s="1266"/>
      <c r="DY87" s="300"/>
      <c r="EA87" s="8"/>
      <c r="EB87" s="8"/>
      <c r="EC87" s="8"/>
      <c r="ED87" s="8"/>
      <c r="EE87" s="8"/>
      <c r="EF87" s="8"/>
      <c r="EG87" s="8"/>
      <c r="EH87" s="1266"/>
      <c r="EI87" s="300"/>
      <c r="EK87" s="8"/>
      <c r="EL87" s="8"/>
      <c r="EM87" s="8"/>
      <c r="EN87" s="8"/>
      <c r="EO87" s="8"/>
      <c r="EP87" s="8"/>
      <c r="EQ87" s="8"/>
      <c r="ER87" s="1266"/>
      <c r="ES87" s="300"/>
      <c r="EU87" s="8"/>
      <c r="EV87" s="8"/>
      <c r="EW87" s="8"/>
      <c r="EX87" s="8"/>
      <c r="FC87" s="300" t="s">
        <v>534</v>
      </c>
      <c r="FE87" s="8"/>
      <c r="FF87" s="8"/>
      <c r="FG87" s="8"/>
      <c r="FH87" s="8"/>
      <c r="FI87" s="8"/>
      <c r="FJ87" s="8"/>
      <c r="FK87" s="8"/>
      <c r="FL87" s="1266"/>
      <c r="FM87" s="300" t="s">
        <v>2229</v>
      </c>
      <c r="FN87" t="s">
        <v>534</v>
      </c>
      <c r="FO87" s="8" t="s">
        <v>533</v>
      </c>
      <c r="FP87" s="8" t="s">
        <v>637</v>
      </c>
      <c r="FQ87" s="8" t="s">
        <v>533</v>
      </c>
      <c r="FR87" s="8" t="s">
        <v>533</v>
      </c>
      <c r="FS87" s="8" t="s">
        <v>992</v>
      </c>
      <c r="FT87" s="8"/>
      <c r="FU87" s="8"/>
      <c r="FV87" s="1266"/>
      <c r="FW87" s="300" t="s">
        <v>533</v>
      </c>
      <c r="FY87" t="s">
        <v>693</v>
      </c>
      <c r="FZ87" s="8"/>
      <c r="GA87" s="8"/>
      <c r="GB87" s="8"/>
      <c r="GC87" s="8"/>
      <c r="GD87" s="8"/>
      <c r="GE87" s="8"/>
      <c r="GF87" s="8"/>
      <c r="GG87" s="1266"/>
      <c r="GH87" s="300" t="s">
        <v>534</v>
      </c>
      <c r="GI87" t="s">
        <v>533</v>
      </c>
      <c r="GJ87" s="8" t="s">
        <v>533</v>
      </c>
      <c r="GK87" s="8"/>
      <c r="GL87" s="8"/>
      <c r="GM87" s="8"/>
      <c r="GN87" s="8"/>
      <c r="GO87" s="8"/>
      <c r="GP87" s="8"/>
      <c r="GQ87" s="1266"/>
      <c r="GR87" s="300" t="s">
        <v>533</v>
      </c>
      <c r="GT87" s="8"/>
      <c r="GU87" s="8"/>
      <c r="GV87" s="8"/>
      <c r="GW87" s="8"/>
      <c r="GX87" s="8"/>
      <c r="GY87" s="8"/>
      <c r="GZ87" s="8"/>
      <c r="HA87" s="1266"/>
      <c r="HB87" s="300"/>
      <c r="HD87" s="8"/>
      <c r="HE87" s="8"/>
      <c r="HF87" s="8"/>
      <c r="HG87" s="8"/>
      <c r="HL87" s="300" t="s">
        <v>533</v>
      </c>
      <c r="HN87" s="8"/>
      <c r="HO87" s="8"/>
      <c r="HP87" s="8"/>
      <c r="HQ87" s="8"/>
      <c r="HR87" s="8"/>
      <c r="HS87" s="8"/>
      <c r="HT87" s="8"/>
      <c r="HU87" s="1266"/>
      <c r="HV87" s="300"/>
      <c r="HY87" s="8"/>
      <c r="HZ87" s="8"/>
      <c r="IA87" s="8"/>
      <c r="IB87" s="8"/>
      <c r="IC87" s="8"/>
      <c r="ID87" s="8"/>
      <c r="IE87" s="8"/>
      <c r="IF87" s="1266"/>
      <c r="IG87" s="300"/>
      <c r="II87" s="8"/>
      <c r="IJ87" s="8"/>
      <c r="IK87" s="8"/>
      <c r="IL87" s="8"/>
      <c r="IM87" s="8"/>
      <c r="IN87" s="8"/>
      <c r="IO87" s="8"/>
      <c r="IP87" s="1266"/>
      <c r="IQ87" s="300"/>
      <c r="IS87" s="8"/>
      <c r="IT87" s="8"/>
      <c r="IU87" s="8"/>
      <c r="IV87" s="8"/>
      <c r="IW87" s="8"/>
      <c r="IX87" s="8"/>
      <c r="IY87" s="8"/>
      <c r="IZ87" s="1266"/>
      <c r="JA87" s="300"/>
      <c r="JC87" s="8"/>
      <c r="JD87" s="8"/>
      <c r="JE87" s="8"/>
      <c r="JF87" s="8"/>
      <c r="JG87" s="8"/>
      <c r="JH87" s="8"/>
      <c r="JI87" s="8"/>
      <c r="JJ87" s="1266"/>
      <c r="JK87" s="300"/>
      <c r="JM87" s="8"/>
      <c r="JN87" s="8"/>
      <c r="JO87" s="8"/>
      <c r="JP87" s="8"/>
    </row>
    <row r="88" spans="3:276" x14ac:dyDescent="0.3">
      <c r="C88" t="s">
        <v>2184</v>
      </c>
      <c r="AE88" s="300" t="s">
        <v>533</v>
      </c>
      <c r="AF88" t="s">
        <v>533</v>
      </c>
      <c r="AG88" s="8" t="s">
        <v>534</v>
      </c>
      <c r="AH88" s="8"/>
      <c r="AI88" s="8"/>
      <c r="AJ88" s="8"/>
      <c r="AK88" s="8"/>
      <c r="AL88" s="8"/>
      <c r="AM88" s="8"/>
      <c r="AN88" s="1266"/>
      <c r="AO88" s="300" t="s">
        <v>534</v>
      </c>
      <c r="AS88" s="8"/>
      <c r="AT88" s="8"/>
      <c r="AU88" s="8"/>
      <c r="AV88" s="8"/>
      <c r="AW88" s="8"/>
      <c r="AX88" s="8"/>
      <c r="AY88" s="8"/>
      <c r="AZ88" s="1266"/>
      <c r="BA88" s="300" t="s">
        <v>534</v>
      </c>
      <c r="BE88" t="s">
        <v>533</v>
      </c>
      <c r="BF88" s="8"/>
      <c r="BG88" s="8"/>
      <c r="BH88" s="8"/>
      <c r="BI88" s="8"/>
      <c r="BJ88" s="8"/>
      <c r="BK88" s="8"/>
      <c r="BL88" s="8"/>
      <c r="BM88" s="1266"/>
      <c r="BN88" s="300"/>
      <c r="BS88" s="8"/>
      <c r="BT88" s="8"/>
      <c r="BU88" s="8"/>
      <c r="BV88" s="8"/>
      <c r="BW88" s="8"/>
      <c r="BX88" s="8"/>
      <c r="BY88" s="8"/>
      <c r="BZ88" s="1266"/>
      <c r="CA88" s="300"/>
      <c r="CC88" s="8"/>
      <c r="CD88" s="8"/>
      <c r="CE88" s="8"/>
      <c r="CF88" s="8"/>
      <c r="CG88" s="8"/>
      <c r="CH88" s="8"/>
      <c r="CI88" s="8"/>
      <c r="CJ88" s="1266"/>
      <c r="CK88" s="300"/>
      <c r="CM88" s="8"/>
      <c r="CN88" s="8"/>
      <c r="CO88" s="8"/>
      <c r="CP88" s="8"/>
      <c r="CU88" s="300" t="s">
        <v>533</v>
      </c>
      <c r="CW88" s="8"/>
      <c r="CX88" s="8"/>
      <c r="CY88" s="8"/>
      <c r="CZ88" s="8"/>
      <c r="DA88" s="8"/>
      <c r="DB88" s="8"/>
      <c r="DC88" s="8"/>
      <c r="DD88" s="1266"/>
      <c r="DE88" s="300" t="s">
        <v>533</v>
      </c>
      <c r="DF88" t="s">
        <v>534</v>
      </c>
      <c r="DG88" s="8"/>
      <c r="DH88" s="8"/>
      <c r="DI88" s="8"/>
      <c r="DJ88" s="8"/>
      <c r="DK88" s="8"/>
      <c r="DL88" s="8"/>
      <c r="DM88" s="8"/>
      <c r="DN88" s="1266"/>
      <c r="DO88" s="300" t="s">
        <v>535</v>
      </c>
      <c r="DP88" t="s">
        <v>534</v>
      </c>
      <c r="DQ88" s="8"/>
      <c r="DR88" s="8"/>
      <c r="DS88" s="8"/>
      <c r="DT88" s="8"/>
      <c r="DU88" s="8"/>
      <c r="DV88" s="8"/>
      <c r="DW88" s="8"/>
      <c r="DX88" s="1266"/>
      <c r="DY88" s="300" t="s">
        <v>535</v>
      </c>
      <c r="DZ88" t="s">
        <v>534</v>
      </c>
      <c r="EA88" s="8" t="s">
        <v>533</v>
      </c>
      <c r="EB88" s="8" t="s">
        <v>534</v>
      </c>
      <c r="EC88" s="8"/>
      <c r="ED88" s="8"/>
      <c r="EE88" s="8"/>
      <c r="EF88" s="8"/>
      <c r="EG88" s="8"/>
      <c r="EH88" s="1266"/>
      <c r="EI88" s="300" t="s">
        <v>534</v>
      </c>
      <c r="EK88" s="8"/>
      <c r="EL88" s="8"/>
      <c r="EM88" s="8"/>
      <c r="EN88" s="8"/>
      <c r="EO88" s="8"/>
      <c r="EP88" s="8"/>
      <c r="EQ88" s="8"/>
      <c r="ER88" s="1266"/>
      <c r="ES88" s="300" t="s">
        <v>534</v>
      </c>
      <c r="EU88" s="8"/>
      <c r="EV88" s="8"/>
      <c r="EW88" s="8"/>
      <c r="EX88" s="8"/>
      <c r="FC88" s="300" t="s">
        <v>534</v>
      </c>
      <c r="FE88" s="8"/>
      <c r="FF88" s="8"/>
      <c r="FG88" s="8"/>
      <c r="FH88" s="8"/>
      <c r="FI88" s="8"/>
      <c r="FJ88" s="8"/>
      <c r="FK88" s="8"/>
      <c r="FL88" s="1266"/>
      <c r="FM88" s="300"/>
      <c r="FO88" s="8"/>
      <c r="FP88" s="8"/>
      <c r="FQ88" s="8"/>
      <c r="FR88" s="8"/>
      <c r="FS88" s="8"/>
      <c r="FT88" s="8"/>
      <c r="FU88" s="8"/>
      <c r="FV88" s="1266"/>
      <c r="FW88" s="300" t="s">
        <v>534</v>
      </c>
      <c r="FZ88" s="8"/>
      <c r="GA88" s="8"/>
      <c r="GB88" s="8"/>
      <c r="GC88" s="8"/>
      <c r="GD88" s="8"/>
      <c r="GE88" s="8"/>
      <c r="GF88" s="8"/>
      <c r="GG88" s="1266"/>
      <c r="GH88" s="300" t="s">
        <v>534</v>
      </c>
      <c r="GI88" t="s">
        <v>534</v>
      </c>
      <c r="GJ88" s="8" t="s">
        <v>534</v>
      </c>
      <c r="GK88" s="8"/>
      <c r="GL88" s="8"/>
      <c r="GM88" s="8"/>
      <c r="GN88" s="8"/>
      <c r="GO88" s="8"/>
      <c r="GP88" s="8"/>
      <c r="GQ88" s="1266"/>
      <c r="GR88" s="300" t="s">
        <v>534</v>
      </c>
      <c r="GT88" s="8"/>
      <c r="GU88" s="8"/>
      <c r="GV88" s="8"/>
      <c r="GW88" s="8"/>
      <c r="GX88" s="8"/>
      <c r="GY88" s="8"/>
      <c r="GZ88" s="8"/>
      <c r="HA88" s="1266"/>
      <c r="HB88" s="300" t="s">
        <v>2229</v>
      </c>
      <c r="HC88" t="s">
        <v>534</v>
      </c>
      <c r="HD88" s="8" t="s">
        <v>533</v>
      </c>
      <c r="HE88" s="8"/>
      <c r="HF88" s="8"/>
      <c r="HG88" s="8"/>
      <c r="HL88" s="300"/>
      <c r="HN88" s="8"/>
      <c r="HO88" s="8"/>
      <c r="HP88" s="8"/>
      <c r="HQ88" s="8"/>
      <c r="HR88" s="8"/>
      <c r="HS88" s="8"/>
      <c r="HT88" s="8"/>
      <c r="HU88" s="1266"/>
      <c r="HV88" s="300" t="s">
        <v>534</v>
      </c>
      <c r="HY88" s="8"/>
      <c r="HZ88" s="8"/>
      <c r="IA88" s="8"/>
      <c r="IB88" s="8"/>
      <c r="IC88" s="8"/>
      <c r="ID88" s="8"/>
      <c r="IE88" s="8"/>
      <c r="IF88" s="1266"/>
      <c r="IG88" s="300"/>
      <c r="II88" s="8"/>
      <c r="IJ88" s="8"/>
      <c r="IK88" s="8"/>
      <c r="IL88" s="8"/>
      <c r="IM88" s="8"/>
      <c r="IN88" s="8"/>
      <c r="IO88" s="8"/>
      <c r="IP88" s="1266"/>
      <c r="IQ88" s="300"/>
      <c r="IS88" s="8"/>
      <c r="IT88" s="8"/>
      <c r="IU88" s="8"/>
      <c r="IV88" s="8"/>
      <c r="IW88" s="8"/>
      <c r="IX88" s="8"/>
      <c r="IY88" s="8"/>
      <c r="IZ88" s="1266"/>
      <c r="JA88" s="300"/>
      <c r="JC88" s="8"/>
      <c r="JD88" s="8"/>
      <c r="JE88" s="8"/>
      <c r="JF88" s="8"/>
      <c r="JG88" s="8"/>
      <c r="JH88" s="8"/>
      <c r="JI88" s="8"/>
      <c r="JJ88" s="1266"/>
      <c r="JK88" s="300"/>
      <c r="JM88" s="8"/>
      <c r="JN88" s="8"/>
      <c r="JO88" s="8"/>
      <c r="JP88" s="8"/>
    </row>
    <row r="89" spans="3:276" x14ac:dyDescent="0.3">
      <c r="C89" t="s">
        <v>2283</v>
      </c>
      <c r="AE89" s="300" t="s">
        <v>2229</v>
      </c>
      <c r="AF89" t="s">
        <v>535</v>
      </c>
      <c r="AG89" s="8" t="s">
        <v>533</v>
      </c>
      <c r="AH89" s="8"/>
      <c r="AI89" s="8"/>
      <c r="AJ89" s="8"/>
      <c r="AK89" s="8"/>
      <c r="AL89" s="8"/>
      <c r="AM89" s="8"/>
      <c r="AN89" s="1266"/>
      <c r="AO89" s="300"/>
      <c r="AS89" s="8"/>
      <c r="AT89" s="8"/>
      <c r="AU89" s="8"/>
      <c r="AV89" s="8"/>
      <c r="AW89" s="8"/>
      <c r="AX89" s="8"/>
      <c r="AY89" s="8"/>
      <c r="AZ89" s="1266"/>
      <c r="BA89" s="300"/>
      <c r="BF89" s="8"/>
      <c r="BG89" s="8"/>
      <c r="BH89" s="8"/>
      <c r="BI89" s="8"/>
      <c r="BJ89" s="8"/>
      <c r="BK89" s="8"/>
      <c r="BL89" s="8"/>
      <c r="BM89" s="1266"/>
      <c r="BN89" s="300" t="s">
        <v>534</v>
      </c>
      <c r="BS89" s="8"/>
      <c r="BT89" s="8"/>
      <c r="BU89" s="8"/>
      <c r="BV89" s="8"/>
      <c r="BW89" s="8"/>
      <c r="BX89" s="8"/>
      <c r="BY89" s="8"/>
      <c r="BZ89" s="1266"/>
      <c r="CA89" s="300"/>
      <c r="CC89" s="8"/>
      <c r="CD89" s="8"/>
      <c r="CE89" s="8"/>
      <c r="CF89" s="8"/>
      <c r="CG89" s="8"/>
      <c r="CH89" s="8"/>
      <c r="CI89" s="8"/>
      <c r="CJ89" s="1266"/>
      <c r="CK89" s="300"/>
      <c r="CM89" s="8"/>
      <c r="CN89" s="8"/>
      <c r="CO89" s="8"/>
      <c r="CP89" s="8"/>
      <c r="CU89" s="300" t="s">
        <v>534</v>
      </c>
      <c r="CW89" s="8"/>
      <c r="CX89" s="8"/>
      <c r="CY89" s="8"/>
      <c r="CZ89" s="8"/>
      <c r="DA89" s="8"/>
      <c r="DB89" s="8"/>
      <c r="DC89" s="8"/>
      <c r="DD89" s="1266"/>
      <c r="DE89" s="300"/>
      <c r="DG89" s="8"/>
      <c r="DH89" s="8"/>
      <c r="DI89" s="8"/>
      <c r="DJ89" s="8"/>
      <c r="DK89" s="8"/>
      <c r="DL89" s="8"/>
      <c r="DM89" s="8"/>
      <c r="DN89" s="1266"/>
      <c r="DO89" s="300" t="s">
        <v>535</v>
      </c>
      <c r="DP89" t="s">
        <v>533</v>
      </c>
      <c r="DQ89" s="8"/>
      <c r="DR89" s="8"/>
      <c r="DS89" s="8"/>
      <c r="DT89" s="8"/>
      <c r="DU89" s="8"/>
      <c r="DV89" s="8"/>
      <c r="DW89" s="8"/>
      <c r="DX89" s="1266"/>
      <c r="DY89" s="300"/>
      <c r="EA89" s="8"/>
      <c r="EB89" s="8"/>
      <c r="EC89" s="8"/>
      <c r="ED89" s="8"/>
      <c r="EE89" s="8"/>
      <c r="EF89" s="8"/>
      <c r="EG89" s="8"/>
      <c r="EH89" s="1266"/>
      <c r="EI89" s="300"/>
      <c r="EK89" s="8"/>
      <c r="EL89" s="8"/>
      <c r="EM89" s="8"/>
      <c r="EN89" s="8"/>
      <c r="EO89" s="8"/>
      <c r="EP89" s="8"/>
      <c r="EQ89" s="8"/>
      <c r="ER89" s="1266"/>
      <c r="ES89" s="300"/>
      <c r="EU89" s="8"/>
      <c r="EV89" s="8"/>
      <c r="EW89" s="8"/>
      <c r="EX89" s="8"/>
      <c r="FC89" s="300" t="s">
        <v>535</v>
      </c>
      <c r="FE89" s="8"/>
      <c r="FF89" s="8"/>
      <c r="FG89" s="8"/>
      <c r="FH89" s="8"/>
      <c r="FI89" s="8"/>
      <c r="FJ89" s="8"/>
      <c r="FK89" s="8"/>
      <c r="FL89" s="1266"/>
      <c r="FM89" s="300" t="s">
        <v>533</v>
      </c>
      <c r="FO89" s="8"/>
      <c r="FP89" s="8"/>
      <c r="FQ89" s="8"/>
      <c r="FR89" s="8"/>
      <c r="FS89" s="8"/>
      <c r="FT89" s="8"/>
      <c r="FU89" s="8"/>
      <c r="FV89" s="1266"/>
      <c r="FW89" s="300"/>
      <c r="FZ89" s="8"/>
      <c r="GA89" s="8"/>
      <c r="GB89" s="8"/>
      <c r="GC89" s="8"/>
      <c r="GD89" s="8"/>
      <c r="GE89" s="8"/>
      <c r="GF89" s="8"/>
      <c r="GG89" s="1266"/>
      <c r="GH89" s="300"/>
      <c r="GJ89" s="8"/>
      <c r="GK89" s="8"/>
      <c r="GL89" s="8"/>
      <c r="GM89" s="8"/>
      <c r="GN89" s="8"/>
      <c r="GO89" s="8"/>
      <c r="GP89" s="8"/>
      <c r="GQ89" s="1266"/>
      <c r="GR89" s="300" t="s">
        <v>535</v>
      </c>
      <c r="GS89" t="s">
        <v>2229</v>
      </c>
      <c r="GT89" s="8" t="s">
        <v>533</v>
      </c>
      <c r="GU89" s="8"/>
      <c r="GV89" s="8"/>
      <c r="GW89" s="8"/>
      <c r="GX89" s="8"/>
      <c r="GY89" s="8"/>
      <c r="GZ89" s="8"/>
      <c r="HA89" s="1266"/>
      <c r="HB89" s="300" t="s">
        <v>535</v>
      </c>
      <c r="HD89" s="8"/>
      <c r="HE89" s="8"/>
      <c r="HF89" s="8"/>
      <c r="HG89" s="8"/>
      <c r="HL89" s="300" t="s">
        <v>534</v>
      </c>
      <c r="HN89" s="8"/>
      <c r="HO89" s="8"/>
      <c r="HP89" s="8"/>
      <c r="HQ89" s="8"/>
      <c r="HR89" s="8"/>
      <c r="HS89" s="8"/>
      <c r="HT89" s="8"/>
      <c r="HU89" s="1266"/>
      <c r="HV89" s="300" t="s">
        <v>534</v>
      </c>
      <c r="HX89" t="s">
        <v>533</v>
      </c>
      <c r="HY89" s="8"/>
      <c r="HZ89" s="8"/>
      <c r="IA89" s="8"/>
      <c r="IB89" s="8"/>
      <c r="IC89" s="8"/>
      <c r="ID89" s="8"/>
      <c r="IE89" s="8"/>
      <c r="IF89" s="1266"/>
      <c r="IG89" s="300"/>
      <c r="II89" s="8"/>
      <c r="IJ89" s="8"/>
      <c r="IK89" s="8"/>
      <c r="IL89" s="8"/>
      <c r="IM89" s="8"/>
      <c r="IN89" s="8"/>
      <c r="IO89" s="8"/>
      <c r="IP89" s="1266"/>
      <c r="IQ89" s="300"/>
      <c r="IS89" s="8"/>
      <c r="IT89" s="8"/>
      <c r="IU89" s="8"/>
      <c r="IV89" s="8"/>
      <c r="IW89" s="8"/>
      <c r="IX89" s="8"/>
      <c r="IY89" s="8"/>
      <c r="IZ89" s="1266"/>
      <c r="JA89" s="300"/>
      <c r="JC89" s="8"/>
      <c r="JD89" s="8"/>
      <c r="JE89" s="8"/>
      <c r="JF89" s="8"/>
      <c r="JG89" s="8"/>
      <c r="JH89" s="8"/>
      <c r="JI89" s="8"/>
      <c r="JJ89" s="1266"/>
      <c r="JK89" s="300"/>
      <c r="JM89" s="8"/>
      <c r="JN89" s="8"/>
      <c r="JO89" s="8"/>
      <c r="JP89" s="8"/>
    </row>
    <row r="90" spans="3:276" x14ac:dyDescent="0.3">
      <c r="C90" t="s">
        <v>2280</v>
      </c>
      <c r="AE90" s="300"/>
      <c r="AG90" s="8"/>
      <c r="AH90" s="8"/>
      <c r="AI90" s="8"/>
      <c r="AJ90" s="8"/>
      <c r="AK90" s="8"/>
      <c r="AL90" s="8"/>
      <c r="AM90" s="8"/>
      <c r="AN90" s="1266"/>
      <c r="AO90" s="300" t="s">
        <v>535</v>
      </c>
      <c r="AS90" s="8"/>
      <c r="AT90" s="8"/>
      <c r="AU90" s="8"/>
      <c r="AV90" s="8"/>
      <c r="AW90" s="8"/>
      <c r="AX90" s="8"/>
      <c r="AY90" s="8"/>
      <c r="AZ90" s="1266"/>
      <c r="BA90" s="300"/>
      <c r="BF90" s="8"/>
      <c r="BG90" s="8"/>
      <c r="BH90" s="8"/>
      <c r="BI90" s="8"/>
      <c r="BJ90" s="8"/>
      <c r="BK90" s="8"/>
      <c r="BL90" s="8"/>
      <c r="BM90" s="1266"/>
      <c r="BN90" s="300" t="s">
        <v>533</v>
      </c>
      <c r="BS90" s="8"/>
      <c r="BT90" s="8"/>
      <c r="BU90" s="8"/>
      <c r="BV90" s="8"/>
      <c r="BW90" s="8"/>
      <c r="BX90" s="8"/>
      <c r="BY90" s="8"/>
      <c r="BZ90" s="1266"/>
      <c r="CA90" s="300"/>
      <c r="CC90" s="8"/>
      <c r="CD90" s="8"/>
      <c r="CE90" s="8"/>
      <c r="CF90" s="8"/>
      <c r="CG90" s="8"/>
      <c r="CH90" s="8"/>
      <c r="CI90" s="8"/>
      <c r="CJ90" s="1266"/>
      <c r="CK90" s="300" t="s">
        <v>534</v>
      </c>
      <c r="CM90" s="8"/>
      <c r="CN90" s="8"/>
      <c r="CO90" s="8"/>
      <c r="CP90" s="8"/>
      <c r="CU90" s="300"/>
      <c r="CW90" s="8"/>
      <c r="CX90" s="8"/>
      <c r="CY90" s="8"/>
      <c r="CZ90" s="8"/>
      <c r="DA90" s="8"/>
      <c r="DB90" s="8"/>
      <c r="DC90" s="8"/>
      <c r="DD90" s="1266"/>
      <c r="DE90" s="300"/>
      <c r="DG90" s="8"/>
      <c r="DH90" s="8"/>
      <c r="DI90" s="8"/>
      <c r="DJ90" s="8"/>
      <c r="DK90" s="8"/>
      <c r="DL90" s="8"/>
      <c r="DM90" s="8"/>
      <c r="DN90" s="1266"/>
      <c r="DO90" s="300" t="s">
        <v>534</v>
      </c>
      <c r="DQ90" s="8"/>
      <c r="DR90" s="8"/>
      <c r="DS90" s="8"/>
      <c r="DT90" s="8"/>
      <c r="DU90" s="8"/>
      <c r="DV90" s="8"/>
      <c r="DW90" s="8"/>
      <c r="DX90" s="1266"/>
      <c r="DY90" s="300" t="s">
        <v>534</v>
      </c>
      <c r="EA90" s="8"/>
      <c r="EB90" s="8"/>
      <c r="EC90" s="8"/>
      <c r="ED90" s="8"/>
      <c r="EE90" s="8"/>
      <c r="EF90" s="8"/>
      <c r="EG90" s="8"/>
      <c r="EH90" s="1266"/>
      <c r="EI90" s="300"/>
      <c r="EK90" s="8"/>
      <c r="EL90" s="8"/>
      <c r="EM90" s="8"/>
      <c r="EN90" s="8"/>
      <c r="EO90" s="8"/>
      <c r="EP90" s="8"/>
      <c r="EQ90" s="8"/>
      <c r="ER90" s="1266"/>
      <c r="ES90" s="300"/>
      <c r="EU90" s="8"/>
      <c r="EV90" s="8"/>
      <c r="EW90" s="8"/>
      <c r="EX90" s="8"/>
      <c r="FC90" s="300"/>
      <c r="FE90" s="8"/>
      <c r="FF90" s="8"/>
      <c r="FG90" s="8"/>
      <c r="FH90" s="8"/>
      <c r="FI90" s="8"/>
      <c r="FJ90" s="8"/>
      <c r="FK90" s="8"/>
      <c r="FL90" s="1266"/>
      <c r="FM90" s="300"/>
      <c r="FO90" s="8"/>
      <c r="FP90" s="8"/>
      <c r="FQ90" s="8"/>
      <c r="FR90" s="8"/>
      <c r="FS90" s="8"/>
      <c r="FT90" s="8"/>
      <c r="FU90" s="8"/>
      <c r="FV90" s="1266"/>
      <c r="FW90" s="300"/>
      <c r="FZ90" s="8"/>
      <c r="GA90" s="8"/>
      <c r="GB90" s="8"/>
      <c r="GC90" s="8"/>
      <c r="GD90" s="8"/>
      <c r="GE90" s="8"/>
      <c r="GF90" s="8"/>
      <c r="GG90" s="1266"/>
      <c r="GH90" s="300" t="s">
        <v>534</v>
      </c>
      <c r="GJ90" s="8"/>
      <c r="GK90" s="8"/>
      <c r="GL90" s="8"/>
      <c r="GM90" s="8"/>
      <c r="GN90" s="8"/>
      <c r="GO90" s="8"/>
      <c r="GP90" s="8"/>
      <c r="GQ90" s="1266"/>
      <c r="GR90" s="300"/>
      <c r="GT90" s="8"/>
      <c r="GU90" s="8"/>
      <c r="GV90" s="8"/>
      <c r="GW90" s="8"/>
      <c r="GX90" s="8"/>
      <c r="GY90" s="8"/>
      <c r="GZ90" s="8"/>
      <c r="HA90" s="1266"/>
      <c r="HB90" s="300"/>
      <c r="HD90" s="8"/>
      <c r="HE90" s="8"/>
      <c r="HF90" s="8"/>
      <c r="HG90" s="8"/>
      <c r="HL90" s="300"/>
      <c r="HN90" s="8"/>
      <c r="HO90" s="8"/>
      <c r="HP90" s="8"/>
      <c r="HQ90" s="8"/>
      <c r="HR90" s="8"/>
      <c r="HS90" s="8"/>
      <c r="HT90" s="8"/>
      <c r="HU90" s="1266"/>
      <c r="HV90" s="300"/>
      <c r="HY90" s="8"/>
      <c r="HZ90" s="8"/>
      <c r="IA90" s="8"/>
      <c r="IB90" s="8"/>
      <c r="IC90" s="8"/>
      <c r="ID90" s="8"/>
      <c r="IE90" s="8"/>
      <c r="IF90" s="1266"/>
      <c r="IG90" s="300"/>
      <c r="II90" s="8"/>
      <c r="IJ90" s="8"/>
      <c r="IK90" s="8"/>
      <c r="IL90" s="8"/>
      <c r="IM90" s="8"/>
      <c r="IN90" s="8"/>
      <c r="IO90" s="8"/>
      <c r="IP90" s="1266"/>
      <c r="IQ90" s="300"/>
      <c r="IS90" s="8"/>
      <c r="IT90" s="8"/>
      <c r="IU90" s="8"/>
      <c r="IV90" s="8"/>
      <c r="IW90" s="8"/>
      <c r="IX90" s="8"/>
      <c r="IY90" s="8"/>
      <c r="IZ90" s="1266"/>
      <c r="JA90" s="300"/>
      <c r="JC90" s="8"/>
      <c r="JD90" s="8"/>
      <c r="JE90" s="8"/>
      <c r="JF90" s="8"/>
      <c r="JG90" s="8"/>
      <c r="JH90" s="8"/>
      <c r="JI90" s="8"/>
      <c r="JJ90" s="1266"/>
      <c r="JK90" s="300"/>
      <c r="JM90" s="8"/>
      <c r="JN90" s="8"/>
      <c r="JO90" s="8"/>
      <c r="JP90" s="8"/>
    </row>
    <row r="91" spans="3:276" x14ac:dyDescent="0.3">
      <c r="C91" t="s">
        <v>1591</v>
      </c>
      <c r="AE91" s="300" t="s">
        <v>534</v>
      </c>
      <c r="AG91" s="8"/>
      <c r="AH91" s="8"/>
      <c r="AI91" s="8"/>
      <c r="AJ91" s="8"/>
      <c r="AK91" s="8"/>
      <c r="AL91" s="8"/>
      <c r="AM91" s="8"/>
      <c r="AN91" s="1266"/>
      <c r="AO91" s="300" t="s">
        <v>535</v>
      </c>
      <c r="AR91" t="s">
        <v>533</v>
      </c>
      <c r="AS91" s="8"/>
      <c r="AT91" s="8"/>
      <c r="AU91" s="8"/>
      <c r="AV91" s="8"/>
      <c r="AW91" s="8"/>
      <c r="AX91" s="8"/>
      <c r="AY91" s="8"/>
      <c r="AZ91" s="1266"/>
      <c r="BA91" s="300" t="s">
        <v>535</v>
      </c>
      <c r="BE91" t="s">
        <v>534</v>
      </c>
      <c r="BF91" s="8"/>
      <c r="BG91" s="8"/>
      <c r="BH91" s="8"/>
      <c r="BI91" s="8"/>
      <c r="BJ91" s="8"/>
      <c r="BK91" s="8"/>
      <c r="BL91" s="8"/>
      <c r="BM91" s="1266"/>
      <c r="BN91" s="300" t="s">
        <v>533</v>
      </c>
      <c r="BS91" s="8"/>
      <c r="BT91" s="8"/>
      <c r="BU91" s="8"/>
      <c r="BV91" s="8"/>
      <c r="BW91" s="8"/>
      <c r="BX91" s="8"/>
      <c r="BY91" s="8"/>
      <c r="BZ91" s="1266"/>
      <c r="CA91" s="300"/>
      <c r="CC91" s="8"/>
      <c r="CD91" s="8"/>
      <c r="CE91" s="8"/>
      <c r="CF91" s="8"/>
      <c r="CG91" s="8"/>
      <c r="CH91" s="8"/>
      <c r="CI91" s="8"/>
      <c r="CJ91" s="1266"/>
      <c r="CK91" s="300"/>
      <c r="CM91" s="8"/>
      <c r="CN91" s="8"/>
      <c r="CO91" s="8"/>
      <c r="CP91" s="8"/>
      <c r="CU91" s="300"/>
      <c r="CW91" s="8"/>
      <c r="CX91" s="8"/>
      <c r="CY91" s="8"/>
      <c r="CZ91" s="8"/>
      <c r="DA91" s="8"/>
      <c r="DB91" s="8"/>
      <c r="DC91" s="8"/>
      <c r="DD91" s="1266"/>
      <c r="DE91" s="300"/>
      <c r="DG91" s="8"/>
      <c r="DH91" s="8"/>
      <c r="DI91" s="8"/>
      <c r="DJ91" s="8"/>
      <c r="DK91" s="8"/>
      <c r="DL91" s="8"/>
      <c r="DM91" s="8"/>
      <c r="DN91" s="1266"/>
      <c r="DO91" s="300"/>
      <c r="DQ91" s="8"/>
      <c r="DR91" s="8"/>
      <c r="DS91" s="8"/>
      <c r="DT91" s="8"/>
      <c r="DU91" s="8"/>
      <c r="DV91" s="8"/>
      <c r="DW91" s="8"/>
      <c r="DX91" s="1266"/>
      <c r="DY91" s="300"/>
      <c r="EA91" s="8"/>
      <c r="EB91" s="8"/>
      <c r="EC91" s="8"/>
      <c r="ED91" s="8"/>
      <c r="EE91" s="8"/>
      <c r="EF91" s="8"/>
      <c r="EG91" s="8"/>
      <c r="EH91" s="1266"/>
      <c r="EI91" s="300"/>
      <c r="EK91" s="8"/>
      <c r="EL91" s="8"/>
      <c r="EM91" s="8"/>
      <c r="EN91" s="8"/>
      <c r="EO91" s="8"/>
      <c r="EP91" s="8"/>
      <c r="EQ91" s="8"/>
      <c r="ER91" s="1266"/>
      <c r="ES91" s="300"/>
      <c r="EU91" s="8"/>
      <c r="EV91" s="8"/>
      <c r="EW91" s="8"/>
      <c r="EX91" s="8"/>
      <c r="FC91" s="300"/>
      <c r="FE91" s="8"/>
      <c r="FF91" s="8"/>
      <c r="FG91" s="8"/>
      <c r="FH91" s="8"/>
      <c r="FI91" s="8"/>
      <c r="FJ91" s="8"/>
      <c r="FK91" s="8"/>
      <c r="FL91" s="1266"/>
      <c r="FM91" s="300"/>
      <c r="FO91" s="8"/>
      <c r="FP91" s="8"/>
      <c r="FQ91" s="8"/>
      <c r="FR91" s="8"/>
      <c r="FS91" s="8"/>
      <c r="FT91" s="8"/>
      <c r="FU91" s="8"/>
      <c r="FV91" s="1266"/>
      <c r="FW91" s="300"/>
      <c r="FZ91" s="8"/>
      <c r="GA91" s="8"/>
      <c r="GB91" s="8"/>
      <c r="GC91" s="8"/>
      <c r="GD91" s="8"/>
      <c r="GE91" s="8"/>
      <c r="GF91" s="8"/>
      <c r="GG91" s="1266"/>
      <c r="GH91" s="300"/>
      <c r="GJ91" s="8"/>
      <c r="GK91" s="8"/>
      <c r="GL91" s="8"/>
      <c r="GM91" s="8"/>
      <c r="GN91" s="8"/>
      <c r="GO91" s="8"/>
      <c r="GP91" s="8"/>
      <c r="GQ91" s="1266"/>
      <c r="GR91" s="300"/>
      <c r="GT91" s="8"/>
      <c r="GU91" s="8"/>
      <c r="GV91" s="8"/>
      <c r="GW91" s="8"/>
      <c r="GX91" s="8"/>
      <c r="GY91" s="8"/>
      <c r="GZ91" s="8"/>
      <c r="HA91" s="1266"/>
      <c r="HB91" s="300"/>
      <c r="HD91" s="8"/>
      <c r="HE91" s="8"/>
      <c r="HF91" s="8"/>
      <c r="HG91" s="8"/>
      <c r="HL91" s="300"/>
      <c r="HN91" s="8"/>
      <c r="HO91" s="8"/>
      <c r="HP91" s="8"/>
      <c r="HQ91" s="8"/>
      <c r="HR91" s="8"/>
      <c r="HS91" s="8"/>
      <c r="HT91" s="8"/>
      <c r="HU91" s="1266"/>
      <c r="HV91" s="300"/>
      <c r="HY91" s="8"/>
      <c r="HZ91" s="8"/>
      <c r="IA91" s="8"/>
      <c r="IB91" s="8"/>
      <c r="IC91" s="8"/>
      <c r="ID91" s="8"/>
      <c r="IE91" s="8"/>
      <c r="IF91" s="1266"/>
      <c r="IG91" s="300"/>
      <c r="II91" s="8"/>
      <c r="IJ91" s="8"/>
      <c r="IK91" s="8"/>
      <c r="IL91" s="8"/>
      <c r="IM91" s="8"/>
      <c r="IN91" s="8"/>
      <c r="IO91" s="8"/>
      <c r="IP91" s="1266"/>
      <c r="IQ91" s="300"/>
      <c r="IS91" s="8"/>
      <c r="IT91" s="8"/>
      <c r="IU91" s="8"/>
      <c r="IV91" s="8"/>
      <c r="IW91" s="8"/>
      <c r="IX91" s="8"/>
      <c r="IY91" s="8"/>
      <c r="IZ91" s="1266"/>
      <c r="JA91" s="300"/>
      <c r="JC91" s="8"/>
      <c r="JD91" s="8"/>
      <c r="JE91" s="8"/>
      <c r="JF91" s="8"/>
      <c r="JG91" s="8"/>
      <c r="JH91" s="8"/>
      <c r="JI91" s="8"/>
      <c r="JJ91" s="1266"/>
      <c r="JK91" s="300"/>
      <c r="JM91" s="8"/>
      <c r="JN91" s="8"/>
      <c r="JO91" s="8"/>
      <c r="JP91" s="8"/>
    </row>
    <row r="92" spans="3:276" x14ac:dyDescent="0.3">
      <c r="C92" t="s">
        <v>1379</v>
      </c>
      <c r="AE92" s="300"/>
      <c r="AG92" s="8"/>
      <c r="AH92" s="8"/>
      <c r="AI92" s="8"/>
      <c r="AJ92" s="265"/>
      <c r="AK92" s="265"/>
      <c r="AL92" s="265"/>
      <c r="AM92" s="8"/>
      <c r="AN92" s="1266"/>
      <c r="AO92" s="300" t="s">
        <v>534</v>
      </c>
      <c r="AR92" t="s">
        <v>533</v>
      </c>
      <c r="AS92" s="8" t="s">
        <v>534</v>
      </c>
      <c r="AT92" s="8"/>
      <c r="AU92" s="8"/>
      <c r="AV92" s="265"/>
      <c r="AW92" s="265"/>
      <c r="AX92" s="265"/>
      <c r="AY92" s="8"/>
      <c r="AZ92" s="1266"/>
      <c r="BA92" s="300" t="s">
        <v>533</v>
      </c>
      <c r="BF92" s="8"/>
      <c r="BG92" s="8"/>
      <c r="BH92" s="8"/>
      <c r="BI92" s="265"/>
      <c r="BJ92" s="265"/>
      <c r="BK92" s="265"/>
      <c r="BL92" s="8"/>
      <c r="BM92" s="1266"/>
      <c r="BN92" s="300" t="s">
        <v>534</v>
      </c>
      <c r="BR92" t="s">
        <v>534</v>
      </c>
      <c r="BS92" s="8"/>
      <c r="BT92" s="8"/>
      <c r="BU92" s="8"/>
      <c r="BV92" s="265"/>
      <c r="BW92" s="265"/>
      <c r="BX92" s="265"/>
      <c r="BY92" s="8"/>
      <c r="BZ92" s="1266"/>
      <c r="CA92" s="300"/>
      <c r="CC92" s="8"/>
      <c r="CD92" s="8"/>
      <c r="CE92" s="8"/>
      <c r="CF92" s="265"/>
      <c r="CG92" s="265"/>
      <c r="CH92" s="265"/>
      <c r="CI92" s="8"/>
      <c r="CJ92" s="1266"/>
      <c r="CK92" s="300"/>
      <c r="CM92" s="8"/>
      <c r="CN92" s="8"/>
      <c r="CO92" s="8"/>
      <c r="CP92" s="265"/>
      <c r="CU92" s="300"/>
      <c r="CW92" s="8"/>
      <c r="CX92" s="8"/>
      <c r="CY92" s="8"/>
      <c r="CZ92" s="265"/>
      <c r="DA92" s="265"/>
      <c r="DB92" s="265"/>
      <c r="DC92" s="8"/>
      <c r="DD92" s="1266"/>
      <c r="DE92" s="300"/>
      <c r="DG92" s="8"/>
      <c r="DH92" s="8"/>
      <c r="DI92" s="8"/>
      <c r="DJ92" s="265"/>
      <c r="DK92" s="265"/>
      <c r="DL92" s="265"/>
      <c r="DM92" s="8"/>
      <c r="DN92" s="1266"/>
      <c r="DO92" s="300" t="s">
        <v>535</v>
      </c>
      <c r="DP92" t="s">
        <v>533</v>
      </c>
      <c r="DQ92" s="8" t="s">
        <v>533</v>
      </c>
      <c r="DR92" s="8"/>
      <c r="DS92" s="8"/>
      <c r="DT92" s="265"/>
      <c r="DU92" s="265"/>
      <c r="DV92" s="265"/>
      <c r="DW92" s="8"/>
      <c r="DX92" s="1266"/>
      <c r="DY92" s="300" t="s">
        <v>534</v>
      </c>
      <c r="DZ92" t="s">
        <v>534</v>
      </c>
      <c r="EA92" s="8"/>
      <c r="EB92" s="8"/>
      <c r="EC92" s="8"/>
      <c r="ED92" s="265"/>
      <c r="EE92" s="265"/>
      <c r="EF92" s="265"/>
      <c r="EG92" s="8"/>
      <c r="EH92" s="1266"/>
      <c r="EI92" s="300" t="s">
        <v>534</v>
      </c>
      <c r="EJ92" t="s">
        <v>534</v>
      </c>
      <c r="EK92" s="8"/>
      <c r="EL92" s="8"/>
      <c r="EM92" s="8"/>
      <c r="EN92" s="265"/>
      <c r="EO92" s="265"/>
      <c r="EP92" s="265"/>
      <c r="EQ92" s="8"/>
      <c r="ER92" s="1266"/>
      <c r="ES92" s="300" t="s">
        <v>534</v>
      </c>
      <c r="EU92" s="8"/>
      <c r="EV92" s="8"/>
      <c r="EW92" s="8"/>
      <c r="EX92" s="265"/>
      <c r="FC92" s="300"/>
      <c r="FE92" s="8"/>
      <c r="FF92" s="8"/>
      <c r="FG92" s="8"/>
      <c r="FH92" s="265"/>
      <c r="FI92" s="265"/>
      <c r="FJ92" s="265"/>
      <c r="FK92" s="8"/>
      <c r="FL92" s="1266"/>
      <c r="FM92" s="300"/>
      <c r="FO92" s="8"/>
      <c r="FP92" s="8"/>
      <c r="FQ92" s="8"/>
      <c r="FR92" s="265"/>
      <c r="FS92" s="265"/>
      <c r="FT92" s="265"/>
      <c r="FU92" s="8"/>
      <c r="FV92" s="1266"/>
      <c r="FW92" s="300" t="s">
        <v>533</v>
      </c>
      <c r="FY92" t="s">
        <v>139</v>
      </c>
      <c r="FZ92" s="8"/>
      <c r="GA92" s="8"/>
      <c r="GB92" s="8"/>
      <c r="GC92" s="265"/>
      <c r="GD92" s="265"/>
      <c r="GE92" s="265"/>
      <c r="GF92" s="8"/>
      <c r="GG92" s="1266"/>
      <c r="GH92" s="300" t="s">
        <v>533</v>
      </c>
      <c r="GI92" t="s">
        <v>534</v>
      </c>
      <c r="GJ92" s="8" t="s">
        <v>534</v>
      </c>
      <c r="GK92" s="8"/>
      <c r="GL92" s="8"/>
      <c r="GM92" s="265"/>
      <c r="GN92" s="265"/>
      <c r="GO92" s="265"/>
      <c r="GP92" s="8"/>
      <c r="GQ92" s="1266"/>
      <c r="GR92" s="300" t="s">
        <v>535</v>
      </c>
      <c r="GS92" t="s">
        <v>534</v>
      </c>
      <c r="GT92" s="8" t="s">
        <v>533</v>
      </c>
      <c r="GU92" s="8" t="s">
        <v>545</v>
      </c>
      <c r="GV92" s="8"/>
      <c r="GW92" s="265"/>
      <c r="GX92" s="265"/>
      <c r="GY92" s="265"/>
      <c r="GZ92" s="8"/>
      <c r="HA92" s="1266"/>
      <c r="HB92" s="300" t="s">
        <v>533</v>
      </c>
      <c r="HD92" s="8"/>
      <c r="HE92" s="8"/>
      <c r="HF92" s="8"/>
      <c r="HG92" s="265"/>
      <c r="HL92" s="300" t="s">
        <v>534</v>
      </c>
      <c r="HM92" t="s">
        <v>533</v>
      </c>
      <c r="HN92" s="8" t="s">
        <v>534</v>
      </c>
      <c r="HO92" s="8"/>
      <c r="HP92" s="8"/>
      <c r="HQ92" s="265"/>
      <c r="HR92" s="265"/>
      <c r="HS92" s="265"/>
      <c r="HT92" s="8"/>
      <c r="HU92" s="1266"/>
      <c r="HV92" s="300" t="s">
        <v>533</v>
      </c>
      <c r="HX92" t="s">
        <v>540</v>
      </c>
      <c r="HY92" s="8" t="s">
        <v>534</v>
      </c>
      <c r="HZ92" s="8"/>
      <c r="IA92" s="8"/>
      <c r="IB92" s="265"/>
      <c r="IC92" s="265"/>
      <c r="ID92" s="265"/>
      <c r="IE92" s="8"/>
      <c r="IF92" s="1266"/>
      <c r="IG92" s="300"/>
      <c r="II92" s="8"/>
      <c r="IJ92" s="8"/>
      <c r="IK92" s="8"/>
      <c r="IL92" s="265"/>
      <c r="IM92" s="265"/>
      <c r="IN92" s="265"/>
      <c r="IO92" s="8"/>
      <c r="IP92" s="1266"/>
      <c r="IQ92" s="300"/>
      <c r="IS92" s="8"/>
      <c r="IT92" s="8"/>
      <c r="IU92" s="8"/>
      <c r="IV92" s="265"/>
      <c r="IW92" s="265"/>
      <c r="IX92" s="265"/>
      <c r="IY92" s="8"/>
      <c r="IZ92" s="1266"/>
      <c r="JA92" s="300"/>
      <c r="JC92" s="8"/>
      <c r="JD92" s="8"/>
      <c r="JE92" s="8"/>
      <c r="JF92" s="265"/>
      <c r="JG92" s="265"/>
      <c r="JH92" s="265"/>
      <c r="JI92" s="8"/>
      <c r="JJ92" s="1266"/>
      <c r="JK92" s="300"/>
      <c r="JM92" s="8"/>
      <c r="JN92" s="8"/>
      <c r="JO92" s="8"/>
      <c r="JP92" s="265"/>
    </row>
    <row r="93" spans="3:276" x14ac:dyDescent="0.3">
      <c r="C93" t="s">
        <v>2442</v>
      </c>
      <c r="AE93" s="300" t="s">
        <v>533</v>
      </c>
      <c r="AF93" t="s">
        <v>533</v>
      </c>
      <c r="AN93" s="683"/>
      <c r="AO93" s="300"/>
      <c r="AZ93" s="683"/>
      <c r="BA93" s="300"/>
      <c r="BM93" s="683"/>
      <c r="BN93" s="300" t="s">
        <v>533</v>
      </c>
      <c r="BR93" t="s">
        <v>534</v>
      </c>
      <c r="BZ93" s="683"/>
      <c r="CA93" s="300"/>
      <c r="CJ93" s="683"/>
      <c r="CK93" s="300"/>
      <c r="CU93" s="300"/>
      <c r="DD93" s="683"/>
      <c r="DE93" s="300"/>
      <c r="DN93" s="683"/>
      <c r="DO93" s="300"/>
      <c r="DX93" s="683"/>
      <c r="DY93" s="300" t="s">
        <v>533</v>
      </c>
      <c r="EH93" s="683"/>
      <c r="EI93" s="300" t="s">
        <v>2229</v>
      </c>
      <c r="EJ93" t="s">
        <v>533</v>
      </c>
      <c r="ER93" s="683"/>
      <c r="ES93" s="300"/>
      <c r="FC93" s="300" t="s">
        <v>2229</v>
      </c>
      <c r="FD93" t="s">
        <v>533</v>
      </c>
      <c r="FL93" s="683"/>
      <c r="FM93" s="300"/>
      <c r="FV93" s="683"/>
      <c r="FW93" s="300"/>
      <c r="GG93" s="683"/>
      <c r="GH93" s="300"/>
      <c r="GQ93" s="683"/>
      <c r="GR93" s="300"/>
      <c r="HA93" s="683"/>
      <c r="HB93" s="300"/>
      <c r="HL93" s="300" t="s">
        <v>534</v>
      </c>
      <c r="HM93" t="s">
        <v>534</v>
      </c>
      <c r="HU93" s="683"/>
      <c r="HV93" s="300"/>
      <c r="IF93" s="683"/>
      <c r="IG93" s="300"/>
      <c r="IP93" s="683"/>
      <c r="IQ93" s="300"/>
      <c r="IZ93" s="683"/>
      <c r="JA93" s="300"/>
      <c r="JJ93" s="683"/>
      <c r="JK93" s="300"/>
    </row>
    <row r="94" spans="3:276" x14ac:dyDescent="0.3">
      <c r="C94" t="s">
        <v>2282</v>
      </c>
      <c r="AE94" s="300" t="s">
        <v>534</v>
      </c>
      <c r="AN94" s="683"/>
      <c r="AO94" s="300"/>
      <c r="AZ94" s="683"/>
      <c r="BA94" s="300"/>
      <c r="BM94" s="683"/>
      <c r="BN94" s="300" t="s">
        <v>534</v>
      </c>
      <c r="BZ94" s="683"/>
      <c r="CA94" s="300"/>
      <c r="CJ94" s="683"/>
      <c r="CK94" s="300"/>
      <c r="CU94" s="300"/>
      <c r="DD94" s="683"/>
      <c r="DE94" s="300"/>
      <c r="DN94" s="683"/>
      <c r="DO94" s="300"/>
      <c r="DX94" s="683"/>
      <c r="DY94" s="300" t="s">
        <v>535</v>
      </c>
      <c r="EH94" s="683"/>
      <c r="EI94" s="300"/>
      <c r="ER94" s="683"/>
      <c r="ES94" s="300"/>
      <c r="FC94" s="300" t="s">
        <v>533</v>
      </c>
      <c r="FL94" s="683"/>
      <c r="FM94" s="300" t="s">
        <v>533</v>
      </c>
      <c r="FV94" s="683"/>
      <c r="FW94" s="300"/>
      <c r="GG94" s="683"/>
      <c r="GH94" s="300" t="s">
        <v>533</v>
      </c>
      <c r="GQ94" s="683"/>
      <c r="GR94" s="300" t="s">
        <v>535</v>
      </c>
      <c r="HA94" s="683"/>
      <c r="HB94" s="300"/>
      <c r="HL94" s="300" t="s">
        <v>533</v>
      </c>
      <c r="HU94" s="683"/>
      <c r="HV94" s="300" t="s">
        <v>535</v>
      </c>
      <c r="IF94" s="683"/>
      <c r="IG94" s="300"/>
      <c r="IP94" s="683"/>
      <c r="IQ94" s="300"/>
      <c r="IZ94" s="683"/>
      <c r="JA94" s="300"/>
      <c r="JJ94" s="683"/>
      <c r="JK94" s="300"/>
    </row>
    <row r="95" spans="3:276" x14ac:dyDescent="0.3">
      <c r="C95" t="s">
        <v>2443</v>
      </c>
      <c r="AE95" s="300"/>
      <c r="AG95" s="8"/>
      <c r="AH95" s="8"/>
      <c r="AI95" s="8"/>
      <c r="AJ95" s="265"/>
      <c r="AK95" s="265"/>
      <c r="AL95" s="265"/>
      <c r="AM95" s="8"/>
      <c r="AN95" s="1266"/>
      <c r="AO95" s="300" t="s">
        <v>535</v>
      </c>
      <c r="AS95" s="8"/>
      <c r="AT95" s="8"/>
      <c r="AU95" s="8"/>
      <c r="AV95" s="265"/>
      <c r="AW95" s="265"/>
      <c r="AX95" s="265"/>
      <c r="AY95" s="8"/>
      <c r="AZ95" s="1266"/>
      <c r="BA95" s="300"/>
      <c r="BF95" s="8"/>
      <c r="BG95" s="8"/>
      <c r="BH95" s="8"/>
      <c r="BI95" s="265"/>
      <c r="BJ95" s="265"/>
      <c r="BK95" s="265"/>
      <c r="BL95" s="8"/>
      <c r="BM95" s="1266"/>
      <c r="BN95" s="300" t="s">
        <v>533</v>
      </c>
      <c r="BR95" t="s">
        <v>533</v>
      </c>
      <c r="BS95" s="8"/>
      <c r="BT95" s="8"/>
      <c r="BU95" s="8"/>
      <c r="BV95" s="265"/>
      <c r="BW95" s="265"/>
      <c r="BX95" s="265"/>
      <c r="BY95" s="8"/>
      <c r="BZ95" s="1266"/>
      <c r="CA95" s="300" t="s">
        <v>533</v>
      </c>
      <c r="CC95" s="8"/>
      <c r="CD95" s="8"/>
      <c r="CE95" s="8"/>
      <c r="CF95" s="265"/>
      <c r="CG95" s="265"/>
      <c r="CH95" s="265"/>
      <c r="CI95" s="8"/>
      <c r="CJ95" s="1266"/>
      <c r="CK95" s="300"/>
      <c r="CM95" s="8"/>
      <c r="CN95" s="8"/>
      <c r="CO95" s="8"/>
      <c r="CP95" s="265"/>
      <c r="CU95" s="300" t="s">
        <v>534</v>
      </c>
      <c r="CW95" s="8"/>
      <c r="CX95" s="8"/>
      <c r="CY95" s="8"/>
      <c r="CZ95" s="265"/>
      <c r="DA95" s="265"/>
      <c r="DB95" s="265"/>
      <c r="DC95" s="8"/>
      <c r="DD95" s="1266"/>
      <c r="DE95" s="300"/>
      <c r="DG95" s="8"/>
      <c r="DH95" s="8"/>
      <c r="DI95" s="8"/>
      <c r="DJ95" s="265"/>
      <c r="DK95" s="265"/>
      <c r="DL95" s="265"/>
      <c r="DM95" s="8"/>
      <c r="DN95" s="1266"/>
      <c r="DO95" s="300" t="s">
        <v>533</v>
      </c>
      <c r="DQ95" s="8"/>
      <c r="DR95" s="8"/>
      <c r="DS95" s="8"/>
      <c r="DT95" s="265"/>
      <c r="DU95" s="265"/>
      <c r="DV95" s="265"/>
      <c r="DW95" s="8"/>
      <c r="DX95" s="1266"/>
      <c r="DY95" s="300"/>
      <c r="EA95" s="8"/>
      <c r="EB95" s="8"/>
      <c r="EC95" s="8"/>
      <c r="ED95" s="265"/>
      <c r="EE95" s="265"/>
      <c r="EF95" s="265"/>
      <c r="EG95" s="8"/>
      <c r="EH95" s="1266"/>
      <c r="EI95" s="300" t="s">
        <v>534</v>
      </c>
      <c r="EK95" s="8"/>
      <c r="EL95" s="8"/>
      <c r="EM95" s="8"/>
      <c r="EN95" s="265"/>
      <c r="EO95" s="265"/>
      <c r="EP95" s="265"/>
      <c r="EQ95" s="8"/>
      <c r="ER95" s="1266"/>
      <c r="ES95" s="300" t="s">
        <v>534</v>
      </c>
      <c r="ET95" t="s">
        <v>534</v>
      </c>
      <c r="EU95" s="8"/>
      <c r="EV95" s="8"/>
      <c r="EW95" s="8"/>
      <c r="EX95" s="265"/>
      <c r="FC95" s="300" t="s">
        <v>534</v>
      </c>
      <c r="FE95" s="8"/>
      <c r="FF95" s="8"/>
      <c r="FG95" s="8"/>
      <c r="FH95" s="265"/>
      <c r="FI95" s="265"/>
      <c r="FJ95" s="265"/>
      <c r="FK95" s="8"/>
      <c r="FL95" s="1266"/>
      <c r="FM95" s="300"/>
      <c r="FO95" s="8"/>
      <c r="FP95" s="8"/>
      <c r="FQ95" s="8"/>
      <c r="FR95" s="265"/>
      <c r="FS95" s="265"/>
      <c r="FT95" s="265"/>
      <c r="FU95" s="8"/>
      <c r="FV95" s="1266"/>
      <c r="FW95" s="300" t="s">
        <v>535</v>
      </c>
      <c r="FY95" t="s">
        <v>534</v>
      </c>
      <c r="FZ95" s="8"/>
      <c r="GA95" s="8"/>
      <c r="GB95" s="8"/>
      <c r="GC95" s="265"/>
      <c r="GD95" s="265"/>
      <c r="GE95" s="265"/>
      <c r="GF95" s="8"/>
      <c r="GG95" s="1266"/>
      <c r="GH95" s="300"/>
      <c r="GJ95" s="8"/>
      <c r="GK95" s="8"/>
      <c r="GL95" s="8"/>
      <c r="GM95" s="265"/>
      <c r="GN95" s="265"/>
      <c r="GO95" s="265"/>
      <c r="GP95" s="8"/>
      <c r="GQ95" s="1266"/>
      <c r="GR95" s="300" t="s">
        <v>533</v>
      </c>
      <c r="GT95" s="8"/>
      <c r="GU95" s="8"/>
      <c r="GV95" s="8"/>
      <c r="GW95" s="265"/>
      <c r="GX95" s="265"/>
      <c r="GY95" s="265"/>
      <c r="GZ95" s="8"/>
      <c r="HA95" s="1266"/>
      <c r="HB95" s="300" t="s">
        <v>533</v>
      </c>
      <c r="HD95" s="8"/>
      <c r="HE95" s="8"/>
      <c r="HF95" s="8"/>
      <c r="HG95" s="265"/>
      <c r="HL95" s="300" t="s">
        <v>534</v>
      </c>
      <c r="HM95" t="s">
        <v>534</v>
      </c>
      <c r="HN95" s="8" t="s">
        <v>534</v>
      </c>
      <c r="HO95" s="8"/>
      <c r="HP95" s="8"/>
      <c r="HQ95" s="265"/>
      <c r="HR95" s="265"/>
      <c r="HS95" s="265"/>
      <c r="HT95" s="8"/>
      <c r="HU95" s="1266"/>
      <c r="HV95" s="300" t="s">
        <v>535</v>
      </c>
      <c r="HY95" s="8"/>
      <c r="HZ95" s="8"/>
      <c r="IA95" s="8"/>
      <c r="IB95" s="265"/>
      <c r="IC95" s="265"/>
      <c r="ID95" s="265"/>
      <c r="IE95" s="8"/>
      <c r="IF95" s="1266"/>
      <c r="IG95" s="300"/>
      <c r="II95" s="8"/>
      <c r="IJ95" s="8"/>
      <c r="IK95" s="8"/>
      <c r="IL95" s="265"/>
      <c r="IM95" s="265"/>
      <c r="IN95" s="265"/>
      <c r="IO95" s="8"/>
      <c r="IP95" s="1266"/>
      <c r="IQ95" s="300"/>
      <c r="IS95" s="8"/>
      <c r="IT95" s="8"/>
      <c r="IU95" s="8"/>
      <c r="IV95" s="265"/>
      <c r="IW95" s="265"/>
      <c r="IX95" s="265"/>
      <c r="IY95" s="8"/>
      <c r="IZ95" s="1266"/>
      <c r="JA95" s="300"/>
      <c r="JC95" s="8"/>
      <c r="JD95" s="8"/>
      <c r="JE95" s="8"/>
      <c r="JF95" s="265"/>
      <c r="JG95" s="265"/>
      <c r="JH95" s="265"/>
      <c r="JI95" s="8"/>
      <c r="JJ95" s="1266"/>
      <c r="JK95" s="300"/>
      <c r="JM95" s="8"/>
      <c r="JN95" s="8"/>
      <c r="JO95" s="8"/>
      <c r="JP95" s="265"/>
    </row>
    <row r="96" spans="3:276" x14ac:dyDescent="0.3">
      <c r="C96" t="s">
        <v>2444</v>
      </c>
      <c r="AE96" s="300" t="s">
        <v>534</v>
      </c>
      <c r="AN96" s="683"/>
      <c r="AO96" s="300"/>
      <c r="AZ96" s="683"/>
      <c r="BA96" s="300"/>
      <c r="BM96" s="683"/>
      <c r="BN96" s="300" t="s">
        <v>533</v>
      </c>
      <c r="BR96" t="s">
        <v>534</v>
      </c>
      <c r="BZ96" s="683"/>
      <c r="CA96" s="300"/>
      <c r="CJ96" s="683"/>
      <c r="CK96" s="300" t="s">
        <v>533</v>
      </c>
      <c r="CU96" s="300" t="s">
        <v>535</v>
      </c>
      <c r="CV96" t="s">
        <v>534</v>
      </c>
      <c r="CW96" t="s">
        <v>534</v>
      </c>
      <c r="CX96" t="s">
        <v>533</v>
      </c>
      <c r="CY96" t="s">
        <v>533</v>
      </c>
      <c r="DD96" s="683"/>
      <c r="DE96" s="300" t="s">
        <v>533</v>
      </c>
      <c r="DN96" s="683"/>
      <c r="DO96" s="300"/>
      <c r="DX96" s="683"/>
      <c r="DY96" s="300" t="s">
        <v>535</v>
      </c>
      <c r="DZ96" t="s">
        <v>533</v>
      </c>
      <c r="EA96" t="s">
        <v>533</v>
      </c>
      <c r="EH96" s="683"/>
      <c r="EI96" s="300"/>
      <c r="ER96" s="683"/>
      <c r="ES96" s="300"/>
      <c r="FC96" s="300" t="s">
        <v>533</v>
      </c>
      <c r="FD96" t="s">
        <v>533</v>
      </c>
      <c r="FL96" s="683"/>
      <c r="FM96" s="300"/>
      <c r="FV96" s="683"/>
      <c r="FW96" s="300" t="s">
        <v>2229</v>
      </c>
      <c r="FY96" t="s">
        <v>535</v>
      </c>
      <c r="FZ96" t="s">
        <v>533</v>
      </c>
      <c r="GG96" s="683"/>
      <c r="GH96" s="300" t="s">
        <v>535</v>
      </c>
      <c r="GI96" t="s">
        <v>533</v>
      </c>
      <c r="GQ96" s="683"/>
      <c r="GR96" s="300" t="s">
        <v>533</v>
      </c>
      <c r="HA96" s="683"/>
      <c r="HB96" s="300"/>
      <c r="HL96" s="300" t="s">
        <v>2229</v>
      </c>
      <c r="HM96" t="s">
        <v>533</v>
      </c>
      <c r="HN96" t="s">
        <v>533</v>
      </c>
      <c r="HO96" t="s">
        <v>533</v>
      </c>
      <c r="HP96" t="s">
        <v>533</v>
      </c>
      <c r="HQ96" t="s">
        <v>533</v>
      </c>
      <c r="HR96" t="s">
        <v>992</v>
      </c>
      <c r="HU96" s="683"/>
      <c r="HV96" s="300"/>
      <c r="IF96" s="683"/>
      <c r="IG96" s="300"/>
      <c r="IP96" s="683"/>
      <c r="IQ96" s="300"/>
      <c r="IZ96" s="683"/>
      <c r="JA96" s="300"/>
      <c r="JJ96" s="683"/>
      <c r="JK96" s="300"/>
    </row>
    <row r="97" spans="3:271" x14ac:dyDescent="0.3">
      <c r="AE97" s="300"/>
      <c r="AN97" s="683"/>
      <c r="AO97" s="300"/>
      <c r="AZ97" s="683"/>
      <c r="BA97" s="300"/>
      <c r="BM97" s="683"/>
      <c r="BN97" s="300"/>
      <c r="BZ97" s="683"/>
      <c r="CA97" s="300"/>
      <c r="CJ97" s="683"/>
      <c r="CK97" s="300"/>
      <c r="CU97" s="300"/>
      <c r="DD97" s="683"/>
      <c r="DE97" s="300"/>
      <c r="DN97" s="683"/>
      <c r="DO97" s="300"/>
      <c r="DX97" s="683"/>
      <c r="DY97" s="300"/>
      <c r="EH97" s="683"/>
      <c r="EI97" s="300"/>
      <c r="ER97" s="683"/>
      <c r="ES97" s="300"/>
      <c r="FC97" s="300"/>
      <c r="FL97" s="683"/>
      <c r="FM97" s="300"/>
      <c r="FV97" s="683"/>
      <c r="FW97" s="300"/>
      <c r="GG97" s="683"/>
      <c r="GH97" s="300"/>
      <c r="GQ97" s="683"/>
      <c r="GR97" s="300"/>
      <c r="HA97" s="683"/>
      <c r="HB97" s="300"/>
      <c r="HL97" s="300"/>
      <c r="HU97" s="683"/>
      <c r="HV97" s="300"/>
      <c r="IF97" s="683"/>
      <c r="IG97" s="300"/>
      <c r="IP97" s="683"/>
      <c r="IQ97" s="300"/>
      <c r="IZ97" s="683"/>
      <c r="JA97" s="300"/>
      <c r="JJ97" s="683"/>
      <c r="JK97" s="300"/>
    </row>
    <row r="102" spans="3:271" x14ac:dyDescent="0.3">
      <c r="AE102" s="205" t="s">
        <v>533</v>
      </c>
      <c r="AF102">
        <f>COUNTIF(AE106:AN124,AE102)</f>
        <v>7</v>
      </c>
      <c r="AG102" s="8"/>
      <c r="AH102" s="8"/>
      <c r="AI102" s="8"/>
      <c r="AJ102" s="265"/>
      <c r="AK102" s="265"/>
      <c r="AL102" s="265"/>
      <c r="AM102" s="8"/>
      <c r="AN102" s="8"/>
      <c r="AO102" s="205" t="s">
        <v>533</v>
      </c>
      <c r="AP102" s="205"/>
      <c r="AQ102" s="205"/>
      <c r="AR102">
        <f>COUNTIF(AO106:AZ124,AO102)</f>
        <v>8</v>
      </c>
      <c r="AS102" s="8"/>
      <c r="AT102" s="8"/>
      <c r="AU102" s="8"/>
      <c r="AV102" s="8"/>
      <c r="AW102" s="8"/>
      <c r="AX102" s="8"/>
      <c r="BA102" s="205" t="s">
        <v>533</v>
      </c>
      <c r="BB102" s="205"/>
      <c r="BC102" s="205"/>
      <c r="BD102" s="205"/>
      <c r="BE102">
        <f>COUNTIF(BA106:BM124,BA102)</f>
        <v>7</v>
      </c>
      <c r="BN102" s="205" t="s">
        <v>533</v>
      </c>
      <c r="BO102" s="205"/>
      <c r="BP102" s="205"/>
      <c r="BQ102" s="205"/>
      <c r="BR102">
        <f>COUNTIF(BN106:BZ124,BN102)</f>
        <v>2</v>
      </c>
    </row>
    <row r="103" spans="3:271" x14ac:dyDescent="0.3">
      <c r="AE103" s="205" t="s">
        <v>534</v>
      </c>
      <c r="AF103">
        <f>COUNTIF(AE106:AN124,AE103)</f>
        <v>6</v>
      </c>
      <c r="AG103" s="8"/>
      <c r="AH103" s="8"/>
      <c r="AI103" s="8"/>
      <c r="AJ103" s="265"/>
      <c r="AK103" s="265"/>
      <c r="AL103" s="265"/>
      <c r="AM103" s="8"/>
      <c r="AN103" s="8"/>
      <c r="AO103" s="205" t="s">
        <v>534</v>
      </c>
      <c r="AP103" s="205"/>
      <c r="AQ103" s="205"/>
      <c r="AR103">
        <f>COUNTIF(AO106:AZ124,AO103)</f>
        <v>6</v>
      </c>
      <c r="AS103" s="8"/>
      <c r="AT103" s="8"/>
      <c r="AU103" s="8"/>
      <c r="AV103" s="8"/>
      <c r="AW103" s="8"/>
      <c r="AX103" s="8"/>
      <c r="BA103" s="205" t="s">
        <v>534</v>
      </c>
      <c r="BB103" s="205"/>
      <c r="BC103" s="205"/>
      <c r="BD103" s="205"/>
      <c r="BE103">
        <f>COUNTIF(BA106:BM124,BA103)</f>
        <v>6</v>
      </c>
      <c r="BN103" s="205" t="s">
        <v>534</v>
      </c>
      <c r="BO103" s="205"/>
      <c r="BP103" s="205"/>
      <c r="BQ103" s="205"/>
      <c r="BR103">
        <f>COUNTIF(BN106:BZ124,BN103)</f>
        <v>2</v>
      </c>
    </row>
    <row r="104" spans="3:271" x14ac:dyDescent="0.3">
      <c r="AE104" s="205" t="s">
        <v>535</v>
      </c>
      <c r="AF104">
        <f>COUNTIF(AE106:AN124,AE104)</f>
        <v>0</v>
      </c>
      <c r="AG104" s="8"/>
      <c r="AH104" s="8"/>
      <c r="AI104" s="8"/>
      <c r="AJ104" s="265"/>
      <c r="AK104" s="265"/>
      <c r="AL104" s="265"/>
      <c r="AM104" s="8"/>
      <c r="AN104" s="8"/>
      <c r="AO104" s="205" t="s">
        <v>535</v>
      </c>
      <c r="AP104" s="205"/>
      <c r="AQ104" s="205"/>
      <c r="AR104">
        <f>COUNTIF(AO106:AZ124,AO104)</f>
        <v>3</v>
      </c>
      <c r="AS104" s="8"/>
      <c r="AT104" s="8"/>
      <c r="AU104" s="8"/>
      <c r="AV104" s="8"/>
      <c r="AW104" s="8"/>
      <c r="AX104" s="8"/>
      <c r="BA104" s="205" t="s">
        <v>535</v>
      </c>
      <c r="BB104" s="205"/>
      <c r="BC104" s="205"/>
      <c r="BD104" s="205"/>
      <c r="BE104">
        <f>COUNTIF(BA106:BM124,BA104)</f>
        <v>1</v>
      </c>
      <c r="BN104" s="205" t="s">
        <v>535</v>
      </c>
      <c r="BO104" s="205"/>
      <c r="BP104" s="205"/>
      <c r="BQ104" s="205"/>
      <c r="BR104">
        <f>COUNTIF(BN106:BZ124,BN104)</f>
        <v>0</v>
      </c>
    </row>
    <row r="105" spans="3:271" x14ac:dyDescent="0.3">
      <c r="AG105" s="8"/>
      <c r="AH105" s="8"/>
      <c r="AI105" s="8"/>
      <c r="AJ105" s="265"/>
      <c r="AK105" s="265"/>
      <c r="AL105" s="265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 spans="3:271" x14ac:dyDescent="0.3">
      <c r="C106" s="205" t="s">
        <v>2477</v>
      </c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372" t="s">
        <v>2450</v>
      </c>
      <c r="AF106" s="205" t="s">
        <v>2478</v>
      </c>
      <c r="AG106" s="265"/>
      <c r="AH106" s="265"/>
      <c r="AI106" s="265"/>
      <c r="AJ106" s="265"/>
      <c r="AK106" s="265"/>
      <c r="AL106" s="265"/>
      <c r="AM106" s="265"/>
      <c r="AN106" s="1265"/>
      <c r="AO106" s="372" t="s">
        <v>2451</v>
      </c>
      <c r="AP106" s="205"/>
      <c r="AQ106" s="205"/>
      <c r="AR106" s="205" t="s">
        <v>2479</v>
      </c>
      <c r="AS106" s="265"/>
      <c r="AT106" s="265"/>
      <c r="AU106" s="265"/>
      <c r="AV106" s="265"/>
      <c r="AW106" s="265"/>
      <c r="AX106" s="265"/>
      <c r="AY106" s="265"/>
      <c r="AZ106" s="1265"/>
      <c r="BA106" s="372" t="s">
        <v>2452</v>
      </c>
      <c r="BB106" s="205"/>
      <c r="BC106" s="205"/>
      <c r="BD106" s="205"/>
      <c r="BE106" s="205" t="s">
        <v>2480</v>
      </c>
      <c r="BF106" s="265"/>
      <c r="BG106" s="265"/>
      <c r="BH106" s="265"/>
      <c r="BI106" s="265"/>
      <c r="BJ106" s="265"/>
      <c r="BK106" s="265"/>
      <c r="BL106" s="265"/>
      <c r="BM106" s="1265"/>
      <c r="BN106" s="372" t="s">
        <v>2453</v>
      </c>
      <c r="BO106" s="205"/>
      <c r="BP106" s="205"/>
      <c r="BQ106" s="205"/>
      <c r="BR106" s="205" t="s">
        <v>2482</v>
      </c>
      <c r="BS106" s="265"/>
      <c r="BT106" s="265"/>
      <c r="BU106" s="265"/>
      <c r="BV106" s="265"/>
      <c r="BW106" s="265"/>
      <c r="BX106" s="265"/>
      <c r="BY106" s="265"/>
      <c r="BZ106" s="1265"/>
    </row>
    <row r="107" spans="3:271" x14ac:dyDescent="0.3">
      <c r="C107" t="s">
        <v>48</v>
      </c>
      <c r="AE107" s="300" t="s">
        <v>877</v>
      </c>
      <c r="AG107" s="8"/>
      <c r="AH107" s="8"/>
      <c r="AI107" s="8"/>
      <c r="AJ107" s="8"/>
      <c r="AK107" s="8"/>
      <c r="AL107" s="8"/>
      <c r="AM107" s="8"/>
      <c r="AN107" s="1266"/>
      <c r="AO107" s="300" t="s">
        <v>877</v>
      </c>
      <c r="AR107" t="s">
        <v>533</v>
      </c>
      <c r="AS107" s="8"/>
      <c r="AT107" s="8"/>
      <c r="AU107" s="8"/>
      <c r="AV107" s="8"/>
      <c r="AW107" s="8"/>
      <c r="AX107" s="8"/>
      <c r="AY107" s="8"/>
      <c r="AZ107" s="1266"/>
      <c r="BA107" s="300" t="s">
        <v>877</v>
      </c>
      <c r="BF107" s="8"/>
      <c r="BG107" s="8"/>
      <c r="BH107" s="8"/>
      <c r="BI107" s="8"/>
      <c r="BJ107" s="8"/>
      <c r="BK107" s="8"/>
      <c r="BL107" s="8"/>
      <c r="BM107" s="1266"/>
      <c r="BN107" s="300" t="s">
        <v>877</v>
      </c>
      <c r="BS107" s="8"/>
      <c r="BT107" s="8"/>
      <c r="BU107" s="8"/>
      <c r="BV107" s="8"/>
      <c r="BW107" s="8"/>
      <c r="BX107" s="8"/>
      <c r="BY107" s="8"/>
      <c r="BZ107" s="1266"/>
    </row>
    <row r="108" spans="3:271" x14ac:dyDescent="0.3">
      <c r="C108" t="s">
        <v>2281</v>
      </c>
      <c r="AE108" s="300" t="s">
        <v>877</v>
      </c>
      <c r="AF108" t="s">
        <v>681</v>
      </c>
      <c r="AG108" s="8"/>
      <c r="AH108" s="8"/>
      <c r="AI108" s="8"/>
      <c r="AJ108" s="8"/>
      <c r="AK108" s="8"/>
      <c r="AL108" s="8"/>
      <c r="AM108" s="8"/>
      <c r="AN108" s="1266"/>
      <c r="AO108" s="300" t="s">
        <v>877</v>
      </c>
      <c r="AR108" t="s">
        <v>681</v>
      </c>
      <c r="AS108" s="8"/>
      <c r="AT108" s="8"/>
      <c r="AU108" s="8"/>
      <c r="AV108" s="8"/>
      <c r="AW108" s="8"/>
      <c r="AX108" s="8"/>
      <c r="AY108" s="8"/>
      <c r="AZ108" s="1266"/>
      <c r="BA108" s="300" t="s">
        <v>877</v>
      </c>
      <c r="BF108" s="8"/>
      <c r="BG108" s="8"/>
      <c r="BH108" s="8"/>
      <c r="BI108" s="8"/>
      <c r="BJ108" s="8"/>
      <c r="BK108" s="8"/>
      <c r="BL108" s="8"/>
      <c r="BM108" s="1266"/>
      <c r="BN108" s="300" t="s">
        <v>877</v>
      </c>
      <c r="BS108" s="8"/>
      <c r="BT108" s="8"/>
      <c r="BU108" s="8"/>
      <c r="BV108" s="8"/>
      <c r="BW108" s="8"/>
      <c r="BX108" s="8"/>
      <c r="BY108" s="8"/>
      <c r="BZ108" s="1266"/>
    </row>
    <row r="109" spans="3:271" x14ac:dyDescent="0.3">
      <c r="C109" t="s">
        <v>2441</v>
      </c>
      <c r="AE109" s="300" t="s">
        <v>877</v>
      </c>
      <c r="AF109" t="s">
        <v>2229</v>
      </c>
      <c r="AG109" s="8" t="s">
        <v>533</v>
      </c>
      <c r="AH109" s="8"/>
      <c r="AI109" s="8"/>
      <c r="AJ109" s="8"/>
      <c r="AK109" s="8"/>
      <c r="AL109" s="8"/>
      <c r="AM109" s="8"/>
      <c r="AN109" s="1266"/>
      <c r="AO109" s="300" t="s">
        <v>877</v>
      </c>
      <c r="AR109" t="s">
        <v>535</v>
      </c>
      <c r="AS109" s="8"/>
      <c r="AT109" s="8"/>
      <c r="AU109" s="8"/>
      <c r="AV109" s="8"/>
      <c r="AW109" s="8"/>
      <c r="AX109" s="8"/>
      <c r="AY109" s="8"/>
      <c r="AZ109" s="1266"/>
      <c r="BA109" s="300" t="s">
        <v>877</v>
      </c>
      <c r="BF109" s="8"/>
      <c r="BG109" s="8"/>
      <c r="BH109" s="8"/>
      <c r="BI109" s="8"/>
      <c r="BJ109" s="8"/>
      <c r="BK109" s="8"/>
      <c r="BL109" s="8"/>
      <c r="BM109" s="1266"/>
      <c r="BN109" s="300" t="s">
        <v>877</v>
      </c>
      <c r="BS109" s="8"/>
      <c r="BT109" s="8"/>
      <c r="BU109" s="8"/>
      <c r="BV109" s="8"/>
      <c r="BW109" s="8"/>
      <c r="BX109" s="8"/>
      <c r="BY109" s="8"/>
      <c r="BZ109" s="1266"/>
    </row>
    <row r="110" spans="3:271" x14ac:dyDescent="0.3">
      <c r="C110" t="s">
        <v>1459</v>
      </c>
      <c r="AE110" s="300"/>
      <c r="AG110" s="8"/>
      <c r="AH110" s="8"/>
      <c r="AI110" s="8"/>
      <c r="AJ110" s="8"/>
      <c r="AK110" s="8"/>
      <c r="AL110" s="8"/>
      <c r="AM110" s="8"/>
      <c r="AN110" s="1266"/>
      <c r="AO110" s="300" t="s">
        <v>877</v>
      </c>
      <c r="AS110" s="8"/>
      <c r="AT110" s="8"/>
      <c r="AU110" s="8"/>
      <c r="AV110" s="8"/>
      <c r="AW110" s="8"/>
      <c r="AX110" s="8"/>
      <c r="AY110" s="8"/>
      <c r="AZ110" s="1266"/>
      <c r="BA110" s="300" t="s">
        <v>877</v>
      </c>
      <c r="BF110" s="8"/>
      <c r="BG110" s="8"/>
      <c r="BH110" s="8"/>
      <c r="BI110" s="8"/>
      <c r="BJ110" s="8"/>
      <c r="BK110" s="8"/>
      <c r="BL110" s="8"/>
      <c r="BM110" s="1266"/>
      <c r="BN110" s="300" t="s">
        <v>877</v>
      </c>
      <c r="BS110" s="8"/>
      <c r="BT110" s="8"/>
      <c r="BU110" s="8"/>
      <c r="BV110" s="8"/>
      <c r="BW110" s="8"/>
      <c r="BX110" s="8"/>
      <c r="BY110" s="8"/>
      <c r="BZ110" s="1266"/>
    </row>
    <row r="111" spans="3:271" x14ac:dyDescent="0.3">
      <c r="C111" t="s">
        <v>2180</v>
      </c>
      <c r="AE111" s="300" t="s">
        <v>877</v>
      </c>
      <c r="AF111" t="s">
        <v>533</v>
      </c>
      <c r="AG111" s="8" t="s">
        <v>533</v>
      </c>
      <c r="AH111" s="8" t="s">
        <v>533</v>
      </c>
      <c r="AI111" s="8" t="s">
        <v>534</v>
      </c>
      <c r="AJ111" s="8" t="s">
        <v>992</v>
      </c>
      <c r="AK111" s="8"/>
      <c r="AL111" s="8"/>
      <c r="AM111" s="8"/>
      <c r="AN111" s="1266"/>
      <c r="AO111" s="300" t="s">
        <v>877</v>
      </c>
      <c r="AS111" s="8"/>
      <c r="AT111" s="8"/>
      <c r="AU111" s="8"/>
      <c r="AV111" s="8"/>
      <c r="AW111" s="8"/>
      <c r="AX111" s="8"/>
      <c r="AY111" s="8"/>
      <c r="AZ111" s="1266"/>
      <c r="BA111" s="300" t="s">
        <v>877</v>
      </c>
      <c r="BE111" t="s">
        <v>533</v>
      </c>
      <c r="BF111" s="8"/>
      <c r="BG111" s="8"/>
      <c r="BH111" s="8"/>
      <c r="BI111" s="8"/>
      <c r="BJ111" s="8"/>
      <c r="BK111" s="8"/>
      <c r="BL111" s="8"/>
      <c r="BM111" s="1266"/>
      <c r="BN111" s="300" t="s">
        <v>877</v>
      </c>
      <c r="BR111" t="s">
        <v>533</v>
      </c>
      <c r="BS111" s="8"/>
      <c r="BT111" s="8"/>
      <c r="BU111" s="8"/>
      <c r="BV111" s="8"/>
      <c r="BW111" s="8"/>
      <c r="BX111" s="8"/>
      <c r="BY111" s="8"/>
      <c r="BZ111" s="1266"/>
    </row>
    <row r="112" spans="3:271" x14ac:dyDescent="0.3">
      <c r="C112" t="s">
        <v>1597</v>
      </c>
      <c r="AE112" s="300"/>
      <c r="AG112" s="8"/>
      <c r="AH112" s="8"/>
      <c r="AI112" s="8"/>
      <c r="AJ112" s="8"/>
      <c r="AK112" s="8"/>
      <c r="AL112" s="8"/>
      <c r="AM112" s="8"/>
      <c r="AN112" s="1266"/>
      <c r="AO112" s="300" t="s">
        <v>877</v>
      </c>
      <c r="AS112" s="8"/>
      <c r="AT112" s="8"/>
      <c r="AU112" s="8"/>
      <c r="AV112" s="8"/>
      <c r="AW112" s="8"/>
      <c r="AX112" s="8"/>
      <c r="AY112" s="8"/>
      <c r="AZ112" s="1266"/>
      <c r="BA112" s="300" t="s">
        <v>877</v>
      </c>
      <c r="BF112" s="8"/>
      <c r="BG112" s="8"/>
      <c r="BH112" s="8"/>
      <c r="BI112" s="8"/>
      <c r="BJ112" s="8"/>
      <c r="BK112" s="8"/>
      <c r="BL112" s="8"/>
      <c r="BM112" s="1266"/>
      <c r="BN112" s="300" t="s">
        <v>877</v>
      </c>
      <c r="BS112" s="8"/>
      <c r="BT112" s="8"/>
      <c r="BU112" s="8"/>
      <c r="BV112" s="8"/>
      <c r="BW112" s="8"/>
      <c r="BX112" s="8"/>
      <c r="BY112" s="8"/>
      <c r="BZ112" s="1266"/>
    </row>
    <row r="113" spans="3:78" x14ac:dyDescent="0.3">
      <c r="C113" t="s">
        <v>50</v>
      </c>
      <c r="AE113" s="300" t="s">
        <v>877</v>
      </c>
      <c r="AG113" s="8"/>
      <c r="AH113" s="8"/>
      <c r="AI113" s="8"/>
      <c r="AJ113" s="8"/>
      <c r="AK113" s="8"/>
      <c r="AL113" s="8"/>
      <c r="AM113" s="8"/>
      <c r="AN113" s="1266"/>
      <c r="AO113" s="300" t="s">
        <v>877</v>
      </c>
      <c r="AR113" t="s">
        <v>533</v>
      </c>
      <c r="AS113" s="8" t="s">
        <v>533</v>
      </c>
      <c r="AT113" s="8"/>
      <c r="AU113" s="8"/>
      <c r="AV113" s="8"/>
      <c r="AW113" s="8"/>
      <c r="AX113" s="8"/>
      <c r="AY113" s="8"/>
      <c r="AZ113" s="1266"/>
      <c r="BA113" s="300" t="s">
        <v>877</v>
      </c>
      <c r="BE113" t="s">
        <v>533</v>
      </c>
      <c r="BF113" s="8" t="s">
        <v>534</v>
      </c>
      <c r="BG113" s="8" t="s">
        <v>533</v>
      </c>
      <c r="BH113" s="8" t="s">
        <v>533</v>
      </c>
      <c r="BI113" s="8" t="s">
        <v>992</v>
      </c>
      <c r="BJ113" s="8"/>
      <c r="BK113" s="8"/>
      <c r="BL113" s="8"/>
      <c r="BM113" s="1266"/>
      <c r="BN113" s="300" t="s">
        <v>877</v>
      </c>
      <c r="BR113" t="s">
        <v>534</v>
      </c>
      <c r="BS113" s="8"/>
      <c r="BT113" s="8"/>
      <c r="BU113" s="8"/>
      <c r="BV113" s="8"/>
      <c r="BW113" s="8"/>
      <c r="BX113" s="8"/>
      <c r="BY113" s="8"/>
      <c r="BZ113" s="1266"/>
    </row>
    <row r="114" spans="3:78" x14ac:dyDescent="0.3">
      <c r="C114" t="s">
        <v>2148</v>
      </c>
      <c r="AE114" s="300" t="s">
        <v>877</v>
      </c>
      <c r="AF114" t="s">
        <v>534</v>
      </c>
      <c r="AG114" s="8" t="s">
        <v>533</v>
      </c>
      <c r="AH114" s="8"/>
      <c r="AI114" s="8"/>
      <c r="AJ114" s="8"/>
      <c r="AK114" s="8"/>
      <c r="AL114" s="8"/>
      <c r="AM114" s="8"/>
      <c r="AN114" s="1266"/>
      <c r="AO114" s="300" t="s">
        <v>877</v>
      </c>
      <c r="AS114" s="8"/>
      <c r="AT114" s="8"/>
      <c r="AU114" s="8"/>
      <c r="AV114" s="8"/>
      <c r="AW114" s="8"/>
      <c r="AX114" s="8"/>
      <c r="AY114" s="8"/>
      <c r="AZ114" s="1266"/>
      <c r="BA114" s="300" t="s">
        <v>877</v>
      </c>
      <c r="BF114" s="8"/>
      <c r="BG114" s="8"/>
      <c r="BH114" s="8"/>
      <c r="BI114" s="8"/>
      <c r="BJ114" s="8"/>
      <c r="BK114" s="8"/>
      <c r="BL114" s="8"/>
      <c r="BM114" s="1266"/>
      <c r="BN114" s="300" t="s">
        <v>877</v>
      </c>
      <c r="BS114" s="8"/>
      <c r="BT114" s="8"/>
      <c r="BU114" s="8"/>
      <c r="BV114" s="8"/>
      <c r="BW114" s="8"/>
      <c r="BX114" s="8"/>
      <c r="BY114" s="8"/>
      <c r="BZ114" s="1266"/>
    </row>
    <row r="115" spans="3:78" x14ac:dyDescent="0.3">
      <c r="C115" t="s">
        <v>2184</v>
      </c>
      <c r="AE115" s="300" t="s">
        <v>877</v>
      </c>
      <c r="AF115" t="s">
        <v>534</v>
      </c>
      <c r="AG115" s="8"/>
      <c r="AH115" s="8"/>
      <c r="AI115" s="8"/>
      <c r="AJ115" s="8"/>
      <c r="AK115" s="8"/>
      <c r="AL115" s="8"/>
      <c r="AM115" s="8"/>
      <c r="AN115" s="1266"/>
      <c r="AO115" s="300" t="s">
        <v>877</v>
      </c>
      <c r="AS115" s="8"/>
      <c r="AT115" s="8"/>
      <c r="AU115" s="8"/>
      <c r="AV115" s="8"/>
      <c r="AW115" s="8"/>
      <c r="AX115" s="8"/>
      <c r="AY115" s="8"/>
      <c r="AZ115" s="1266"/>
      <c r="BA115" s="300" t="s">
        <v>877</v>
      </c>
      <c r="BE115" t="s">
        <v>2229</v>
      </c>
      <c r="BF115" s="8" t="s">
        <v>533</v>
      </c>
      <c r="BG115" s="8"/>
      <c r="BH115" s="8"/>
      <c r="BI115" s="8"/>
      <c r="BJ115" s="8"/>
      <c r="BK115" s="8"/>
      <c r="BL115" s="8"/>
      <c r="BM115" s="1266"/>
      <c r="BN115" s="300" t="s">
        <v>877</v>
      </c>
      <c r="BS115" s="8"/>
      <c r="BT115" s="8"/>
      <c r="BU115" s="8"/>
      <c r="BV115" s="8"/>
      <c r="BW115" s="8"/>
      <c r="BX115" s="8"/>
      <c r="BY115" s="8"/>
      <c r="BZ115" s="1266"/>
    </row>
    <row r="116" spans="3:78" x14ac:dyDescent="0.3">
      <c r="C116" t="s">
        <v>2283</v>
      </c>
      <c r="AE116" s="300" t="s">
        <v>877</v>
      </c>
      <c r="AG116" s="8"/>
      <c r="AH116" s="8"/>
      <c r="AI116" s="8"/>
      <c r="AJ116" s="8"/>
      <c r="AK116" s="8"/>
      <c r="AL116" s="8"/>
      <c r="AM116" s="8"/>
      <c r="AN116" s="1266"/>
      <c r="AO116" s="300" t="s">
        <v>877</v>
      </c>
      <c r="AS116" s="8"/>
      <c r="AT116" s="8"/>
      <c r="AU116" s="8"/>
      <c r="AV116" s="8"/>
      <c r="AW116" s="8"/>
      <c r="AX116" s="8"/>
      <c r="AY116" s="8"/>
      <c r="AZ116" s="1266"/>
      <c r="BA116" s="300" t="s">
        <v>877</v>
      </c>
      <c r="BF116" s="8"/>
      <c r="BG116" s="8"/>
      <c r="BH116" s="8"/>
      <c r="BI116" s="8"/>
      <c r="BJ116" s="8"/>
      <c r="BK116" s="8"/>
      <c r="BL116" s="8"/>
      <c r="BM116" s="1266"/>
      <c r="BN116" s="300" t="s">
        <v>877</v>
      </c>
      <c r="BS116" s="8"/>
      <c r="BT116" s="8"/>
      <c r="BU116" s="8"/>
      <c r="BV116" s="8"/>
      <c r="BW116" s="8"/>
      <c r="BX116" s="8"/>
      <c r="BY116" s="8"/>
      <c r="BZ116" s="1266"/>
    </row>
    <row r="117" spans="3:78" x14ac:dyDescent="0.3">
      <c r="C117" t="s">
        <v>2280</v>
      </c>
      <c r="AE117" s="300" t="s">
        <v>877</v>
      </c>
      <c r="AG117" s="8"/>
      <c r="AH117" s="8"/>
      <c r="AI117" s="8"/>
      <c r="AJ117" s="8"/>
      <c r="AK117" s="8"/>
      <c r="AL117" s="8"/>
      <c r="AM117" s="8"/>
      <c r="AN117" s="1266"/>
      <c r="AO117" s="300" t="s">
        <v>877</v>
      </c>
      <c r="AS117" s="8"/>
      <c r="AT117" s="8"/>
      <c r="AU117" s="8"/>
      <c r="AV117" s="8"/>
      <c r="AW117" s="8"/>
      <c r="AX117" s="8"/>
      <c r="AY117" s="8"/>
      <c r="AZ117" s="1266"/>
      <c r="BA117" s="300" t="s">
        <v>877</v>
      </c>
      <c r="BE117" t="s">
        <v>534</v>
      </c>
      <c r="BF117" s="8"/>
      <c r="BG117" s="8"/>
      <c r="BH117" s="8"/>
      <c r="BI117" s="8"/>
      <c r="BJ117" s="8"/>
      <c r="BK117" s="8"/>
      <c r="BL117" s="8"/>
      <c r="BM117" s="1266"/>
      <c r="BN117" s="300" t="s">
        <v>877</v>
      </c>
      <c r="BS117" s="8"/>
      <c r="BT117" s="8"/>
      <c r="BU117" s="8"/>
      <c r="BV117" s="8"/>
      <c r="BW117" s="8"/>
      <c r="BX117" s="8"/>
      <c r="BY117" s="8"/>
      <c r="BZ117" s="1266"/>
    </row>
    <row r="118" spans="3:78" x14ac:dyDescent="0.3">
      <c r="C118" t="s">
        <v>1591</v>
      </c>
      <c r="AE118" s="300"/>
      <c r="AG118" s="8"/>
      <c r="AH118" s="8"/>
      <c r="AI118" s="8"/>
      <c r="AJ118" s="8"/>
      <c r="AK118" s="8"/>
      <c r="AL118" s="8"/>
      <c r="AM118" s="8"/>
      <c r="AN118" s="1266"/>
      <c r="AO118" s="300" t="s">
        <v>877</v>
      </c>
      <c r="AR118" t="s">
        <v>535</v>
      </c>
      <c r="AS118" s="8" t="s">
        <v>534</v>
      </c>
      <c r="AT118" s="8" t="s">
        <v>534</v>
      </c>
      <c r="AU118" s="8" t="s">
        <v>534</v>
      </c>
      <c r="AV118" s="8"/>
      <c r="AW118" s="8"/>
      <c r="AX118" s="8"/>
      <c r="AY118" s="8"/>
      <c r="AZ118" s="1266"/>
      <c r="BA118" s="300" t="s">
        <v>877</v>
      </c>
      <c r="BF118" s="8"/>
      <c r="BG118" s="8"/>
      <c r="BH118" s="8"/>
      <c r="BI118" s="8"/>
      <c r="BJ118" s="8"/>
      <c r="BK118" s="8"/>
      <c r="BL118" s="8"/>
      <c r="BM118" s="1266"/>
      <c r="BN118" s="300" t="s">
        <v>877</v>
      </c>
      <c r="BS118" s="8"/>
      <c r="BT118" s="8"/>
      <c r="BU118" s="8"/>
      <c r="BV118" s="8"/>
      <c r="BW118" s="8"/>
      <c r="BX118" s="8"/>
      <c r="BY118" s="8"/>
      <c r="BZ118" s="1266"/>
    </row>
    <row r="119" spans="3:78" x14ac:dyDescent="0.3">
      <c r="C119" t="s">
        <v>1379</v>
      </c>
      <c r="AE119" s="300"/>
      <c r="AG119" s="8"/>
      <c r="AH119" s="8"/>
      <c r="AI119" s="8"/>
      <c r="AJ119" s="265"/>
      <c r="AK119" s="265"/>
      <c r="AL119" s="265"/>
      <c r="AM119" s="8"/>
      <c r="AN119" s="1266"/>
      <c r="AO119" s="300" t="s">
        <v>877</v>
      </c>
      <c r="AR119" t="s">
        <v>533</v>
      </c>
      <c r="AS119" s="8"/>
      <c r="AT119" s="8"/>
      <c r="AU119" s="8"/>
      <c r="AV119" s="265"/>
      <c r="AW119" s="265"/>
      <c r="AX119" s="265"/>
      <c r="AY119" s="8"/>
      <c r="AZ119" s="1266"/>
      <c r="BA119" s="300" t="s">
        <v>877</v>
      </c>
      <c r="BE119" t="s">
        <v>534</v>
      </c>
      <c r="BF119" s="8" t="s">
        <v>534</v>
      </c>
      <c r="BG119" s="8"/>
      <c r="BH119" s="8"/>
      <c r="BI119" s="265"/>
      <c r="BJ119" s="265"/>
      <c r="BK119" s="265"/>
      <c r="BL119" s="8"/>
      <c r="BM119" s="1266"/>
      <c r="BN119" s="300" t="s">
        <v>877</v>
      </c>
      <c r="BR119" t="s">
        <v>534</v>
      </c>
      <c r="BS119" s="8" t="s">
        <v>533</v>
      </c>
      <c r="BT119" s="8" t="s">
        <v>540</v>
      </c>
      <c r="BU119" s="8"/>
      <c r="BV119" s="265"/>
      <c r="BW119" s="265"/>
      <c r="BX119" s="265"/>
      <c r="BY119" s="8"/>
      <c r="BZ119" s="1266"/>
    </row>
    <row r="120" spans="3:78" x14ac:dyDescent="0.3">
      <c r="C120" t="s">
        <v>2442</v>
      </c>
      <c r="AE120" s="300" t="s">
        <v>877</v>
      </c>
      <c r="AN120" s="683"/>
      <c r="AO120" s="300" t="s">
        <v>877</v>
      </c>
      <c r="AR120" t="s">
        <v>534</v>
      </c>
      <c r="AS120" t="s">
        <v>534</v>
      </c>
      <c r="AZ120" s="683"/>
      <c r="BA120" s="300" t="s">
        <v>877</v>
      </c>
      <c r="BM120" s="683"/>
      <c r="BN120" s="300" t="s">
        <v>877</v>
      </c>
      <c r="BZ120" s="683"/>
    </row>
    <row r="121" spans="3:78" x14ac:dyDescent="0.3">
      <c r="C121" t="s">
        <v>2282</v>
      </c>
      <c r="AE121" s="300" t="s">
        <v>877</v>
      </c>
      <c r="AF121" t="s">
        <v>534</v>
      </c>
      <c r="AN121" s="683"/>
      <c r="AO121" s="300" t="s">
        <v>877</v>
      </c>
      <c r="AR121" t="s">
        <v>535</v>
      </c>
      <c r="AS121" t="s">
        <v>533</v>
      </c>
      <c r="AZ121" s="683"/>
      <c r="BA121" s="300" t="s">
        <v>877</v>
      </c>
      <c r="BM121" s="683"/>
      <c r="BN121" s="300" t="s">
        <v>877</v>
      </c>
      <c r="BZ121" s="683"/>
    </row>
    <row r="122" spans="3:78" x14ac:dyDescent="0.3">
      <c r="C122" t="s">
        <v>2443</v>
      </c>
      <c r="AE122" s="300" t="s">
        <v>877</v>
      </c>
      <c r="AF122" t="s">
        <v>534</v>
      </c>
      <c r="AG122" s="8"/>
      <c r="AH122" s="8"/>
      <c r="AI122" s="8"/>
      <c r="AJ122" s="265"/>
      <c r="AK122" s="265"/>
      <c r="AL122" s="265"/>
      <c r="AM122" s="8"/>
      <c r="AN122" s="1266"/>
      <c r="AO122" s="300" t="s">
        <v>877</v>
      </c>
      <c r="AR122" t="s">
        <v>533</v>
      </c>
      <c r="AS122" s="8"/>
      <c r="AT122" s="8"/>
      <c r="AU122" s="8"/>
      <c r="AV122" s="265"/>
      <c r="AW122" s="265"/>
      <c r="AX122" s="265"/>
      <c r="AY122" s="8"/>
      <c r="AZ122" s="1266"/>
      <c r="BA122" s="300" t="s">
        <v>877</v>
      </c>
      <c r="BE122" t="s">
        <v>535</v>
      </c>
      <c r="BF122" s="8" t="s">
        <v>534</v>
      </c>
      <c r="BG122" s="8"/>
      <c r="BH122" s="8"/>
      <c r="BI122" s="265"/>
      <c r="BJ122" s="265"/>
      <c r="BK122" s="265"/>
      <c r="BL122" s="8"/>
      <c r="BM122" s="1266"/>
      <c r="BN122" s="300" t="s">
        <v>877</v>
      </c>
      <c r="BS122" s="8"/>
      <c r="BT122" s="8"/>
      <c r="BU122" s="8"/>
      <c r="BV122" s="265"/>
      <c r="BW122" s="265"/>
      <c r="BX122" s="265"/>
      <c r="BY122" s="8"/>
      <c r="BZ122" s="1266"/>
    </row>
    <row r="123" spans="3:78" x14ac:dyDescent="0.3">
      <c r="C123" t="s">
        <v>2444</v>
      </c>
      <c r="AE123" s="300" t="s">
        <v>877</v>
      </c>
      <c r="AF123" t="s">
        <v>534</v>
      </c>
      <c r="AG123" t="s">
        <v>533</v>
      </c>
      <c r="AH123" t="s">
        <v>533</v>
      </c>
      <c r="AN123" s="683"/>
      <c r="AO123" s="300" t="s">
        <v>877</v>
      </c>
      <c r="AR123" t="s">
        <v>2229</v>
      </c>
      <c r="AS123" t="s">
        <v>533</v>
      </c>
      <c r="AT123" t="s">
        <v>534</v>
      </c>
      <c r="AU123" t="s">
        <v>533</v>
      </c>
      <c r="AZ123" s="683"/>
      <c r="BA123" s="300" t="s">
        <v>877</v>
      </c>
      <c r="BE123" t="s">
        <v>534</v>
      </c>
      <c r="BF123" t="s">
        <v>533</v>
      </c>
      <c r="BG123" t="s">
        <v>533</v>
      </c>
      <c r="BH123" t="s">
        <v>545</v>
      </c>
      <c r="BI123" t="s">
        <v>556</v>
      </c>
      <c r="BM123" s="683"/>
      <c r="BN123" s="300" t="s">
        <v>877</v>
      </c>
      <c r="BZ123" s="683"/>
    </row>
    <row r="124" spans="3:78" x14ac:dyDescent="0.3">
      <c r="AE124" s="300"/>
      <c r="AN124" s="683"/>
      <c r="AO124" s="300"/>
      <c r="AZ124" s="683"/>
      <c r="BA124" s="300"/>
      <c r="BM124" s="683"/>
      <c r="BN124" s="300"/>
      <c r="BZ124" s="683"/>
    </row>
    <row r="126" spans="3:78" x14ac:dyDescent="0.3">
      <c r="BA126" t="s">
        <v>2481</v>
      </c>
    </row>
    <row r="130" spans="3:28" x14ac:dyDescent="0.3">
      <c r="E130" s="265" t="s">
        <v>516</v>
      </c>
      <c r="F130" s="265"/>
      <c r="G130" s="26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3:28" x14ac:dyDescent="0.3">
      <c r="E131" s="265">
        <v>1</v>
      </c>
      <c r="F131" s="265">
        <v>2</v>
      </c>
      <c r="G131" s="265">
        <v>3</v>
      </c>
      <c r="H131" s="265">
        <v>4</v>
      </c>
      <c r="I131" s="265">
        <v>5</v>
      </c>
      <c r="J131" s="265">
        <v>6</v>
      </c>
      <c r="K131" s="265">
        <v>7</v>
      </c>
      <c r="L131" s="265">
        <v>8</v>
      </c>
      <c r="M131" s="265">
        <v>9</v>
      </c>
      <c r="N131" s="265">
        <v>10</v>
      </c>
      <c r="O131" s="265">
        <v>11</v>
      </c>
      <c r="P131" s="265">
        <v>12</v>
      </c>
      <c r="Q131" s="265">
        <v>13</v>
      </c>
      <c r="R131" s="265">
        <v>14</v>
      </c>
      <c r="S131" s="265">
        <v>15</v>
      </c>
      <c r="T131" s="265">
        <v>16</v>
      </c>
      <c r="U131" s="265">
        <v>17</v>
      </c>
      <c r="V131" s="265">
        <v>18</v>
      </c>
      <c r="W131" s="265">
        <v>19</v>
      </c>
      <c r="X131" s="265">
        <v>20</v>
      </c>
      <c r="Y131" s="265">
        <v>21</v>
      </c>
      <c r="Z131" s="265">
        <v>22</v>
      </c>
      <c r="AA131" s="265">
        <v>23</v>
      </c>
      <c r="AB131" s="265">
        <v>24</v>
      </c>
    </row>
    <row r="132" spans="3:28" x14ac:dyDescent="0.3">
      <c r="C132" t="s">
        <v>2281</v>
      </c>
      <c r="D132" s="265" t="s">
        <v>991</v>
      </c>
      <c r="E132" s="8">
        <v>11</v>
      </c>
      <c r="F132" s="8"/>
      <c r="G132" s="8">
        <v>4</v>
      </c>
      <c r="H132" s="8"/>
      <c r="I132" s="8"/>
      <c r="J132" s="8">
        <v>16</v>
      </c>
      <c r="K132" s="8">
        <v>19</v>
      </c>
      <c r="L132" s="8"/>
      <c r="M132" s="8">
        <v>0</v>
      </c>
      <c r="N132" s="8"/>
      <c r="O132" s="8"/>
      <c r="P132" s="8">
        <v>22</v>
      </c>
      <c r="Q132" s="8"/>
      <c r="R132" s="8">
        <v>16</v>
      </c>
      <c r="S132" s="8">
        <v>17</v>
      </c>
      <c r="T132" s="8"/>
      <c r="U132" s="8">
        <v>12</v>
      </c>
      <c r="V132" s="8"/>
      <c r="W132" s="8">
        <v>6</v>
      </c>
      <c r="X132" s="8"/>
      <c r="Y132" s="8">
        <v>27</v>
      </c>
      <c r="Z132" s="8">
        <v>27</v>
      </c>
      <c r="AA132" s="8">
        <v>10</v>
      </c>
      <c r="AB132" s="8">
        <v>24</v>
      </c>
    </row>
    <row r="133" spans="3:28" x14ac:dyDescent="0.3">
      <c r="D133" s="265" t="s">
        <v>993</v>
      </c>
      <c r="E133" s="8">
        <v>0</v>
      </c>
      <c r="F133" s="8"/>
      <c r="G133" s="8">
        <v>3</v>
      </c>
      <c r="H133" s="8"/>
      <c r="I133" s="8"/>
      <c r="J133" s="8">
        <v>3</v>
      </c>
      <c r="K133" s="8">
        <v>2</v>
      </c>
      <c r="L133" s="8"/>
      <c r="M133" s="8">
        <v>0</v>
      </c>
      <c r="N133" s="8"/>
      <c r="O133" s="8"/>
      <c r="P133" s="8">
        <v>2</v>
      </c>
      <c r="Q133" s="8"/>
      <c r="R133" s="8">
        <v>1</v>
      </c>
      <c r="S133" s="8">
        <v>1</v>
      </c>
      <c r="T133" s="8"/>
      <c r="U133" s="8">
        <v>0</v>
      </c>
      <c r="V133" s="8"/>
      <c r="W133" s="8">
        <v>0</v>
      </c>
      <c r="X133" s="8"/>
      <c r="Y133" s="8">
        <v>2</v>
      </c>
      <c r="Z133" s="8">
        <v>2</v>
      </c>
      <c r="AA133" s="8">
        <v>2</v>
      </c>
      <c r="AB133" s="8">
        <v>2</v>
      </c>
    </row>
    <row r="134" spans="3:28" x14ac:dyDescent="0.3">
      <c r="D134" s="265" t="s">
        <v>990</v>
      </c>
      <c r="E134" s="8">
        <v>1</v>
      </c>
      <c r="F134" s="8"/>
      <c r="G134" s="8">
        <v>0</v>
      </c>
      <c r="H134" s="8"/>
      <c r="I134" s="8"/>
      <c r="J134" s="8">
        <v>0</v>
      </c>
      <c r="K134" s="8">
        <v>1</v>
      </c>
      <c r="L134" s="8"/>
      <c r="M134" s="8">
        <v>0</v>
      </c>
      <c r="N134" s="8"/>
      <c r="O134" s="8"/>
      <c r="P134" s="8">
        <v>1</v>
      </c>
      <c r="Q134" s="8"/>
      <c r="R134" s="8">
        <v>1</v>
      </c>
      <c r="S134" s="8">
        <v>1</v>
      </c>
      <c r="T134" s="8"/>
      <c r="U134" s="8">
        <v>1</v>
      </c>
      <c r="V134" s="8"/>
      <c r="W134" s="8">
        <v>1</v>
      </c>
      <c r="X134" s="8"/>
      <c r="Y134" s="8">
        <v>1</v>
      </c>
      <c r="Z134" s="8">
        <v>1</v>
      </c>
      <c r="AA134" s="8">
        <v>1</v>
      </c>
      <c r="AB134" s="8">
        <v>0</v>
      </c>
    </row>
    <row r="135" spans="3:28" x14ac:dyDescent="0.3">
      <c r="D135" s="265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3:28" x14ac:dyDescent="0.3">
      <c r="C136" t="s">
        <v>1597</v>
      </c>
      <c r="D136" s="265" t="s">
        <v>991</v>
      </c>
      <c r="E136" s="8"/>
      <c r="F136" s="8">
        <v>11</v>
      </c>
      <c r="G136" s="8"/>
      <c r="H136" s="8">
        <v>12</v>
      </c>
      <c r="I136" s="8">
        <v>13</v>
      </c>
      <c r="J136" s="8"/>
      <c r="K136" s="8"/>
      <c r="L136" s="8">
        <v>12</v>
      </c>
      <c r="M136" s="8"/>
      <c r="N136" s="8">
        <v>0</v>
      </c>
      <c r="O136" s="8">
        <v>7</v>
      </c>
      <c r="P136" s="8"/>
      <c r="Q136" s="8">
        <v>9</v>
      </c>
      <c r="R136" s="8"/>
      <c r="S136" s="8"/>
      <c r="T136" s="8">
        <v>11</v>
      </c>
      <c r="U136" s="8"/>
      <c r="V136" s="8">
        <v>15</v>
      </c>
      <c r="W136" s="8"/>
      <c r="X136" s="8">
        <v>15</v>
      </c>
      <c r="Y136" s="8"/>
      <c r="Z136" s="8"/>
      <c r="AA136" s="8"/>
      <c r="AB136" s="8"/>
    </row>
    <row r="137" spans="3:28" x14ac:dyDescent="0.3">
      <c r="D137" s="265" t="s">
        <v>993</v>
      </c>
      <c r="E137" s="8"/>
      <c r="F137" s="8">
        <v>2</v>
      </c>
      <c r="G137" s="8"/>
      <c r="H137" s="8">
        <v>1</v>
      </c>
      <c r="I137" s="8">
        <v>4</v>
      </c>
      <c r="J137" s="8"/>
      <c r="K137" s="8"/>
      <c r="L137" s="8">
        <v>3</v>
      </c>
      <c r="M137" s="8"/>
      <c r="N137" s="8">
        <v>0</v>
      </c>
      <c r="O137" s="8">
        <v>2</v>
      </c>
      <c r="P137" s="8"/>
      <c r="Q137" s="8">
        <v>2</v>
      </c>
      <c r="R137" s="8"/>
      <c r="S137" s="8"/>
      <c r="T137" s="8">
        <v>4</v>
      </c>
      <c r="U137" s="8"/>
      <c r="V137" s="8">
        <v>3</v>
      </c>
      <c r="W137" s="8"/>
      <c r="X137" s="8">
        <v>13</v>
      </c>
      <c r="Y137" s="8"/>
      <c r="Z137" s="8"/>
      <c r="AA137" s="8"/>
      <c r="AB137" s="8"/>
    </row>
    <row r="138" spans="3:28" x14ac:dyDescent="0.3">
      <c r="D138" s="265" t="s">
        <v>990</v>
      </c>
      <c r="E138" s="8"/>
      <c r="F138" s="8">
        <v>1</v>
      </c>
      <c r="G138" s="8"/>
      <c r="H138" s="8">
        <v>1</v>
      </c>
      <c r="I138" s="8">
        <v>0</v>
      </c>
      <c r="J138" s="8"/>
      <c r="K138" s="8"/>
      <c r="L138" s="8">
        <v>0</v>
      </c>
      <c r="M138" s="8"/>
      <c r="N138" s="8">
        <v>1</v>
      </c>
      <c r="O138" s="8">
        <v>1</v>
      </c>
      <c r="P138" s="8"/>
      <c r="Q138" s="8">
        <v>1</v>
      </c>
      <c r="R138" s="8"/>
      <c r="S138" s="8"/>
      <c r="T138" s="8">
        <v>1</v>
      </c>
      <c r="U138" s="8"/>
      <c r="V138" s="8">
        <v>1</v>
      </c>
      <c r="W138" s="8"/>
      <c r="X138" s="8">
        <v>0</v>
      </c>
      <c r="Y138" s="8"/>
      <c r="Z138" s="8"/>
      <c r="AA138" s="8"/>
      <c r="AB138" s="8"/>
    </row>
    <row r="150" spans="2:78" x14ac:dyDescent="0.3">
      <c r="C150" s="205" t="s">
        <v>2714</v>
      </c>
      <c r="D150" s="205" t="s">
        <v>2525</v>
      </c>
      <c r="AE150" s="205"/>
      <c r="AO150" s="205" t="s">
        <v>2758</v>
      </c>
    </row>
    <row r="152" spans="2:78" x14ac:dyDescent="0.3">
      <c r="C152" s="478" t="s">
        <v>2080</v>
      </c>
      <c r="D152" s="8"/>
      <c r="F152" s="1308">
        <f>SUM(F154:F175)</f>
        <v>91</v>
      </c>
      <c r="G152" s="1308"/>
      <c r="H152" s="1308">
        <f t="shared" ref="H152" si="42">SUM(H154:H175)</f>
        <v>79</v>
      </c>
      <c r="I152" s="1308"/>
      <c r="J152" s="1308">
        <f t="shared" ref="J152" si="43">SUM(J154:J175)</f>
        <v>170</v>
      </c>
      <c r="K152" s="1308"/>
      <c r="L152" s="1308">
        <f t="shared" ref="L152" si="44">SUM(L154:L175)</f>
        <v>28</v>
      </c>
      <c r="M152" s="1308"/>
      <c r="N152" s="1308">
        <f t="shared" ref="N152" si="45">SUM(N154:N175)</f>
        <v>9</v>
      </c>
      <c r="O152" s="1308"/>
      <c r="P152" s="1308">
        <f t="shared" ref="P152" si="46">SUM(P154:P175)</f>
        <v>4</v>
      </c>
      <c r="Q152" s="1308"/>
      <c r="R152" s="1308">
        <f t="shared" ref="R152" si="47">SUM(R154:R175)</f>
        <v>1</v>
      </c>
      <c r="S152" s="1308"/>
      <c r="T152" s="1308">
        <f t="shared" ref="T152" si="48">SUM(T154:T175)</f>
        <v>2</v>
      </c>
      <c r="U152" s="1308"/>
      <c r="V152" s="1308">
        <f t="shared" ref="V152" si="49">SUM(V154:V175)</f>
        <v>0</v>
      </c>
      <c r="W152" s="1308"/>
      <c r="X152" s="1308">
        <f t="shared" ref="X152" si="50">SUM(X154:X175)</f>
        <v>2</v>
      </c>
      <c r="Y152" s="1308"/>
      <c r="Z152" s="1308">
        <f t="shared" ref="Z152" si="51">SUM(Z154:Z175)</f>
        <v>0</v>
      </c>
      <c r="AA152" s="1308"/>
      <c r="AB152" s="1308">
        <f t="shared" ref="AB152" si="52">SUM(AB154:AB175)</f>
        <v>5</v>
      </c>
      <c r="AC152" s="1308"/>
      <c r="AD152" s="1308">
        <f t="shared" ref="AD152" si="53">SUM(AD154:AD175)</f>
        <v>2</v>
      </c>
      <c r="AE152" s="1308"/>
      <c r="AF152" s="1308">
        <f t="shared" ref="AF152" si="54">SUM(AF154:AF175)</f>
        <v>1</v>
      </c>
      <c r="AG152" s="1308"/>
      <c r="AH152" s="1308">
        <f t="shared" ref="AH152" si="55">SUM(AH154:AH175)</f>
        <v>0</v>
      </c>
      <c r="AI152" s="1308"/>
      <c r="AJ152" s="1308">
        <f t="shared" ref="AJ152" si="56">SUM(AJ154:AJ175)</f>
        <v>22</v>
      </c>
      <c r="AK152" s="1308"/>
      <c r="AL152" s="1308">
        <f t="shared" ref="AL152" si="57">SUM(AL154:AL175)</f>
        <v>9</v>
      </c>
      <c r="AM152" s="1308"/>
      <c r="AO152" s="1308">
        <f>SUM(AO154:AO175)</f>
        <v>208</v>
      </c>
      <c r="AP152" s="1308"/>
      <c r="AQ152" s="1308">
        <f>SUM(AQ154:AQ175)</f>
        <v>202</v>
      </c>
      <c r="AR152" s="1308"/>
      <c r="AS152" s="1308">
        <f>SUM(AS154:AS175)</f>
        <v>6</v>
      </c>
      <c r="AT152" s="1308"/>
      <c r="AU152" s="1308">
        <f>SUM(AU154:AU175)</f>
        <v>296</v>
      </c>
      <c r="AV152" s="1308"/>
      <c r="AX152" s="1308">
        <f t="shared" ref="AX152:AZ152" si="58">SUM(AX154:AX175)</f>
        <v>424</v>
      </c>
      <c r="AY152" s="1308"/>
      <c r="AZ152" s="1308">
        <f t="shared" si="58"/>
        <v>424</v>
      </c>
      <c r="BA152" s="1308"/>
      <c r="BB152" s="1308">
        <f t="shared" ref="BB152:BD152" si="59">SUM(BB154:BB175)</f>
        <v>88</v>
      </c>
      <c r="BC152" s="1308"/>
      <c r="BD152" s="1308">
        <f t="shared" si="59"/>
        <v>22</v>
      </c>
      <c r="BE152" s="1308"/>
      <c r="BF152" s="1308">
        <f>AVERAGE(BF154:BF175)</f>
        <v>19.401785714285715</v>
      </c>
      <c r="BG152" s="1308"/>
      <c r="BH152" s="1308">
        <f>AVERAGE(BH154:BH175)</f>
        <v>4.2142857142857144</v>
      </c>
      <c r="BI152" s="1308"/>
    </row>
    <row r="153" spans="2:78" x14ac:dyDescent="0.3">
      <c r="D153" s="1309" t="s">
        <v>877</v>
      </c>
      <c r="E153" s="1309"/>
      <c r="F153" s="1315" t="s">
        <v>533</v>
      </c>
      <c r="G153" s="1316"/>
      <c r="H153" s="1315" t="s">
        <v>534</v>
      </c>
      <c r="I153" s="1316"/>
      <c r="J153" s="1315" t="s">
        <v>610</v>
      </c>
      <c r="K153" s="1316"/>
      <c r="L153" s="1315" t="s">
        <v>535</v>
      </c>
      <c r="M153" s="1316"/>
      <c r="N153" s="1315" t="s">
        <v>2229</v>
      </c>
      <c r="O153" s="1316"/>
      <c r="P153" s="1309" t="s">
        <v>540</v>
      </c>
      <c r="Q153" s="1309"/>
      <c r="R153" s="1309" t="s">
        <v>545</v>
      </c>
      <c r="S153" s="1309"/>
      <c r="T153" s="1309" t="s">
        <v>557</v>
      </c>
      <c r="U153" s="1309"/>
      <c r="V153" s="1309" t="s">
        <v>556</v>
      </c>
      <c r="W153" s="1309"/>
      <c r="X153" s="1309" t="s">
        <v>637</v>
      </c>
      <c r="Y153" s="1309"/>
      <c r="Z153" s="1309" t="s">
        <v>693</v>
      </c>
      <c r="AA153" s="1309"/>
      <c r="AB153" s="1309" t="s">
        <v>992</v>
      </c>
      <c r="AC153" s="1309"/>
      <c r="AD153" s="1309" t="s">
        <v>139</v>
      </c>
      <c r="AE153" s="1309"/>
      <c r="AF153" s="1309" t="s">
        <v>669</v>
      </c>
      <c r="AG153" s="1309"/>
      <c r="AH153" s="1309" t="s">
        <v>2044</v>
      </c>
      <c r="AI153" s="1309"/>
      <c r="AJ153" s="1309" t="s">
        <v>681</v>
      </c>
      <c r="AK153" s="1309"/>
      <c r="AL153" s="1309" t="s">
        <v>990</v>
      </c>
      <c r="AM153" s="1309"/>
      <c r="AO153" s="1309" t="s">
        <v>106</v>
      </c>
      <c r="AP153" s="1309"/>
      <c r="AQ153" s="1309" t="s">
        <v>107</v>
      </c>
      <c r="AR153" s="1309"/>
      <c r="AS153" s="1317" t="s">
        <v>108</v>
      </c>
      <c r="AT153" s="1309"/>
      <c r="AU153" s="1309" t="s">
        <v>2354</v>
      </c>
      <c r="AV153" s="1309"/>
      <c r="AX153" s="1309" t="s">
        <v>991</v>
      </c>
      <c r="AY153" s="1309"/>
      <c r="AZ153" s="1309" t="s">
        <v>991</v>
      </c>
      <c r="BA153" s="1309"/>
      <c r="BB153" s="1309" t="s">
        <v>993</v>
      </c>
      <c r="BC153" s="1309"/>
      <c r="BD153" s="1309" t="s">
        <v>681</v>
      </c>
      <c r="BE153" s="1309"/>
      <c r="BF153" s="1309" t="s">
        <v>1969</v>
      </c>
      <c r="BG153" s="1309"/>
      <c r="BH153" s="1309" t="s">
        <v>1969</v>
      </c>
      <c r="BI153" s="1309"/>
    </row>
    <row r="154" spans="2:78" x14ac:dyDescent="0.3">
      <c r="B154" s="601"/>
      <c r="C154" s="1295" t="s">
        <v>1798</v>
      </c>
      <c r="D154" s="1310">
        <f t="shared" ref="D154:D175" si="60">COUNTIF(183:183,D$153)</f>
        <v>21</v>
      </c>
      <c r="E154" s="1310"/>
      <c r="F154" s="1310">
        <f t="shared" ref="F154:F175" si="61">COUNTIF(183:183,F$153)</f>
        <v>14</v>
      </c>
      <c r="G154" s="1310"/>
      <c r="H154" s="1310">
        <f t="shared" ref="H154:H175" si="62">COUNTIF(183:183,H$153)</f>
        <v>4</v>
      </c>
      <c r="I154" s="1310"/>
      <c r="J154" s="1310">
        <f>SUM(F154:I154)</f>
        <v>18</v>
      </c>
      <c r="K154" s="1310"/>
      <c r="L154" s="1310">
        <f t="shared" ref="L154:L175" si="63">COUNTIF(183:183,L$153)</f>
        <v>1</v>
      </c>
      <c r="M154" s="1310"/>
      <c r="N154" s="1310">
        <f t="shared" ref="N154:N175" si="64">COUNTIF(183:183,N$153)</f>
        <v>1</v>
      </c>
      <c r="O154" s="1310"/>
      <c r="P154" s="1310">
        <f t="shared" ref="P154:P175" si="65">COUNTIF(183:183,P$153)</f>
        <v>2</v>
      </c>
      <c r="Q154" s="1310"/>
      <c r="R154" s="1310">
        <f t="shared" ref="R154:R175" si="66">COUNTIF(183:183,R$153)</f>
        <v>0</v>
      </c>
      <c r="S154" s="1310"/>
      <c r="T154" s="1310">
        <f t="shared" ref="T154:T175" si="67">COUNTIF(183:183,T$153)</f>
        <v>0</v>
      </c>
      <c r="U154" s="1310"/>
      <c r="V154" s="1310">
        <f t="shared" ref="V154:V175" si="68">COUNTIF(183:183,V$153)</f>
        <v>0</v>
      </c>
      <c r="W154" s="1310"/>
      <c r="X154" s="1310">
        <f t="shared" ref="X154:X175" si="69">COUNTIF(183:183,X$153)</f>
        <v>0</v>
      </c>
      <c r="Y154" s="1310"/>
      <c r="Z154" s="1310">
        <f t="shared" ref="Z154:Z175" si="70">COUNTIF(183:183,Z$153)</f>
        <v>0</v>
      </c>
      <c r="AA154" s="1310"/>
      <c r="AB154" s="1310">
        <f t="shared" ref="AB154:AB175" si="71">COUNTIF(183:183,AB$153)</f>
        <v>1</v>
      </c>
      <c r="AC154" s="1310"/>
      <c r="AD154" s="1310">
        <f t="shared" ref="AD154:AD175" si="72">COUNTIF(183:183,AD$153)</f>
        <v>1</v>
      </c>
      <c r="AE154" s="1310"/>
      <c r="AF154" s="1310">
        <f t="shared" ref="AF154:AF175" si="73">COUNTIF(183:183,AF$153)</f>
        <v>0</v>
      </c>
      <c r="AG154" s="1310"/>
      <c r="AH154" s="1310">
        <f t="shared" ref="AH154:AH175" si="74">COUNTIF(183:183,AH$153)</f>
        <v>0</v>
      </c>
      <c r="AI154" s="1310"/>
      <c r="AJ154" s="1310">
        <f t="shared" ref="AJ154:AJ175" si="75">COUNTIF(183:183,AJ$153)</f>
        <v>0</v>
      </c>
      <c r="AK154" s="1310"/>
      <c r="AL154" s="1310">
        <f t="shared" ref="AL154:AL175" si="76">COUNTIF(183:183,AL$153)</f>
        <v>0</v>
      </c>
      <c r="AM154" s="1310"/>
      <c r="AO154" s="1310">
        <f t="shared" ref="AO154:AO175" si="77">COUNTIF(209:209,AO$153)</f>
        <v>11</v>
      </c>
      <c r="AP154" s="1310"/>
      <c r="AQ154" s="1310">
        <f t="shared" ref="AQ154:AQ175" si="78">COUNTIF(209:209,AQ$153)</f>
        <v>9</v>
      </c>
      <c r="AR154" s="1310"/>
      <c r="AS154" s="1310">
        <f>AO154-AQ154</f>
        <v>2</v>
      </c>
      <c r="AT154" s="1310"/>
      <c r="AU154" s="1310">
        <f>SUM(209:209)</f>
        <v>25</v>
      </c>
      <c r="AV154" s="1310"/>
      <c r="AX154" s="1310"/>
      <c r="AY154" s="1310"/>
      <c r="AZ154" s="1310"/>
      <c r="BA154" s="1310"/>
      <c r="BB154" s="1310"/>
      <c r="BC154" s="1310"/>
      <c r="BD154" s="1310"/>
      <c r="BE154" s="1310"/>
      <c r="BF154" s="1310"/>
      <c r="BG154" s="1310"/>
      <c r="BH154" s="1310"/>
      <c r="BI154" s="1310"/>
    </row>
    <row r="155" spans="2:78" x14ac:dyDescent="0.3">
      <c r="B155" s="601"/>
      <c r="C155" s="1295" t="s">
        <v>2364</v>
      </c>
      <c r="D155" s="1314">
        <f t="shared" si="60"/>
        <v>22</v>
      </c>
      <c r="E155" s="1314"/>
      <c r="F155" s="1314">
        <f t="shared" si="61"/>
        <v>0</v>
      </c>
      <c r="G155" s="1314"/>
      <c r="H155" s="1314">
        <f t="shared" si="62"/>
        <v>0</v>
      </c>
      <c r="I155" s="1314"/>
      <c r="J155" s="1304">
        <f t="shared" ref="J155:J175" si="79">SUM(F155:I155)</f>
        <v>0</v>
      </c>
      <c r="K155" s="1305"/>
      <c r="L155" s="1314">
        <f t="shared" si="63"/>
        <v>0</v>
      </c>
      <c r="M155" s="1314"/>
      <c r="N155" s="1314">
        <f t="shared" si="64"/>
        <v>0</v>
      </c>
      <c r="O155" s="1314"/>
      <c r="P155" s="1314">
        <f t="shared" si="65"/>
        <v>0</v>
      </c>
      <c r="Q155" s="1314"/>
      <c r="R155" s="1314">
        <f t="shared" si="66"/>
        <v>0</v>
      </c>
      <c r="S155" s="1314"/>
      <c r="T155" s="1314">
        <f t="shared" si="67"/>
        <v>0</v>
      </c>
      <c r="U155" s="1314"/>
      <c r="V155" s="1314">
        <f t="shared" si="68"/>
        <v>0</v>
      </c>
      <c r="W155" s="1314"/>
      <c r="X155" s="1314">
        <f t="shared" si="69"/>
        <v>0</v>
      </c>
      <c r="Y155" s="1314"/>
      <c r="Z155" s="1314">
        <f t="shared" si="70"/>
        <v>0</v>
      </c>
      <c r="AA155" s="1314"/>
      <c r="AB155" s="1314">
        <f t="shared" si="71"/>
        <v>0</v>
      </c>
      <c r="AC155" s="1314"/>
      <c r="AD155" s="1314">
        <f t="shared" si="72"/>
        <v>0</v>
      </c>
      <c r="AE155" s="1314"/>
      <c r="AF155" s="1314">
        <f t="shared" si="73"/>
        <v>0</v>
      </c>
      <c r="AG155" s="1314"/>
      <c r="AH155" s="1314">
        <f t="shared" si="74"/>
        <v>0</v>
      </c>
      <c r="AI155" s="1314"/>
      <c r="AJ155" s="1314">
        <f t="shared" si="75"/>
        <v>14</v>
      </c>
      <c r="AK155" s="1314"/>
      <c r="AL155" s="1314">
        <f t="shared" si="76"/>
        <v>8</v>
      </c>
      <c r="AM155" s="1314"/>
      <c r="AO155" s="1304">
        <f t="shared" si="77"/>
        <v>25</v>
      </c>
      <c r="AP155" s="1305"/>
      <c r="AQ155" s="1304">
        <f t="shared" si="78"/>
        <v>17</v>
      </c>
      <c r="AR155" s="1305"/>
      <c r="AS155" s="1304">
        <f t="shared" ref="AS155:AS175" si="80">AO155-AQ155</f>
        <v>8</v>
      </c>
      <c r="AT155" s="1305"/>
      <c r="AU155" s="1304"/>
      <c r="AV155" s="1305"/>
      <c r="AX155" s="1314">
        <f>M184+W184+AG184+AS184+BF184+BS184+CC184+CM184+CW184+DG184+DQ184+EA184+EK184+EU184+FE184+FO184+FZ184+GJ184+GT184+HD184+HN184+HY184+IS184</f>
        <v>265</v>
      </c>
      <c r="AY155" s="1314"/>
      <c r="AZ155" s="1314">
        <f>SUM(210:210)</f>
        <v>265</v>
      </c>
      <c r="BA155" s="1314"/>
      <c r="BB155" s="1314">
        <f>COUNTIF(184:184,BB$153)</f>
        <v>48</v>
      </c>
      <c r="BC155" s="1314"/>
      <c r="BD155" s="1314">
        <f>COUNTIF(184:184,BD$153)</f>
        <v>14</v>
      </c>
      <c r="BE155" s="1314"/>
      <c r="BF155" s="1304">
        <f t="shared" ref="BF155:BF175" si="81">AZ155/BD155</f>
        <v>18.928571428571427</v>
      </c>
      <c r="BG155" s="1305"/>
      <c r="BH155" s="1306">
        <f>BB155/BD155</f>
        <v>3.4285714285714284</v>
      </c>
      <c r="BI155" s="1307"/>
    </row>
    <row r="156" spans="2:78" x14ac:dyDescent="0.3">
      <c r="B156" s="601"/>
      <c r="C156" s="1295" t="s">
        <v>2716</v>
      </c>
      <c r="D156" s="1313">
        <f t="shared" si="60"/>
        <v>19</v>
      </c>
      <c r="E156" s="1313"/>
      <c r="F156" s="1313">
        <f t="shared" si="61"/>
        <v>2</v>
      </c>
      <c r="G156" s="1313"/>
      <c r="H156" s="1313">
        <f t="shared" si="62"/>
        <v>5</v>
      </c>
      <c r="I156" s="1313"/>
      <c r="J156" s="1302">
        <f t="shared" si="79"/>
        <v>7</v>
      </c>
      <c r="K156" s="1303"/>
      <c r="L156" s="1313">
        <f t="shared" si="63"/>
        <v>4</v>
      </c>
      <c r="M156" s="1313"/>
      <c r="N156" s="1313">
        <f t="shared" si="64"/>
        <v>0</v>
      </c>
      <c r="O156" s="1313"/>
      <c r="P156" s="1313">
        <f t="shared" si="65"/>
        <v>0</v>
      </c>
      <c r="Q156" s="1313"/>
      <c r="R156" s="1313">
        <f t="shared" si="66"/>
        <v>0</v>
      </c>
      <c r="S156" s="1313"/>
      <c r="T156" s="1313">
        <f t="shared" si="67"/>
        <v>0</v>
      </c>
      <c r="U156" s="1313"/>
      <c r="V156" s="1313">
        <f t="shared" si="68"/>
        <v>0</v>
      </c>
      <c r="W156" s="1313"/>
      <c r="X156" s="1313">
        <f t="shared" si="69"/>
        <v>0</v>
      </c>
      <c r="Y156" s="1313"/>
      <c r="Z156" s="1313">
        <f t="shared" si="70"/>
        <v>0</v>
      </c>
      <c r="AA156" s="1313"/>
      <c r="AB156" s="1313">
        <f t="shared" si="71"/>
        <v>0</v>
      </c>
      <c r="AC156" s="1313"/>
      <c r="AD156" s="1313">
        <f t="shared" si="72"/>
        <v>0</v>
      </c>
      <c r="AE156" s="1313"/>
      <c r="AF156" s="1313">
        <f t="shared" si="73"/>
        <v>1</v>
      </c>
      <c r="AG156" s="1313"/>
      <c r="AH156" s="1313">
        <f t="shared" si="74"/>
        <v>0</v>
      </c>
      <c r="AI156" s="1313"/>
      <c r="AJ156" s="1313">
        <f t="shared" si="75"/>
        <v>0</v>
      </c>
      <c r="AK156" s="1313"/>
      <c r="AL156" s="1313">
        <f t="shared" si="76"/>
        <v>0</v>
      </c>
      <c r="AM156" s="1313"/>
      <c r="AO156" s="1302">
        <f t="shared" si="77"/>
        <v>9</v>
      </c>
      <c r="AP156" s="1303"/>
      <c r="AQ156" s="1302">
        <f t="shared" si="78"/>
        <v>16</v>
      </c>
      <c r="AR156" s="1303"/>
      <c r="AS156" s="1302">
        <f t="shared" si="80"/>
        <v>-7</v>
      </c>
      <c r="AT156" s="1303"/>
      <c r="AU156" s="1302">
        <f t="shared" ref="AU156:AU174" si="82">SUM(211:211)</f>
        <v>9</v>
      </c>
      <c r="AV156" s="1303"/>
      <c r="AX156" s="1313"/>
      <c r="AY156" s="1313"/>
      <c r="AZ156" s="1313"/>
      <c r="BA156" s="1313"/>
      <c r="BB156" s="1313"/>
      <c r="BC156" s="1313"/>
      <c r="BD156" s="1313"/>
      <c r="BE156" s="1313"/>
      <c r="BF156" s="1302"/>
      <c r="BG156" s="1303"/>
      <c r="BH156" s="1302"/>
      <c r="BI156" s="1303"/>
    </row>
    <row r="157" spans="2:78" x14ac:dyDescent="0.3">
      <c r="B157" s="601"/>
      <c r="C157" s="1295" t="s">
        <v>1800</v>
      </c>
      <c r="D157" s="1314">
        <f t="shared" si="60"/>
        <v>5</v>
      </c>
      <c r="E157" s="1314"/>
      <c r="F157" s="1314">
        <f t="shared" si="61"/>
        <v>1</v>
      </c>
      <c r="G157" s="1314"/>
      <c r="H157" s="1314">
        <f t="shared" si="62"/>
        <v>1</v>
      </c>
      <c r="I157" s="1314"/>
      <c r="J157" s="1304">
        <f t="shared" si="79"/>
        <v>2</v>
      </c>
      <c r="K157" s="1305"/>
      <c r="L157" s="1314">
        <f t="shared" si="63"/>
        <v>1</v>
      </c>
      <c r="M157" s="1314"/>
      <c r="N157" s="1314">
        <f t="shared" si="64"/>
        <v>1</v>
      </c>
      <c r="O157" s="1314"/>
      <c r="P157" s="1314">
        <f t="shared" si="65"/>
        <v>1</v>
      </c>
      <c r="Q157" s="1314"/>
      <c r="R157" s="1314">
        <f t="shared" si="66"/>
        <v>0</v>
      </c>
      <c r="S157" s="1314"/>
      <c r="T157" s="1314">
        <f t="shared" si="67"/>
        <v>0</v>
      </c>
      <c r="U157" s="1314"/>
      <c r="V157" s="1314">
        <f t="shared" si="68"/>
        <v>0</v>
      </c>
      <c r="W157" s="1314"/>
      <c r="X157" s="1314">
        <f t="shared" si="69"/>
        <v>0</v>
      </c>
      <c r="Y157" s="1314"/>
      <c r="Z157" s="1314">
        <f t="shared" si="70"/>
        <v>0</v>
      </c>
      <c r="AA157" s="1314"/>
      <c r="AB157" s="1314">
        <f t="shared" si="71"/>
        <v>0</v>
      </c>
      <c r="AC157" s="1314"/>
      <c r="AD157" s="1314">
        <f t="shared" si="72"/>
        <v>0</v>
      </c>
      <c r="AE157" s="1314"/>
      <c r="AF157" s="1314">
        <f t="shared" si="73"/>
        <v>0</v>
      </c>
      <c r="AG157" s="1314"/>
      <c r="AH157" s="1314">
        <f t="shared" si="74"/>
        <v>0</v>
      </c>
      <c r="AI157" s="1314"/>
      <c r="AJ157" s="1314">
        <f t="shared" si="75"/>
        <v>0</v>
      </c>
      <c r="AK157" s="1314"/>
      <c r="AL157" s="1314">
        <f t="shared" si="76"/>
        <v>0</v>
      </c>
      <c r="AM157" s="1314"/>
      <c r="AO157" s="1304">
        <f t="shared" si="77"/>
        <v>0</v>
      </c>
      <c r="AP157" s="1305"/>
      <c r="AQ157" s="1304">
        <f t="shared" si="78"/>
        <v>0</v>
      </c>
      <c r="AR157" s="1305"/>
      <c r="AS157" s="1304">
        <f t="shared" si="80"/>
        <v>0</v>
      </c>
      <c r="AT157" s="1305"/>
      <c r="AU157" s="1304">
        <f t="shared" si="82"/>
        <v>0</v>
      </c>
      <c r="AV157" s="1305"/>
      <c r="AX157" s="1314"/>
      <c r="AY157" s="1314"/>
      <c r="AZ157" s="1314"/>
      <c r="BA157" s="1314"/>
      <c r="BB157" s="1314"/>
      <c r="BC157" s="1314"/>
      <c r="BD157" s="1314"/>
      <c r="BE157" s="1314"/>
      <c r="BF157" s="1304"/>
      <c r="BG157" s="1305"/>
      <c r="BH157" s="1304"/>
      <c r="BI157" s="1305"/>
      <c r="BJ157" s="205"/>
      <c r="BK157" s="205"/>
      <c r="BL157" s="205"/>
      <c r="BM157" s="205"/>
      <c r="BV157" s="205"/>
      <c r="BW157" s="205"/>
    </row>
    <row r="158" spans="2:78" x14ac:dyDescent="0.3">
      <c r="B158" s="601"/>
      <c r="C158" s="1295" t="s">
        <v>2361</v>
      </c>
      <c r="D158" s="1313">
        <f t="shared" si="60"/>
        <v>22</v>
      </c>
      <c r="E158" s="1313"/>
      <c r="F158" s="1313">
        <f t="shared" si="61"/>
        <v>1</v>
      </c>
      <c r="G158" s="1313"/>
      <c r="H158" s="1313">
        <f t="shared" si="62"/>
        <v>3</v>
      </c>
      <c r="I158" s="1313"/>
      <c r="J158" s="1302">
        <f t="shared" si="79"/>
        <v>4</v>
      </c>
      <c r="K158" s="1303"/>
      <c r="L158" s="1313">
        <f t="shared" si="63"/>
        <v>2</v>
      </c>
      <c r="M158" s="1313"/>
      <c r="N158" s="1313">
        <f t="shared" si="64"/>
        <v>0</v>
      </c>
      <c r="O158" s="1313"/>
      <c r="P158" s="1313">
        <f t="shared" si="65"/>
        <v>0</v>
      </c>
      <c r="Q158" s="1313"/>
      <c r="R158" s="1313">
        <f t="shared" si="66"/>
        <v>0</v>
      </c>
      <c r="S158" s="1313"/>
      <c r="T158" s="1313">
        <f t="shared" si="67"/>
        <v>0</v>
      </c>
      <c r="U158" s="1313"/>
      <c r="V158" s="1313">
        <f t="shared" si="68"/>
        <v>0</v>
      </c>
      <c r="W158" s="1313"/>
      <c r="X158" s="1313">
        <f t="shared" si="69"/>
        <v>0</v>
      </c>
      <c r="Y158" s="1313"/>
      <c r="Z158" s="1313">
        <f t="shared" si="70"/>
        <v>0</v>
      </c>
      <c r="AA158" s="1313"/>
      <c r="AB158" s="1313">
        <f t="shared" si="71"/>
        <v>0</v>
      </c>
      <c r="AC158" s="1313"/>
      <c r="AD158" s="1313">
        <f t="shared" si="72"/>
        <v>0</v>
      </c>
      <c r="AE158" s="1313"/>
      <c r="AF158" s="1313">
        <f t="shared" si="73"/>
        <v>0</v>
      </c>
      <c r="AG158" s="1313"/>
      <c r="AH158" s="1313">
        <f t="shared" si="74"/>
        <v>0</v>
      </c>
      <c r="AI158" s="1313"/>
      <c r="AJ158" s="1313">
        <f t="shared" si="75"/>
        <v>0</v>
      </c>
      <c r="AK158" s="1313"/>
      <c r="AL158" s="1313">
        <f t="shared" si="76"/>
        <v>0</v>
      </c>
      <c r="AM158" s="1313"/>
      <c r="AO158" s="1302">
        <f t="shared" si="77"/>
        <v>19</v>
      </c>
      <c r="AP158" s="1303"/>
      <c r="AQ158" s="1302">
        <f t="shared" si="78"/>
        <v>15</v>
      </c>
      <c r="AR158" s="1303"/>
      <c r="AS158" s="1302">
        <f t="shared" si="80"/>
        <v>4</v>
      </c>
      <c r="AT158" s="1303"/>
      <c r="AU158" s="1302">
        <f t="shared" si="82"/>
        <v>4</v>
      </c>
      <c r="AV158" s="1303"/>
      <c r="AX158" s="1313"/>
      <c r="AY158" s="1313"/>
      <c r="AZ158" s="1313"/>
      <c r="BA158" s="1313"/>
      <c r="BB158" s="1313"/>
      <c r="BC158" s="1313"/>
      <c r="BD158" s="1313"/>
      <c r="BE158" s="1313"/>
      <c r="BF158" s="1302"/>
      <c r="BG158" s="1303"/>
      <c r="BH158" s="1302"/>
      <c r="BI158" s="1303"/>
      <c r="BY158" s="1301"/>
      <c r="BZ158" s="1301"/>
    </row>
    <row r="159" spans="2:78" x14ac:dyDescent="0.3">
      <c r="B159" s="601"/>
      <c r="C159" s="1295" t="s">
        <v>2715</v>
      </c>
      <c r="D159" s="1314">
        <f t="shared" si="60"/>
        <v>17</v>
      </c>
      <c r="E159" s="1314"/>
      <c r="F159" s="1314">
        <f t="shared" si="61"/>
        <v>3</v>
      </c>
      <c r="G159" s="1314"/>
      <c r="H159" s="1314">
        <f t="shared" si="62"/>
        <v>1</v>
      </c>
      <c r="I159" s="1314"/>
      <c r="J159" s="1304">
        <f t="shared" si="79"/>
        <v>4</v>
      </c>
      <c r="K159" s="1305"/>
      <c r="L159" s="1314">
        <f t="shared" si="63"/>
        <v>0</v>
      </c>
      <c r="M159" s="1314"/>
      <c r="N159" s="1314">
        <f t="shared" si="64"/>
        <v>0</v>
      </c>
      <c r="O159" s="1314"/>
      <c r="P159" s="1314">
        <f t="shared" si="65"/>
        <v>0</v>
      </c>
      <c r="Q159" s="1314"/>
      <c r="R159" s="1314">
        <f t="shared" si="66"/>
        <v>0</v>
      </c>
      <c r="S159" s="1314"/>
      <c r="T159" s="1314">
        <f t="shared" si="67"/>
        <v>0</v>
      </c>
      <c r="U159" s="1314"/>
      <c r="V159" s="1314">
        <f t="shared" si="68"/>
        <v>0</v>
      </c>
      <c r="W159" s="1314"/>
      <c r="X159" s="1314">
        <f t="shared" si="69"/>
        <v>0</v>
      </c>
      <c r="Y159" s="1314"/>
      <c r="Z159" s="1314">
        <f t="shared" si="70"/>
        <v>0</v>
      </c>
      <c r="AA159" s="1314"/>
      <c r="AB159" s="1314">
        <f t="shared" si="71"/>
        <v>0</v>
      </c>
      <c r="AC159" s="1314"/>
      <c r="AD159" s="1314">
        <f t="shared" si="72"/>
        <v>0</v>
      </c>
      <c r="AE159" s="1314"/>
      <c r="AF159" s="1314">
        <f t="shared" si="73"/>
        <v>0</v>
      </c>
      <c r="AG159" s="1314"/>
      <c r="AH159" s="1314">
        <f t="shared" si="74"/>
        <v>0</v>
      </c>
      <c r="AI159" s="1314"/>
      <c r="AJ159" s="1314">
        <f t="shared" si="75"/>
        <v>0</v>
      </c>
      <c r="AK159" s="1314"/>
      <c r="AL159" s="1314">
        <f t="shared" si="76"/>
        <v>0</v>
      </c>
      <c r="AM159" s="1314"/>
      <c r="AO159" s="1304">
        <f t="shared" si="77"/>
        <v>5</v>
      </c>
      <c r="AP159" s="1305"/>
      <c r="AQ159" s="1304">
        <f t="shared" si="78"/>
        <v>9</v>
      </c>
      <c r="AR159" s="1305"/>
      <c r="AS159" s="1304">
        <f t="shared" si="80"/>
        <v>-4</v>
      </c>
      <c r="AT159" s="1305"/>
      <c r="AU159" s="1304">
        <f t="shared" si="82"/>
        <v>5</v>
      </c>
      <c r="AV159" s="1305"/>
      <c r="AX159" s="1314"/>
      <c r="AY159" s="1314"/>
      <c r="AZ159" s="1314"/>
      <c r="BA159" s="1314"/>
      <c r="BB159" s="1314"/>
      <c r="BC159" s="1314"/>
      <c r="BD159" s="1314"/>
      <c r="BE159" s="1314"/>
      <c r="BF159" s="1304"/>
      <c r="BG159" s="1305"/>
      <c r="BH159" s="1304"/>
      <c r="BI159" s="1305"/>
    </row>
    <row r="160" spans="2:78" x14ac:dyDescent="0.3">
      <c r="B160" s="601"/>
      <c r="C160" s="1295" t="s">
        <v>2362</v>
      </c>
      <c r="D160" s="1313">
        <f t="shared" si="60"/>
        <v>22</v>
      </c>
      <c r="E160" s="1313"/>
      <c r="F160" s="1313">
        <f t="shared" si="61"/>
        <v>1</v>
      </c>
      <c r="G160" s="1313"/>
      <c r="H160" s="1313">
        <f t="shared" si="62"/>
        <v>1</v>
      </c>
      <c r="I160" s="1313"/>
      <c r="J160" s="1302">
        <f t="shared" si="79"/>
        <v>2</v>
      </c>
      <c r="K160" s="1303"/>
      <c r="L160" s="1313">
        <f t="shared" si="63"/>
        <v>5</v>
      </c>
      <c r="M160" s="1313"/>
      <c r="N160" s="1313">
        <f t="shared" si="64"/>
        <v>0</v>
      </c>
      <c r="O160" s="1313"/>
      <c r="P160" s="1313">
        <f t="shared" si="65"/>
        <v>0</v>
      </c>
      <c r="Q160" s="1313"/>
      <c r="R160" s="1313">
        <f t="shared" si="66"/>
        <v>0</v>
      </c>
      <c r="S160" s="1313"/>
      <c r="T160" s="1313">
        <f t="shared" si="67"/>
        <v>0</v>
      </c>
      <c r="U160" s="1313"/>
      <c r="V160" s="1313">
        <f t="shared" si="68"/>
        <v>0</v>
      </c>
      <c r="W160" s="1313"/>
      <c r="X160" s="1313">
        <f t="shared" si="69"/>
        <v>0</v>
      </c>
      <c r="Y160" s="1313"/>
      <c r="Z160" s="1313">
        <f t="shared" si="70"/>
        <v>0</v>
      </c>
      <c r="AA160" s="1313"/>
      <c r="AB160" s="1313">
        <f t="shared" si="71"/>
        <v>0</v>
      </c>
      <c r="AC160" s="1313"/>
      <c r="AD160" s="1313">
        <f t="shared" si="72"/>
        <v>0</v>
      </c>
      <c r="AE160" s="1313"/>
      <c r="AF160" s="1313">
        <f t="shared" si="73"/>
        <v>0</v>
      </c>
      <c r="AG160" s="1313"/>
      <c r="AH160" s="1313">
        <f t="shared" si="74"/>
        <v>0</v>
      </c>
      <c r="AI160" s="1313"/>
      <c r="AJ160" s="1313">
        <f t="shared" si="75"/>
        <v>0</v>
      </c>
      <c r="AK160" s="1313"/>
      <c r="AL160" s="1313">
        <f t="shared" si="76"/>
        <v>0</v>
      </c>
      <c r="AM160" s="1313"/>
      <c r="AO160" s="1302">
        <f t="shared" si="77"/>
        <v>8</v>
      </c>
      <c r="AP160" s="1303"/>
      <c r="AQ160" s="1302">
        <f t="shared" si="78"/>
        <v>10</v>
      </c>
      <c r="AR160" s="1303"/>
      <c r="AS160" s="1302">
        <f t="shared" si="80"/>
        <v>-2</v>
      </c>
      <c r="AT160" s="1303"/>
      <c r="AU160" s="1302">
        <f t="shared" si="82"/>
        <v>10</v>
      </c>
      <c r="AV160" s="1303"/>
      <c r="AX160" s="1313"/>
      <c r="AY160" s="1313"/>
      <c r="AZ160" s="1313"/>
      <c r="BA160" s="1313"/>
      <c r="BB160" s="1313"/>
      <c r="BC160" s="1313"/>
      <c r="BD160" s="1313"/>
      <c r="BE160" s="1313"/>
      <c r="BF160" s="1302"/>
      <c r="BG160" s="1303"/>
      <c r="BH160" s="1302"/>
      <c r="BI160" s="1303"/>
    </row>
    <row r="161" spans="2:144" x14ac:dyDescent="0.3">
      <c r="B161" s="601"/>
      <c r="C161" s="1295" t="s">
        <v>2734</v>
      </c>
      <c r="D161" s="1314">
        <f t="shared" si="60"/>
        <v>13</v>
      </c>
      <c r="E161" s="1314"/>
      <c r="F161" s="1314">
        <f t="shared" si="61"/>
        <v>5</v>
      </c>
      <c r="G161" s="1314"/>
      <c r="H161" s="1314">
        <f t="shared" si="62"/>
        <v>2</v>
      </c>
      <c r="I161" s="1314"/>
      <c r="J161" s="1304">
        <f t="shared" si="79"/>
        <v>7</v>
      </c>
      <c r="K161" s="1305"/>
      <c r="L161" s="1314">
        <f t="shared" si="63"/>
        <v>0</v>
      </c>
      <c r="M161" s="1314"/>
      <c r="N161" s="1314">
        <f t="shared" si="64"/>
        <v>1</v>
      </c>
      <c r="O161" s="1314"/>
      <c r="P161" s="1314">
        <f t="shared" si="65"/>
        <v>0</v>
      </c>
      <c r="Q161" s="1314"/>
      <c r="R161" s="1314">
        <f t="shared" si="66"/>
        <v>0</v>
      </c>
      <c r="S161" s="1314"/>
      <c r="T161" s="1314">
        <f t="shared" si="67"/>
        <v>0</v>
      </c>
      <c r="U161" s="1314"/>
      <c r="V161" s="1314">
        <f t="shared" si="68"/>
        <v>0</v>
      </c>
      <c r="W161" s="1314"/>
      <c r="X161" s="1314">
        <f t="shared" si="69"/>
        <v>0</v>
      </c>
      <c r="Y161" s="1314"/>
      <c r="Z161" s="1314">
        <f t="shared" si="70"/>
        <v>0</v>
      </c>
      <c r="AA161" s="1314"/>
      <c r="AB161" s="1314">
        <f t="shared" si="71"/>
        <v>0</v>
      </c>
      <c r="AC161" s="1314"/>
      <c r="AD161" s="1314">
        <f t="shared" si="72"/>
        <v>0</v>
      </c>
      <c r="AE161" s="1314"/>
      <c r="AF161" s="1314">
        <f t="shared" si="73"/>
        <v>0</v>
      </c>
      <c r="AG161" s="1314"/>
      <c r="AH161" s="1314">
        <f t="shared" si="74"/>
        <v>0</v>
      </c>
      <c r="AI161" s="1314"/>
      <c r="AJ161" s="1314">
        <f t="shared" si="75"/>
        <v>0</v>
      </c>
      <c r="AK161" s="1314"/>
      <c r="AL161" s="1314">
        <f t="shared" si="76"/>
        <v>0</v>
      </c>
      <c r="AM161" s="1314"/>
      <c r="AO161" s="1304">
        <f t="shared" si="77"/>
        <v>10</v>
      </c>
      <c r="AP161" s="1305"/>
      <c r="AQ161" s="1304">
        <f t="shared" si="78"/>
        <v>8</v>
      </c>
      <c r="AR161" s="1305"/>
      <c r="AS161" s="1304">
        <f t="shared" si="80"/>
        <v>2</v>
      </c>
      <c r="AT161" s="1305"/>
      <c r="AU161" s="1304">
        <f t="shared" si="82"/>
        <v>25</v>
      </c>
      <c r="AV161" s="1305"/>
      <c r="AX161" s="1314"/>
      <c r="AY161" s="1314"/>
      <c r="AZ161" s="1314"/>
      <c r="BA161" s="1314"/>
      <c r="BB161" s="1314"/>
      <c r="BC161" s="1314"/>
      <c r="BD161" s="1314"/>
      <c r="BE161" s="1314"/>
      <c r="BF161" s="1304"/>
      <c r="BG161" s="1305"/>
      <c r="BH161" s="1304"/>
      <c r="BI161" s="1305"/>
    </row>
    <row r="162" spans="2:144" x14ac:dyDescent="0.3">
      <c r="B162" s="601"/>
      <c r="C162" s="1295" t="s">
        <v>2740</v>
      </c>
      <c r="D162" s="1311">
        <f t="shared" si="60"/>
        <v>14</v>
      </c>
      <c r="E162" s="1312"/>
      <c r="F162" s="1311">
        <f t="shared" si="61"/>
        <v>13</v>
      </c>
      <c r="G162" s="1312"/>
      <c r="H162" s="1311">
        <f t="shared" si="62"/>
        <v>2</v>
      </c>
      <c r="I162" s="1312"/>
      <c r="J162" s="1311">
        <f t="shared" ref="J162" si="83">SUM(F162:I162)</f>
        <v>15</v>
      </c>
      <c r="K162" s="1312"/>
      <c r="L162" s="1311">
        <f t="shared" si="63"/>
        <v>0</v>
      </c>
      <c r="M162" s="1312"/>
      <c r="N162" s="1311">
        <f t="shared" si="64"/>
        <v>0</v>
      </c>
      <c r="O162" s="1312"/>
      <c r="P162" s="1311">
        <f t="shared" si="65"/>
        <v>0</v>
      </c>
      <c r="Q162" s="1312"/>
      <c r="R162" s="1311">
        <f t="shared" si="66"/>
        <v>0</v>
      </c>
      <c r="S162" s="1312"/>
      <c r="T162" s="1311">
        <f t="shared" si="67"/>
        <v>0</v>
      </c>
      <c r="U162" s="1312"/>
      <c r="V162" s="1311">
        <f t="shared" si="68"/>
        <v>0</v>
      </c>
      <c r="W162" s="1312"/>
      <c r="X162" s="1311">
        <f t="shared" si="69"/>
        <v>0</v>
      </c>
      <c r="Y162" s="1312"/>
      <c r="Z162" s="1311">
        <f t="shared" si="70"/>
        <v>0</v>
      </c>
      <c r="AA162" s="1312"/>
      <c r="AB162" s="1311">
        <f t="shared" si="71"/>
        <v>2</v>
      </c>
      <c r="AC162" s="1312"/>
      <c r="AD162" s="1311">
        <f t="shared" si="72"/>
        <v>0</v>
      </c>
      <c r="AE162" s="1312"/>
      <c r="AF162" s="1311">
        <f t="shared" si="73"/>
        <v>0</v>
      </c>
      <c r="AG162" s="1312"/>
      <c r="AH162" s="1311">
        <f t="shared" si="74"/>
        <v>0</v>
      </c>
      <c r="AI162" s="1312"/>
      <c r="AJ162" s="1311">
        <f t="shared" si="75"/>
        <v>0</v>
      </c>
      <c r="AK162" s="1312"/>
      <c r="AL162" s="1311">
        <f t="shared" si="76"/>
        <v>0</v>
      </c>
      <c r="AM162" s="1312"/>
      <c r="AO162" s="1311">
        <f t="shared" si="77"/>
        <v>5</v>
      </c>
      <c r="AP162" s="1312"/>
      <c r="AQ162" s="1311">
        <f t="shared" si="78"/>
        <v>5</v>
      </c>
      <c r="AR162" s="1312"/>
      <c r="AS162" s="1311">
        <f t="shared" ref="AS162" si="84">AO162-AQ162</f>
        <v>0</v>
      </c>
      <c r="AT162" s="1312"/>
      <c r="AU162" s="1311">
        <f t="shared" si="82"/>
        <v>19</v>
      </c>
      <c r="AV162" s="1312"/>
      <c r="AX162" s="1310"/>
      <c r="AY162" s="1310"/>
      <c r="AZ162" s="1310"/>
      <c r="BA162" s="1310"/>
      <c r="BB162" s="1311"/>
      <c r="BC162" s="1312"/>
      <c r="BD162" s="1311"/>
      <c r="BE162" s="1312"/>
      <c r="BF162" s="1311"/>
      <c r="BG162" s="1312"/>
      <c r="BH162" s="1311"/>
      <c r="BI162" s="1312"/>
    </row>
    <row r="163" spans="2:144" x14ac:dyDescent="0.3">
      <c r="B163" s="601"/>
      <c r="C163" s="1295" t="s">
        <v>2253</v>
      </c>
      <c r="D163" s="1314">
        <f t="shared" si="60"/>
        <v>20</v>
      </c>
      <c r="E163" s="1314"/>
      <c r="F163" s="1314">
        <f t="shared" si="61"/>
        <v>7</v>
      </c>
      <c r="G163" s="1314"/>
      <c r="H163" s="1314">
        <f t="shared" si="62"/>
        <v>5</v>
      </c>
      <c r="I163" s="1314"/>
      <c r="J163" s="1304">
        <f t="shared" si="79"/>
        <v>12</v>
      </c>
      <c r="K163" s="1305"/>
      <c r="L163" s="1314">
        <f t="shared" si="63"/>
        <v>3</v>
      </c>
      <c r="M163" s="1314"/>
      <c r="N163" s="1314">
        <f t="shared" si="64"/>
        <v>1</v>
      </c>
      <c r="O163" s="1314"/>
      <c r="P163" s="1314">
        <f t="shared" si="65"/>
        <v>0</v>
      </c>
      <c r="Q163" s="1314"/>
      <c r="R163" s="1314">
        <f t="shared" si="66"/>
        <v>0</v>
      </c>
      <c r="S163" s="1314"/>
      <c r="T163" s="1314">
        <f t="shared" si="67"/>
        <v>0</v>
      </c>
      <c r="U163" s="1314"/>
      <c r="V163" s="1314">
        <f t="shared" si="68"/>
        <v>0</v>
      </c>
      <c r="W163" s="1314"/>
      <c r="X163" s="1314">
        <f t="shared" si="69"/>
        <v>0</v>
      </c>
      <c r="Y163" s="1314"/>
      <c r="Z163" s="1314">
        <f t="shared" si="70"/>
        <v>0</v>
      </c>
      <c r="AA163" s="1314"/>
      <c r="AB163" s="1314">
        <f t="shared" si="71"/>
        <v>0</v>
      </c>
      <c r="AC163" s="1314"/>
      <c r="AD163" s="1314">
        <f t="shared" si="72"/>
        <v>0</v>
      </c>
      <c r="AE163" s="1314"/>
      <c r="AF163" s="1314">
        <f t="shared" si="73"/>
        <v>0</v>
      </c>
      <c r="AG163" s="1314"/>
      <c r="AH163" s="1314">
        <f t="shared" si="74"/>
        <v>0</v>
      </c>
      <c r="AI163" s="1314"/>
      <c r="AJ163" s="1314">
        <f t="shared" si="75"/>
        <v>0</v>
      </c>
      <c r="AK163" s="1314"/>
      <c r="AL163" s="1314">
        <f t="shared" si="76"/>
        <v>0</v>
      </c>
      <c r="AM163" s="1314"/>
      <c r="AO163" s="1304">
        <f t="shared" si="77"/>
        <v>11</v>
      </c>
      <c r="AP163" s="1305"/>
      <c r="AQ163" s="1304">
        <f t="shared" si="78"/>
        <v>10</v>
      </c>
      <c r="AR163" s="1305"/>
      <c r="AS163" s="1304">
        <f t="shared" si="80"/>
        <v>1</v>
      </c>
      <c r="AT163" s="1305"/>
      <c r="AU163" s="1304">
        <f t="shared" si="82"/>
        <v>17</v>
      </c>
      <c r="AV163" s="1305"/>
      <c r="AX163" s="1314"/>
      <c r="AY163" s="1314"/>
      <c r="AZ163" s="1314"/>
      <c r="BA163" s="1314"/>
      <c r="BB163" s="1314"/>
      <c r="BC163" s="1314"/>
      <c r="BD163" s="1314"/>
      <c r="BE163" s="1314"/>
      <c r="BF163" s="1304"/>
      <c r="BG163" s="1305"/>
      <c r="BH163" s="1304"/>
      <c r="BI163" s="1305"/>
    </row>
    <row r="164" spans="2:144" x14ac:dyDescent="0.3">
      <c r="B164" s="601"/>
      <c r="C164" s="1295" t="s">
        <v>1999</v>
      </c>
      <c r="D164" s="1313">
        <f t="shared" si="60"/>
        <v>6</v>
      </c>
      <c r="E164" s="1313"/>
      <c r="F164" s="1313">
        <f t="shared" si="61"/>
        <v>0</v>
      </c>
      <c r="G164" s="1313"/>
      <c r="H164" s="1313">
        <f t="shared" si="62"/>
        <v>0</v>
      </c>
      <c r="I164" s="1313"/>
      <c r="J164" s="1302">
        <f t="shared" si="79"/>
        <v>0</v>
      </c>
      <c r="K164" s="1303"/>
      <c r="L164" s="1313">
        <f t="shared" si="63"/>
        <v>0</v>
      </c>
      <c r="M164" s="1313"/>
      <c r="N164" s="1313">
        <f t="shared" si="64"/>
        <v>0</v>
      </c>
      <c r="O164" s="1313"/>
      <c r="P164" s="1313">
        <f t="shared" si="65"/>
        <v>0</v>
      </c>
      <c r="Q164" s="1313"/>
      <c r="R164" s="1313">
        <f t="shared" si="66"/>
        <v>0</v>
      </c>
      <c r="S164" s="1313"/>
      <c r="T164" s="1313">
        <f t="shared" si="67"/>
        <v>0</v>
      </c>
      <c r="U164" s="1313"/>
      <c r="V164" s="1313">
        <f t="shared" si="68"/>
        <v>0</v>
      </c>
      <c r="W164" s="1313"/>
      <c r="X164" s="1313">
        <f t="shared" si="69"/>
        <v>0</v>
      </c>
      <c r="Y164" s="1313"/>
      <c r="Z164" s="1313">
        <f t="shared" si="70"/>
        <v>0</v>
      </c>
      <c r="AA164" s="1313"/>
      <c r="AB164" s="1313">
        <f t="shared" si="71"/>
        <v>0</v>
      </c>
      <c r="AC164" s="1313"/>
      <c r="AD164" s="1313">
        <f t="shared" si="72"/>
        <v>0</v>
      </c>
      <c r="AE164" s="1313"/>
      <c r="AF164" s="1313">
        <f t="shared" si="73"/>
        <v>0</v>
      </c>
      <c r="AG164" s="1313"/>
      <c r="AH164" s="1313">
        <f t="shared" si="74"/>
        <v>0</v>
      </c>
      <c r="AI164" s="1313"/>
      <c r="AJ164" s="1313">
        <f t="shared" si="75"/>
        <v>0</v>
      </c>
      <c r="AK164" s="1313"/>
      <c r="AL164" s="1313">
        <f t="shared" si="76"/>
        <v>0</v>
      </c>
      <c r="AM164" s="1313"/>
      <c r="AO164" s="1302">
        <f t="shared" si="77"/>
        <v>8</v>
      </c>
      <c r="AP164" s="1303"/>
      <c r="AQ164" s="1302">
        <f t="shared" si="78"/>
        <v>9</v>
      </c>
      <c r="AR164" s="1303"/>
      <c r="AS164" s="1302">
        <f t="shared" si="80"/>
        <v>-1</v>
      </c>
      <c r="AT164" s="1303"/>
      <c r="AU164" s="1302">
        <f t="shared" si="82"/>
        <v>6</v>
      </c>
      <c r="AV164" s="1303"/>
      <c r="AX164" s="1313"/>
      <c r="AY164" s="1313"/>
      <c r="AZ164" s="1313"/>
      <c r="BA164" s="1313"/>
      <c r="BB164" s="1313"/>
      <c r="BC164" s="1313"/>
      <c r="BD164" s="1313"/>
      <c r="BE164" s="1313"/>
      <c r="BF164" s="1302"/>
      <c r="BG164" s="1303"/>
      <c r="BH164" s="1302"/>
      <c r="BI164" s="1303"/>
    </row>
    <row r="165" spans="2:144" x14ac:dyDescent="0.3">
      <c r="B165" s="601"/>
      <c r="C165" s="1295" t="s">
        <v>2363</v>
      </c>
      <c r="D165" s="1314">
        <f t="shared" si="60"/>
        <v>21</v>
      </c>
      <c r="E165" s="1314"/>
      <c r="F165" s="1314">
        <f t="shared" si="61"/>
        <v>2</v>
      </c>
      <c r="G165" s="1314"/>
      <c r="H165" s="1314">
        <f t="shared" si="62"/>
        <v>9</v>
      </c>
      <c r="I165" s="1314"/>
      <c r="J165" s="1304">
        <f t="shared" si="79"/>
        <v>11</v>
      </c>
      <c r="K165" s="1305"/>
      <c r="L165" s="1314">
        <f t="shared" si="63"/>
        <v>0</v>
      </c>
      <c r="M165" s="1314"/>
      <c r="N165" s="1314">
        <f t="shared" si="64"/>
        <v>0</v>
      </c>
      <c r="O165" s="1314"/>
      <c r="P165" s="1314">
        <f t="shared" si="65"/>
        <v>0</v>
      </c>
      <c r="Q165" s="1314"/>
      <c r="R165" s="1314">
        <f t="shared" si="66"/>
        <v>0</v>
      </c>
      <c r="S165" s="1314"/>
      <c r="T165" s="1314">
        <f t="shared" si="67"/>
        <v>0</v>
      </c>
      <c r="U165" s="1314"/>
      <c r="V165" s="1314">
        <f t="shared" si="68"/>
        <v>0</v>
      </c>
      <c r="W165" s="1314"/>
      <c r="X165" s="1314">
        <f t="shared" si="69"/>
        <v>0</v>
      </c>
      <c r="Y165" s="1314"/>
      <c r="Z165" s="1314">
        <f t="shared" si="70"/>
        <v>0</v>
      </c>
      <c r="AA165" s="1314"/>
      <c r="AB165" s="1314">
        <f t="shared" si="71"/>
        <v>0</v>
      </c>
      <c r="AC165" s="1314"/>
      <c r="AD165" s="1314">
        <f t="shared" si="72"/>
        <v>0</v>
      </c>
      <c r="AE165" s="1314"/>
      <c r="AF165" s="1314">
        <f t="shared" si="73"/>
        <v>0</v>
      </c>
      <c r="AG165" s="1314"/>
      <c r="AH165" s="1314">
        <f t="shared" si="74"/>
        <v>0</v>
      </c>
      <c r="AI165" s="1314"/>
      <c r="AJ165" s="1314">
        <f t="shared" si="75"/>
        <v>0</v>
      </c>
      <c r="AK165" s="1314"/>
      <c r="AL165" s="1314">
        <f t="shared" si="76"/>
        <v>0</v>
      </c>
      <c r="AM165" s="1314"/>
      <c r="AO165" s="1304">
        <f t="shared" si="77"/>
        <v>21</v>
      </c>
      <c r="AP165" s="1305"/>
      <c r="AQ165" s="1304">
        <f t="shared" si="78"/>
        <v>13</v>
      </c>
      <c r="AR165" s="1305"/>
      <c r="AS165" s="1304">
        <f t="shared" si="80"/>
        <v>8</v>
      </c>
      <c r="AT165" s="1305"/>
      <c r="AU165" s="1304">
        <f t="shared" si="82"/>
        <v>18</v>
      </c>
      <c r="AV165" s="1305"/>
      <c r="AX165" s="1314"/>
      <c r="AY165" s="1314"/>
      <c r="AZ165" s="1314"/>
      <c r="BA165" s="1314"/>
      <c r="BB165" s="1314"/>
      <c r="BC165" s="1314"/>
      <c r="BD165" s="1314"/>
      <c r="BE165" s="1314"/>
      <c r="BF165" s="1304"/>
      <c r="BG165" s="1305"/>
      <c r="BH165" s="1304"/>
      <c r="BI165" s="1305"/>
    </row>
    <row r="166" spans="2:144" x14ac:dyDescent="0.3">
      <c r="B166" s="601"/>
      <c r="C166" s="1295" t="s">
        <v>1812</v>
      </c>
      <c r="D166" s="1313">
        <f t="shared" si="60"/>
        <v>21</v>
      </c>
      <c r="E166" s="1313"/>
      <c r="F166" s="1313">
        <f t="shared" si="61"/>
        <v>5</v>
      </c>
      <c r="G166" s="1313"/>
      <c r="H166" s="1313">
        <f t="shared" si="62"/>
        <v>10</v>
      </c>
      <c r="I166" s="1313"/>
      <c r="J166" s="1302">
        <f t="shared" si="79"/>
        <v>15</v>
      </c>
      <c r="K166" s="1303"/>
      <c r="L166" s="1313">
        <f t="shared" si="63"/>
        <v>0</v>
      </c>
      <c r="M166" s="1313"/>
      <c r="N166" s="1313">
        <f t="shared" si="64"/>
        <v>2</v>
      </c>
      <c r="O166" s="1313"/>
      <c r="P166" s="1313">
        <f t="shared" si="65"/>
        <v>0</v>
      </c>
      <c r="Q166" s="1313"/>
      <c r="R166" s="1313">
        <f t="shared" si="66"/>
        <v>0</v>
      </c>
      <c r="S166" s="1313"/>
      <c r="T166" s="1313">
        <f t="shared" si="67"/>
        <v>0</v>
      </c>
      <c r="U166" s="1313"/>
      <c r="V166" s="1313">
        <f t="shared" si="68"/>
        <v>0</v>
      </c>
      <c r="W166" s="1313"/>
      <c r="X166" s="1313">
        <f t="shared" si="69"/>
        <v>0</v>
      </c>
      <c r="Y166" s="1313"/>
      <c r="Z166" s="1313">
        <f t="shared" si="70"/>
        <v>0</v>
      </c>
      <c r="AA166" s="1313"/>
      <c r="AB166" s="1313">
        <f t="shared" si="71"/>
        <v>0</v>
      </c>
      <c r="AC166" s="1313"/>
      <c r="AD166" s="1313">
        <f t="shared" si="72"/>
        <v>0</v>
      </c>
      <c r="AE166" s="1313"/>
      <c r="AF166" s="1313">
        <f t="shared" si="73"/>
        <v>0</v>
      </c>
      <c r="AG166" s="1313"/>
      <c r="AH166" s="1313">
        <f t="shared" si="74"/>
        <v>0</v>
      </c>
      <c r="AI166" s="1313"/>
      <c r="AJ166" s="1313">
        <f t="shared" si="75"/>
        <v>0</v>
      </c>
      <c r="AK166" s="1313"/>
      <c r="AL166" s="1313">
        <f t="shared" si="76"/>
        <v>0</v>
      </c>
      <c r="AM166" s="1313"/>
      <c r="AO166" s="1302">
        <f t="shared" si="77"/>
        <v>12</v>
      </c>
      <c r="AP166" s="1303"/>
      <c r="AQ166" s="1302">
        <f t="shared" si="78"/>
        <v>10</v>
      </c>
      <c r="AR166" s="1303"/>
      <c r="AS166" s="1302">
        <f t="shared" si="80"/>
        <v>2</v>
      </c>
      <c r="AT166" s="1303"/>
      <c r="AU166" s="1302">
        <f t="shared" si="82"/>
        <v>10</v>
      </c>
      <c r="AV166" s="1303"/>
      <c r="AX166" s="1313"/>
      <c r="AY166" s="1313"/>
      <c r="AZ166" s="1313"/>
      <c r="BA166" s="1313"/>
      <c r="BB166" s="1313"/>
      <c r="BC166" s="1313"/>
      <c r="BD166" s="1313"/>
      <c r="BE166" s="1313"/>
      <c r="BF166" s="1302"/>
      <c r="BG166" s="1303"/>
      <c r="BH166" s="1302"/>
      <c r="BI166" s="1303"/>
    </row>
    <row r="167" spans="2:144" x14ac:dyDescent="0.3">
      <c r="B167" s="601"/>
      <c r="C167" s="1295" t="s">
        <v>2513</v>
      </c>
      <c r="D167" s="1314">
        <f t="shared" si="60"/>
        <v>19</v>
      </c>
      <c r="E167" s="1314"/>
      <c r="F167" s="1314">
        <f t="shared" si="61"/>
        <v>16</v>
      </c>
      <c r="G167" s="1314"/>
      <c r="H167" s="1314">
        <f t="shared" si="62"/>
        <v>5</v>
      </c>
      <c r="I167" s="1314"/>
      <c r="J167" s="1304">
        <f t="shared" si="79"/>
        <v>21</v>
      </c>
      <c r="K167" s="1305"/>
      <c r="L167" s="1314">
        <f t="shared" si="63"/>
        <v>4</v>
      </c>
      <c r="M167" s="1314"/>
      <c r="N167" s="1314">
        <f t="shared" si="64"/>
        <v>2</v>
      </c>
      <c r="O167" s="1314"/>
      <c r="P167" s="1314">
        <f t="shared" si="65"/>
        <v>1</v>
      </c>
      <c r="Q167" s="1314"/>
      <c r="R167" s="1314">
        <f t="shared" si="66"/>
        <v>0</v>
      </c>
      <c r="S167" s="1314"/>
      <c r="T167" s="1314">
        <f t="shared" si="67"/>
        <v>0</v>
      </c>
      <c r="U167" s="1314"/>
      <c r="V167" s="1314">
        <f t="shared" si="68"/>
        <v>0</v>
      </c>
      <c r="W167" s="1314"/>
      <c r="X167" s="1314">
        <f t="shared" si="69"/>
        <v>1</v>
      </c>
      <c r="Y167" s="1314"/>
      <c r="Z167" s="1314">
        <f t="shared" si="70"/>
        <v>0</v>
      </c>
      <c r="AA167" s="1314"/>
      <c r="AB167" s="1314">
        <f t="shared" si="71"/>
        <v>2</v>
      </c>
      <c r="AC167" s="1314"/>
      <c r="AD167" s="1314">
        <f t="shared" si="72"/>
        <v>1</v>
      </c>
      <c r="AE167" s="1314"/>
      <c r="AF167" s="1314">
        <f t="shared" si="73"/>
        <v>0</v>
      </c>
      <c r="AG167" s="1314"/>
      <c r="AH167" s="1314">
        <f t="shared" si="74"/>
        <v>0</v>
      </c>
      <c r="AI167" s="1314"/>
      <c r="AJ167" s="1314">
        <f t="shared" si="75"/>
        <v>0</v>
      </c>
      <c r="AK167" s="1314"/>
      <c r="AL167" s="1314">
        <f t="shared" si="76"/>
        <v>0</v>
      </c>
      <c r="AM167" s="1314"/>
      <c r="AO167" s="1304">
        <f t="shared" si="77"/>
        <v>12</v>
      </c>
      <c r="AP167" s="1305"/>
      <c r="AQ167" s="1304">
        <f t="shared" si="78"/>
        <v>10</v>
      </c>
      <c r="AR167" s="1305"/>
      <c r="AS167" s="1304">
        <f t="shared" si="80"/>
        <v>2</v>
      </c>
      <c r="AT167" s="1305"/>
      <c r="AU167" s="1304">
        <f t="shared" si="82"/>
        <v>36</v>
      </c>
      <c r="AV167" s="1305"/>
      <c r="AX167" s="1314"/>
      <c r="AY167" s="1314"/>
      <c r="AZ167" s="1314"/>
      <c r="BA167" s="1314"/>
      <c r="BB167" s="1314"/>
      <c r="BC167" s="1314"/>
      <c r="BD167" s="1314"/>
      <c r="BE167" s="1314"/>
      <c r="BF167" s="1304"/>
      <c r="BG167" s="1305"/>
      <c r="BH167" s="1304"/>
      <c r="BI167" s="1305"/>
    </row>
    <row r="168" spans="2:144" x14ac:dyDescent="0.3">
      <c r="B168" s="601"/>
      <c r="C168" s="1295" t="s">
        <v>2717</v>
      </c>
      <c r="D168" s="1313">
        <f t="shared" si="60"/>
        <v>1</v>
      </c>
      <c r="E168" s="1313"/>
      <c r="F168" s="1313">
        <f t="shared" si="61"/>
        <v>0</v>
      </c>
      <c r="G168" s="1313"/>
      <c r="H168" s="1313">
        <f t="shared" si="62"/>
        <v>0</v>
      </c>
      <c r="I168" s="1313"/>
      <c r="J168" s="1302">
        <f t="shared" si="79"/>
        <v>0</v>
      </c>
      <c r="K168" s="1303"/>
      <c r="L168" s="1313">
        <f t="shared" si="63"/>
        <v>0</v>
      </c>
      <c r="M168" s="1313"/>
      <c r="N168" s="1313">
        <f t="shared" si="64"/>
        <v>0</v>
      </c>
      <c r="O168" s="1313"/>
      <c r="P168" s="1313">
        <f t="shared" si="65"/>
        <v>0</v>
      </c>
      <c r="Q168" s="1313"/>
      <c r="R168" s="1313">
        <f t="shared" si="66"/>
        <v>0</v>
      </c>
      <c r="S168" s="1313"/>
      <c r="T168" s="1313">
        <f t="shared" si="67"/>
        <v>0</v>
      </c>
      <c r="U168" s="1313"/>
      <c r="V168" s="1313">
        <f t="shared" si="68"/>
        <v>0</v>
      </c>
      <c r="W168" s="1313"/>
      <c r="X168" s="1313">
        <f t="shared" si="69"/>
        <v>0</v>
      </c>
      <c r="Y168" s="1313"/>
      <c r="Z168" s="1313">
        <f t="shared" si="70"/>
        <v>0</v>
      </c>
      <c r="AA168" s="1313"/>
      <c r="AB168" s="1313">
        <f t="shared" si="71"/>
        <v>0</v>
      </c>
      <c r="AC168" s="1313"/>
      <c r="AD168" s="1313">
        <f t="shared" si="72"/>
        <v>0</v>
      </c>
      <c r="AE168" s="1313"/>
      <c r="AF168" s="1313">
        <f t="shared" si="73"/>
        <v>0</v>
      </c>
      <c r="AG168" s="1313"/>
      <c r="AH168" s="1313">
        <f t="shared" si="74"/>
        <v>0</v>
      </c>
      <c r="AI168" s="1313"/>
      <c r="AJ168" s="1313">
        <f t="shared" si="75"/>
        <v>0</v>
      </c>
      <c r="AK168" s="1313"/>
      <c r="AL168" s="1313">
        <f t="shared" si="76"/>
        <v>0</v>
      </c>
      <c r="AM168" s="1313"/>
      <c r="AO168" s="1302">
        <f t="shared" si="77"/>
        <v>1</v>
      </c>
      <c r="AP168" s="1303"/>
      <c r="AQ168" s="1302">
        <f t="shared" si="78"/>
        <v>0</v>
      </c>
      <c r="AR168" s="1303"/>
      <c r="AS168" s="1302">
        <f t="shared" si="80"/>
        <v>1</v>
      </c>
      <c r="AT168" s="1303"/>
      <c r="AU168" s="1302">
        <f t="shared" si="82"/>
        <v>0</v>
      </c>
      <c r="AV168" s="1303"/>
      <c r="AX168" s="1313"/>
      <c r="AY168" s="1313"/>
      <c r="AZ168" s="1313"/>
      <c r="BA168" s="1313"/>
      <c r="BB168" s="1313"/>
      <c r="BC168" s="1313"/>
      <c r="BD168" s="1313"/>
      <c r="BE168" s="1313"/>
      <c r="BF168" s="1302"/>
      <c r="BG168" s="1303"/>
      <c r="BH168" s="1302"/>
      <c r="BI168" s="1303"/>
    </row>
    <row r="169" spans="2:144" x14ac:dyDescent="0.3">
      <c r="B169" s="601"/>
      <c r="C169" s="1295" t="s">
        <v>2251</v>
      </c>
      <c r="D169" s="1314">
        <f t="shared" si="60"/>
        <v>21</v>
      </c>
      <c r="E169" s="1314"/>
      <c r="F169" s="1314">
        <f t="shared" si="61"/>
        <v>6</v>
      </c>
      <c r="G169" s="1314"/>
      <c r="H169" s="1314">
        <f t="shared" si="62"/>
        <v>7</v>
      </c>
      <c r="I169" s="1314"/>
      <c r="J169" s="1304">
        <f t="shared" si="79"/>
        <v>13</v>
      </c>
      <c r="K169" s="1305"/>
      <c r="L169" s="1314">
        <f t="shared" si="63"/>
        <v>4</v>
      </c>
      <c r="M169" s="1314"/>
      <c r="N169" s="1314">
        <f t="shared" si="64"/>
        <v>0</v>
      </c>
      <c r="O169" s="1314"/>
      <c r="P169" s="1314">
        <f t="shared" si="65"/>
        <v>0</v>
      </c>
      <c r="Q169" s="1314"/>
      <c r="R169" s="1314">
        <f t="shared" si="66"/>
        <v>1</v>
      </c>
      <c r="S169" s="1314"/>
      <c r="T169" s="1314">
        <f t="shared" si="67"/>
        <v>1</v>
      </c>
      <c r="U169" s="1314"/>
      <c r="V169" s="1314">
        <f t="shared" si="68"/>
        <v>0</v>
      </c>
      <c r="W169" s="1314"/>
      <c r="X169" s="1314">
        <f t="shared" si="69"/>
        <v>0</v>
      </c>
      <c r="Y169" s="1314"/>
      <c r="Z169" s="1314">
        <f t="shared" si="70"/>
        <v>0</v>
      </c>
      <c r="AA169" s="1314"/>
      <c r="AB169" s="1314">
        <f t="shared" si="71"/>
        <v>0</v>
      </c>
      <c r="AC169" s="1314"/>
      <c r="AD169" s="1314">
        <f t="shared" si="72"/>
        <v>0</v>
      </c>
      <c r="AE169" s="1314"/>
      <c r="AF169" s="1314">
        <f t="shared" si="73"/>
        <v>0</v>
      </c>
      <c r="AG169" s="1314"/>
      <c r="AH169" s="1314">
        <f t="shared" si="74"/>
        <v>0</v>
      </c>
      <c r="AI169" s="1314"/>
      <c r="AJ169" s="1314">
        <f t="shared" si="75"/>
        <v>0</v>
      </c>
      <c r="AK169" s="1314"/>
      <c r="AL169" s="1314">
        <f t="shared" si="76"/>
        <v>0</v>
      </c>
      <c r="AM169" s="1314"/>
      <c r="AO169" s="1304">
        <f t="shared" si="77"/>
        <v>12</v>
      </c>
      <c r="AP169" s="1305"/>
      <c r="AQ169" s="1304">
        <f t="shared" si="78"/>
        <v>14</v>
      </c>
      <c r="AR169" s="1305"/>
      <c r="AS169" s="1304">
        <f t="shared" si="80"/>
        <v>-2</v>
      </c>
      <c r="AT169" s="1305"/>
      <c r="AU169" s="1304">
        <f t="shared" si="82"/>
        <v>38</v>
      </c>
      <c r="AV169" s="1305"/>
      <c r="AX169" s="1314"/>
      <c r="AY169" s="1314"/>
      <c r="AZ169" s="1314"/>
      <c r="BA169" s="1314"/>
      <c r="BB169" s="1314"/>
      <c r="BC169" s="1314"/>
      <c r="BD169" s="1314"/>
      <c r="BE169" s="1314"/>
      <c r="BF169" s="1304"/>
      <c r="BG169" s="1305"/>
      <c r="BH169" s="1304"/>
      <c r="BI169" s="1305"/>
    </row>
    <row r="170" spans="2:144" x14ac:dyDescent="0.3">
      <c r="B170" s="601"/>
      <c r="C170" s="1295" t="s">
        <v>2512</v>
      </c>
      <c r="D170" s="1313">
        <f t="shared" si="60"/>
        <v>19</v>
      </c>
      <c r="E170" s="1313"/>
      <c r="F170" s="1313">
        <f t="shared" si="61"/>
        <v>3</v>
      </c>
      <c r="G170" s="1313"/>
      <c r="H170" s="1313">
        <f t="shared" si="62"/>
        <v>11</v>
      </c>
      <c r="I170" s="1313"/>
      <c r="J170" s="1302">
        <f t="shared" si="79"/>
        <v>14</v>
      </c>
      <c r="K170" s="1303"/>
      <c r="L170" s="1313">
        <f t="shared" si="63"/>
        <v>2</v>
      </c>
      <c r="M170" s="1313"/>
      <c r="N170" s="1313">
        <f t="shared" si="64"/>
        <v>0</v>
      </c>
      <c r="O170" s="1313"/>
      <c r="P170" s="1313">
        <f t="shared" si="65"/>
        <v>0</v>
      </c>
      <c r="Q170" s="1313"/>
      <c r="R170" s="1313">
        <f t="shared" si="66"/>
        <v>0</v>
      </c>
      <c r="S170" s="1313"/>
      <c r="T170" s="1313">
        <f t="shared" si="67"/>
        <v>0</v>
      </c>
      <c r="U170" s="1313"/>
      <c r="V170" s="1313">
        <f t="shared" si="68"/>
        <v>0</v>
      </c>
      <c r="W170" s="1313"/>
      <c r="X170" s="1313">
        <f t="shared" si="69"/>
        <v>1</v>
      </c>
      <c r="Y170" s="1313"/>
      <c r="Z170" s="1313">
        <f t="shared" si="70"/>
        <v>0</v>
      </c>
      <c r="AA170" s="1313"/>
      <c r="AB170" s="1313">
        <f t="shared" si="71"/>
        <v>0</v>
      </c>
      <c r="AC170" s="1313"/>
      <c r="AD170" s="1313">
        <f t="shared" si="72"/>
        <v>0</v>
      </c>
      <c r="AE170" s="1313"/>
      <c r="AF170" s="1313">
        <f t="shared" si="73"/>
        <v>0</v>
      </c>
      <c r="AG170" s="1313"/>
      <c r="AH170" s="1313">
        <f t="shared" si="74"/>
        <v>0</v>
      </c>
      <c r="AI170" s="1313"/>
      <c r="AJ170" s="1313">
        <f t="shared" si="75"/>
        <v>0</v>
      </c>
      <c r="AK170" s="1313"/>
      <c r="AL170" s="1313">
        <f t="shared" si="76"/>
        <v>0</v>
      </c>
      <c r="AM170" s="1313"/>
      <c r="AO170" s="1302">
        <f t="shared" si="77"/>
        <v>12</v>
      </c>
      <c r="AP170" s="1303"/>
      <c r="AQ170" s="1302">
        <f t="shared" si="78"/>
        <v>5</v>
      </c>
      <c r="AR170" s="1303"/>
      <c r="AS170" s="1302">
        <f t="shared" si="80"/>
        <v>7</v>
      </c>
      <c r="AT170" s="1303"/>
      <c r="AU170" s="1302">
        <f t="shared" si="82"/>
        <v>18</v>
      </c>
      <c r="AV170" s="1303"/>
      <c r="AX170" s="1313"/>
      <c r="AY170" s="1313"/>
      <c r="AZ170" s="1313"/>
      <c r="BA170" s="1313"/>
      <c r="BB170" s="1313"/>
      <c r="BC170" s="1313"/>
      <c r="BD170" s="1313"/>
      <c r="BE170" s="1313"/>
      <c r="BF170" s="1302"/>
      <c r="BG170" s="1303"/>
      <c r="BH170" s="1302"/>
      <c r="BI170" s="1303"/>
    </row>
    <row r="171" spans="2:144" x14ac:dyDescent="0.3">
      <c r="B171" s="601"/>
      <c r="C171" s="1295" t="s">
        <v>1815</v>
      </c>
      <c r="D171" s="1314">
        <f t="shared" si="60"/>
        <v>18</v>
      </c>
      <c r="E171" s="1314"/>
      <c r="F171" s="1314">
        <f t="shared" si="61"/>
        <v>4</v>
      </c>
      <c r="G171" s="1314"/>
      <c r="H171" s="1314">
        <f t="shared" si="62"/>
        <v>0</v>
      </c>
      <c r="I171" s="1314"/>
      <c r="J171" s="1304">
        <f t="shared" si="79"/>
        <v>4</v>
      </c>
      <c r="K171" s="1305"/>
      <c r="L171" s="1314">
        <f t="shared" si="63"/>
        <v>2</v>
      </c>
      <c r="M171" s="1314"/>
      <c r="N171" s="1314">
        <f t="shared" si="64"/>
        <v>0</v>
      </c>
      <c r="O171" s="1314"/>
      <c r="P171" s="1314">
        <f t="shared" si="65"/>
        <v>0</v>
      </c>
      <c r="Q171" s="1314"/>
      <c r="R171" s="1314">
        <f t="shared" si="66"/>
        <v>0</v>
      </c>
      <c r="S171" s="1314"/>
      <c r="T171" s="1314">
        <f t="shared" si="67"/>
        <v>0</v>
      </c>
      <c r="U171" s="1314"/>
      <c r="V171" s="1314">
        <f t="shared" si="68"/>
        <v>0</v>
      </c>
      <c r="W171" s="1314"/>
      <c r="X171" s="1314">
        <f t="shared" si="69"/>
        <v>0</v>
      </c>
      <c r="Y171" s="1314"/>
      <c r="Z171" s="1314">
        <f t="shared" si="70"/>
        <v>0</v>
      </c>
      <c r="AA171" s="1314"/>
      <c r="AB171" s="1314">
        <f t="shared" si="71"/>
        <v>0</v>
      </c>
      <c r="AC171" s="1314"/>
      <c r="AD171" s="1314">
        <f t="shared" si="72"/>
        <v>0</v>
      </c>
      <c r="AE171" s="1314"/>
      <c r="AF171" s="1314">
        <f t="shared" si="73"/>
        <v>0</v>
      </c>
      <c r="AG171" s="1314"/>
      <c r="AH171" s="1314">
        <f t="shared" si="74"/>
        <v>0</v>
      </c>
      <c r="AI171" s="1314"/>
      <c r="AJ171" s="1314">
        <f t="shared" si="75"/>
        <v>0</v>
      </c>
      <c r="AK171" s="1314"/>
      <c r="AL171" s="1314">
        <f t="shared" si="76"/>
        <v>0</v>
      </c>
      <c r="AM171" s="1314"/>
      <c r="AO171" s="1304">
        <f t="shared" si="77"/>
        <v>1</v>
      </c>
      <c r="AP171" s="1305"/>
      <c r="AQ171" s="1304">
        <f t="shared" si="78"/>
        <v>8</v>
      </c>
      <c r="AR171" s="1305"/>
      <c r="AS171" s="1304">
        <f t="shared" si="80"/>
        <v>-7</v>
      </c>
      <c r="AT171" s="1305"/>
      <c r="AU171" s="1304">
        <f t="shared" si="82"/>
        <v>11</v>
      </c>
      <c r="AV171" s="1305"/>
      <c r="AX171" s="1314"/>
      <c r="AY171" s="1314"/>
      <c r="AZ171" s="1314"/>
      <c r="BA171" s="1314"/>
      <c r="BB171" s="1314"/>
      <c r="BC171" s="1314"/>
      <c r="BD171" s="1314"/>
      <c r="BE171" s="1314"/>
      <c r="BF171" s="1304"/>
      <c r="BG171" s="1305"/>
      <c r="BH171" s="1304"/>
      <c r="BI171" s="1305"/>
    </row>
    <row r="172" spans="2:144" x14ac:dyDescent="0.3">
      <c r="B172" s="601"/>
      <c r="C172" s="1296" t="s">
        <v>2511</v>
      </c>
      <c r="D172" s="1313">
        <f t="shared" si="60"/>
        <v>4</v>
      </c>
      <c r="E172" s="1313"/>
      <c r="F172" s="1313">
        <f t="shared" si="61"/>
        <v>0</v>
      </c>
      <c r="G172" s="1313"/>
      <c r="H172" s="1313">
        <f t="shared" si="62"/>
        <v>0</v>
      </c>
      <c r="I172" s="1313"/>
      <c r="J172" s="1302">
        <f t="shared" si="79"/>
        <v>0</v>
      </c>
      <c r="K172" s="1303"/>
      <c r="L172" s="1313">
        <f t="shared" si="63"/>
        <v>0</v>
      </c>
      <c r="M172" s="1313"/>
      <c r="N172" s="1313">
        <f t="shared" si="64"/>
        <v>0</v>
      </c>
      <c r="O172" s="1313"/>
      <c r="P172" s="1313">
        <f t="shared" si="65"/>
        <v>0</v>
      </c>
      <c r="Q172" s="1313"/>
      <c r="R172" s="1313">
        <f t="shared" si="66"/>
        <v>0</v>
      </c>
      <c r="S172" s="1313"/>
      <c r="T172" s="1313">
        <f t="shared" si="67"/>
        <v>0</v>
      </c>
      <c r="U172" s="1313"/>
      <c r="V172" s="1313">
        <f t="shared" si="68"/>
        <v>0</v>
      </c>
      <c r="W172" s="1313"/>
      <c r="X172" s="1313">
        <f t="shared" si="69"/>
        <v>0</v>
      </c>
      <c r="Y172" s="1313"/>
      <c r="Z172" s="1313">
        <f t="shared" si="70"/>
        <v>0</v>
      </c>
      <c r="AA172" s="1313"/>
      <c r="AB172" s="1313">
        <f t="shared" si="71"/>
        <v>0</v>
      </c>
      <c r="AC172" s="1313"/>
      <c r="AD172" s="1313">
        <f t="shared" si="72"/>
        <v>0</v>
      </c>
      <c r="AE172" s="1313"/>
      <c r="AF172" s="1313">
        <f t="shared" si="73"/>
        <v>0</v>
      </c>
      <c r="AG172" s="1313"/>
      <c r="AH172" s="1313">
        <f t="shared" si="74"/>
        <v>0</v>
      </c>
      <c r="AI172" s="1313"/>
      <c r="AJ172" s="1313">
        <f t="shared" si="75"/>
        <v>0</v>
      </c>
      <c r="AK172" s="1313"/>
      <c r="AL172" s="1313">
        <f t="shared" si="76"/>
        <v>0</v>
      </c>
      <c r="AM172" s="1313"/>
      <c r="AO172" s="1302">
        <f t="shared" si="77"/>
        <v>0</v>
      </c>
      <c r="AP172" s="1303"/>
      <c r="AQ172" s="1302">
        <f t="shared" si="78"/>
        <v>0</v>
      </c>
      <c r="AR172" s="1303"/>
      <c r="AS172" s="1302">
        <f t="shared" si="80"/>
        <v>0</v>
      </c>
      <c r="AT172" s="1303"/>
      <c r="AU172" s="1302">
        <f t="shared" si="82"/>
        <v>0</v>
      </c>
      <c r="AV172" s="1303"/>
      <c r="AX172" s="1313"/>
      <c r="AY172" s="1313"/>
      <c r="AZ172" s="1313"/>
      <c r="BA172" s="1313"/>
      <c r="BB172" s="1313"/>
      <c r="BC172" s="1313"/>
      <c r="BD172" s="1313"/>
      <c r="BE172" s="1313"/>
      <c r="BF172" s="1302"/>
      <c r="BG172" s="1303"/>
      <c r="BH172" s="1302"/>
      <c r="BI172" s="1303"/>
    </row>
    <row r="173" spans="2:144" x14ac:dyDescent="0.3">
      <c r="B173" s="601"/>
      <c r="C173" s="1295" t="s">
        <v>2254</v>
      </c>
      <c r="D173" s="1304">
        <f t="shared" si="60"/>
        <v>22</v>
      </c>
      <c r="E173" s="1305"/>
      <c r="F173" s="1304">
        <f t="shared" si="61"/>
        <v>8</v>
      </c>
      <c r="G173" s="1305"/>
      <c r="H173" s="1304">
        <f t="shared" si="62"/>
        <v>10</v>
      </c>
      <c r="I173" s="1305"/>
      <c r="J173" s="1304">
        <f t="shared" ref="J173:J174" si="85">SUM(F173:I173)</f>
        <v>18</v>
      </c>
      <c r="K173" s="1305"/>
      <c r="L173" s="1304">
        <f t="shared" si="63"/>
        <v>0</v>
      </c>
      <c r="M173" s="1305"/>
      <c r="N173" s="1304">
        <f t="shared" si="64"/>
        <v>1</v>
      </c>
      <c r="O173" s="1305"/>
      <c r="P173" s="1304">
        <f t="shared" si="65"/>
        <v>0</v>
      </c>
      <c r="Q173" s="1305"/>
      <c r="R173" s="1304">
        <f t="shared" si="66"/>
        <v>0</v>
      </c>
      <c r="S173" s="1305"/>
      <c r="T173" s="1304">
        <f t="shared" si="67"/>
        <v>1</v>
      </c>
      <c r="U173" s="1305"/>
      <c r="V173" s="1304">
        <f t="shared" si="68"/>
        <v>0</v>
      </c>
      <c r="W173" s="1305"/>
      <c r="X173" s="1304">
        <f t="shared" si="69"/>
        <v>0</v>
      </c>
      <c r="Y173" s="1305"/>
      <c r="Z173" s="1304">
        <f t="shared" si="70"/>
        <v>0</v>
      </c>
      <c r="AA173" s="1305"/>
      <c r="AB173" s="1304">
        <f t="shared" si="71"/>
        <v>0</v>
      </c>
      <c r="AC173" s="1305"/>
      <c r="AD173" s="1304">
        <f t="shared" si="72"/>
        <v>0</v>
      </c>
      <c r="AE173" s="1305"/>
      <c r="AF173" s="1304">
        <f t="shared" si="73"/>
        <v>0</v>
      </c>
      <c r="AG173" s="1305"/>
      <c r="AH173" s="1304">
        <f t="shared" si="74"/>
        <v>0</v>
      </c>
      <c r="AI173" s="1305"/>
      <c r="AJ173" s="1304">
        <f t="shared" si="75"/>
        <v>0</v>
      </c>
      <c r="AK173" s="1305"/>
      <c r="AL173" s="1304">
        <f t="shared" si="76"/>
        <v>0</v>
      </c>
      <c r="AM173" s="1305"/>
      <c r="AO173" s="1304">
        <f t="shared" si="77"/>
        <v>13</v>
      </c>
      <c r="AP173" s="1305"/>
      <c r="AQ173" s="1304">
        <f t="shared" si="78"/>
        <v>15</v>
      </c>
      <c r="AR173" s="1305"/>
      <c r="AS173" s="1304">
        <f t="shared" ref="AS173:AS174" si="86">AO173-AQ173</f>
        <v>-2</v>
      </c>
      <c r="AT173" s="1305"/>
      <c r="AU173" s="1304">
        <f t="shared" si="82"/>
        <v>36</v>
      </c>
      <c r="AV173" s="1305"/>
      <c r="AX173" s="1314"/>
      <c r="AY173" s="1314"/>
      <c r="AZ173" s="1314"/>
      <c r="BA173" s="1314"/>
      <c r="BB173" s="1304"/>
      <c r="BC173" s="1305"/>
      <c r="BD173" s="1304"/>
      <c r="BE173" s="1305"/>
      <c r="BF173" s="1304"/>
      <c r="BG173" s="1305"/>
      <c r="BH173" s="1304"/>
      <c r="BI173" s="1305"/>
      <c r="EN173" t="s">
        <v>2757</v>
      </c>
    </row>
    <row r="174" spans="2:144" x14ac:dyDescent="0.3">
      <c r="B174" s="601"/>
      <c r="C174" s="1295" t="s">
        <v>2739</v>
      </c>
      <c r="D174" s="1313">
        <f t="shared" si="60"/>
        <v>6</v>
      </c>
      <c r="E174" s="1313"/>
      <c r="F174" s="1313">
        <f t="shared" si="61"/>
        <v>0</v>
      </c>
      <c r="G174" s="1313"/>
      <c r="H174" s="1313">
        <f t="shared" si="62"/>
        <v>3</v>
      </c>
      <c r="I174" s="1313"/>
      <c r="J174" s="1302">
        <f t="shared" si="85"/>
        <v>3</v>
      </c>
      <c r="K174" s="1303"/>
      <c r="L174" s="1313">
        <f t="shared" si="63"/>
        <v>0</v>
      </c>
      <c r="M174" s="1313"/>
      <c r="N174" s="1313">
        <f t="shared" si="64"/>
        <v>0</v>
      </c>
      <c r="O174" s="1313"/>
      <c r="P174" s="1313">
        <f t="shared" si="65"/>
        <v>0</v>
      </c>
      <c r="Q174" s="1313"/>
      <c r="R174" s="1313">
        <f t="shared" si="66"/>
        <v>0</v>
      </c>
      <c r="S174" s="1313"/>
      <c r="T174" s="1313">
        <f t="shared" si="67"/>
        <v>0</v>
      </c>
      <c r="U174" s="1313"/>
      <c r="V174" s="1313">
        <f t="shared" si="68"/>
        <v>0</v>
      </c>
      <c r="W174" s="1313"/>
      <c r="X174" s="1313">
        <f t="shared" si="69"/>
        <v>0</v>
      </c>
      <c r="Y174" s="1313"/>
      <c r="Z174" s="1313">
        <f t="shared" si="70"/>
        <v>0</v>
      </c>
      <c r="AA174" s="1313"/>
      <c r="AB174" s="1313">
        <f t="shared" si="71"/>
        <v>0</v>
      </c>
      <c r="AC174" s="1313"/>
      <c r="AD174" s="1313">
        <f t="shared" si="72"/>
        <v>0</v>
      </c>
      <c r="AE174" s="1313"/>
      <c r="AF174" s="1313">
        <f t="shared" si="73"/>
        <v>0</v>
      </c>
      <c r="AG174" s="1313"/>
      <c r="AH174" s="1313">
        <f t="shared" si="74"/>
        <v>0</v>
      </c>
      <c r="AI174" s="1313"/>
      <c r="AJ174" s="1313">
        <f t="shared" si="75"/>
        <v>0</v>
      </c>
      <c r="AK174" s="1313"/>
      <c r="AL174" s="1313">
        <f t="shared" si="76"/>
        <v>0</v>
      </c>
      <c r="AM174" s="1313"/>
      <c r="AO174" s="1302">
        <f t="shared" si="77"/>
        <v>3</v>
      </c>
      <c r="AP174" s="1303"/>
      <c r="AQ174" s="1302">
        <f t="shared" si="78"/>
        <v>2</v>
      </c>
      <c r="AR174" s="1303"/>
      <c r="AS174" s="1302">
        <f t="shared" si="86"/>
        <v>1</v>
      </c>
      <c r="AT174" s="1303"/>
      <c r="AU174" s="1302">
        <f t="shared" si="82"/>
        <v>9</v>
      </c>
      <c r="AV174" s="1303"/>
      <c r="AX174" s="1313"/>
      <c r="AY174" s="1313"/>
      <c r="AZ174" s="1313"/>
      <c r="BA174" s="1313"/>
      <c r="BB174" s="1302"/>
      <c r="BC174" s="1303"/>
      <c r="BD174" s="1302"/>
      <c r="BE174" s="1303"/>
      <c r="BF174" s="1302"/>
      <c r="BG174" s="1303"/>
      <c r="BH174" s="1302"/>
      <c r="BI174" s="1303"/>
    </row>
    <row r="175" spans="2:144" x14ac:dyDescent="0.3">
      <c r="B175" s="601"/>
      <c r="C175" s="1296" t="s">
        <v>1816</v>
      </c>
      <c r="D175" s="1314">
        <f t="shared" si="60"/>
        <v>22</v>
      </c>
      <c r="E175" s="1314"/>
      <c r="F175" s="1314">
        <f t="shared" si="61"/>
        <v>0</v>
      </c>
      <c r="G175" s="1314"/>
      <c r="H175" s="1314">
        <f t="shared" si="62"/>
        <v>0</v>
      </c>
      <c r="I175" s="1314"/>
      <c r="J175" s="1304">
        <f t="shared" si="79"/>
        <v>0</v>
      </c>
      <c r="K175" s="1305"/>
      <c r="L175" s="1314">
        <f t="shared" si="63"/>
        <v>0</v>
      </c>
      <c r="M175" s="1314"/>
      <c r="N175" s="1314">
        <f t="shared" si="64"/>
        <v>0</v>
      </c>
      <c r="O175" s="1314"/>
      <c r="P175" s="1314">
        <f t="shared" si="65"/>
        <v>0</v>
      </c>
      <c r="Q175" s="1314"/>
      <c r="R175" s="1314">
        <f t="shared" si="66"/>
        <v>0</v>
      </c>
      <c r="S175" s="1314"/>
      <c r="T175" s="1314">
        <f t="shared" si="67"/>
        <v>0</v>
      </c>
      <c r="U175" s="1314"/>
      <c r="V175" s="1314">
        <f t="shared" si="68"/>
        <v>0</v>
      </c>
      <c r="W175" s="1314"/>
      <c r="X175" s="1314">
        <f t="shared" si="69"/>
        <v>0</v>
      </c>
      <c r="Y175" s="1314"/>
      <c r="Z175" s="1314">
        <f t="shared" si="70"/>
        <v>0</v>
      </c>
      <c r="AA175" s="1314"/>
      <c r="AB175" s="1314">
        <f t="shared" si="71"/>
        <v>0</v>
      </c>
      <c r="AC175" s="1314"/>
      <c r="AD175" s="1314">
        <f t="shared" si="72"/>
        <v>0</v>
      </c>
      <c r="AE175" s="1314"/>
      <c r="AF175" s="1314">
        <f t="shared" si="73"/>
        <v>0</v>
      </c>
      <c r="AG175" s="1314"/>
      <c r="AH175" s="1314">
        <f t="shared" si="74"/>
        <v>0</v>
      </c>
      <c r="AI175" s="1314"/>
      <c r="AJ175" s="1314">
        <f t="shared" si="75"/>
        <v>8</v>
      </c>
      <c r="AK175" s="1314"/>
      <c r="AL175" s="1314">
        <f t="shared" si="76"/>
        <v>1</v>
      </c>
      <c r="AM175" s="1314"/>
      <c r="AO175" s="1304">
        <f t="shared" si="77"/>
        <v>10</v>
      </c>
      <c r="AP175" s="1305"/>
      <c r="AQ175" s="1304">
        <f t="shared" si="78"/>
        <v>17</v>
      </c>
      <c r="AR175" s="1305"/>
      <c r="AS175" s="1304">
        <f t="shared" si="80"/>
        <v>-7</v>
      </c>
      <c r="AT175" s="1305"/>
      <c r="AU175" s="1304"/>
      <c r="AV175" s="1305"/>
      <c r="AX175" s="1314">
        <f>M204+W204+AG204+AS204+BF204+BS204+CC204+CM204+CW204+DG204+DQ204+EA204+EK204+EU204+FE204+FO204+FZ204+GJ204+GT204+HD204+HN204+HY204+IS204</f>
        <v>159</v>
      </c>
      <c r="AY175" s="1314"/>
      <c r="AZ175" s="1314">
        <f>SUM(230:230)</f>
        <v>159</v>
      </c>
      <c r="BA175" s="1314"/>
      <c r="BB175" s="1314">
        <f>COUNTIF(204:204,BB$153)</f>
        <v>40</v>
      </c>
      <c r="BC175" s="1314"/>
      <c r="BD175" s="1314">
        <f>COUNTIF(204:204,BD$153)</f>
        <v>8</v>
      </c>
      <c r="BE175" s="1314"/>
      <c r="BF175" s="1304">
        <f t="shared" si="81"/>
        <v>19.875</v>
      </c>
      <c r="BG175" s="1305"/>
      <c r="BH175" s="1306">
        <f>BB175/BD175</f>
        <v>5</v>
      </c>
      <c r="BI175" s="1307"/>
    </row>
    <row r="178" spans="3:257" x14ac:dyDescent="0.3">
      <c r="D178" s="372" t="s">
        <v>533</v>
      </c>
      <c r="E178">
        <f>COUNTIF(D182:M205,D178)</f>
        <v>2</v>
      </c>
      <c r="F178" s="8"/>
      <c r="G178" s="8"/>
      <c r="H178" s="8"/>
      <c r="I178" s="265"/>
      <c r="J178" s="265"/>
      <c r="K178" s="265"/>
      <c r="L178" s="8"/>
      <c r="M178" s="8"/>
      <c r="N178" s="372" t="s">
        <v>533</v>
      </c>
      <c r="O178">
        <f>COUNTIF(N182:W205,N178)</f>
        <v>3</v>
      </c>
      <c r="P178" s="8"/>
      <c r="Q178" s="8"/>
      <c r="R178" s="8"/>
      <c r="S178" s="8"/>
      <c r="T178" s="8"/>
      <c r="U178" s="8"/>
      <c r="X178" s="372" t="s">
        <v>533</v>
      </c>
      <c r="Y178">
        <f>COUNTIF(X182:AG205,X178)</f>
        <v>2</v>
      </c>
      <c r="AH178" s="372" t="s">
        <v>533</v>
      </c>
      <c r="AI178">
        <f>COUNTIF(AH182:AS205,AH178)</f>
        <v>8</v>
      </c>
      <c r="AT178" s="372" t="s">
        <v>533</v>
      </c>
      <c r="AU178">
        <f>COUNTIF(AT182:BF205,AT178)</f>
        <v>8</v>
      </c>
      <c r="BG178" s="372" t="s">
        <v>533</v>
      </c>
      <c r="BH178">
        <f>COUNTIF(BG182:BS205,BG178)</f>
        <v>4</v>
      </c>
      <c r="BT178" s="372" t="s">
        <v>533</v>
      </c>
      <c r="BU178">
        <f>COUNTIF(BT182:CC205,BT178)</f>
        <v>3</v>
      </c>
      <c r="CD178" s="372" t="s">
        <v>533</v>
      </c>
      <c r="CE178">
        <f>COUNTIF(CD182:CM205,CD178)</f>
        <v>3</v>
      </c>
      <c r="CN178" s="372" t="s">
        <v>533</v>
      </c>
      <c r="CO178">
        <f>COUNTIF(CN182:CW205,CN178)</f>
        <v>2</v>
      </c>
      <c r="CX178" s="372" t="s">
        <v>533</v>
      </c>
      <c r="CY178">
        <f>COUNTIF(CX182:DG205,CX178)</f>
        <v>5</v>
      </c>
      <c r="DH178" s="372" t="s">
        <v>533</v>
      </c>
      <c r="DI178">
        <f>COUNTIF(DH182:DQ205,DH178)</f>
        <v>5</v>
      </c>
      <c r="DR178" s="372" t="s">
        <v>533</v>
      </c>
      <c r="DS178">
        <f>COUNTIF(DR182:EA205,DR178)</f>
        <v>3</v>
      </c>
      <c r="EB178" s="372" t="s">
        <v>533</v>
      </c>
      <c r="EC178">
        <f>COUNTIF(EB182:EK205,EB178)</f>
        <v>2</v>
      </c>
      <c r="EL178" s="372" t="s">
        <v>533</v>
      </c>
      <c r="EM178">
        <f>COUNTIF(EL182:EU205,EL178)</f>
        <v>6</v>
      </c>
      <c r="EV178" s="372" t="s">
        <v>533</v>
      </c>
      <c r="EW178">
        <f>COUNTIF(EV182:FE205,EV178)</f>
        <v>7</v>
      </c>
      <c r="FF178" s="372" t="s">
        <v>533</v>
      </c>
      <c r="FG178">
        <f>COUNTIF(FF182:FO205,FF178)</f>
        <v>8</v>
      </c>
      <c r="FP178" s="372" t="s">
        <v>533</v>
      </c>
      <c r="FQ178">
        <f>COUNTIF(FP182:FZ205,FP178)</f>
        <v>6</v>
      </c>
      <c r="GA178" s="372" t="s">
        <v>533</v>
      </c>
      <c r="GB178">
        <f>COUNTIF(GA182:GJ205,GA178)</f>
        <v>1</v>
      </c>
      <c r="GK178" s="372" t="s">
        <v>533</v>
      </c>
      <c r="GL178">
        <f>COUNTIF(GK182:GT205,GK178)</f>
        <v>5</v>
      </c>
      <c r="GU178" s="372" t="s">
        <v>533</v>
      </c>
      <c r="GV178">
        <f>COUNTIF(GU182:HD205,GU178)</f>
        <v>6</v>
      </c>
      <c r="HE178" s="372" t="s">
        <v>533</v>
      </c>
      <c r="HF178">
        <f>COUNTIF(HE182:HN205,HE178)</f>
        <v>1</v>
      </c>
      <c r="HO178" s="372" t="s">
        <v>533</v>
      </c>
      <c r="HP178">
        <f>COUNTIF(HO182:HY205,HO178)</f>
        <v>1</v>
      </c>
      <c r="HZ178" s="372" t="s">
        <v>533</v>
      </c>
      <c r="IA178">
        <f>COUNTIF(HZ182:II205,HZ178)</f>
        <v>0</v>
      </c>
      <c r="IJ178" s="372" t="s">
        <v>533</v>
      </c>
      <c r="IK178">
        <f>COUNTIF(IJ182:IS205,IJ178)</f>
        <v>0</v>
      </c>
    </row>
    <row r="179" spans="3:257" x14ac:dyDescent="0.3">
      <c r="D179" s="372" t="s">
        <v>534</v>
      </c>
      <c r="E179">
        <f>COUNTIF(D182:M205,D179)</f>
        <v>1</v>
      </c>
      <c r="F179" s="8"/>
      <c r="G179" s="8"/>
      <c r="H179" s="8"/>
      <c r="I179" s="265"/>
      <c r="J179" s="265"/>
      <c r="K179" s="265"/>
      <c r="L179" s="8"/>
      <c r="M179" s="8"/>
      <c r="N179" s="372" t="s">
        <v>534</v>
      </c>
      <c r="O179">
        <f>COUNTIF(N182:W205,N179)</f>
        <v>3</v>
      </c>
      <c r="P179" s="8"/>
      <c r="Q179" s="8"/>
      <c r="R179" s="8"/>
      <c r="S179" s="8"/>
      <c r="T179" s="8"/>
      <c r="U179" s="8"/>
      <c r="X179" s="372" t="s">
        <v>534</v>
      </c>
      <c r="Y179">
        <f>COUNTIF(X182:AG205,X179)</f>
        <v>2</v>
      </c>
      <c r="AH179" s="372" t="s">
        <v>534</v>
      </c>
      <c r="AI179">
        <f>COUNTIF(AH182:AS205,AH179)</f>
        <v>7</v>
      </c>
      <c r="AT179" s="372" t="s">
        <v>534</v>
      </c>
      <c r="AU179">
        <f>COUNTIF(AT182:BF205,AT179)</f>
        <v>8</v>
      </c>
      <c r="BG179" s="372" t="s">
        <v>534</v>
      </c>
      <c r="BH179">
        <f>COUNTIF(BG182:BS205,BG179)</f>
        <v>4</v>
      </c>
      <c r="BT179" s="372" t="s">
        <v>534</v>
      </c>
      <c r="BU179">
        <f>COUNTIF(BT182:CC205,BT179)</f>
        <v>2</v>
      </c>
      <c r="CD179" s="372" t="s">
        <v>534</v>
      </c>
      <c r="CE179">
        <f>COUNTIF(CD182:CM205,CD179)</f>
        <v>2</v>
      </c>
      <c r="CN179" s="372" t="s">
        <v>534</v>
      </c>
      <c r="CO179">
        <f>COUNTIF(CN182:CW205,CN179)</f>
        <v>2</v>
      </c>
      <c r="CX179" s="372" t="s">
        <v>534</v>
      </c>
      <c r="CY179">
        <f>COUNTIF(CX182:DG205,CX179)</f>
        <v>5</v>
      </c>
      <c r="DH179" s="372" t="s">
        <v>534</v>
      </c>
      <c r="DI179">
        <f>COUNTIF(DH182:DQ205,DH179)</f>
        <v>5</v>
      </c>
      <c r="DR179" s="372" t="s">
        <v>534</v>
      </c>
      <c r="DS179">
        <f>COUNTIF(DR182:EA205,DR179)</f>
        <v>2</v>
      </c>
      <c r="EB179" s="372" t="s">
        <v>534</v>
      </c>
      <c r="EC179">
        <f>COUNTIF(EB182:EK205,EB179)</f>
        <v>2</v>
      </c>
      <c r="EL179" s="372" t="s">
        <v>534</v>
      </c>
      <c r="EM179">
        <f>COUNTIF(EL182:EU205,EL179)</f>
        <v>5</v>
      </c>
      <c r="EV179" s="372" t="s">
        <v>534</v>
      </c>
      <c r="EW179">
        <f>COUNTIF(EV182:FE205,EV179)</f>
        <v>4</v>
      </c>
      <c r="FF179" s="372" t="s">
        <v>534</v>
      </c>
      <c r="FG179">
        <f>COUNTIF(FF182:FO205,FF179)</f>
        <v>7</v>
      </c>
      <c r="FP179" s="372" t="s">
        <v>534</v>
      </c>
      <c r="FQ179">
        <f>COUNTIF(FP182:FZ205,FP179)</f>
        <v>5</v>
      </c>
      <c r="GA179" s="372" t="s">
        <v>534</v>
      </c>
      <c r="GB179">
        <f>COUNTIF(GA182:GJ205,GA179)</f>
        <v>1</v>
      </c>
      <c r="GK179" s="372" t="s">
        <v>534</v>
      </c>
      <c r="GL179">
        <f>COUNTIF(GK182:GT205,GK179)</f>
        <v>5</v>
      </c>
      <c r="GU179" s="372" t="s">
        <v>534</v>
      </c>
      <c r="GV179">
        <f>COUNTIF(GU182:HD205,GU179)</f>
        <v>6</v>
      </c>
      <c r="HE179" s="372" t="s">
        <v>534</v>
      </c>
      <c r="HF179">
        <f>COUNTIF(HE182:HN205,HE179)</f>
        <v>0</v>
      </c>
      <c r="HO179" s="372" t="s">
        <v>534</v>
      </c>
      <c r="HP179">
        <f>COUNTIF(HO182:HY205,HO179)</f>
        <v>1</v>
      </c>
      <c r="HZ179" s="372" t="s">
        <v>534</v>
      </c>
      <c r="IA179">
        <f>COUNTIF(HZ182:II205,HZ179)</f>
        <v>0</v>
      </c>
      <c r="IJ179" s="372" t="s">
        <v>534</v>
      </c>
      <c r="IK179">
        <f>COUNTIF(IJ182:IS205,IJ179)</f>
        <v>0</v>
      </c>
    </row>
    <row r="180" spans="3:257" x14ac:dyDescent="0.3">
      <c r="C180" s="205" t="s">
        <v>2735</v>
      </c>
      <c r="D180" s="372" t="s">
        <v>535</v>
      </c>
      <c r="E180">
        <f>COUNTIF(D182:M205,D180)</f>
        <v>2</v>
      </c>
      <c r="F180" s="8"/>
      <c r="G180" s="8"/>
      <c r="H180" s="8"/>
      <c r="I180" s="265"/>
      <c r="J180" s="265"/>
      <c r="K180" s="265"/>
      <c r="L180" s="8"/>
      <c r="M180" s="8"/>
      <c r="N180" s="372" t="s">
        <v>535</v>
      </c>
      <c r="O180">
        <f>COUNTIF(N182:W205,N180)</f>
        <v>0</v>
      </c>
      <c r="P180" s="8"/>
      <c r="Q180" s="8"/>
      <c r="R180" s="8"/>
      <c r="S180" s="8"/>
      <c r="T180" s="8"/>
      <c r="U180" s="8"/>
      <c r="X180" s="372" t="s">
        <v>535</v>
      </c>
      <c r="Y180">
        <f>COUNTIF(X182:AG205,X180)</f>
        <v>1</v>
      </c>
      <c r="AH180" s="372" t="s">
        <v>535</v>
      </c>
      <c r="AI180">
        <f>COUNTIF(AH182:AS205,AH180)</f>
        <v>0</v>
      </c>
      <c r="AT180" s="372" t="s">
        <v>535</v>
      </c>
      <c r="AU180">
        <f>COUNTIF(AT182:BF205,AT180)</f>
        <v>0</v>
      </c>
      <c r="BG180" s="372" t="s">
        <v>535</v>
      </c>
      <c r="BH180">
        <f>COUNTIF(BG182:BS205,BG180)</f>
        <v>0</v>
      </c>
      <c r="BT180" s="372" t="s">
        <v>535</v>
      </c>
      <c r="BU180">
        <f>COUNTIF(BT182:CC205,BT180)</f>
        <v>1</v>
      </c>
      <c r="CD180" s="372" t="s">
        <v>535</v>
      </c>
      <c r="CE180">
        <f>COUNTIF(CD182:CM205,CD180)</f>
        <v>1</v>
      </c>
      <c r="CN180" s="372" t="s">
        <v>535</v>
      </c>
      <c r="CO180">
        <f>COUNTIF(CN182:CW205,CN180)</f>
        <v>0</v>
      </c>
      <c r="CX180" s="372" t="s">
        <v>535</v>
      </c>
      <c r="CY180">
        <f>COUNTIF(CX182:DG205,CX180)</f>
        <v>3</v>
      </c>
      <c r="DH180" s="372" t="s">
        <v>535</v>
      </c>
      <c r="DI180">
        <f>COUNTIF(DH182:DQ205,DH180)</f>
        <v>0</v>
      </c>
      <c r="DR180" s="372" t="s">
        <v>535</v>
      </c>
      <c r="DS180">
        <f>COUNTIF(DR182:EA205,DR180)</f>
        <v>1</v>
      </c>
      <c r="EB180" s="372" t="s">
        <v>535</v>
      </c>
      <c r="EC180">
        <f>COUNTIF(EB182:EK205,EB180)</f>
        <v>2</v>
      </c>
      <c r="EL180" s="372" t="s">
        <v>535</v>
      </c>
      <c r="EM180">
        <f>COUNTIF(EL182:EU205,EL180)</f>
        <v>1</v>
      </c>
      <c r="EV180" s="372" t="s">
        <v>535</v>
      </c>
      <c r="EW180">
        <f>COUNTIF(EV182:FE205,EV180)</f>
        <v>1</v>
      </c>
      <c r="FF180" s="372" t="s">
        <v>535</v>
      </c>
      <c r="FG180">
        <f>COUNTIF(FF182:FO205,FF180)</f>
        <v>4</v>
      </c>
      <c r="FP180" s="372" t="s">
        <v>535</v>
      </c>
      <c r="FQ180">
        <f>COUNTIF(FP182:FZ205,FP180)</f>
        <v>3</v>
      </c>
      <c r="GA180" s="372" t="s">
        <v>535</v>
      </c>
      <c r="GB180">
        <f>COUNTIF(GA182:GJ205,GA180)</f>
        <v>0</v>
      </c>
      <c r="GK180" s="372" t="s">
        <v>535</v>
      </c>
      <c r="GL180">
        <f>COUNTIF(GK182:GT205,GK180)</f>
        <v>2</v>
      </c>
      <c r="GU180" s="372" t="s">
        <v>535</v>
      </c>
      <c r="GV180">
        <f>COUNTIF(GU182:HD205,GU180)</f>
        <v>1</v>
      </c>
      <c r="HE180" s="372" t="s">
        <v>535</v>
      </c>
      <c r="HF180">
        <f>COUNTIF(HE182:HN205,HE180)</f>
        <v>1</v>
      </c>
      <c r="HO180" s="372" t="s">
        <v>535</v>
      </c>
      <c r="HP180">
        <f>COUNTIF(HO182:HY205,HO180)</f>
        <v>4</v>
      </c>
      <c r="HZ180" s="372" t="s">
        <v>535</v>
      </c>
      <c r="IA180">
        <f>COUNTIF(HZ182:II205,HZ180)</f>
        <v>0</v>
      </c>
      <c r="IJ180" s="372" t="s">
        <v>535</v>
      </c>
      <c r="IK180">
        <f>COUNTIF(IJ182:IS205,IJ180)</f>
        <v>0</v>
      </c>
    </row>
    <row r="181" spans="3:257" x14ac:dyDescent="0.3">
      <c r="D181" s="300"/>
      <c r="F181" s="267"/>
      <c r="G181" s="8"/>
      <c r="H181" s="8"/>
      <c r="I181" s="265"/>
      <c r="J181" s="265"/>
      <c r="K181" s="265"/>
      <c r="L181" s="8"/>
      <c r="M181" s="8"/>
      <c r="N181" s="300"/>
      <c r="O181" s="888"/>
      <c r="P181" s="8"/>
      <c r="Q181" s="8"/>
      <c r="R181" s="8"/>
      <c r="S181" s="8"/>
      <c r="T181" s="8"/>
      <c r="U181" s="8"/>
      <c r="X181" s="300"/>
      <c r="AH181" s="300"/>
      <c r="AT181" s="300"/>
      <c r="BG181" s="300"/>
      <c r="BT181" s="300"/>
      <c r="CD181" s="300"/>
      <c r="CN181" s="300"/>
      <c r="CX181" s="300"/>
      <c r="DH181" s="300"/>
      <c r="DR181" s="300"/>
      <c r="EB181" s="300"/>
      <c r="EL181" s="300"/>
      <c r="EV181" s="300"/>
      <c r="FF181" s="300"/>
      <c r="FP181" s="300"/>
      <c r="GA181" s="300"/>
      <c r="GK181" s="300"/>
      <c r="GU181" s="300"/>
      <c r="HE181" s="300"/>
      <c r="HO181" s="300"/>
      <c r="HZ181" s="300"/>
      <c r="IJ181" s="300"/>
    </row>
    <row r="182" spans="3:257" s="205" customFormat="1" x14ac:dyDescent="0.3">
      <c r="C182" s="205" t="s">
        <v>2527</v>
      </c>
      <c r="D182" s="1297" t="s">
        <v>995</v>
      </c>
      <c r="E182" s="205" t="s">
        <v>2718</v>
      </c>
      <c r="F182" s="265"/>
      <c r="G182" s="265"/>
      <c r="H182" s="265"/>
      <c r="I182" s="265"/>
      <c r="J182" s="265"/>
      <c r="K182" s="265"/>
      <c r="L182" s="265"/>
      <c r="M182" s="265"/>
      <c r="N182" s="1297" t="s">
        <v>997</v>
      </c>
      <c r="O182" s="205" t="s">
        <v>2719</v>
      </c>
      <c r="P182" s="265"/>
      <c r="Q182" s="265"/>
      <c r="R182" s="265"/>
      <c r="S182" s="265"/>
      <c r="T182" s="265"/>
      <c r="U182" s="265"/>
      <c r="V182" s="265"/>
      <c r="W182" s="1265"/>
      <c r="X182" s="1297" t="s">
        <v>999</v>
      </c>
      <c r="Y182" s="205" t="s">
        <v>2720</v>
      </c>
      <c r="Z182" s="265"/>
      <c r="AA182" s="265"/>
      <c r="AB182" s="265"/>
      <c r="AC182" s="265"/>
      <c r="AD182" s="265"/>
      <c r="AE182" s="265"/>
      <c r="AF182" s="265"/>
      <c r="AG182" s="1265"/>
      <c r="AH182" s="1297" t="s">
        <v>1001</v>
      </c>
      <c r="AI182" s="205" t="s">
        <v>2721</v>
      </c>
      <c r="AJ182" s="265"/>
      <c r="AK182" s="265"/>
      <c r="AL182" s="265"/>
      <c r="AM182" s="265"/>
      <c r="AN182" s="265"/>
      <c r="AO182" s="265"/>
      <c r="AP182" s="265"/>
      <c r="AQ182" s="265"/>
      <c r="AR182" s="265"/>
      <c r="AS182" s="1265"/>
      <c r="AT182" s="1297" t="s">
        <v>1003</v>
      </c>
      <c r="AU182" s="205" t="s">
        <v>2732</v>
      </c>
      <c r="AV182" s="265"/>
      <c r="AW182" s="265"/>
      <c r="AX182" s="265"/>
      <c r="AY182" s="265"/>
      <c r="AZ182" s="265"/>
      <c r="BA182" s="265"/>
      <c r="BB182" s="265"/>
      <c r="BC182" s="265"/>
      <c r="BD182" s="265"/>
      <c r="BE182" s="265"/>
      <c r="BF182" s="1265"/>
      <c r="BG182" s="1297" t="s">
        <v>1004</v>
      </c>
      <c r="BH182" s="205" t="s">
        <v>2733</v>
      </c>
      <c r="BI182" s="265"/>
      <c r="BJ182" s="265"/>
      <c r="BK182" s="265"/>
      <c r="BL182" s="265"/>
      <c r="BT182" s="1297" t="s">
        <v>1006</v>
      </c>
      <c r="BU182" s="205" t="s">
        <v>2738</v>
      </c>
      <c r="BV182" s="265"/>
      <c r="BW182" s="265"/>
      <c r="BX182" s="265"/>
      <c r="BY182" s="265"/>
      <c r="BZ182" s="265"/>
      <c r="CA182" s="265"/>
      <c r="CB182" s="265"/>
      <c r="CC182" s="1265"/>
      <c r="CD182" s="1297" t="s">
        <v>1008</v>
      </c>
      <c r="CE182" s="205" t="s">
        <v>2741</v>
      </c>
      <c r="CF182" s="265"/>
      <c r="CG182" s="265"/>
      <c r="CH182" s="265"/>
      <c r="CI182" s="265"/>
      <c r="CJ182" s="265"/>
      <c r="CK182" s="265"/>
      <c r="CL182" s="265"/>
      <c r="CM182" s="1265"/>
      <c r="CN182" s="1297" t="s">
        <v>1010</v>
      </c>
      <c r="CO182" s="205" t="s">
        <v>2742</v>
      </c>
      <c r="CP182" s="265"/>
      <c r="CQ182" s="265"/>
      <c r="CR182" s="265"/>
      <c r="CS182" s="265"/>
      <c r="CT182" s="265"/>
      <c r="CU182" s="265"/>
      <c r="CV182" s="265"/>
      <c r="CW182" s="1265"/>
      <c r="CX182" s="372" t="s">
        <v>1012</v>
      </c>
      <c r="CY182" s="205" t="s">
        <v>2743</v>
      </c>
      <c r="CZ182" s="265"/>
      <c r="DA182" s="265"/>
      <c r="DB182" s="265"/>
      <c r="DC182" s="265"/>
      <c r="DD182" s="265"/>
      <c r="DE182" s="265"/>
      <c r="DF182" s="265"/>
      <c r="DG182" s="1265"/>
      <c r="DH182" s="372" t="s">
        <v>1465</v>
      </c>
      <c r="DI182" s="205" t="s">
        <v>2744</v>
      </c>
      <c r="DJ182" s="265"/>
      <c r="DK182" s="265"/>
      <c r="DL182" s="265"/>
      <c r="DM182" s="265"/>
      <c r="DN182" s="265"/>
      <c r="DO182" s="265"/>
      <c r="DP182" s="265"/>
      <c r="DQ182" s="1265"/>
      <c r="DR182" s="372" t="s">
        <v>1466</v>
      </c>
      <c r="DS182" s="205" t="s">
        <v>2746</v>
      </c>
      <c r="DT182" s="265"/>
      <c r="DU182" s="265"/>
      <c r="DV182" s="265"/>
      <c r="DW182" s="265"/>
      <c r="EB182" s="372" t="s">
        <v>1467</v>
      </c>
      <c r="EC182" s="205" t="s">
        <v>2747</v>
      </c>
      <c r="ED182" s="265"/>
      <c r="EE182" s="265"/>
      <c r="EF182" s="265"/>
      <c r="EG182" s="265"/>
      <c r="EH182" s="265"/>
      <c r="EI182" s="265"/>
      <c r="EJ182" s="265"/>
      <c r="EK182" s="1265"/>
      <c r="EL182" s="372" t="s">
        <v>1468</v>
      </c>
      <c r="EM182" s="205" t="s">
        <v>2748</v>
      </c>
      <c r="EN182" s="265"/>
      <c r="EO182" s="265"/>
      <c r="EP182" s="265"/>
      <c r="EQ182" s="265"/>
      <c r="ER182" s="265"/>
      <c r="ES182" s="265"/>
      <c r="ET182" s="265"/>
      <c r="EU182" s="1265"/>
      <c r="EV182" s="372" t="s">
        <v>1469</v>
      </c>
      <c r="EW182" s="205" t="s">
        <v>2749</v>
      </c>
      <c r="EX182" s="265"/>
      <c r="EY182" s="265"/>
      <c r="EZ182" s="265"/>
      <c r="FA182" s="265"/>
      <c r="FB182" s="265"/>
      <c r="FC182" s="265"/>
      <c r="FD182" s="265"/>
      <c r="FE182" s="1265"/>
      <c r="FF182" s="372" t="s">
        <v>1470</v>
      </c>
      <c r="FG182" s="205" t="s">
        <v>2750</v>
      </c>
      <c r="FH182" s="265"/>
      <c r="FI182" s="265"/>
      <c r="FJ182" s="265"/>
      <c r="FK182" s="265"/>
      <c r="FL182" s="265"/>
      <c r="FM182" s="265"/>
      <c r="FN182" s="265"/>
      <c r="FO182" s="1265"/>
      <c r="FP182" s="372" t="s">
        <v>1472</v>
      </c>
      <c r="FQ182" s="205" t="s">
        <v>2751</v>
      </c>
      <c r="FR182" s="265"/>
      <c r="FS182" s="265"/>
      <c r="FT182" s="265"/>
      <c r="FU182" s="265"/>
      <c r="FV182" s="265"/>
      <c r="FW182" s="265"/>
      <c r="FX182" s="265"/>
      <c r="FY182" s="265"/>
      <c r="FZ182" s="1265"/>
      <c r="GA182" s="372" t="s">
        <v>1473</v>
      </c>
      <c r="GB182" s="205" t="s">
        <v>2752</v>
      </c>
      <c r="GC182" s="265"/>
      <c r="GD182" s="265"/>
      <c r="GE182" s="265"/>
      <c r="GF182" s="265"/>
      <c r="GK182" s="372" t="s">
        <v>1474</v>
      </c>
      <c r="GL182" s="205" t="s">
        <v>2753</v>
      </c>
      <c r="GM182" s="265"/>
      <c r="GN182" s="265"/>
      <c r="GO182" s="265"/>
      <c r="GP182" s="265"/>
      <c r="GQ182" s="265"/>
      <c r="GR182" s="265"/>
      <c r="GS182" s="265"/>
      <c r="GT182" s="1265"/>
      <c r="GU182" s="372" t="s">
        <v>1475</v>
      </c>
      <c r="GV182" s="205" t="s">
        <v>2754</v>
      </c>
      <c r="GW182" s="265"/>
      <c r="GX182" s="265"/>
      <c r="GY182" s="265"/>
      <c r="GZ182" s="265"/>
      <c r="HA182" s="265"/>
      <c r="HB182" s="265"/>
      <c r="HC182" s="265"/>
      <c r="HD182" s="1265"/>
      <c r="HE182" s="372" t="s">
        <v>2450</v>
      </c>
      <c r="HF182" s="205" t="s">
        <v>2755</v>
      </c>
      <c r="HG182" s="265"/>
      <c r="HH182" s="265"/>
      <c r="HI182" s="265"/>
      <c r="HJ182" s="265"/>
      <c r="HK182" s="265"/>
      <c r="HL182" s="265"/>
      <c r="HM182" s="265"/>
      <c r="HN182" s="1265"/>
      <c r="HO182" s="372" t="s">
        <v>2451</v>
      </c>
      <c r="HP182" s="205" t="s">
        <v>2756</v>
      </c>
      <c r="HQ182" s="265"/>
      <c r="HR182" s="265"/>
      <c r="HS182" s="265"/>
      <c r="HT182" s="265"/>
      <c r="HU182" s="265"/>
      <c r="HV182" s="265"/>
      <c r="HW182" s="265"/>
      <c r="HX182" s="265"/>
      <c r="HY182" s="1265"/>
      <c r="HZ182" s="372" t="s">
        <v>2452</v>
      </c>
      <c r="IB182" s="265"/>
      <c r="IC182" s="265"/>
      <c r="ID182" s="265"/>
      <c r="IE182" s="265"/>
      <c r="IF182" s="265"/>
      <c r="IG182" s="265"/>
      <c r="IH182" s="265"/>
      <c r="II182" s="1265"/>
      <c r="IJ182" s="372" t="s">
        <v>2453</v>
      </c>
      <c r="IL182" s="265"/>
      <c r="IM182" s="265"/>
      <c r="IN182" s="265"/>
      <c r="IO182" s="265"/>
      <c r="IT182"/>
      <c r="IU182"/>
      <c r="IV182"/>
      <c r="IW182"/>
    </row>
    <row r="183" spans="3:257" x14ac:dyDescent="0.3">
      <c r="C183" t="s">
        <v>1798</v>
      </c>
      <c r="D183" s="300" t="s">
        <v>877</v>
      </c>
      <c r="F183" s="8"/>
      <c r="G183" s="8"/>
      <c r="H183" s="8"/>
      <c r="I183" s="8"/>
      <c r="J183" s="8"/>
      <c r="K183" s="8"/>
      <c r="L183" s="8"/>
      <c r="M183" s="8"/>
      <c r="N183" s="300"/>
      <c r="P183" s="8"/>
      <c r="Q183" s="8"/>
      <c r="R183" s="8"/>
      <c r="S183" s="8"/>
      <c r="T183" s="8"/>
      <c r="U183" s="8"/>
      <c r="V183" s="8"/>
      <c r="W183" s="1266"/>
      <c r="X183" s="300" t="s">
        <v>877</v>
      </c>
      <c r="Z183" s="8"/>
      <c r="AA183" s="8"/>
      <c r="AB183" s="8"/>
      <c r="AC183" s="8"/>
      <c r="AD183" s="8"/>
      <c r="AE183" s="8"/>
      <c r="AF183" s="8"/>
      <c r="AG183" s="1266"/>
      <c r="AH183" s="300" t="s">
        <v>877</v>
      </c>
      <c r="AI183" t="s">
        <v>533</v>
      </c>
      <c r="AJ183" s="8"/>
      <c r="AK183" s="8"/>
      <c r="AL183" s="8"/>
      <c r="AM183" s="8"/>
      <c r="AN183" s="8"/>
      <c r="AO183" s="8"/>
      <c r="AP183" s="8"/>
      <c r="AQ183" s="8"/>
      <c r="AR183" s="8"/>
      <c r="AS183" s="1266"/>
      <c r="AT183" s="300" t="s">
        <v>877</v>
      </c>
      <c r="AU183" t="s">
        <v>533</v>
      </c>
      <c r="AV183" s="8" t="s">
        <v>540</v>
      </c>
      <c r="AW183" s="8" t="s">
        <v>534</v>
      </c>
      <c r="AX183" s="8"/>
      <c r="AY183" s="8"/>
      <c r="AZ183" s="8"/>
      <c r="BA183" s="8"/>
      <c r="BB183" s="8"/>
      <c r="BC183" s="8"/>
      <c r="BD183" s="8"/>
      <c r="BE183" s="8"/>
      <c r="BF183" s="1266"/>
      <c r="BG183" s="300" t="s">
        <v>877</v>
      </c>
      <c r="BH183" t="s">
        <v>533</v>
      </c>
      <c r="BI183" s="8"/>
      <c r="BJ183" s="8"/>
      <c r="BK183" s="8"/>
      <c r="BL183" s="8"/>
      <c r="BT183" s="300" t="s">
        <v>877</v>
      </c>
      <c r="BV183" s="8"/>
      <c r="BW183" s="8"/>
      <c r="BX183" s="8"/>
      <c r="BY183" s="8"/>
      <c r="BZ183" s="8"/>
      <c r="CA183" s="8"/>
      <c r="CB183" s="8"/>
      <c r="CC183" s="1266"/>
      <c r="CD183" s="300" t="s">
        <v>877</v>
      </c>
      <c r="CE183" t="s">
        <v>533</v>
      </c>
      <c r="CF183" s="8" t="s">
        <v>533</v>
      </c>
      <c r="CG183" s="8"/>
      <c r="CH183" s="8"/>
      <c r="CI183" s="8"/>
      <c r="CJ183" s="8"/>
      <c r="CK183" s="8"/>
      <c r="CL183" s="8"/>
      <c r="CM183" s="1266"/>
      <c r="CN183" s="300" t="s">
        <v>877</v>
      </c>
      <c r="CP183" s="8"/>
      <c r="CQ183" s="8"/>
      <c r="CR183" s="8"/>
      <c r="CS183" s="8"/>
      <c r="CT183" s="8"/>
      <c r="CU183" s="8"/>
      <c r="CV183" s="8"/>
      <c r="CW183" s="1266"/>
      <c r="CX183" s="300" t="s">
        <v>877</v>
      </c>
      <c r="CY183" t="s">
        <v>534</v>
      </c>
      <c r="CZ183" s="8"/>
      <c r="DA183" s="8"/>
      <c r="DB183" s="8"/>
      <c r="DC183" s="8"/>
      <c r="DD183" s="8"/>
      <c r="DE183" s="8"/>
      <c r="DF183" s="8"/>
      <c r="DG183" s="1266"/>
      <c r="DH183" s="300" t="s">
        <v>877</v>
      </c>
      <c r="DJ183" s="8"/>
      <c r="DK183" s="8"/>
      <c r="DL183" s="8"/>
      <c r="DM183" s="8"/>
      <c r="DN183" s="8"/>
      <c r="DO183" s="8"/>
      <c r="DP183" s="8"/>
      <c r="DQ183" s="1266"/>
      <c r="DR183" s="300" t="s">
        <v>877</v>
      </c>
      <c r="DT183" s="8"/>
      <c r="DU183" s="8"/>
      <c r="DV183" s="8"/>
      <c r="DW183" s="8"/>
      <c r="EB183" s="300" t="s">
        <v>877</v>
      </c>
      <c r="ED183" s="8"/>
      <c r="EE183" s="8"/>
      <c r="EF183" s="8"/>
      <c r="EG183" s="8"/>
      <c r="EH183" s="8"/>
      <c r="EI183" s="8"/>
      <c r="EJ183" s="8"/>
      <c r="EK183" s="1266"/>
      <c r="EL183" s="300" t="s">
        <v>877</v>
      </c>
      <c r="EM183" t="s">
        <v>533</v>
      </c>
      <c r="EN183" s="8" t="s">
        <v>533</v>
      </c>
      <c r="EO183" s="8" t="s">
        <v>139</v>
      </c>
      <c r="EP183" s="8"/>
      <c r="EQ183" s="8"/>
      <c r="ER183" s="8"/>
      <c r="ES183" s="8"/>
      <c r="ET183" s="8"/>
      <c r="EU183" s="1266"/>
      <c r="EV183" s="300" t="s">
        <v>877</v>
      </c>
      <c r="EW183" t="s">
        <v>533</v>
      </c>
      <c r="EX183" s="8" t="s">
        <v>533</v>
      </c>
      <c r="EY183" s="8" t="s">
        <v>533</v>
      </c>
      <c r="EZ183" s="8" t="s">
        <v>2229</v>
      </c>
      <c r="FA183" s="8" t="s">
        <v>992</v>
      </c>
      <c r="FB183" s="8"/>
      <c r="FC183" s="8"/>
      <c r="FD183" s="8"/>
      <c r="FE183" s="1266"/>
      <c r="FF183" s="300" t="s">
        <v>877</v>
      </c>
      <c r="FG183" t="s">
        <v>534</v>
      </c>
      <c r="FH183" s="8"/>
      <c r="FI183" s="8"/>
      <c r="FJ183" s="8"/>
      <c r="FK183" s="8"/>
      <c r="FL183" s="8"/>
      <c r="FM183" s="8"/>
      <c r="FN183" s="8"/>
      <c r="FO183" s="1266"/>
      <c r="FP183" s="300" t="s">
        <v>877</v>
      </c>
      <c r="FQ183" t="s">
        <v>533</v>
      </c>
      <c r="FR183" s="8" t="s">
        <v>533</v>
      </c>
      <c r="FS183" s="8" t="s">
        <v>540</v>
      </c>
      <c r="FT183" s="8"/>
      <c r="FU183" s="8"/>
      <c r="FV183" s="8"/>
      <c r="FW183" s="8"/>
      <c r="FX183" s="8"/>
      <c r="FY183" s="8"/>
      <c r="FZ183" s="1266"/>
      <c r="GA183" s="300" t="s">
        <v>877</v>
      </c>
      <c r="GC183" s="8"/>
      <c r="GD183" s="8"/>
      <c r="GE183" s="8"/>
      <c r="GF183" s="8"/>
      <c r="GK183" s="300" t="s">
        <v>877</v>
      </c>
      <c r="GL183" t="s">
        <v>535</v>
      </c>
      <c r="GM183" s="8" t="s">
        <v>533</v>
      </c>
      <c r="GN183" s="8" t="s">
        <v>533</v>
      </c>
      <c r="GO183" s="8"/>
      <c r="GP183" s="8"/>
      <c r="GQ183" s="8"/>
      <c r="GR183" s="8"/>
      <c r="GS183" s="8"/>
      <c r="GT183" s="1266"/>
      <c r="GU183" s="300" t="s">
        <v>877</v>
      </c>
      <c r="GV183" t="s">
        <v>534</v>
      </c>
      <c r="GW183" s="8"/>
      <c r="GX183" s="8"/>
      <c r="GY183" s="8"/>
      <c r="GZ183" s="8"/>
      <c r="HA183" s="8"/>
      <c r="HB183" s="8"/>
      <c r="HC183" s="8"/>
      <c r="HD183" s="1266"/>
      <c r="HE183" s="300" t="s">
        <v>877</v>
      </c>
      <c r="HG183" s="8"/>
      <c r="HH183" s="8"/>
      <c r="HI183" s="8"/>
      <c r="HJ183" s="8"/>
      <c r="HK183" s="8"/>
      <c r="HL183" s="8"/>
      <c r="HM183" s="8"/>
      <c r="HN183" s="1266"/>
      <c r="HO183" s="300" t="s">
        <v>877</v>
      </c>
      <c r="HQ183" s="8"/>
      <c r="HR183" s="8"/>
      <c r="HS183" s="8"/>
      <c r="HT183" s="8"/>
      <c r="HU183" s="8"/>
      <c r="HV183" s="8"/>
      <c r="HW183" s="8"/>
      <c r="HX183" s="8"/>
      <c r="HY183" s="1266"/>
      <c r="HZ183" s="300"/>
      <c r="IB183" s="8"/>
      <c r="IC183" s="8"/>
      <c r="ID183" s="8"/>
      <c r="IE183" s="8"/>
      <c r="IF183" s="8"/>
      <c r="IG183" s="8"/>
      <c r="IH183" s="8"/>
      <c r="II183" s="1266"/>
      <c r="IJ183" s="300"/>
      <c r="IL183" s="8"/>
      <c r="IM183" s="8"/>
      <c r="IN183" s="8"/>
      <c r="IO183" s="8"/>
    </row>
    <row r="184" spans="3:257" x14ac:dyDescent="0.3">
      <c r="C184" t="s">
        <v>2364</v>
      </c>
      <c r="D184" s="300" t="s">
        <v>877</v>
      </c>
      <c r="E184" t="s">
        <v>681</v>
      </c>
      <c r="F184" s="8" t="s">
        <v>993</v>
      </c>
      <c r="G184" s="8" t="s">
        <v>993</v>
      </c>
      <c r="H184" s="8" t="s">
        <v>993</v>
      </c>
      <c r="I184" s="8"/>
      <c r="J184" s="8"/>
      <c r="K184" s="8"/>
      <c r="L184" s="8" t="s">
        <v>991</v>
      </c>
      <c r="M184" s="8">
        <v>8</v>
      </c>
      <c r="N184" s="300" t="s">
        <v>877</v>
      </c>
      <c r="P184" s="8"/>
      <c r="Q184" s="8"/>
      <c r="R184" s="8"/>
      <c r="S184" s="8"/>
      <c r="T184" s="8"/>
      <c r="U184" s="8"/>
      <c r="V184" s="8"/>
      <c r="W184" s="1266"/>
      <c r="X184" s="300" t="s">
        <v>877</v>
      </c>
      <c r="Y184" t="s">
        <v>681</v>
      </c>
      <c r="Z184" s="8" t="s">
        <v>993</v>
      </c>
      <c r="AA184" s="8" t="s">
        <v>990</v>
      </c>
      <c r="AB184" s="8"/>
      <c r="AC184" s="8"/>
      <c r="AD184" s="8"/>
      <c r="AE184" s="8"/>
      <c r="AF184" s="8" t="s">
        <v>991</v>
      </c>
      <c r="AG184" s="1266">
        <v>29</v>
      </c>
      <c r="AH184" s="300" t="s">
        <v>877</v>
      </c>
      <c r="AI184" t="s">
        <v>681</v>
      </c>
      <c r="AJ184" s="8" t="s">
        <v>993</v>
      </c>
      <c r="AK184" s="8" t="s">
        <v>990</v>
      </c>
      <c r="AL184" s="8"/>
      <c r="AM184" s="8"/>
      <c r="AN184" s="8"/>
      <c r="AO184" s="8"/>
      <c r="AP184" s="8"/>
      <c r="AQ184" s="8"/>
      <c r="AR184" s="8" t="s">
        <v>991</v>
      </c>
      <c r="AS184" s="1266">
        <v>20</v>
      </c>
      <c r="AT184" s="300" t="s">
        <v>877</v>
      </c>
      <c r="AU184" t="s">
        <v>681</v>
      </c>
      <c r="AV184" s="8" t="s">
        <v>993</v>
      </c>
      <c r="AW184" s="8" t="s">
        <v>993</v>
      </c>
      <c r="AX184" s="8" t="s">
        <v>993</v>
      </c>
      <c r="AY184" s="8" t="s">
        <v>990</v>
      </c>
      <c r="AZ184" s="8"/>
      <c r="BA184" s="8"/>
      <c r="BB184" s="8"/>
      <c r="BC184" s="8"/>
      <c r="BD184" s="8"/>
      <c r="BE184" s="8" t="s">
        <v>991</v>
      </c>
      <c r="BF184" s="1266">
        <v>20</v>
      </c>
      <c r="BG184" s="300" t="s">
        <v>877</v>
      </c>
      <c r="BI184" s="8"/>
      <c r="BJ184" s="8"/>
      <c r="BK184" s="8"/>
      <c r="BL184" s="8"/>
      <c r="BT184" s="300" t="s">
        <v>877</v>
      </c>
      <c r="BV184" s="8"/>
      <c r="BW184" s="8"/>
      <c r="BX184" s="8"/>
      <c r="BY184" s="8"/>
      <c r="BZ184" s="8"/>
      <c r="CA184" s="8"/>
      <c r="CB184" s="8"/>
      <c r="CC184" s="1266"/>
      <c r="CD184" s="300" t="s">
        <v>877</v>
      </c>
      <c r="CE184" t="s">
        <v>681</v>
      </c>
      <c r="CF184" s="8" t="s">
        <v>993</v>
      </c>
      <c r="CG184" s="8" t="s">
        <v>993</v>
      </c>
      <c r="CH184" s="8" t="s">
        <v>993</v>
      </c>
      <c r="CI184" s="8" t="s">
        <v>993</v>
      </c>
      <c r="CJ184" s="8"/>
      <c r="CK184" s="8"/>
      <c r="CL184" s="8" t="s">
        <v>991</v>
      </c>
      <c r="CM184" s="1266">
        <v>14</v>
      </c>
      <c r="CN184" s="300" t="s">
        <v>877</v>
      </c>
      <c r="CO184" t="s">
        <v>681</v>
      </c>
      <c r="CP184" s="8" t="s">
        <v>993</v>
      </c>
      <c r="CQ184" s="8" t="s">
        <v>993</v>
      </c>
      <c r="CR184" s="8" t="s">
        <v>993</v>
      </c>
      <c r="CS184" s="8" t="s">
        <v>993</v>
      </c>
      <c r="CT184" s="8" t="s">
        <v>993</v>
      </c>
      <c r="CU184" s="8"/>
      <c r="CV184" s="8" t="s">
        <v>991</v>
      </c>
      <c r="CW184" s="1266">
        <v>16</v>
      </c>
      <c r="CX184" s="300" t="s">
        <v>877</v>
      </c>
      <c r="CY184" s="8" t="s">
        <v>681</v>
      </c>
      <c r="CZ184" s="8" t="s">
        <v>993</v>
      </c>
      <c r="DA184" s="8" t="s">
        <v>993</v>
      </c>
      <c r="DB184" s="8" t="s">
        <v>993</v>
      </c>
      <c r="DC184" s="8" t="s">
        <v>993</v>
      </c>
      <c r="DD184" s="8" t="s">
        <v>990</v>
      </c>
      <c r="DE184" s="8"/>
      <c r="DF184" s="8" t="s">
        <v>991</v>
      </c>
      <c r="DG184" s="1266">
        <v>26</v>
      </c>
      <c r="DH184" s="300" t="s">
        <v>877</v>
      </c>
      <c r="DJ184" s="8"/>
      <c r="DK184" s="8"/>
      <c r="DL184" s="8"/>
      <c r="DM184" s="8"/>
      <c r="DN184" s="8"/>
      <c r="DO184" s="8"/>
      <c r="DP184" s="8"/>
      <c r="DQ184" s="1266"/>
      <c r="DR184" s="300" t="s">
        <v>877</v>
      </c>
      <c r="DS184" t="s">
        <v>681</v>
      </c>
      <c r="DT184" s="8" t="s">
        <v>993</v>
      </c>
      <c r="DU184" s="8" t="s">
        <v>993</v>
      </c>
      <c r="DV184" s="8" t="s">
        <v>993</v>
      </c>
      <c r="DW184" s="8" t="s">
        <v>993</v>
      </c>
      <c r="DX184" s="8" t="s">
        <v>993</v>
      </c>
      <c r="DY184" s="8" t="s">
        <v>993</v>
      </c>
      <c r="DZ184" t="s">
        <v>991</v>
      </c>
      <c r="EA184">
        <v>17</v>
      </c>
      <c r="EB184" s="300" t="s">
        <v>877</v>
      </c>
      <c r="EC184" t="s">
        <v>681</v>
      </c>
      <c r="ED184" s="8" t="s">
        <v>993</v>
      </c>
      <c r="EE184" s="8" t="s">
        <v>993</v>
      </c>
      <c r="EF184" s="8" t="s">
        <v>993</v>
      </c>
      <c r="EG184" s="8" t="s">
        <v>993</v>
      </c>
      <c r="EH184" s="8"/>
      <c r="EI184" s="8"/>
      <c r="EJ184" s="8" t="s">
        <v>991</v>
      </c>
      <c r="EK184" s="1266">
        <v>14</v>
      </c>
      <c r="EL184" s="300" t="s">
        <v>877</v>
      </c>
      <c r="EM184" t="s">
        <v>681</v>
      </c>
      <c r="EN184" s="8" t="s">
        <v>993</v>
      </c>
      <c r="EO184" s="8" t="s">
        <v>993</v>
      </c>
      <c r="EP184" s="8" t="s">
        <v>993</v>
      </c>
      <c r="EQ184" s="8" t="s">
        <v>993</v>
      </c>
      <c r="ER184" s="8" t="s">
        <v>990</v>
      </c>
      <c r="ES184" s="8"/>
      <c r="ET184" s="8" t="s">
        <v>991</v>
      </c>
      <c r="EU184" s="1266">
        <v>21</v>
      </c>
      <c r="EV184" s="300" t="s">
        <v>877</v>
      </c>
      <c r="EW184" t="s">
        <v>681</v>
      </c>
      <c r="EX184" s="8" t="s">
        <v>993</v>
      </c>
      <c r="EY184" s="8" t="s">
        <v>990</v>
      </c>
      <c r="EZ184" s="8"/>
      <c r="FA184" s="8"/>
      <c r="FB184" s="8"/>
      <c r="FC184" s="8"/>
      <c r="FD184" s="8" t="s">
        <v>991</v>
      </c>
      <c r="FE184" s="1266">
        <v>19</v>
      </c>
      <c r="FF184" s="300" t="s">
        <v>877</v>
      </c>
      <c r="FH184" s="8"/>
      <c r="FI184" s="8"/>
      <c r="FJ184" s="8"/>
      <c r="FK184" s="8"/>
      <c r="FL184" s="8"/>
      <c r="FM184" s="8"/>
      <c r="FN184" s="8"/>
      <c r="FO184" s="1266"/>
      <c r="FP184" s="300" t="s">
        <v>877</v>
      </c>
      <c r="FQ184" t="s">
        <v>681</v>
      </c>
      <c r="FR184" s="8" t="s">
        <v>993</v>
      </c>
      <c r="FS184" s="8" t="s">
        <v>993</v>
      </c>
      <c r="FT184" s="8" t="s">
        <v>993</v>
      </c>
      <c r="FU184" s="8" t="s">
        <v>993</v>
      </c>
      <c r="FV184" s="8" t="s">
        <v>993</v>
      </c>
      <c r="FW184" s="8" t="s">
        <v>993</v>
      </c>
      <c r="FX184" s="8" t="s">
        <v>993</v>
      </c>
      <c r="FY184" s="8" t="s">
        <v>991</v>
      </c>
      <c r="FZ184" s="1266">
        <v>27</v>
      </c>
      <c r="GA184" s="300" t="s">
        <v>877</v>
      </c>
      <c r="GC184" s="8"/>
      <c r="GD184" s="8"/>
      <c r="GE184" s="8"/>
      <c r="GF184" s="8"/>
      <c r="GK184" s="300" t="s">
        <v>877</v>
      </c>
      <c r="GL184" t="s">
        <v>681</v>
      </c>
      <c r="GM184" s="8" t="s">
        <v>993</v>
      </c>
      <c r="GN184" s="8" t="s">
        <v>993</v>
      </c>
      <c r="GO184" s="8" t="s">
        <v>990</v>
      </c>
      <c r="GP184" s="8"/>
      <c r="GQ184" s="8"/>
      <c r="GR184" s="8"/>
      <c r="GS184" s="8" t="s">
        <v>991</v>
      </c>
      <c r="GT184" s="1266">
        <v>15</v>
      </c>
      <c r="GU184" s="300" t="s">
        <v>877</v>
      </c>
      <c r="GV184" t="s">
        <v>681</v>
      </c>
      <c r="GW184" s="8" t="s">
        <v>993</v>
      </c>
      <c r="GX184" s="8" t="s">
        <v>993</v>
      </c>
      <c r="GY184" s="8" t="s">
        <v>993</v>
      </c>
      <c r="GZ184" s="8" t="s">
        <v>990</v>
      </c>
      <c r="HA184" s="8"/>
      <c r="HB184" s="8"/>
      <c r="HC184" s="8" t="s">
        <v>991</v>
      </c>
      <c r="HD184" s="1266">
        <v>19</v>
      </c>
      <c r="HE184" s="300" t="s">
        <v>877</v>
      </c>
      <c r="HG184" s="8"/>
      <c r="HH184" s="8"/>
      <c r="HI184" s="8"/>
      <c r="HJ184" s="8"/>
      <c r="HK184" s="8"/>
      <c r="HL184" s="8"/>
      <c r="HM184" s="8"/>
      <c r="HN184" s="1266"/>
      <c r="HO184" s="300" t="s">
        <v>877</v>
      </c>
      <c r="HQ184" s="8"/>
      <c r="HR184" s="8"/>
      <c r="HS184" s="8"/>
      <c r="HT184" s="8"/>
      <c r="HU184" s="8"/>
      <c r="HV184" s="8"/>
      <c r="HW184" s="8"/>
      <c r="HX184" s="8"/>
      <c r="HY184" s="1266"/>
      <c r="HZ184" s="300"/>
      <c r="IB184" s="8"/>
      <c r="IC184" s="8"/>
      <c r="ID184" s="8"/>
      <c r="IE184" s="8"/>
      <c r="IF184" s="8"/>
      <c r="IG184" s="8"/>
      <c r="IH184" s="8"/>
      <c r="II184" s="1266"/>
      <c r="IJ184" s="300"/>
      <c r="IL184" s="8"/>
      <c r="IM184" s="8"/>
      <c r="IN184" s="8"/>
      <c r="IO184" s="8"/>
    </row>
    <row r="185" spans="3:257" x14ac:dyDescent="0.3">
      <c r="C185" t="s">
        <v>2716</v>
      </c>
      <c r="D185" s="300" t="s">
        <v>877</v>
      </c>
      <c r="E185" t="s">
        <v>534</v>
      </c>
      <c r="F185" s="8"/>
      <c r="G185" s="8"/>
      <c r="H185" s="8"/>
      <c r="I185" s="8"/>
      <c r="J185" s="8"/>
      <c r="K185" s="8"/>
      <c r="L185" s="8"/>
      <c r="M185" s="8"/>
      <c r="N185" s="300" t="s">
        <v>877</v>
      </c>
      <c r="P185" s="8"/>
      <c r="Q185" s="8"/>
      <c r="R185" s="8"/>
      <c r="S185" s="8"/>
      <c r="T185" s="8"/>
      <c r="U185" s="8"/>
      <c r="V185" s="8"/>
      <c r="W185" s="1266"/>
      <c r="X185" s="300"/>
      <c r="Z185" s="8"/>
      <c r="AA185" s="8"/>
      <c r="AB185" s="8"/>
      <c r="AC185" s="8"/>
      <c r="AD185" s="8"/>
      <c r="AE185" s="8"/>
      <c r="AF185" s="8"/>
      <c r="AG185" s="1266"/>
      <c r="AH185" s="300" t="s">
        <v>877</v>
      </c>
      <c r="AJ185" s="8"/>
      <c r="AK185" s="8"/>
      <c r="AL185" s="8"/>
      <c r="AM185" s="8"/>
      <c r="AN185" s="8"/>
      <c r="AO185" s="8"/>
      <c r="AP185" s="8"/>
      <c r="AQ185" s="8"/>
      <c r="AR185" s="8"/>
      <c r="AS185" s="1266"/>
      <c r="AT185" s="300" t="s">
        <v>877</v>
      </c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1266"/>
      <c r="BG185" s="300" t="s">
        <v>877</v>
      </c>
      <c r="BI185" s="8"/>
      <c r="BJ185" s="8"/>
      <c r="BK185" s="8"/>
      <c r="BL185" s="8"/>
      <c r="BT185" s="300" t="s">
        <v>877</v>
      </c>
      <c r="BV185" s="8"/>
      <c r="BW185" s="8"/>
      <c r="BX185" s="8"/>
      <c r="BY185" s="8"/>
      <c r="BZ185" s="8"/>
      <c r="CA185" s="8"/>
      <c r="CB185" s="8"/>
      <c r="CC185" s="1266"/>
      <c r="CD185" s="300" t="s">
        <v>877</v>
      </c>
      <c r="CF185" s="8"/>
      <c r="CG185" s="8"/>
      <c r="CH185" s="8"/>
      <c r="CI185" s="8"/>
      <c r="CJ185" s="8"/>
      <c r="CK185" s="8"/>
      <c r="CL185" s="8"/>
      <c r="CM185" s="1266"/>
      <c r="CN185" s="300" t="s">
        <v>877</v>
      </c>
      <c r="CP185" s="8"/>
      <c r="CQ185" s="8"/>
      <c r="CR185" s="8"/>
      <c r="CS185" s="8"/>
      <c r="CT185" s="8"/>
      <c r="CU185" s="8"/>
      <c r="CV185" s="8"/>
      <c r="CW185" s="1266"/>
      <c r="CX185" s="300"/>
      <c r="CZ185" s="8"/>
      <c r="DA185" s="8"/>
      <c r="DB185" s="8"/>
      <c r="DC185" s="8"/>
      <c r="DD185" s="8"/>
      <c r="DE185" s="8"/>
      <c r="DF185" s="8"/>
      <c r="DG185" s="1266"/>
      <c r="DH185" s="300"/>
      <c r="DJ185" s="8"/>
      <c r="DK185" s="8"/>
      <c r="DL185" s="8"/>
      <c r="DM185" s="8"/>
      <c r="DN185" s="8"/>
      <c r="DO185" s="8"/>
      <c r="DP185" s="8"/>
      <c r="DQ185" s="1266"/>
      <c r="DR185" s="300" t="s">
        <v>877</v>
      </c>
      <c r="DS185" t="s">
        <v>534</v>
      </c>
      <c r="DT185" s="8" t="s">
        <v>669</v>
      </c>
      <c r="DU185" s="8"/>
      <c r="DV185" s="8"/>
      <c r="DW185" s="8"/>
      <c r="EB185" s="300" t="s">
        <v>877</v>
      </c>
      <c r="EC185" t="s">
        <v>535</v>
      </c>
      <c r="ED185" s="8" t="s">
        <v>535</v>
      </c>
      <c r="EE185" s="8" t="s">
        <v>534</v>
      </c>
      <c r="EF185" s="8"/>
      <c r="EG185" s="8"/>
      <c r="EH185" s="8"/>
      <c r="EI185" s="8"/>
      <c r="EJ185" s="8"/>
      <c r="EK185" s="1266"/>
      <c r="EL185" s="300" t="s">
        <v>877</v>
      </c>
      <c r="EM185" t="s">
        <v>535</v>
      </c>
      <c r="EN185" s="8" t="s">
        <v>534</v>
      </c>
      <c r="EO185" s="8"/>
      <c r="EP185" s="8"/>
      <c r="EQ185" s="8"/>
      <c r="ER185" s="8"/>
      <c r="ES185" s="8"/>
      <c r="ET185" s="8"/>
      <c r="EU185" s="1266"/>
      <c r="EV185" s="300" t="s">
        <v>877</v>
      </c>
      <c r="EX185" s="8"/>
      <c r="EY185" s="8"/>
      <c r="EZ185" s="8"/>
      <c r="FA185" s="8"/>
      <c r="FB185" s="8"/>
      <c r="FC185" s="8"/>
      <c r="FD185" s="8"/>
      <c r="FE185" s="1266"/>
      <c r="FF185" s="300" t="s">
        <v>877</v>
      </c>
      <c r="FH185" s="8"/>
      <c r="FI185" s="8"/>
      <c r="FJ185" s="8"/>
      <c r="FK185" s="8"/>
      <c r="FL185" s="8"/>
      <c r="FM185" s="8"/>
      <c r="FN185" s="8"/>
      <c r="FO185" s="1266"/>
      <c r="FP185" s="300" t="s">
        <v>877</v>
      </c>
      <c r="FQ185" t="s">
        <v>533</v>
      </c>
      <c r="FR185" s="8" t="s">
        <v>533</v>
      </c>
      <c r="FS185" s="8"/>
      <c r="FT185" s="8"/>
      <c r="FU185" s="8"/>
      <c r="FV185" s="8"/>
      <c r="FW185" s="8"/>
      <c r="FX185" s="8"/>
      <c r="FY185" s="8"/>
      <c r="FZ185" s="1266"/>
      <c r="GA185" s="300" t="s">
        <v>877</v>
      </c>
      <c r="GC185" s="8"/>
      <c r="GD185" s="8"/>
      <c r="GE185" s="8"/>
      <c r="GF185" s="8"/>
      <c r="GK185" s="300" t="s">
        <v>877</v>
      </c>
      <c r="GL185" t="s">
        <v>534</v>
      </c>
      <c r="GM185" s="8"/>
      <c r="GN185" s="8"/>
      <c r="GO185" s="8"/>
      <c r="GP185" s="8"/>
      <c r="GQ185" s="8"/>
      <c r="GR185" s="8"/>
      <c r="GS185" s="8"/>
      <c r="GT185" s="1266"/>
      <c r="GU185" s="300" t="s">
        <v>877</v>
      </c>
      <c r="GW185" s="8"/>
      <c r="GX185" s="8"/>
      <c r="GY185" s="8"/>
      <c r="GZ185" s="8"/>
      <c r="HA185" s="8"/>
      <c r="HB185" s="8"/>
      <c r="HC185" s="8"/>
      <c r="HD185" s="1266"/>
      <c r="HE185" s="300" t="s">
        <v>877</v>
      </c>
      <c r="HG185" s="8"/>
      <c r="HH185" s="8"/>
      <c r="HI185" s="8"/>
      <c r="HJ185" s="8"/>
      <c r="HK185" s="8"/>
      <c r="HL185" s="8"/>
      <c r="HM185" s="8"/>
      <c r="HN185" s="1266"/>
      <c r="HO185" s="300" t="s">
        <v>877</v>
      </c>
      <c r="HP185" t="s">
        <v>535</v>
      </c>
      <c r="HQ185" s="8"/>
      <c r="HR185" s="8"/>
      <c r="HS185" s="8"/>
      <c r="HT185" s="8"/>
      <c r="HU185" s="8"/>
      <c r="HV185" s="8"/>
      <c r="HW185" s="8"/>
      <c r="HX185" s="8"/>
      <c r="HY185" s="1266"/>
      <c r="HZ185" s="300"/>
      <c r="IB185" s="8"/>
      <c r="IC185" s="8"/>
      <c r="ID185" s="8"/>
      <c r="IE185" s="8"/>
      <c r="IF185" s="8"/>
      <c r="IG185" s="8"/>
      <c r="IH185" s="8"/>
      <c r="II185" s="1266"/>
      <c r="IJ185" s="300"/>
      <c r="IL185" s="8"/>
      <c r="IM185" s="8"/>
      <c r="IN185" s="8"/>
      <c r="IO185" s="8"/>
    </row>
    <row r="186" spans="3:257" x14ac:dyDescent="0.3">
      <c r="C186" t="s">
        <v>1800</v>
      </c>
      <c r="D186" s="300"/>
      <c r="F186" s="8"/>
      <c r="G186" s="8"/>
      <c r="H186" s="8"/>
      <c r="I186" s="8"/>
      <c r="J186" s="8"/>
      <c r="K186" s="8"/>
      <c r="L186" s="8"/>
      <c r="M186" s="8"/>
      <c r="N186" s="300"/>
      <c r="P186" s="8"/>
      <c r="Q186" s="8"/>
      <c r="R186" s="8"/>
      <c r="S186" s="8"/>
      <c r="T186" s="8"/>
      <c r="U186" s="8"/>
      <c r="V186" s="8"/>
      <c r="W186" s="1266"/>
      <c r="X186" s="300"/>
      <c r="Z186" s="8"/>
      <c r="AA186" s="8"/>
      <c r="AB186" s="8"/>
      <c r="AC186" s="8"/>
      <c r="AD186" s="8"/>
      <c r="AE186" s="8"/>
      <c r="AF186" s="8"/>
      <c r="AG186" s="1266"/>
      <c r="AH186" s="300"/>
      <c r="AJ186" s="8"/>
      <c r="AK186" s="8"/>
      <c r="AL186" s="8"/>
      <c r="AM186" s="8"/>
      <c r="AN186" s="8"/>
      <c r="AO186" s="8"/>
      <c r="AP186" s="8"/>
      <c r="AQ186" s="8"/>
      <c r="AR186" s="8"/>
      <c r="AS186" s="1266"/>
      <c r="AT186" s="300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1266"/>
      <c r="BG186" s="300"/>
      <c r="BI186" s="8"/>
      <c r="BJ186" s="8"/>
      <c r="BK186" s="8"/>
      <c r="BL186" s="8"/>
      <c r="BT186" s="300"/>
      <c r="BV186" s="8"/>
      <c r="BW186" s="8"/>
      <c r="BX186" s="8"/>
      <c r="BY186" s="8"/>
      <c r="BZ186" s="8"/>
      <c r="CA186" s="8"/>
      <c r="CB186" s="8"/>
      <c r="CC186" s="1266"/>
      <c r="CD186" s="300"/>
      <c r="CF186" s="8"/>
      <c r="CG186" s="8"/>
      <c r="CH186" s="8"/>
      <c r="CI186" s="8"/>
      <c r="CJ186" s="8"/>
      <c r="CK186" s="8"/>
      <c r="CL186" s="8"/>
      <c r="CM186" s="1266"/>
      <c r="CN186" s="300"/>
      <c r="CP186" s="8"/>
      <c r="CQ186" s="8"/>
      <c r="CR186" s="8"/>
      <c r="CS186" s="8"/>
      <c r="CT186" s="8"/>
      <c r="CU186" s="8"/>
      <c r="CV186" s="8"/>
      <c r="CW186" s="1266"/>
      <c r="CX186" s="300"/>
      <c r="CZ186" s="8"/>
      <c r="DA186" s="8"/>
      <c r="DB186" s="8"/>
      <c r="DC186" s="8"/>
      <c r="DD186" s="8"/>
      <c r="DE186" s="8"/>
      <c r="DF186" s="8"/>
      <c r="DG186" s="1266"/>
      <c r="DH186" s="300"/>
      <c r="DJ186" s="8"/>
      <c r="DK186" s="8"/>
      <c r="DL186" s="8"/>
      <c r="DM186" s="8"/>
      <c r="DN186" s="8"/>
      <c r="DO186" s="8"/>
      <c r="DP186" s="8"/>
      <c r="DQ186" s="1266"/>
      <c r="DR186" s="300"/>
      <c r="DT186" s="8"/>
      <c r="DU186" s="8"/>
      <c r="DV186" s="8"/>
      <c r="DW186" s="8"/>
      <c r="EB186" s="300"/>
      <c r="ED186" s="8"/>
      <c r="EE186" s="8"/>
      <c r="EF186" s="8"/>
      <c r="EG186" s="8"/>
      <c r="EH186" s="8"/>
      <c r="EI186" s="8"/>
      <c r="EJ186" s="8"/>
      <c r="EK186" s="1266"/>
      <c r="EL186" s="300"/>
      <c r="EN186" s="8"/>
      <c r="EO186" s="8"/>
      <c r="EP186" s="8"/>
      <c r="EQ186" s="8"/>
      <c r="ER186" s="8"/>
      <c r="ES186" s="8"/>
      <c r="ET186" s="8"/>
      <c r="EU186" s="1266"/>
      <c r="EV186" s="300" t="s">
        <v>877</v>
      </c>
      <c r="EW186" t="s">
        <v>534</v>
      </c>
      <c r="EX186" s="8"/>
      <c r="EY186" s="8"/>
      <c r="EZ186" s="8"/>
      <c r="FA186" s="8"/>
      <c r="FB186" s="8"/>
      <c r="FC186" s="8"/>
      <c r="FD186" s="8"/>
      <c r="FE186" s="1266"/>
      <c r="FF186" s="300" t="s">
        <v>877</v>
      </c>
      <c r="FG186" t="s">
        <v>533</v>
      </c>
      <c r="FH186" s="8" t="s">
        <v>540</v>
      </c>
      <c r="FI186" s="8" t="s">
        <v>2229</v>
      </c>
      <c r="FJ186" s="8"/>
      <c r="FK186" s="8"/>
      <c r="FL186" s="8"/>
      <c r="FM186" s="8"/>
      <c r="FN186" s="8"/>
      <c r="FO186" s="1266"/>
      <c r="FP186" s="300" t="s">
        <v>877</v>
      </c>
      <c r="FQ186" t="s">
        <v>535</v>
      </c>
      <c r="FR186" s="8"/>
      <c r="FS186" s="8"/>
      <c r="FT186" s="8"/>
      <c r="FU186" s="8"/>
      <c r="FV186" s="8"/>
      <c r="FW186" s="8"/>
      <c r="FX186" s="8"/>
      <c r="FY186" s="8"/>
      <c r="FZ186" s="1266"/>
      <c r="GA186" s="300" t="s">
        <v>877</v>
      </c>
      <c r="GC186" s="8"/>
      <c r="GD186" s="8"/>
      <c r="GE186" s="8"/>
      <c r="GF186" s="8"/>
      <c r="GK186" s="300" t="s">
        <v>877</v>
      </c>
      <c r="GM186" s="8"/>
      <c r="GN186" s="8"/>
      <c r="GO186" s="8"/>
      <c r="GP186" s="8"/>
      <c r="GQ186" s="8"/>
      <c r="GR186" s="8"/>
      <c r="GS186" s="8"/>
      <c r="GT186" s="1266"/>
      <c r="GU186" s="300"/>
      <c r="GW186" s="8"/>
      <c r="GX186" s="8"/>
      <c r="GY186" s="8"/>
      <c r="GZ186" s="8"/>
      <c r="HA186" s="8"/>
      <c r="HB186" s="8"/>
      <c r="HC186" s="8"/>
      <c r="HD186" s="1266"/>
      <c r="HE186" s="300"/>
      <c r="HG186" s="8"/>
      <c r="HH186" s="8"/>
      <c r="HI186" s="8"/>
      <c r="HJ186" s="8"/>
      <c r="HK186" s="8"/>
      <c r="HL186" s="8"/>
      <c r="HM186" s="8"/>
      <c r="HN186" s="1266"/>
      <c r="HO186" s="300"/>
      <c r="HQ186" s="8"/>
      <c r="HR186" s="8"/>
      <c r="HS186" s="8"/>
      <c r="HT186" s="8"/>
      <c r="HU186" s="8"/>
      <c r="HV186" s="8"/>
      <c r="HW186" s="8"/>
      <c r="HX186" s="8"/>
      <c r="HY186" s="1266"/>
      <c r="HZ186" s="300"/>
      <c r="IB186" s="8"/>
      <c r="IC186" s="8"/>
      <c r="ID186" s="8"/>
      <c r="IE186" s="8"/>
      <c r="IF186" s="8"/>
      <c r="IG186" s="8"/>
      <c r="IH186" s="8"/>
      <c r="II186" s="1266"/>
      <c r="IJ186" s="300"/>
      <c r="IL186" s="8"/>
      <c r="IM186" s="8"/>
      <c r="IN186" s="8"/>
      <c r="IO186" s="8"/>
    </row>
    <row r="187" spans="3:257" x14ac:dyDescent="0.3">
      <c r="C187" t="s">
        <v>2361</v>
      </c>
      <c r="D187" s="300" t="s">
        <v>877</v>
      </c>
      <c r="F187" s="8"/>
      <c r="G187" s="8"/>
      <c r="H187" s="8"/>
      <c r="I187" s="8"/>
      <c r="J187" s="8"/>
      <c r="K187" s="8"/>
      <c r="L187" s="8"/>
      <c r="M187" s="8"/>
      <c r="N187" s="300" t="s">
        <v>877</v>
      </c>
      <c r="P187" s="8"/>
      <c r="Q187" s="8"/>
      <c r="R187" s="8"/>
      <c r="S187" s="8"/>
      <c r="T187" s="8"/>
      <c r="U187" s="8"/>
      <c r="V187" s="8"/>
      <c r="W187" s="1266"/>
      <c r="X187" s="300" t="s">
        <v>877</v>
      </c>
      <c r="Z187" s="8"/>
      <c r="AA187" s="8"/>
      <c r="AB187" s="8"/>
      <c r="AC187" s="8"/>
      <c r="AD187" s="8"/>
      <c r="AE187" s="8"/>
      <c r="AF187" s="8"/>
      <c r="AG187" s="1266"/>
      <c r="AH187" s="300" t="s">
        <v>877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1266"/>
      <c r="AT187" s="300" t="s">
        <v>877</v>
      </c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1266"/>
      <c r="BG187" s="300" t="s">
        <v>877</v>
      </c>
      <c r="BH187" t="s">
        <v>534</v>
      </c>
      <c r="BI187" s="8" t="s">
        <v>533</v>
      </c>
      <c r="BJ187" s="8"/>
      <c r="BK187" s="8"/>
      <c r="BL187" s="8"/>
      <c r="BT187" s="300" t="s">
        <v>877</v>
      </c>
      <c r="BV187" s="8"/>
      <c r="BW187" s="8"/>
      <c r="BX187" s="8"/>
      <c r="BY187" s="8"/>
      <c r="BZ187" s="8"/>
      <c r="CA187" s="8"/>
      <c r="CB187" s="8"/>
      <c r="CC187" s="1266"/>
      <c r="CD187" s="300" t="s">
        <v>877</v>
      </c>
      <c r="CF187" s="8"/>
      <c r="CG187" s="8"/>
      <c r="CH187" s="8"/>
      <c r="CI187" s="8"/>
      <c r="CJ187" s="8"/>
      <c r="CK187" s="8"/>
      <c r="CL187" s="8"/>
      <c r="CM187" s="1266"/>
      <c r="CN187" s="300" t="s">
        <v>877</v>
      </c>
      <c r="CP187" s="8"/>
      <c r="CQ187" s="8"/>
      <c r="CR187" s="8"/>
      <c r="CS187" s="8"/>
      <c r="CT187" s="8"/>
      <c r="CU187" s="8"/>
      <c r="CV187" s="8"/>
      <c r="CW187" s="1266"/>
      <c r="CX187" s="300" t="s">
        <v>877</v>
      </c>
      <c r="CZ187" s="8"/>
      <c r="DA187" s="8"/>
      <c r="DB187" s="8"/>
      <c r="DC187" s="8"/>
      <c r="DD187" s="8"/>
      <c r="DE187" s="8"/>
      <c r="DF187" s="8"/>
      <c r="DG187" s="1266"/>
      <c r="DH187" s="300" t="s">
        <v>877</v>
      </c>
      <c r="DJ187" s="8"/>
      <c r="DK187" s="8"/>
      <c r="DL187" s="8"/>
      <c r="DM187" s="8"/>
      <c r="DN187" s="8"/>
      <c r="DO187" s="8"/>
      <c r="DP187" s="8"/>
      <c r="DQ187" s="1266"/>
      <c r="DR187" s="300" t="s">
        <v>877</v>
      </c>
      <c r="DT187" s="8"/>
      <c r="DU187" s="8"/>
      <c r="DV187" s="8"/>
      <c r="DW187" s="8"/>
      <c r="EB187" s="300" t="s">
        <v>877</v>
      </c>
      <c r="ED187" s="8"/>
      <c r="EE187" s="8"/>
      <c r="EF187" s="8"/>
      <c r="EG187" s="8"/>
      <c r="EH187" s="8"/>
      <c r="EI187" s="8"/>
      <c r="EJ187" s="8"/>
      <c r="EK187" s="1266"/>
      <c r="EL187" s="300" t="s">
        <v>877</v>
      </c>
      <c r="EN187" s="8"/>
      <c r="EO187" s="8"/>
      <c r="EP187" s="8"/>
      <c r="EQ187" s="8"/>
      <c r="ER187" s="8"/>
      <c r="ES187" s="8"/>
      <c r="ET187" s="8"/>
      <c r="EU187" s="1266"/>
      <c r="EV187" s="300" t="s">
        <v>877</v>
      </c>
      <c r="EW187" t="s">
        <v>535</v>
      </c>
      <c r="EX187" s="8"/>
      <c r="EY187" s="8"/>
      <c r="EZ187" s="8"/>
      <c r="FA187" s="8"/>
      <c r="FB187" s="8"/>
      <c r="FC187" s="8"/>
      <c r="FD187" s="8"/>
      <c r="FE187" s="1266"/>
      <c r="FF187" s="300" t="s">
        <v>877</v>
      </c>
      <c r="FG187" t="s">
        <v>534</v>
      </c>
      <c r="FH187" s="8"/>
      <c r="FI187" s="8"/>
      <c r="FJ187" s="8"/>
      <c r="FK187" s="8"/>
      <c r="FL187" s="8"/>
      <c r="FM187" s="8"/>
      <c r="FN187" s="8"/>
      <c r="FO187" s="1266"/>
      <c r="FP187" s="300" t="s">
        <v>877</v>
      </c>
      <c r="FQ187" t="s">
        <v>534</v>
      </c>
      <c r="FR187" s="8"/>
      <c r="FS187" s="8"/>
      <c r="FT187" s="8"/>
      <c r="FU187" s="8"/>
      <c r="FV187" s="8"/>
      <c r="FW187" s="8"/>
      <c r="FX187" s="8"/>
      <c r="FY187" s="8"/>
      <c r="FZ187" s="1266"/>
      <c r="GA187" s="300" t="s">
        <v>877</v>
      </c>
      <c r="GC187" s="8"/>
      <c r="GD187" s="8"/>
      <c r="GE187" s="8"/>
      <c r="GF187" s="8"/>
      <c r="GK187" s="300" t="s">
        <v>877</v>
      </c>
      <c r="GM187" s="8"/>
      <c r="GN187" s="8"/>
      <c r="GO187" s="8"/>
      <c r="GP187" s="8"/>
      <c r="GQ187" s="8"/>
      <c r="GR187" s="8"/>
      <c r="GS187" s="8"/>
      <c r="GT187" s="1266"/>
      <c r="GU187" s="300" t="s">
        <v>877</v>
      </c>
      <c r="GW187" s="8"/>
      <c r="GX187" s="8"/>
      <c r="GY187" s="8"/>
      <c r="GZ187" s="8"/>
      <c r="HA187" s="8"/>
      <c r="HB187" s="8"/>
      <c r="HC187" s="8"/>
      <c r="HD187" s="1266"/>
      <c r="HE187" s="300" t="s">
        <v>877</v>
      </c>
      <c r="HG187" s="8"/>
      <c r="HH187" s="8"/>
      <c r="HI187" s="8"/>
      <c r="HJ187" s="8"/>
      <c r="HK187" s="8"/>
      <c r="HL187" s="8"/>
      <c r="HM187" s="8"/>
      <c r="HN187" s="1266"/>
      <c r="HO187" s="300" t="s">
        <v>877</v>
      </c>
      <c r="HP187" t="s">
        <v>535</v>
      </c>
      <c r="HQ187" s="8"/>
      <c r="HR187" s="8"/>
      <c r="HS187" s="8"/>
      <c r="HT187" s="8"/>
      <c r="HU187" s="8"/>
      <c r="HV187" s="8"/>
      <c r="HW187" s="8"/>
      <c r="HX187" s="8"/>
      <c r="HY187" s="1266"/>
      <c r="HZ187" s="300"/>
      <c r="IB187" s="8"/>
      <c r="IC187" s="8"/>
      <c r="ID187" s="8"/>
      <c r="IE187" s="8"/>
      <c r="IF187" s="8"/>
      <c r="IG187" s="8"/>
      <c r="IH187" s="8"/>
      <c r="II187" s="1266"/>
      <c r="IJ187" s="300"/>
      <c r="IL187" s="8"/>
      <c r="IM187" s="8"/>
      <c r="IN187" s="8"/>
      <c r="IO187" s="8"/>
    </row>
    <row r="188" spans="3:257" x14ac:dyDescent="0.3">
      <c r="C188" t="s">
        <v>2715</v>
      </c>
      <c r="D188" s="300" t="s">
        <v>877</v>
      </c>
      <c r="E188" t="s">
        <v>533</v>
      </c>
      <c r="F188" s="8"/>
      <c r="G188" s="8"/>
      <c r="H188" s="8"/>
      <c r="I188" s="8"/>
      <c r="J188" s="8"/>
      <c r="K188" s="8"/>
      <c r="L188" s="8"/>
      <c r="M188" s="8"/>
      <c r="N188" s="300" t="s">
        <v>877</v>
      </c>
      <c r="P188" s="8"/>
      <c r="Q188" s="8"/>
      <c r="R188" s="8"/>
      <c r="S188" s="8"/>
      <c r="T188" s="8"/>
      <c r="U188" s="8"/>
      <c r="V188" s="8"/>
      <c r="W188" s="1266"/>
      <c r="X188" s="300"/>
      <c r="Z188" s="8"/>
      <c r="AA188" s="8"/>
      <c r="AB188" s="8"/>
      <c r="AC188" s="8"/>
      <c r="AD188" s="8"/>
      <c r="AE188" s="8"/>
      <c r="AF188" s="8"/>
      <c r="AG188" s="1266"/>
      <c r="AH188" s="300" t="s">
        <v>877</v>
      </c>
      <c r="AJ188" s="8"/>
      <c r="AK188" s="8"/>
      <c r="AL188" s="8"/>
      <c r="AM188" s="8"/>
      <c r="AN188" s="8"/>
      <c r="AO188" s="8"/>
      <c r="AP188" s="8"/>
      <c r="AQ188" s="8"/>
      <c r="AR188" s="8"/>
      <c r="AS188" s="1266"/>
      <c r="AT188" s="300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1266"/>
      <c r="BG188" s="300"/>
      <c r="BI188" s="8"/>
      <c r="BJ188" s="8"/>
      <c r="BK188" s="8"/>
      <c r="BL188" s="8"/>
      <c r="BT188" s="300"/>
      <c r="BV188" s="8"/>
      <c r="BW188" s="8"/>
      <c r="BX188" s="8"/>
      <c r="BY188" s="8"/>
      <c r="BZ188" s="8"/>
      <c r="CA188" s="8"/>
      <c r="CB188" s="8"/>
      <c r="CC188" s="1266"/>
      <c r="CD188" s="300"/>
      <c r="CF188" s="8"/>
      <c r="CG188" s="8"/>
      <c r="CH188" s="8"/>
      <c r="CI188" s="8"/>
      <c r="CJ188" s="8"/>
      <c r="CK188" s="8"/>
      <c r="CL188" s="8"/>
      <c r="CM188" s="1266"/>
      <c r="CN188" s="300" t="s">
        <v>877</v>
      </c>
      <c r="CP188" s="8"/>
      <c r="CQ188" s="8"/>
      <c r="CR188" s="8"/>
      <c r="CS188" s="8"/>
      <c r="CT188" s="8"/>
      <c r="CU188" s="8"/>
      <c r="CV188" s="8"/>
      <c r="CW188" s="1266"/>
      <c r="CX188" s="300" t="s">
        <v>877</v>
      </c>
      <c r="CZ188" s="8"/>
      <c r="DA188" s="8"/>
      <c r="DB188" s="8"/>
      <c r="DC188" s="8"/>
      <c r="DD188" s="8"/>
      <c r="DE188" s="8"/>
      <c r="DF188" s="8"/>
      <c r="DG188" s="1266"/>
      <c r="DH188" s="300" t="s">
        <v>877</v>
      </c>
      <c r="DJ188" s="8"/>
      <c r="DK188" s="8"/>
      <c r="DL188" s="8"/>
      <c r="DM188" s="8"/>
      <c r="DN188" s="8"/>
      <c r="DO188" s="8"/>
      <c r="DP188" s="8"/>
      <c r="DQ188" s="1266"/>
      <c r="DR188" s="300" t="s">
        <v>877</v>
      </c>
      <c r="DT188" s="8"/>
      <c r="DU188" s="8"/>
      <c r="DV188" s="8"/>
      <c r="DW188" s="8"/>
      <c r="EB188" s="300" t="s">
        <v>877</v>
      </c>
      <c r="EC188" t="s">
        <v>533</v>
      </c>
      <c r="ED188" s="8"/>
      <c r="EE188" s="8"/>
      <c r="EF188" s="8"/>
      <c r="EG188" s="8"/>
      <c r="EH188" s="8"/>
      <c r="EI188" s="8"/>
      <c r="EJ188" s="8"/>
      <c r="EK188" s="1266"/>
      <c r="EL188" s="300" t="s">
        <v>877</v>
      </c>
      <c r="EN188" s="8"/>
      <c r="EO188" s="8"/>
      <c r="EP188" s="8"/>
      <c r="EQ188" s="8"/>
      <c r="ER188" s="8"/>
      <c r="ES188" s="8"/>
      <c r="ET188" s="8"/>
      <c r="EU188" s="1266"/>
      <c r="EV188" s="300" t="s">
        <v>877</v>
      </c>
      <c r="EX188" s="8"/>
      <c r="EY188" s="8"/>
      <c r="EZ188" s="8"/>
      <c r="FA188" s="8"/>
      <c r="FB188" s="8"/>
      <c r="FC188" s="8"/>
      <c r="FD188" s="8"/>
      <c r="FE188" s="1266"/>
      <c r="FF188" s="300" t="s">
        <v>877</v>
      </c>
      <c r="FH188" s="8"/>
      <c r="FI188" s="8"/>
      <c r="FJ188" s="8"/>
      <c r="FK188" s="8"/>
      <c r="FL188" s="8"/>
      <c r="FM188" s="8"/>
      <c r="FN188" s="8"/>
      <c r="FO188" s="1266"/>
      <c r="FP188" s="300" t="s">
        <v>877</v>
      </c>
      <c r="FQ188" t="s">
        <v>533</v>
      </c>
      <c r="FR188" s="8" t="s">
        <v>534</v>
      </c>
      <c r="FS188" s="8"/>
      <c r="FT188" s="8"/>
      <c r="FU188" s="8"/>
      <c r="FV188" s="8"/>
      <c r="FW188" s="8"/>
      <c r="FX188" s="8"/>
      <c r="FY188" s="8"/>
      <c r="FZ188" s="1266"/>
      <c r="GA188" s="300" t="s">
        <v>877</v>
      </c>
      <c r="GC188" s="8"/>
      <c r="GD188" s="8"/>
      <c r="GE188" s="8"/>
      <c r="GF188" s="8"/>
      <c r="GK188" s="300" t="s">
        <v>877</v>
      </c>
      <c r="GM188" s="8"/>
      <c r="GN188" s="8"/>
      <c r="GO188" s="8"/>
      <c r="GP188" s="8"/>
      <c r="GQ188" s="8"/>
      <c r="GR188" s="8"/>
      <c r="GS188" s="8"/>
      <c r="GT188" s="1266"/>
      <c r="GU188" s="300" t="s">
        <v>877</v>
      </c>
      <c r="GW188" s="8"/>
      <c r="GX188" s="8"/>
      <c r="GY188" s="8"/>
      <c r="GZ188" s="8"/>
      <c r="HA188" s="8"/>
      <c r="HB188" s="8"/>
      <c r="HC188" s="8"/>
      <c r="HD188" s="1266"/>
      <c r="HE188" s="300" t="s">
        <v>877</v>
      </c>
      <c r="HG188" s="8"/>
      <c r="HH188" s="8"/>
      <c r="HI188" s="8"/>
      <c r="HJ188" s="8"/>
      <c r="HK188" s="8"/>
      <c r="HL188" s="8"/>
      <c r="HM188" s="8"/>
      <c r="HN188" s="1266"/>
      <c r="HO188" s="300" t="s">
        <v>877</v>
      </c>
      <c r="HQ188" s="8"/>
      <c r="HR188" s="8"/>
      <c r="HS188" s="8"/>
      <c r="HT188" s="8"/>
      <c r="HU188" s="8"/>
      <c r="HV188" s="8"/>
      <c r="HW188" s="8"/>
      <c r="HX188" s="8"/>
      <c r="HY188" s="1266"/>
      <c r="HZ188" s="300"/>
      <c r="IB188" s="8"/>
      <c r="IC188" s="8"/>
      <c r="ID188" s="8"/>
      <c r="IE188" s="8"/>
      <c r="IF188" s="8"/>
      <c r="IG188" s="8"/>
      <c r="IH188" s="8"/>
      <c r="II188" s="1266"/>
      <c r="IJ188" s="300"/>
      <c r="IL188" s="8"/>
      <c r="IM188" s="8"/>
      <c r="IN188" s="8"/>
      <c r="IO188" s="8"/>
    </row>
    <row r="189" spans="3:257" x14ac:dyDescent="0.3">
      <c r="C189" t="s">
        <v>2362</v>
      </c>
      <c r="D189" s="300" t="s">
        <v>877</v>
      </c>
      <c r="E189" t="s">
        <v>535</v>
      </c>
      <c r="F189" s="8"/>
      <c r="G189" s="8"/>
      <c r="H189" s="8"/>
      <c r="I189" s="8"/>
      <c r="J189" s="8"/>
      <c r="K189" s="8"/>
      <c r="L189" s="8"/>
      <c r="M189" s="8"/>
      <c r="N189" s="300" t="s">
        <v>877</v>
      </c>
      <c r="P189" s="8"/>
      <c r="Q189" s="8"/>
      <c r="R189" s="8"/>
      <c r="S189" s="8"/>
      <c r="T189" s="8"/>
      <c r="U189" s="8"/>
      <c r="V189" s="8"/>
      <c r="W189" s="1266"/>
      <c r="X189" s="300" t="s">
        <v>877</v>
      </c>
      <c r="Y189" t="s">
        <v>535</v>
      </c>
      <c r="Z189" s="8"/>
      <c r="AA189" s="8"/>
      <c r="AB189" s="8"/>
      <c r="AC189" s="8"/>
      <c r="AD189" s="8"/>
      <c r="AE189" s="8"/>
      <c r="AF189" s="8"/>
      <c r="AG189" s="1266"/>
      <c r="AH189" s="300" t="s">
        <v>877</v>
      </c>
      <c r="AI189" t="s">
        <v>534</v>
      </c>
      <c r="AJ189" s="8"/>
      <c r="AK189" s="8"/>
      <c r="AL189" s="8"/>
      <c r="AM189" s="8"/>
      <c r="AN189" s="8"/>
      <c r="AO189" s="8"/>
      <c r="AP189" s="8"/>
      <c r="AQ189" s="8"/>
      <c r="AR189" s="8"/>
      <c r="AS189" s="1266"/>
      <c r="AT189" s="300" t="s">
        <v>877</v>
      </c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1266"/>
      <c r="BG189" s="300" t="s">
        <v>877</v>
      </c>
      <c r="BI189" s="8"/>
      <c r="BJ189" s="8"/>
      <c r="BK189" s="8"/>
      <c r="BL189" s="8"/>
      <c r="BT189" s="300" t="s">
        <v>877</v>
      </c>
      <c r="BV189" s="8"/>
      <c r="BW189" s="8"/>
      <c r="BX189" s="8"/>
      <c r="BY189" s="8"/>
      <c r="BZ189" s="8"/>
      <c r="CA189" s="8"/>
      <c r="CB189" s="8"/>
      <c r="CC189" s="1266"/>
      <c r="CD189" s="300" t="s">
        <v>877</v>
      </c>
      <c r="CF189" s="8"/>
      <c r="CG189" s="8"/>
      <c r="CH189" s="8"/>
      <c r="CI189" s="8"/>
      <c r="CJ189" s="8"/>
      <c r="CK189" s="8"/>
      <c r="CL189" s="8"/>
      <c r="CM189" s="1266"/>
      <c r="CN189" s="300" t="s">
        <v>877</v>
      </c>
      <c r="CP189" s="8"/>
      <c r="CQ189" s="8"/>
      <c r="CR189" s="8"/>
      <c r="CS189" s="8"/>
      <c r="CT189" s="8"/>
      <c r="CU189" s="8"/>
      <c r="CV189" s="8"/>
      <c r="CW189" s="1266"/>
      <c r="CX189" s="300" t="s">
        <v>877</v>
      </c>
      <c r="CY189" t="s">
        <v>535</v>
      </c>
      <c r="CZ189" s="8" t="s">
        <v>535</v>
      </c>
      <c r="DA189" s="8"/>
      <c r="DB189" s="8"/>
      <c r="DC189" s="8"/>
      <c r="DD189" s="8"/>
      <c r="DE189" s="8"/>
      <c r="DF189" s="8"/>
      <c r="DG189" s="1266"/>
      <c r="DH189" s="300" t="s">
        <v>877</v>
      </c>
      <c r="DJ189" s="8"/>
      <c r="DK189" s="8"/>
      <c r="DL189" s="8"/>
      <c r="DM189" s="8"/>
      <c r="DN189" s="8"/>
      <c r="DO189" s="8"/>
      <c r="DP189" s="8"/>
      <c r="DQ189" s="1266"/>
      <c r="DR189" s="300" t="s">
        <v>877</v>
      </c>
      <c r="DT189" s="8"/>
      <c r="DU189" s="8"/>
      <c r="DV189" s="8"/>
      <c r="DW189" s="8"/>
      <c r="EB189" s="300" t="s">
        <v>877</v>
      </c>
      <c r="ED189" s="8"/>
      <c r="EE189" s="8"/>
      <c r="EF189" s="8"/>
      <c r="EG189" s="8"/>
      <c r="EH189" s="8"/>
      <c r="EI189" s="8"/>
      <c r="EJ189" s="8"/>
      <c r="EK189" s="1266"/>
      <c r="EL189" s="300" t="s">
        <v>877</v>
      </c>
      <c r="EN189" s="8"/>
      <c r="EO189" s="8"/>
      <c r="EP189" s="8"/>
      <c r="EQ189" s="8"/>
      <c r="ER189" s="8"/>
      <c r="ES189" s="8"/>
      <c r="ET189" s="8"/>
      <c r="EU189" s="1266"/>
      <c r="EV189" s="300" t="s">
        <v>877</v>
      </c>
      <c r="EX189" s="8"/>
      <c r="EY189" s="8"/>
      <c r="EZ189" s="8"/>
      <c r="FA189" s="8"/>
      <c r="FB189" s="8"/>
      <c r="FC189" s="8"/>
      <c r="FD189" s="8"/>
      <c r="FE189" s="1266"/>
      <c r="FF189" s="300" t="s">
        <v>877</v>
      </c>
      <c r="FG189" t="s">
        <v>533</v>
      </c>
      <c r="FH189" s="8"/>
      <c r="FI189" s="8"/>
      <c r="FJ189" s="8"/>
      <c r="FK189" s="8"/>
      <c r="FL189" s="8"/>
      <c r="FM189" s="8"/>
      <c r="FN189" s="8"/>
      <c r="FO189" s="1266"/>
      <c r="FP189" s="300" t="s">
        <v>877</v>
      </c>
      <c r="FR189" s="8"/>
      <c r="FS189" s="8"/>
      <c r="FT189" s="8"/>
      <c r="FU189" s="8"/>
      <c r="FV189" s="8"/>
      <c r="FW189" s="8"/>
      <c r="FX189" s="8"/>
      <c r="FY189" s="8"/>
      <c r="FZ189" s="1266"/>
      <c r="GA189" s="300" t="s">
        <v>877</v>
      </c>
      <c r="GC189" s="8"/>
      <c r="GD189" s="8"/>
      <c r="GE189" s="8"/>
      <c r="GF189" s="8"/>
      <c r="GK189" s="300" t="s">
        <v>877</v>
      </c>
      <c r="GM189" s="8"/>
      <c r="GN189" s="8"/>
      <c r="GO189" s="8"/>
      <c r="GP189" s="8"/>
      <c r="GQ189" s="8"/>
      <c r="GR189" s="8"/>
      <c r="GS189" s="8"/>
      <c r="GT189" s="1266"/>
      <c r="GU189" s="300" t="s">
        <v>877</v>
      </c>
      <c r="GV189" t="s">
        <v>535</v>
      </c>
      <c r="GW189" s="8"/>
      <c r="GX189" s="8"/>
      <c r="GY189" s="8"/>
      <c r="GZ189" s="8"/>
      <c r="HA189" s="8"/>
      <c r="HB189" s="8"/>
      <c r="HC189" s="8"/>
      <c r="HD189" s="1266"/>
      <c r="HE189" s="300" t="s">
        <v>877</v>
      </c>
      <c r="HG189" s="8"/>
      <c r="HH189" s="8"/>
      <c r="HI189" s="8"/>
      <c r="HJ189" s="8"/>
      <c r="HK189" s="8"/>
      <c r="HL189" s="8"/>
      <c r="HM189" s="8"/>
      <c r="HN189" s="1266"/>
      <c r="HO189" s="300" t="s">
        <v>877</v>
      </c>
      <c r="HQ189" s="8"/>
      <c r="HR189" s="8"/>
      <c r="HS189" s="8"/>
      <c r="HT189" s="8"/>
      <c r="HU189" s="8"/>
      <c r="HV189" s="8"/>
      <c r="HW189" s="8"/>
      <c r="HX189" s="8"/>
      <c r="HY189" s="1266"/>
      <c r="HZ189" s="300"/>
      <c r="IB189" s="8"/>
      <c r="IC189" s="8"/>
      <c r="ID189" s="8"/>
      <c r="IE189" s="8"/>
      <c r="IF189" s="8"/>
      <c r="IG189" s="8"/>
      <c r="IH189" s="8"/>
      <c r="II189" s="1266"/>
      <c r="IJ189" s="300"/>
      <c r="IL189" s="8"/>
      <c r="IM189" s="8"/>
      <c r="IN189" s="8"/>
      <c r="IO189" s="8"/>
    </row>
    <row r="190" spans="3:257" x14ac:dyDescent="0.3">
      <c r="C190" t="s">
        <v>2734</v>
      </c>
      <c r="D190" s="300" t="s">
        <v>877</v>
      </c>
      <c r="F190" s="8"/>
      <c r="G190" s="8"/>
      <c r="H190" s="8"/>
      <c r="I190" s="8"/>
      <c r="J190" s="8"/>
      <c r="K190" s="8"/>
      <c r="L190" s="8"/>
      <c r="M190" s="8"/>
      <c r="N190" s="300" t="s">
        <v>877</v>
      </c>
      <c r="P190" s="8"/>
      <c r="Q190" s="8"/>
      <c r="R190" s="8"/>
      <c r="S190" s="8"/>
      <c r="T190" s="8"/>
      <c r="U190" s="8"/>
      <c r="V190" s="8"/>
      <c r="W190" s="1266"/>
      <c r="X190" s="300" t="s">
        <v>877</v>
      </c>
      <c r="Y190" t="s">
        <v>533</v>
      </c>
      <c r="Z190" s="8" t="s">
        <v>2229</v>
      </c>
      <c r="AA190" s="8"/>
      <c r="AB190" s="8"/>
      <c r="AC190" s="8"/>
      <c r="AD190" s="8"/>
      <c r="AE190" s="8"/>
      <c r="AF190" s="8"/>
      <c r="AG190" s="1266"/>
      <c r="AH190" s="300" t="s">
        <v>877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1266"/>
      <c r="AT190" s="300" t="s">
        <v>877</v>
      </c>
      <c r="AU190" t="s">
        <v>533</v>
      </c>
      <c r="AV190" s="8" t="s">
        <v>533</v>
      </c>
      <c r="AW190" s="8"/>
      <c r="AX190" s="8"/>
      <c r="AY190" s="8"/>
      <c r="AZ190" s="8"/>
      <c r="BA190" s="8"/>
      <c r="BB190" s="8"/>
      <c r="BC190" s="8"/>
      <c r="BD190" s="8"/>
      <c r="BE190" s="8"/>
      <c r="BF190" s="1266"/>
      <c r="BG190" s="300" t="s">
        <v>877</v>
      </c>
      <c r="BI190" s="8"/>
      <c r="BJ190" s="8"/>
      <c r="BK190" s="8"/>
      <c r="BL190" s="8"/>
      <c r="BT190" s="300" t="s">
        <v>877</v>
      </c>
      <c r="BV190" s="8"/>
      <c r="BW190" s="8"/>
      <c r="BX190" s="8"/>
      <c r="BY190" s="8"/>
      <c r="BZ190" s="8"/>
      <c r="CA190" s="8"/>
      <c r="CB190" s="8"/>
      <c r="CC190" s="1266"/>
      <c r="CD190" s="300" t="s">
        <v>877</v>
      </c>
      <c r="CE190" t="s">
        <v>533</v>
      </c>
      <c r="CF190" s="8"/>
      <c r="CG190" s="8"/>
      <c r="CH190" s="8"/>
      <c r="CI190" s="8"/>
      <c r="CJ190" s="8"/>
      <c r="CK190" s="8"/>
      <c r="CL190" s="8"/>
      <c r="CM190" s="1266"/>
      <c r="CN190" s="300" t="s">
        <v>877</v>
      </c>
      <c r="CP190" s="8"/>
      <c r="CQ190" s="8"/>
      <c r="CR190" s="8"/>
      <c r="CS190" s="8"/>
      <c r="CT190" s="8"/>
      <c r="CU190" s="8"/>
      <c r="CV190" s="8"/>
      <c r="CW190" s="1266"/>
      <c r="CX190" s="300" t="s">
        <v>877</v>
      </c>
      <c r="CY190" t="s">
        <v>534</v>
      </c>
      <c r="CZ190" s="8"/>
      <c r="DA190" s="8"/>
      <c r="DB190" s="8"/>
      <c r="DC190" s="8"/>
      <c r="DD190" s="8"/>
      <c r="DE190" s="8"/>
      <c r="DF190" s="8"/>
      <c r="DG190" s="1266"/>
      <c r="DH190" s="300" t="s">
        <v>877</v>
      </c>
      <c r="DI190" t="s">
        <v>534</v>
      </c>
      <c r="DJ190" s="8"/>
      <c r="DK190" s="8"/>
      <c r="DL190" s="8"/>
      <c r="DM190" s="8"/>
      <c r="DN190" s="8"/>
      <c r="DO190" s="8"/>
      <c r="DP190" s="8"/>
      <c r="DQ190" s="1266"/>
      <c r="DR190" s="300" t="s">
        <v>877</v>
      </c>
      <c r="DS190" t="s">
        <v>533</v>
      </c>
      <c r="DT190" s="8"/>
      <c r="DU190" s="8"/>
      <c r="DV190" s="8"/>
      <c r="DW190" s="8"/>
      <c r="EB190" s="300"/>
      <c r="ED190" s="8"/>
      <c r="EE190" s="8"/>
      <c r="EF190" s="8"/>
      <c r="EG190" s="8"/>
      <c r="EH190" s="8"/>
      <c r="EI190" s="8"/>
      <c r="EJ190" s="8"/>
      <c r="EK190" s="1266"/>
      <c r="EL190" s="300"/>
      <c r="EN190" s="8"/>
      <c r="EO190" s="8"/>
      <c r="EP190" s="8"/>
      <c r="EQ190" s="8"/>
      <c r="ER190" s="8"/>
      <c r="ES190" s="8"/>
      <c r="ET190" s="8"/>
      <c r="EU190" s="1266"/>
      <c r="EV190" s="300" t="s">
        <v>877</v>
      </c>
      <c r="EX190" s="8"/>
      <c r="EY190" s="8"/>
      <c r="EZ190" s="8"/>
      <c r="FA190" s="8"/>
      <c r="FB190" s="8"/>
      <c r="FC190" s="8"/>
      <c r="FD190" s="8"/>
      <c r="FE190" s="1266"/>
      <c r="FF190" s="300"/>
      <c r="FH190" s="8"/>
      <c r="FI190" s="8"/>
      <c r="FJ190" s="8"/>
      <c r="FK190" s="8"/>
      <c r="FL190" s="8"/>
      <c r="FM190" s="8"/>
      <c r="FN190" s="8"/>
      <c r="FO190" s="1266"/>
      <c r="FP190" s="300"/>
      <c r="FR190" s="8"/>
      <c r="FS190" s="8"/>
      <c r="FT190" s="8"/>
      <c r="FU190" s="8"/>
      <c r="FV190" s="8"/>
      <c r="FW190" s="8"/>
      <c r="FX190" s="8"/>
      <c r="FY190" s="8"/>
      <c r="FZ190" s="1266"/>
      <c r="GA190" s="300"/>
      <c r="GC190" s="8"/>
      <c r="GD190" s="8"/>
      <c r="GE190" s="8"/>
      <c r="GF190" s="8"/>
      <c r="GK190" s="300"/>
      <c r="GM190" s="8"/>
      <c r="GN190" s="8"/>
      <c r="GO190" s="8"/>
      <c r="GP190" s="8"/>
      <c r="GQ190" s="8"/>
      <c r="GR190" s="8"/>
      <c r="GS190" s="8"/>
      <c r="GT190" s="1266"/>
      <c r="GU190" s="300"/>
      <c r="GW190" s="8"/>
      <c r="GX190" s="8"/>
      <c r="GY190" s="8"/>
      <c r="GZ190" s="8"/>
      <c r="HA190" s="8"/>
      <c r="HB190" s="8"/>
      <c r="HC190" s="8"/>
      <c r="HD190" s="1266"/>
      <c r="HE190" s="300"/>
      <c r="HG190" s="8"/>
      <c r="HH190" s="8"/>
      <c r="HI190" s="8"/>
      <c r="HJ190" s="8"/>
      <c r="HK190" s="8"/>
      <c r="HL190" s="8"/>
      <c r="HM190" s="8"/>
      <c r="HN190" s="1266"/>
      <c r="HO190" s="300"/>
      <c r="HQ190" s="8"/>
      <c r="HR190" s="8"/>
      <c r="HS190" s="8"/>
      <c r="HT190" s="8"/>
      <c r="HU190" s="8"/>
      <c r="HV190" s="8"/>
      <c r="HW190" s="8"/>
      <c r="HX190" s="8"/>
      <c r="HY190" s="1266"/>
      <c r="HZ190" s="300"/>
      <c r="IB190" s="8"/>
      <c r="IC190" s="8"/>
      <c r="ID190" s="8"/>
      <c r="IE190" s="8"/>
      <c r="IF190" s="8"/>
      <c r="IG190" s="8"/>
      <c r="IH190" s="8"/>
      <c r="II190" s="1266"/>
      <c r="IJ190" s="300"/>
      <c r="IL190" s="8"/>
      <c r="IM190" s="8"/>
      <c r="IN190" s="8"/>
      <c r="IO190" s="8"/>
    </row>
    <row r="191" spans="3:257" x14ac:dyDescent="0.3">
      <c r="C191" t="s">
        <v>2740</v>
      </c>
      <c r="D191" s="300"/>
      <c r="F191" s="8"/>
      <c r="G191" s="8"/>
      <c r="H191" s="8"/>
      <c r="I191" s="8"/>
      <c r="J191" s="8"/>
      <c r="K191" s="8"/>
      <c r="L191" s="8"/>
      <c r="M191" s="8"/>
      <c r="N191" s="300"/>
      <c r="P191" s="8"/>
      <c r="Q191" s="8"/>
      <c r="R191" s="8"/>
      <c r="S191" s="8"/>
      <c r="T191" s="8"/>
      <c r="U191" s="8"/>
      <c r="V191" s="8"/>
      <c r="W191" s="1266"/>
      <c r="X191" s="300"/>
      <c r="Z191" s="8"/>
      <c r="AA191" s="8"/>
      <c r="AB191" s="8"/>
      <c r="AC191" s="8"/>
      <c r="AD191" s="8"/>
      <c r="AE191" s="8"/>
      <c r="AF191" s="8"/>
      <c r="AG191" s="1266"/>
      <c r="AH191" s="300"/>
      <c r="AJ191" s="8"/>
      <c r="AK191" s="8"/>
      <c r="AL191" s="8"/>
      <c r="AM191" s="8"/>
      <c r="AN191" s="8"/>
      <c r="AO191" s="8"/>
      <c r="AP191" s="8"/>
      <c r="AQ191" s="8"/>
      <c r="AR191" s="8"/>
      <c r="AS191" s="1266"/>
      <c r="AT191" s="300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1266"/>
      <c r="BG191" s="300"/>
      <c r="BI191" s="8"/>
      <c r="BJ191" s="8"/>
      <c r="BK191" s="8"/>
      <c r="BL191" s="8"/>
      <c r="BT191" s="300" t="s">
        <v>877</v>
      </c>
      <c r="BU191" t="s">
        <v>533</v>
      </c>
      <c r="BV191" s="8"/>
      <c r="BW191" s="8"/>
      <c r="BX191" s="8"/>
      <c r="BY191" s="8"/>
      <c r="BZ191" s="8"/>
      <c r="CA191" s="8"/>
      <c r="CB191" s="8"/>
      <c r="CC191" s="1266"/>
      <c r="CD191" s="300" t="s">
        <v>877</v>
      </c>
      <c r="CF191" s="8"/>
      <c r="CG191" s="8"/>
      <c r="CH191" s="8"/>
      <c r="CI191" s="8"/>
      <c r="CJ191" s="8"/>
      <c r="CK191" s="8"/>
      <c r="CL191" s="8"/>
      <c r="CM191" s="1266"/>
      <c r="CN191" s="300" t="s">
        <v>877</v>
      </c>
      <c r="CO191" t="s">
        <v>533</v>
      </c>
      <c r="CP191" s="8" t="s">
        <v>533</v>
      </c>
      <c r="CQ191" s="8"/>
      <c r="CR191" s="8"/>
      <c r="CS191" s="8"/>
      <c r="CT191" s="8"/>
      <c r="CU191" s="8"/>
      <c r="CV191" s="8"/>
      <c r="CW191" s="1266"/>
      <c r="CX191" s="300" t="s">
        <v>877</v>
      </c>
      <c r="CY191" t="s">
        <v>533</v>
      </c>
      <c r="CZ191" s="8" t="s">
        <v>533</v>
      </c>
      <c r="DA191" s="8" t="s">
        <v>533</v>
      </c>
      <c r="DB191" s="8" t="s">
        <v>992</v>
      </c>
      <c r="DC191" s="8"/>
      <c r="DD191" s="8"/>
      <c r="DE191" s="8"/>
      <c r="DF191" s="8"/>
      <c r="DG191" s="1266"/>
      <c r="DH191" s="300" t="s">
        <v>877</v>
      </c>
      <c r="DI191" t="s">
        <v>533</v>
      </c>
      <c r="DJ191" s="8" t="s">
        <v>533</v>
      </c>
      <c r="DK191" s="8" t="s">
        <v>533</v>
      </c>
      <c r="DL191" s="8" t="s">
        <v>992</v>
      </c>
      <c r="DM191" s="8" t="s">
        <v>534</v>
      </c>
      <c r="DN191" s="8"/>
      <c r="DO191" s="8"/>
      <c r="DP191" s="8"/>
      <c r="DQ191" s="1266"/>
      <c r="DR191" s="300" t="s">
        <v>877</v>
      </c>
      <c r="DS191" t="s">
        <v>533</v>
      </c>
      <c r="DT191" s="8"/>
      <c r="DU191" s="8"/>
      <c r="DV191" s="8"/>
      <c r="DW191" s="8"/>
      <c r="EB191" s="300" t="s">
        <v>877</v>
      </c>
      <c r="EC191" t="s">
        <v>533</v>
      </c>
      <c r="ED191" s="8"/>
      <c r="EE191" s="8"/>
      <c r="EF191" s="8"/>
      <c r="EG191" s="8"/>
      <c r="EH191" s="8"/>
      <c r="EI191" s="8"/>
      <c r="EJ191" s="8"/>
      <c r="EK191" s="1266"/>
      <c r="EL191" s="300" t="s">
        <v>877</v>
      </c>
      <c r="EM191" t="s">
        <v>533</v>
      </c>
      <c r="EN191" s="8"/>
      <c r="EO191" s="8"/>
      <c r="EP191" s="8"/>
      <c r="EQ191" s="8"/>
      <c r="ER191" s="8"/>
      <c r="ES191" s="8"/>
      <c r="ET191" s="8"/>
      <c r="EU191" s="1266"/>
      <c r="EV191" s="300" t="s">
        <v>877</v>
      </c>
      <c r="EX191" s="8"/>
      <c r="EY191" s="8"/>
      <c r="EZ191" s="8"/>
      <c r="FA191" s="8"/>
      <c r="FB191" s="8"/>
      <c r="FC191" s="8"/>
      <c r="FD191" s="8"/>
      <c r="FE191" s="1266"/>
      <c r="FF191" s="300"/>
      <c r="FH191" s="8"/>
      <c r="FI191" s="8"/>
      <c r="FJ191" s="8"/>
      <c r="FK191" s="8"/>
      <c r="FL191" s="8"/>
      <c r="FM191" s="8"/>
      <c r="FN191" s="8"/>
      <c r="FO191" s="1266"/>
      <c r="FP191" s="300"/>
      <c r="FR191" s="8"/>
      <c r="FS191" s="8"/>
      <c r="FT191" s="8"/>
      <c r="FU191" s="8"/>
      <c r="FV191" s="8"/>
      <c r="FW191" s="8"/>
      <c r="FX191" s="8"/>
      <c r="FY191" s="8"/>
      <c r="FZ191" s="1266"/>
      <c r="GA191" s="300" t="s">
        <v>877</v>
      </c>
      <c r="GC191" s="8"/>
      <c r="GD191" s="8"/>
      <c r="GE191" s="8"/>
      <c r="GF191" s="8"/>
      <c r="GK191" s="300" t="s">
        <v>877</v>
      </c>
      <c r="GM191" s="8"/>
      <c r="GN191" s="8"/>
      <c r="GO191" s="8"/>
      <c r="GP191" s="8"/>
      <c r="GQ191" s="8"/>
      <c r="GR191" s="8"/>
      <c r="GS191" s="8"/>
      <c r="GT191" s="1266"/>
      <c r="GU191" s="300" t="s">
        <v>877</v>
      </c>
      <c r="GV191" t="s">
        <v>533</v>
      </c>
      <c r="GW191" s="8" t="s">
        <v>534</v>
      </c>
      <c r="GX191" s="8"/>
      <c r="GY191" s="8"/>
      <c r="GZ191" s="8"/>
      <c r="HA191" s="8"/>
      <c r="HB191" s="8"/>
      <c r="HC191" s="8"/>
      <c r="HD191" s="1266"/>
      <c r="HE191" s="300" t="s">
        <v>877</v>
      </c>
      <c r="HG191" s="8"/>
      <c r="HH191" s="8"/>
      <c r="HI191" s="8"/>
      <c r="HJ191" s="8"/>
      <c r="HK191" s="8"/>
      <c r="HL191" s="8"/>
      <c r="HM191" s="8"/>
      <c r="HN191" s="1266"/>
      <c r="HO191" s="300" t="s">
        <v>877</v>
      </c>
      <c r="HQ191" s="8"/>
      <c r="HR191" s="8"/>
      <c r="HS191" s="8"/>
      <c r="HT191" s="8"/>
      <c r="HU191" s="8"/>
      <c r="HV191" s="8"/>
      <c r="HW191" s="8"/>
      <c r="HX191" s="8"/>
      <c r="HY191" s="1266"/>
      <c r="HZ191" s="300"/>
      <c r="IB191" s="8"/>
      <c r="IC191" s="8"/>
      <c r="ID191" s="8"/>
      <c r="IE191" s="8"/>
      <c r="IF191" s="8"/>
      <c r="IG191" s="8"/>
      <c r="IH191" s="8"/>
      <c r="II191" s="1266"/>
      <c r="IJ191" s="300"/>
      <c r="IL191" s="8"/>
      <c r="IM191" s="8"/>
      <c r="IN191" s="8"/>
      <c r="IO191" s="8"/>
    </row>
    <row r="192" spans="3:257" x14ac:dyDescent="0.3">
      <c r="C192" t="s">
        <v>2253</v>
      </c>
      <c r="D192" s="300" t="s">
        <v>877</v>
      </c>
      <c r="F192" s="8"/>
      <c r="G192" s="8"/>
      <c r="H192" s="8"/>
      <c r="I192" s="8"/>
      <c r="J192" s="8"/>
      <c r="K192" s="8"/>
      <c r="L192" s="8"/>
      <c r="M192" s="8"/>
      <c r="N192" s="300"/>
      <c r="P192" s="8"/>
      <c r="Q192" s="8"/>
      <c r="R192" s="8"/>
      <c r="S192" s="8"/>
      <c r="T192" s="8"/>
      <c r="U192" s="8"/>
      <c r="V192" s="8"/>
      <c r="W192" s="1266"/>
      <c r="X192" s="300" t="s">
        <v>877</v>
      </c>
      <c r="Z192" s="8"/>
      <c r="AA192" s="8"/>
      <c r="AB192" s="8"/>
      <c r="AC192" s="8"/>
      <c r="AD192" s="8"/>
      <c r="AE192" s="8"/>
      <c r="AF192" s="8"/>
      <c r="AG192" s="1266"/>
      <c r="AH192" s="300" t="s">
        <v>877</v>
      </c>
      <c r="AI192" t="s">
        <v>533</v>
      </c>
      <c r="AJ192" s="8" t="s">
        <v>534</v>
      </c>
      <c r="AK192" s="8"/>
      <c r="AL192" s="8"/>
      <c r="AM192" s="8"/>
      <c r="AN192" s="8"/>
      <c r="AO192" s="8"/>
      <c r="AP192" s="8"/>
      <c r="AQ192" s="8"/>
      <c r="AR192" s="8"/>
      <c r="AS192" s="1266"/>
      <c r="AT192" s="300" t="s">
        <v>877</v>
      </c>
      <c r="AU192" t="s">
        <v>534</v>
      </c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1266"/>
      <c r="BG192" s="300" t="s">
        <v>877</v>
      </c>
      <c r="BH192" t="s">
        <v>533</v>
      </c>
      <c r="BI192" s="8" t="s">
        <v>534</v>
      </c>
      <c r="BJ192" s="8"/>
      <c r="BK192" s="8"/>
      <c r="BL192" s="8"/>
      <c r="BT192" s="300" t="s">
        <v>877</v>
      </c>
      <c r="BU192" t="s">
        <v>533</v>
      </c>
      <c r="BV192" s="8"/>
      <c r="BW192" s="8"/>
      <c r="BX192" s="8"/>
      <c r="BY192" s="8"/>
      <c r="BZ192" s="8"/>
      <c r="CA192" s="8"/>
      <c r="CB192" s="8"/>
      <c r="CC192" s="1266"/>
      <c r="CD192" s="300" t="s">
        <v>877</v>
      </c>
      <c r="CE192" t="s">
        <v>535</v>
      </c>
      <c r="CF192" s="8"/>
      <c r="CG192" s="8"/>
      <c r="CH192" s="8"/>
      <c r="CI192" s="8"/>
      <c r="CJ192" s="8"/>
      <c r="CK192" s="8"/>
      <c r="CL192" s="8"/>
      <c r="CM192" s="1266"/>
      <c r="CN192" s="300"/>
      <c r="CP192" s="8"/>
      <c r="CQ192" s="8"/>
      <c r="CR192" s="8"/>
      <c r="CS192" s="8"/>
      <c r="CT192" s="8"/>
      <c r="CU192" s="8"/>
      <c r="CV192" s="8"/>
      <c r="CW192" s="1266"/>
      <c r="CX192" s="300" t="s">
        <v>877</v>
      </c>
      <c r="CZ192" s="8"/>
      <c r="DA192" s="8"/>
      <c r="DB192" s="8"/>
      <c r="DC192" s="8"/>
      <c r="DD192" s="8"/>
      <c r="DE192" s="8"/>
      <c r="DF192" s="8"/>
      <c r="DG192" s="1266"/>
      <c r="DH192" s="300" t="s">
        <v>877</v>
      </c>
      <c r="DJ192" s="8"/>
      <c r="DK192" s="8"/>
      <c r="DL192" s="8"/>
      <c r="DM192" s="8"/>
      <c r="DN192" s="8"/>
      <c r="DO192" s="8"/>
      <c r="DP192" s="8"/>
      <c r="DQ192" s="1266"/>
      <c r="DR192" s="300" t="s">
        <v>877</v>
      </c>
      <c r="DS192" t="s">
        <v>534</v>
      </c>
      <c r="DT192" s="8" t="s">
        <v>533</v>
      </c>
      <c r="DU192" s="8"/>
      <c r="DV192" s="8"/>
      <c r="DW192" s="8"/>
      <c r="EB192" s="300" t="s">
        <v>877</v>
      </c>
      <c r="ED192" s="8"/>
      <c r="EE192" s="8"/>
      <c r="EF192" s="8"/>
      <c r="EG192" s="8"/>
      <c r="EH192" s="8"/>
      <c r="EI192" s="8"/>
      <c r="EJ192" s="8"/>
      <c r="EK192" s="1266"/>
      <c r="EL192" s="300" t="s">
        <v>877</v>
      </c>
      <c r="EN192" s="8"/>
      <c r="EO192" s="8"/>
      <c r="EP192" s="8"/>
      <c r="EQ192" s="8"/>
      <c r="ER192" s="8"/>
      <c r="ES192" s="8"/>
      <c r="ET192" s="8"/>
      <c r="EU192" s="1266"/>
      <c r="EV192" s="300" t="s">
        <v>877</v>
      </c>
      <c r="EX192" s="8"/>
      <c r="EY192" s="8"/>
      <c r="EZ192" s="8"/>
      <c r="FA192" s="8"/>
      <c r="FB192" s="8"/>
      <c r="FC192" s="8"/>
      <c r="FD192" s="8"/>
      <c r="FE192" s="1266"/>
      <c r="FF192" s="300" t="s">
        <v>877</v>
      </c>
      <c r="FG192" t="s">
        <v>533</v>
      </c>
      <c r="FH192" s="8" t="s">
        <v>534</v>
      </c>
      <c r="FI192" s="8"/>
      <c r="FJ192" s="8"/>
      <c r="FK192" s="8"/>
      <c r="FL192" s="8"/>
      <c r="FM192" s="8"/>
      <c r="FN192" s="8"/>
      <c r="FO192" s="1266"/>
      <c r="FP192" s="300" t="s">
        <v>877</v>
      </c>
      <c r="FQ192" t="s">
        <v>533</v>
      </c>
      <c r="FR192" s="8"/>
      <c r="FS192" s="8"/>
      <c r="FT192" s="8"/>
      <c r="FU192" s="8"/>
      <c r="FV192" s="8"/>
      <c r="FW192" s="8"/>
      <c r="FX192" s="8"/>
      <c r="FY192" s="8"/>
      <c r="FZ192" s="1266"/>
      <c r="GA192" s="300" t="s">
        <v>877</v>
      </c>
      <c r="GC192" s="8"/>
      <c r="GD192" s="8"/>
      <c r="GE192" s="8"/>
      <c r="GF192" s="8"/>
      <c r="GK192" s="300" t="s">
        <v>877</v>
      </c>
      <c r="GL192" t="s">
        <v>533</v>
      </c>
      <c r="GM192" s="8" t="s">
        <v>2229</v>
      </c>
      <c r="GN192" s="8"/>
      <c r="GO192" s="8"/>
      <c r="GP192" s="8"/>
      <c r="GQ192" s="8"/>
      <c r="GR192" s="8"/>
      <c r="GS192" s="8"/>
      <c r="GT192" s="1266"/>
      <c r="GU192" s="300" t="s">
        <v>877</v>
      </c>
      <c r="GW192" s="8"/>
      <c r="GX192" s="8"/>
      <c r="GY192" s="8"/>
      <c r="GZ192" s="8"/>
      <c r="HA192" s="8"/>
      <c r="HB192" s="8"/>
      <c r="HC192" s="8"/>
      <c r="HD192" s="1266"/>
      <c r="HE192" s="300" t="s">
        <v>877</v>
      </c>
      <c r="HF192" t="s">
        <v>535</v>
      </c>
      <c r="HG192" s="8"/>
      <c r="HH192" s="8"/>
      <c r="HI192" s="8"/>
      <c r="HJ192" s="8"/>
      <c r="HK192" s="8"/>
      <c r="HL192" s="8"/>
      <c r="HM192" s="8"/>
      <c r="HN192" s="1266"/>
      <c r="HO192" s="300" t="s">
        <v>877</v>
      </c>
      <c r="HP192" t="s">
        <v>535</v>
      </c>
      <c r="HQ192" s="8"/>
      <c r="HR192" s="8"/>
      <c r="HS192" s="8"/>
      <c r="HT192" s="8"/>
      <c r="HU192" s="8"/>
      <c r="HV192" s="8"/>
      <c r="HW192" s="8"/>
      <c r="HX192" s="8"/>
      <c r="HY192" s="1266"/>
      <c r="HZ192" s="300"/>
      <c r="IB192" s="8"/>
      <c r="IC192" s="8"/>
      <c r="ID192" s="8"/>
      <c r="IE192" s="8"/>
      <c r="IF192" s="8"/>
      <c r="IG192" s="8"/>
      <c r="IH192" s="8"/>
      <c r="II192" s="1266"/>
      <c r="IJ192" s="300"/>
      <c r="IL192" s="8"/>
      <c r="IM192" s="8"/>
      <c r="IN192" s="8"/>
      <c r="IO192" s="8"/>
    </row>
    <row r="193" spans="3:249" x14ac:dyDescent="0.3">
      <c r="C193" t="s">
        <v>1999</v>
      </c>
      <c r="D193" s="300" t="s">
        <v>877</v>
      </c>
      <c r="F193" s="8"/>
      <c r="G193" s="8"/>
      <c r="H193" s="8"/>
      <c r="I193" s="8"/>
      <c r="J193" s="8"/>
      <c r="K193" s="8"/>
      <c r="L193" s="8"/>
      <c r="M193" s="8"/>
      <c r="N193" s="300" t="s">
        <v>877</v>
      </c>
      <c r="P193" s="8"/>
      <c r="Q193" s="8"/>
      <c r="R193" s="8"/>
      <c r="S193" s="8"/>
      <c r="T193" s="8"/>
      <c r="U193" s="8"/>
      <c r="V193" s="8"/>
      <c r="W193" s="1266"/>
      <c r="X193" s="300" t="s">
        <v>877</v>
      </c>
      <c r="Z193" s="8"/>
      <c r="AA193" s="8"/>
      <c r="AB193" s="8"/>
      <c r="AC193" s="8"/>
      <c r="AD193" s="8"/>
      <c r="AE193" s="8"/>
      <c r="AF193" s="8"/>
      <c r="AG193" s="1266"/>
      <c r="AH193" s="300" t="s">
        <v>877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1266"/>
      <c r="AT193" s="300" t="s">
        <v>877</v>
      </c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1266"/>
      <c r="BG193" s="300" t="s">
        <v>877</v>
      </c>
      <c r="BI193" s="8"/>
      <c r="BJ193" s="8"/>
      <c r="BK193" s="8"/>
      <c r="BL193" s="8"/>
      <c r="BT193" s="300"/>
      <c r="BV193" s="8"/>
      <c r="BW193" s="8"/>
      <c r="BX193" s="8"/>
      <c r="BY193" s="8"/>
      <c r="BZ193" s="8"/>
      <c r="CA193" s="8"/>
      <c r="CB193" s="8"/>
      <c r="CC193" s="1266"/>
      <c r="CD193" s="300"/>
      <c r="CF193" s="8"/>
      <c r="CG193" s="8"/>
      <c r="CH193" s="8"/>
      <c r="CI193" s="8"/>
      <c r="CJ193" s="8"/>
      <c r="CK193" s="8"/>
      <c r="CL193" s="8"/>
      <c r="CM193" s="1266"/>
      <c r="CN193" s="300"/>
      <c r="CP193" s="8"/>
      <c r="CQ193" s="8"/>
      <c r="CR193" s="8"/>
      <c r="CS193" s="8"/>
      <c r="CT193" s="8"/>
      <c r="CU193" s="8"/>
      <c r="CV193" s="8"/>
      <c r="CW193" s="1266"/>
      <c r="CX193" s="300"/>
      <c r="CZ193" s="8"/>
      <c r="DA193" s="8"/>
      <c r="DB193" s="8"/>
      <c r="DC193" s="8"/>
      <c r="DD193" s="8"/>
      <c r="DE193" s="8"/>
      <c r="DF193" s="8"/>
      <c r="DG193" s="1266"/>
      <c r="DH193" s="300"/>
      <c r="DJ193" s="8"/>
      <c r="DK193" s="8"/>
      <c r="DL193" s="8"/>
      <c r="DM193" s="8"/>
      <c r="DN193" s="8"/>
      <c r="DO193" s="8"/>
      <c r="DP193" s="8"/>
      <c r="DQ193" s="1266"/>
      <c r="DR193" s="300"/>
      <c r="DT193" s="8"/>
      <c r="DU193" s="8"/>
      <c r="DV193" s="8"/>
      <c r="DW193" s="8"/>
      <c r="EB193" s="300"/>
      <c r="ED193" s="8"/>
      <c r="EE193" s="8"/>
      <c r="EF193" s="8"/>
      <c r="EG193" s="8"/>
      <c r="EH193" s="8"/>
      <c r="EI193" s="8"/>
      <c r="EJ193" s="8"/>
      <c r="EK193" s="1266"/>
      <c r="EL193" s="300"/>
      <c r="EN193" s="8"/>
      <c r="EO193" s="8"/>
      <c r="EP193" s="8"/>
      <c r="EQ193" s="8"/>
      <c r="ER193" s="8"/>
      <c r="ES193" s="8"/>
      <c r="ET193" s="8"/>
      <c r="EU193" s="1266"/>
      <c r="EV193" s="300"/>
      <c r="EX193" s="8"/>
      <c r="EY193" s="8"/>
      <c r="EZ193" s="8"/>
      <c r="FA193" s="8"/>
      <c r="FB193" s="8"/>
      <c r="FC193" s="8"/>
      <c r="FD193" s="8"/>
      <c r="FE193" s="1266"/>
      <c r="FF193" s="300"/>
      <c r="FH193" s="8"/>
      <c r="FI193" s="8"/>
      <c r="FJ193" s="8"/>
      <c r="FK193" s="8"/>
      <c r="FL193" s="8"/>
      <c r="FM193" s="8"/>
      <c r="FN193" s="8"/>
      <c r="FO193" s="1266"/>
      <c r="FP193" s="300"/>
      <c r="FR193" s="8"/>
      <c r="FS193" s="8"/>
      <c r="FT193" s="8"/>
      <c r="FU193" s="8"/>
      <c r="FV193" s="8"/>
      <c r="FW193" s="8"/>
      <c r="FX193" s="8"/>
      <c r="FY193" s="8"/>
      <c r="FZ193" s="1266"/>
      <c r="GA193" s="300"/>
      <c r="GC193" s="8"/>
      <c r="GD193" s="8"/>
      <c r="GE193" s="8"/>
      <c r="GF193" s="8"/>
      <c r="GK193" s="300"/>
      <c r="GM193" s="8"/>
      <c r="GN193" s="8"/>
      <c r="GO193" s="8"/>
      <c r="GP193" s="8"/>
      <c r="GQ193" s="8"/>
      <c r="GR193" s="8"/>
      <c r="GS193" s="8"/>
      <c r="GT193" s="1266"/>
      <c r="GU193" s="300"/>
      <c r="GW193" s="8"/>
      <c r="GX193" s="8"/>
      <c r="GY193" s="8"/>
      <c r="GZ193" s="8"/>
      <c r="HA193" s="8"/>
      <c r="HB193" s="8"/>
      <c r="HC193" s="8"/>
      <c r="HD193" s="1266"/>
      <c r="HE193" s="300"/>
      <c r="HG193" s="8"/>
      <c r="HH193" s="8"/>
      <c r="HI193" s="8"/>
      <c r="HJ193" s="8"/>
      <c r="HK193" s="8"/>
      <c r="HL193" s="8"/>
      <c r="HM193" s="8"/>
      <c r="HN193" s="1266"/>
      <c r="HO193" s="300"/>
      <c r="HQ193" s="8"/>
      <c r="HR193" s="8"/>
      <c r="HS193" s="8"/>
      <c r="HT193" s="8"/>
      <c r="HU193" s="8"/>
      <c r="HV193" s="8"/>
      <c r="HW193" s="8"/>
      <c r="HX193" s="8"/>
      <c r="HY193" s="1266"/>
      <c r="HZ193" s="300"/>
      <c r="IB193" s="8"/>
      <c r="IC193" s="8"/>
      <c r="ID193" s="8"/>
      <c r="IE193" s="8"/>
      <c r="IF193" s="8"/>
      <c r="IG193" s="8"/>
      <c r="IH193" s="8"/>
      <c r="II193" s="1266"/>
      <c r="IJ193" s="300"/>
      <c r="IL193" s="8"/>
      <c r="IM193" s="8"/>
      <c r="IN193" s="8"/>
      <c r="IO193" s="8"/>
    </row>
    <row r="194" spans="3:249" x14ac:dyDescent="0.3">
      <c r="C194" t="s">
        <v>2363</v>
      </c>
      <c r="D194" s="300" t="s">
        <v>877</v>
      </c>
      <c r="F194" s="8"/>
      <c r="G194" s="8"/>
      <c r="H194" s="8"/>
      <c r="I194" s="8"/>
      <c r="J194" s="8"/>
      <c r="K194" s="8"/>
      <c r="L194" s="8"/>
      <c r="M194" s="8"/>
      <c r="N194" s="300" t="s">
        <v>877</v>
      </c>
      <c r="O194" t="s">
        <v>533</v>
      </c>
      <c r="P194" s="8"/>
      <c r="Q194" s="8"/>
      <c r="R194" s="8"/>
      <c r="S194" s="8"/>
      <c r="T194" s="8"/>
      <c r="U194" s="8"/>
      <c r="V194" s="8"/>
      <c r="W194" s="1266"/>
      <c r="X194" s="300" t="s">
        <v>877</v>
      </c>
      <c r="Z194" s="8"/>
      <c r="AA194" s="8"/>
      <c r="AB194" s="8"/>
      <c r="AC194" s="8"/>
      <c r="AD194" s="8"/>
      <c r="AE194" s="8"/>
      <c r="AF194" s="8"/>
      <c r="AG194" s="1266"/>
      <c r="AH194" s="300" t="s">
        <v>877</v>
      </c>
      <c r="AI194" t="s">
        <v>534</v>
      </c>
      <c r="AJ194" s="8" t="s">
        <v>534</v>
      </c>
      <c r="AK194" s="8"/>
      <c r="AL194" s="8"/>
      <c r="AM194" s="8"/>
      <c r="AN194" s="8"/>
      <c r="AO194" s="8"/>
      <c r="AP194" s="8"/>
      <c r="AQ194" s="8"/>
      <c r="AR194" s="8"/>
      <c r="AS194" s="1266"/>
      <c r="AT194" s="300" t="s">
        <v>877</v>
      </c>
      <c r="AU194" t="s">
        <v>534</v>
      </c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1266"/>
      <c r="BG194" s="300" t="s">
        <v>877</v>
      </c>
      <c r="BI194" s="8"/>
      <c r="BJ194" s="8"/>
      <c r="BK194" s="8"/>
      <c r="BL194" s="8"/>
      <c r="BT194" s="300" t="s">
        <v>877</v>
      </c>
      <c r="BV194" s="8"/>
      <c r="BW194" s="8"/>
      <c r="BX194" s="8"/>
      <c r="BY194" s="8"/>
      <c r="BZ194" s="8"/>
      <c r="CA194" s="8"/>
      <c r="CB194" s="8"/>
      <c r="CC194" s="1266"/>
      <c r="CD194" s="300" t="s">
        <v>877</v>
      </c>
      <c r="CF194" s="8"/>
      <c r="CG194" s="8"/>
      <c r="CH194" s="8"/>
      <c r="CI194" s="8"/>
      <c r="CJ194" s="8"/>
      <c r="CK194" s="8"/>
      <c r="CL194" s="8"/>
      <c r="CM194" s="1266"/>
      <c r="CN194" s="300" t="s">
        <v>877</v>
      </c>
      <c r="CO194" t="s">
        <v>534</v>
      </c>
      <c r="CP194" s="8"/>
      <c r="CQ194" s="8"/>
      <c r="CR194" s="8"/>
      <c r="CS194" s="8"/>
      <c r="CT194" s="8"/>
      <c r="CU194" s="8"/>
      <c r="CV194" s="8"/>
      <c r="CW194" s="1266"/>
      <c r="CX194" s="300" t="s">
        <v>877</v>
      </c>
      <c r="CY194" t="s">
        <v>534</v>
      </c>
      <c r="CZ194" s="8"/>
      <c r="DA194" s="8"/>
      <c r="DB194" s="8"/>
      <c r="DC194" s="8"/>
      <c r="DD194" s="8"/>
      <c r="DE194" s="8"/>
      <c r="DF194" s="8"/>
      <c r="DG194" s="1266"/>
      <c r="DH194" s="300" t="s">
        <v>877</v>
      </c>
      <c r="DI194" t="s">
        <v>534</v>
      </c>
      <c r="DJ194" s="8"/>
      <c r="DK194" s="8"/>
      <c r="DL194" s="8"/>
      <c r="DM194" s="8"/>
      <c r="DN194" s="8"/>
      <c r="DO194" s="8"/>
      <c r="DP194" s="8"/>
      <c r="DQ194" s="1266"/>
      <c r="DR194" s="300" t="s">
        <v>877</v>
      </c>
      <c r="DT194" s="8"/>
      <c r="DU194" s="8"/>
      <c r="DV194" s="8"/>
      <c r="DW194" s="8"/>
      <c r="EB194" s="300" t="s">
        <v>877</v>
      </c>
      <c r="ED194" s="8"/>
      <c r="EE194" s="8"/>
      <c r="EF194" s="8"/>
      <c r="EG194" s="8"/>
      <c r="EH194" s="8"/>
      <c r="EI194" s="8"/>
      <c r="EJ194" s="8"/>
      <c r="EK194" s="1266"/>
      <c r="EL194" s="300" t="s">
        <v>877</v>
      </c>
      <c r="EN194" s="8"/>
      <c r="EO194" s="8"/>
      <c r="EP194" s="8"/>
      <c r="EQ194" s="8"/>
      <c r="ER194" s="8"/>
      <c r="ES194" s="8"/>
      <c r="ET194" s="8"/>
      <c r="EU194" s="1266"/>
      <c r="EV194" s="300" t="s">
        <v>877</v>
      </c>
      <c r="EX194" s="8"/>
      <c r="EY194" s="8"/>
      <c r="EZ194" s="8"/>
      <c r="FA194" s="8"/>
      <c r="FB194" s="8"/>
      <c r="FC194" s="8"/>
      <c r="FD194" s="8"/>
      <c r="FE194" s="1266"/>
      <c r="FF194" s="300" t="s">
        <v>877</v>
      </c>
      <c r="FG194" t="s">
        <v>534</v>
      </c>
      <c r="FH194" s="8"/>
      <c r="FI194" s="8"/>
      <c r="FJ194" s="8"/>
      <c r="FK194" s="8"/>
      <c r="FL194" s="8"/>
      <c r="FM194" s="8"/>
      <c r="FN194" s="8"/>
      <c r="FO194" s="1266"/>
      <c r="FP194" s="300" t="s">
        <v>877</v>
      </c>
      <c r="FR194" s="8"/>
      <c r="FS194" s="8"/>
      <c r="FT194" s="8"/>
      <c r="FU194" s="8"/>
      <c r="FV194" s="8"/>
      <c r="FW194" s="8"/>
      <c r="FX194" s="8"/>
      <c r="FY194" s="8"/>
      <c r="FZ194" s="1266"/>
      <c r="GA194" s="300" t="s">
        <v>877</v>
      </c>
      <c r="GC194" s="8"/>
      <c r="GD194" s="8"/>
      <c r="GE194" s="8"/>
      <c r="GF194" s="8"/>
      <c r="GK194" s="300" t="s">
        <v>877</v>
      </c>
      <c r="GL194" t="s">
        <v>534</v>
      </c>
      <c r="GM194" s="8"/>
      <c r="GN194" s="8"/>
      <c r="GO194" s="8"/>
      <c r="GP194" s="8"/>
      <c r="GQ194" s="8"/>
      <c r="GR194" s="8"/>
      <c r="GS194" s="8"/>
      <c r="GT194" s="1266"/>
      <c r="GU194" s="300" t="s">
        <v>877</v>
      </c>
      <c r="GV194" t="s">
        <v>533</v>
      </c>
      <c r="GW194" s="8" t="s">
        <v>534</v>
      </c>
      <c r="GX194" s="8"/>
      <c r="GY194" s="8"/>
      <c r="GZ194" s="8"/>
      <c r="HA194" s="8"/>
      <c r="HB194" s="8"/>
      <c r="HC194" s="8"/>
      <c r="HD194" s="1266"/>
      <c r="HE194" s="300" t="s">
        <v>877</v>
      </c>
      <c r="HG194" s="8"/>
      <c r="HH194" s="8"/>
      <c r="HI194" s="8"/>
      <c r="HJ194" s="8"/>
      <c r="HK194" s="8"/>
      <c r="HL194" s="8"/>
      <c r="HM194" s="8"/>
      <c r="HN194" s="1266"/>
      <c r="HO194" s="300"/>
      <c r="HQ194" s="8"/>
      <c r="HR194" s="8"/>
      <c r="HS194" s="8"/>
      <c r="HT194" s="8"/>
      <c r="HU194" s="8"/>
      <c r="HV194" s="8"/>
      <c r="HW194" s="8"/>
      <c r="HX194" s="8"/>
      <c r="HY194" s="1266"/>
      <c r="HZ194" s="300"/>
      <c r="IB194" s="8"/>
      <c r="IC194" s="8"/>
      <c r="ID194" s="8"/>
      <c r="IE194" s="8"/>
      <c r="IF194" s="8"/>
      <c r="IG194" s="8"/>
      <c r="IH194" s="8"/>
      <c r="II194" s="1266"/>
      <c r="IJ194" s="300"/>
      <c r="IL194" s="8"/>
      <c r="IM194" s="8"/>
      <c r="IN194" s="8"/>
      <c r="IO194" s="8"/>
    </row>
    <row r="195" spans="3:249" x14ac:dyDescent="0.3">
      <c r="C195" t="s">
        <v>1812</v>
      </c>
      <c r="D195" s="300" t="s">
        <v>877</v>
      </c>
      <c r="F195" s="8"/>
      <c r="G195" s="8"/>
      <c r="H195" s="8"/>
      <c r="I195" s="8"/>
      <c r="J195" s="8"/>
      <c r="K195" s="8"/>
      <c r="L195" s="8"/>
      <c r="M195" s="8"/>
      <c r="N195" s="300" t="s">
        <v>877</v>
      </c>
      <c r="P195" s="8"/>
      <c r="Q195" s="8"/>
      <c r="R195" s="8"/>
      <c r="S195" s="8"/>
      <c r="T195" s="8"/>
      <c r="U195" s="8"/>
      <c r="V195" s="8"/>
      <c r="W195" s="1266"/>
      <c r="X195" s="300" t="s">
        <v>877</v>
      </c>
      <c r="Y195" t="s">
        <v>534</v>
      </c>
      <c r="Z195" s="8"/>
      <c r="AA195" s="8"/>
      <c r="AB195" s="8"/>
      <c r="AC195" s="8"/>
      <c r="AD195" s="8"/>
      <c r="AE195" s="8"/>
      <c r="AF195" s="8"/>
      <c r="AG195" s="1266"/>
      <c r="AH195" s="300" t="s">
        <v>877</v>
      </c>
      <c r="AI195" t="s">
        <v>534</v>
      </c>
      <c r="AJ195" s="8" t="s">
        <v>534</v>
      </c>
      <c r="AK195" s="8"/>
      <c r="AL195" s="8"/>
      <c r="AM195" s="8"/>
      <c r="AN195" s="8"/>
      <c r="AO195" s="8"/>
      <c r="AP195" s="8"/>
      <c r="AQ195" s="8"/>
      <c r="AR195" s="8"/>
      <c r="AS195" s="1266"/>
      <c r="AT195" s="300" t="s">
        <v>877</v>
      </c>
      <c r="AU195" t="s">
        <v>534</v>
      </c>
      <c r="AV195" s="8" t="s">
        <v>534</v>
      </c>
      <c r="AW195" s="8" t="s">
        <v>534</v>
      </c>
      <c r="AX195" s="8"/>
      <c r="AY195" s="8"/>
      <c r="AZ195" s="8"/>
      <c r="BA195" s="8"/>
      <c r="BB195" s="8"/>
      <c r="BC195" s="8"/>
      <c r="BD195" s="8"/>
      <c r="BE195" s="8"/>
      <c r="BF195" s="1266"/>
      <c r="BG195" s="300" t="s">
        <v>877</v>
      </c>
      <c r="BI195" s="8"/>
      <c r="BJ195" s="8"/>
      <c r="BK195" s="8"/>
      <c r="BL195" s="8"/>
      <c r="BT195" s="300" t="s">
        <v>877</v>
      </c>
      <c r="BU195" t="s">
        <v>533</v>
      </c>
      <c r="BV195" s="8"/>
      <c r="BW195" s="8"/>
      <c r="BX195" s="8"/>
      <c r="BY195" s="8"/>
      <c r="BZ195" s="8"/>
      <c r="CA195" s="8"/>
      <c r="CB195" s="8"/>
      <c r="CC195" s="1266"/>
      <c r="CD195" s="300" t="s">
        <v>877</v>
      </c>
      <c r="CE195" t="s">
        <v>534</v>
      </c>
      <c r="CF195" s="8"/>
      <c r="CG195" s="8"/>
      <c r="CH195" s="8"/>
      <c r="CI195" s="8"/>
      <c r="CJ195" s="8"/>
      <c r="CK195" s="8"/>
      <c r="CL195" s="8"/>
      <c r="CM195" s="1266"/>
      <c r="CN195" s="300" t="s">
        <v>877</v>
      </c>
      <c r="CP195" s="8"/>
      <c r="CQ195" s="8"/>
      <c r="CR195" s="8"/>
      <c r="CS195" s="8"/>
      <c r="CT195" s="8"/>
      <c r="CU195" s="8"/>
      <c r="CV195" s="8"/>
      <c r="CW195" s="1266"/>
      <c r="CX195" s="300" t="s">
        <v>877</v>
      </c>
      <c r="CZ195" s="8"/>
      <c r="DA195" s="8"/>
      <c r="DB195" s="8"/>
      <c r="DC195" s="8"/>
      <c r="DD195" s="8"/>
      <c r="DE195" s="8"/>
      <c r="DF195" s="8"/>
      <c r="DG195" s="1266"/>
      <c r="DH195" s="300"/>
      <c r="DJ195" s="8"/>
      <c r="DK195" s="8"/>
      <c r="DL195" s="8"/>
      <c r="DM195" s="8"/>
      <c r="DN195" s="8"/>
      <c r="DO195" s="8"/>
      <c r="DP195" s="8"/>
      <c r="DQ195" s="1266"/>
      <c r="DR195" s="300" t="s">
        <v>877</v>
      </c>
      <c r="DT195" s="8"/>
      <c r="DU195" s="8"/>
      <c r="DV195" s="8"/>
      <c r="DW195" s="8"/>
      <c r="EB195" s="300" t="s">
        <v>877</v>
      </c>
      <c r="ED195" s="8"/>
      <c r="EE195" s="8"/>
      <c r="EF195" s="8"/>
      <c r="EG195" s="8"/>
      <c r="EH195" s="8"/>
      <c r="EI195" s="8"/>
      <c r="EJ195" s="8"/>
      <c r="EK195" s="1266"/>
      <c r="EL195" s="300" t="s">
        <v>877</v>
      </c>
      <c r="EM195" t="s">
        <v>533</v>
      </c>
      <c r="EN195" s="8" t="s">
        <v>2229</v>
      </c>
      <c r="EO195" s="8"/>
      <c r="EP195" s="8"/>
      <c r="EQ195" s="8"/>
      <c r="ER195" s="8"/>
      <c r="ES195" s="8"/>
      <c r="ET195" s="8"/>
      <c r="EU195" s="1266"/>
      <c r="EV195" s="300" t="s">
        <v>877</v>
      </c>
      <c r="EW195" t="s">
        <v>534</v>
      </c>
      <c r="EX195" s="8"/>
      <c r="EY195" s="8"/>
      <c r="EZ195" s="8"/>
      <c r="FA195" s="8"/>
      <c r="FB195" s="8"/>
      <c r="FC195" s="8"/>
      <c r="FD195" s="8"/>
      <c r="FE195" s="1266"/>
      <c r="FF195" s="300" t="s">
        <v>877</v>
      </c>
      <c r="FH195" s="8"/>
      <c r="FI195" s="8"/>
      <c r="FJ195" s="8"/>
      <c r="FK195" s="8"/>
      <c r="FL195" s="8"/>
      <c r="FM195" s="8"/>
      <c r="FN195" s="8"/>
      <c r="FO195" s="1266"/>
      <c r="FP195" s="300" t="s">
        <v>877</v>
      </c>
      <c r="FQ195" t="s">
        <v>534</v>
      </c>
      <c r="FR195" s="8"/>
      <c r="FS195" s="8"/>
      <c r="FT195" s="8"/>
      <c r="FU195" s="8"/>
      <c r="FV195" s="8"/>
      <c r="FW195" s="8"/>
      <c r="FX195" s="8"/>
      <c r="FY195" s="8"/>
      <c r="FZ195" s="1266"/>
      <c r="GA195" s="300" t="s">
        <v>877</v>
      </c>
      <c r="GC195" s="8"/>
      <c r="GD195" s="8"/>
      <c r="GE195" s="8"/>
      <c r="GF195" s="8"/>
      <c r="GK195" s="300" t="s">
        <v>877</v>
      </c>
      <c r="GL195" t="s">
        <v>533</v>
      </c>
      <c r="GM195" s="8" t="s">
        <v>534</v>
      </c>
      <c r="GN195" s="8"/>
      <c r="GO195" s="8"/>
      <c r="GP195" s="8"/>
      <c r="GQ195" s="8"/>
      <c r="GR195" s="8"/>
      <c r="GS195" s="8"/>
      <c r="GT195" s="1266"/>
      <c r="GU195" s="300" t="s">
        <v>877</v>
      </c>
      <c r="GV195" t="s">
        <v>533</v>
      </c>
      <c r="GW195" s="8" t="s">
        <v>533</v>
      </c>
      <c r="GX195" s="8" t="s">
        <v>2229</v>
      </c>
      <c r="GY195" s="8"/>
      <c r="GZ195" s="8"/>
      <c r="HA195" s="8"/>
      <c r="HB195" s="8"/>
      <c r="HC195" s="8"/>
      <c r="HD195" s="1266"/>
      <c r="HE195" s="300" t="s">
        <v>877</v>
      </c>
      <c r="HG195" s="8"/>
      <c r="HH195" s="8"/>
      <c r="HI195" s="8"/>
      <c r="HJ195" s="8"/>
      <c r="HK195" s="8"/>
      <c r="HL195" s="8"/>
      <c r="HM195" s="8"/>
      <c r="HN195" s="1266"/>
      <c r="HO195" s="300" t="s">
        <v>877</v>
      </c>
      <c r="HQ195" s="8"/>
      <c r="HR195" s="8"/>
      <c r="HS195" s="8"/>
      <c r="HT195" s="8"/>
      <c r="HU195" s="8"/>
      <c r="HV195" s="8"/>
      <c r="HW195" s="8"/>
      <c r="HX195" s="8"/>
      <c r="HY195" s="1266"/>
      <c r="HZ195" s="300"/>
      <c r="IB195" s="8"/>
      <c r="IC195" s="8"/>
      <c r="ID195" s="8"/>
      <c r="IE195" s="8"/>
      <c r="IF195" s="8"/>
      <c r="IG195" s="8"/>
      <c r="IH195" s="8"/>
      <c r="II195" s="1266"/>
      <c r="IJ195" s="300"/>
      <c r="IL195" s="8"/>
      <c r="IM195" s="8"/>
      <c r="IN195" s="8"/>
      <c r="IO195" s="8"/>
    </row>
    <row r="196" spans="3:249" x14ac:dyDescent="0.3">
      <c r="C196" t="s">
        <v>2513</v>
      </c>
      <c r="D196" s="300" t="s">
        <v>877</v>
      </c>
      <c r="E196" t="s">
        <v>535</v>
      </c>
      <c r="F196" s="8"/>
      <c r="G196" s="8"/>
      <c r="H196" s="8"/>
      <c r="I196" s="265"/>
      <c r="J196" s="265"/>
      <c r="K196" s="265"/>
      <c r="L196" s="8"/>
      <c r="M196" s="8"/>
      <c r="N196" s="300" t="s">
        <v>877</v>
      </c>
      <c r="O196" t="s">
        <v>534</v>
      </c>
      <c r="P196" s="8" t="s">
        <v>533</v>
      </c>
      <c r="Q196" s="8" t="s">
        <v>637</v>
      </c>
      <c r="R196" s="8"/>
      <c r="S196" s="265"/>
      <c r="T196" s="265"/>
      <c r="U196" s="265"/>
      <c r="V196" s="8"/>
      <c r="W196" s="1266"/>
      <c r="X196" s="300" t="s">
        <v>877</v>
      </c>
      <c r="Z196" s="8"/>
      <c r="AA196" s="8"/>
      <c r="AB196" s="8"/>
      <c r="AC196" s="265"/>
      <c r="AD196" s="265"/>
      <c r="AE196" s="265"/>
      <c r="AF196" s="8"/>
      <c r="AG196" s="1266"/>
      <c r="AH196" s="300" t="s">
        <v>877</v>
      </c>
      <c r="AI196" t="s">
        <v>533</v>
      </c>
      <c r="AJ196" s="8" t="s">
        <v>540</v>
      </c>
      <c r="AK196" s="8" t="s">
        <v>533</v>
      </c>
      <c r="AL196" s="8" t="s">
        <v>534</v>
      </c>
      <c r="AM196" s="8" t="s">
        <v>2229</v>
      </c>
      <c r="AN196" s="265"/>
      <c r="AO196" s="265"/>
      <c r="AP196" s="265"/>
      <c r="AQ196" s="265"/>
      <c r="AR196" s="8"/>
      <c r="AS196" s="1266"/>
      <c r="AT196" s="300" t="s">
        <v>877</v>
      </c>
      <c r="AU196" t="s">
        <v>533</v>
      </c>
      <c r="AV196" s="8" t="s">
        <v>533</v>
      </c>
      <c r="AW196" s="8" t="s">
        <v>533</v>
      </c>
      <c r="AX196" s="8" t="s">
        <v>139</v>
      </c>
      <c r="AY196" s="8" t="s">
        <v>992</v>
      </c>
      <c r="AZ196" s="8" t="s">
        <v>2229</v>
      </c>
      <c r="BA196" s="265"/>
      <c r="BB196" s="265"/>
      <c r="BC196" s="265"/>
      <c r="BD196" s="265"/>
      <c r="BE196" s="8"/>
      <c r="BF196" s="1266"/>
      <c r="BG196" s="300" t="s">
        <v>877</v>
      </c>
      <c r="BI196" s="8"/>
      <c r="BJ196" s="8"/>
      <c r="BK196" s="8"/>
      <c r="BL196" s="265"/>
      <c r="BT196" s="300"/>
      <c r="BV196" s="8"/>
      <c r="BW196" s="8"/>
      <c r="BX196" s="8"/>
      <c r="BY196" s="265"/>
      <c r="BZ196" s="265"/>
      <c r="CA196" s="265"/>
      <c r="CB196" s="8"/>
      <c r="CC196" s="1266"/>
      <c r="CD196" s="300"/>
      <c r="CF196" s="8"/>
      <c r="CG196" s="8"/>
      <c r="CH196" s="8"/>
      <c r="CI196" s="265"/>
      <c r="CJ196" s="265"/>
      <c r="CK196" s="265"/>
      <c r="CL196" s="8"/>
      <c r="CM196" s="1266"/>
      <c r="CN196" s="300" t="s">
        <v>877</v>
      </c>
      <c r="CP196" s="8"/>
      <c r="CQ196" s="8"/>
      <c r="CR196" s="8"/>
      <c r="CS196" s="265"/>
      <c r="CT196" s="265"/>
      <c r="CU196" s="265"/>
      <c r="CV196" s="8"/>
      <c r="CW196" s="1266"/>
      <c r="CX196" s="300" t="s">
        <v>877</v>
      </c>
      <c r="CY196" t="s">
        <v>533</v>
      </c>
      <c r="CZ196" s="8"/>
      <c r="DA196" s="8"/>
      <c r="DB196" s="8"/>
      <c r="DC196" s="265"/>
      <c r="DD196" s="265"/>
      <c r="DE196" s="265"/>
      <c r="DF196" s="8"/>
      <c r="DG196" s="1266"/>
      <c r="DH196" s="300" t="s">
        <v>877</v>
      </c>
      <c r="DI196" t="s">
        <v>534</v>
      </c>
      <c r="DJ196" s="8"/>
      <c r="DK196" s="8"/>
      <c r="DL196" s="8"/>
      <c r="DM196" s="265"/>
      <c r="DN196" s="265"/>
      <c r="DO196" s="265"/>
      <c r="DP196" s="8"/>
      <c r="DQ196" s="1266"/>
      <c r="DR196" s="300"/>
      <c r="DT196" s="8"/>
      <c r="DU196" s="8"/>
      <c r="DV196" s="8"/>
      <c r="DW196" s="265"/>
      <c r="EB196" s="300" t="s">
        <v>877</v>
      </c>
      <c r="ED196" s="8"/>
      <c r="EE196" s="8"/>
      <c r="EF196" s="8"/>
      <c r="EG196" s="265"/>
      <c r="EH196" s="265"/>
      <c r="EI196" s="265"/>
      <c r="EJ196" s="8"/>
      <c r="EK196" s="1266"/>
      <c r="EL196" s="300" t="s">
        <v>877</v>
      </c>
      <c r="EM196" t="s">
        <v>533</v>
      </c>
      <c r="EN196" s="8"/>
      <c r="EO196" s="8"/>
      <c r="EP196" s="8"/>
      <c r="EQ196" s="265"/>
      <c r="ER196" s="265"/>
      <c r="ES196" s="265"/>
      <c r="ET196" s="8"/>
      <c r="EU196" s="1266"/>
      <c r="EV196" s="300" t="s">
        <v>877</v>
      </c>
      <c r="EW196" t="s">
        <v>533</v>
      </c>
      <c r="EX196" s="8" t="s">
        <v>533</v>
      </c>
      <c r="EY196" s="8" t="s">
        <v>533</v>
      </c>
      <c r="EZ196" s="8" t="s">
        <v>992</v>
      </c>
      <c r="FA196" s="265"/>
      <c r="FB196" s="265"/>
      <c r="FC196" s="265"/>
      <c r="FD196" s="8"/>
      <c r="FE196" s="1266"/>
      <c r="FF196" s="300" t="s">
        <v>877</v>
      </c>
      <c r="FG196" t="s">
        <v>535</v>
      </c>
      <c r="FH196" s="8" t="s">
        <v>533</v>
      </c>
      <c r="FI196" s="8" t="s">
        <v>533</v>
      </c>
      <c r="FJ196" s="8" t="s">
        <v>534</v>
      </c>
      <c r="FK196" s="265"/>
      <c r="FL196" s="265"/>
      <c r="FM196" s="265"/>
      <c r="FN196" s="8"/>
      <c r="FO196" s="1266"/>
      <c r="FP196" s="300" t="s">
        <v>877</v>
      </c>
      <c r="FR196" s="8"/>
      <c r="FS196" s="8"/>
      <c r="FT196" s="8"/>
      <c r="FU196" s="265"/>
      <c r="FV196" s="265"/>
      <c r="FW196" s="265"/>
      <c r="FX196" s="265"/>
      <c r="FY196" s="8"/>
      <c r="FZ196" s="1266"/>
      <c r="GA196" s="300" t="s">
        <v>877</v>
      </c>
      <c r="GB196" t="s">
        <v>533</v>
      </c>
      <c r="GC196" s="8"/>
      <c r="GD196" s="8"/>
      <c r="GE196" s="8"/>
      <c r="GF196" s="265"/>
      <c r="GK196" s="300" t="s">
        <v>877</v>
      </c>
      <c r="GL196" t="s">
        <v>535</v>
      </c>
      <c r="GM196" s="8"/>
      <c r="GN196" s="8"/>
      <c r="GO196" s="8"/>
      <c r="GP196" s="265"/>
      <c r="GQ196" s="265"/>
      <c r="GR196" s="265"/>
      <c r="GS196" s="8"/>
      <c r="GT196" s="1266"/>
      <c r="GU196" s="300" t="s">
        <v>877</v>
      </c>
      <c r="GV196" t="s">
        <v>534</v>
      </c>
      <c r="GW196" s="8"/>
      <c r="GX196" s="8"/>
      <c r="GY196" s="8"/>
      <c r="GZ196" s="265"/>
      <c r="HA196" s="265"/>
      <c r="HB196" s="265"/>
      <c r="HC196" s="8"/>
      <c r="HD196" s="1266"/>
      <c r="HE196" s="300" t="s">
        <v>877</v>
      </c>
      <c r="HF196" t="s">
        <v>533</v>
      </c>
      <c r="HG196" s="8"/>
      <c r="HH196" s="8"/>
      <c r="HI196" s="8"/>
      <c r="HJ196" s="265"/>
      <c r="HK196" s="265"/>
      <c r="HL196" s="265"/>
      <c r="HM196" s="8"/>
      <c r="HN196" s="1266"/>
      <c r="HO196" s="300" t="s">
        <v>877</v>
      </c>
      <c r="HP196" t="s">
        <v>535</v>
      </c>
      <c r="HQ196" s="8" t="s">
        <v>533</v>
      </c>
      <c r="HR196" s="8"/>
      <c r="HS196" s="8"/>
      <c r="HT196" s="265"/>
      <c r="HU196" s="265"/>
      <c r="HV196" s="265"/>
      <c r="HW196" s="265"/>
      <c r="HX196" s="8"/>
      <c r="HY196" s="1266"/>
      <c r="HZ196" s="300"/>
      <c r="IB196" s="8"/>
      <c r="IC196" s="8"/>
      <c r="ID196" s="8"/>
      <c r="IE196" s="265"/>
      <c r="IF196" s="265"/>
      <c r="IG196" s="265"/>
      <c r="IH196" s="8"/>
      <c r="II196" s="1266"/>
      <c r="IJ196" s="300"/>
      <c r="IL196" s="8"/>
      <c r="IM196" s="8"/>
      <c r="IN196" s="8"/>
      <c r="IO196" s="265"/>
    </row>
    <row r="197" spans="3:249" x14ac:dyDescent="0.3">
      <c r="C197" t="s">
        <v>2717</v>
      </c>
      <c r="D197" s="300"/>
      <c r="N197" s="300"/>
      <c r="W197" s="683"/>
      <c r="X197" s="300" t="s">
        <v>877</v>
      </c>
      <c r="AG197" s="683"/>
      <c r="AH197" s="300"/>
      <c r="AS197" s="683"/>
      <c r="AT197" s="300"/>
      <c r="BF197" s="683"/>
      <c r="BG197" s="300"/>
      <c r="BT197" s="300"/>
      <c r="CC197" s="683"/>
      <c r="CD197" s="300"/>
      <c r="CM197" s="683"/>
      <c r="CN197" s="300"/>
      <c r="CW197" s="683"/>
      <c r="CX197" s="300"/>
      <c r="DG197" s="683"/>
      <c r="DH197" s="300"/>
      <c r="DQ197" s="683"/>
      <c r="DR197" s="300"/>
      <c r="EB197" s="300"/>
      <c r="EK197" s="683"/>
      <c r="EL197" s="300"/>
      <c r="EU197" s="683"/>
      <c r="EV197" s="300"/>
      <c r="FE197" s="683"/>
      <c r="FF197" s="300"/>
      <c r="FO197" s="683"/>
      <c r="FP197" s="300"/>
      <c r="FZ197" s="683"/>
      <c r="GA197" s="300"/>
      <c r="GK197" s="300"/>
      <c r="GT197" s="683"/>
      <c r="GU197" s="300"/>
      <c r="HD197" s="683"/>
      <c r="HE197" s="300"/>
      <c r="HN197" s="683"/>
      <c r="HO197" s="300"/>
      <c r="HY197" s="683"/>
      <c r="HZ197" s="300"/>
      <c r="II197" s="683"/>
      <c r="IJ197" s="300"/>
    </row>
    <row r="198" spans="3:249" x14ac:dyDescent="0.3">
      <c r="C198" t="s">
        <v>2251</v>
      </c>
      <c r="D198" s="300" t="s">
        <v>877</v>
      </c>
      <c r="N198" s="300" t="s">
        <v>877</v>
      </c>
      <c r="W198" s="683"/>
      <c r="X198" s="300" t="s">
        <v>877</v>
      </c>
      <c r="Y198" t="s">
        <v>534</v>
      </c>
      <c r="AG198" s="683"/>
      <c r="AH198" s="300" t="s">
        <v>877</v>
      </c>
      <c r="AI198" t="s">
        <v>533</v>
      </c>
      <c r="AS198" s="683"/>
      <c r="AT198" s="300" t="s">
        <v>877</v>
      </c>
      <c r="BF198" s="683"/>
      <c r="BG198" s="300" t="s">
        <v>877</v>
      </c>
      <c r="BH198" t="s">
        <v>533</v>
      </c>
      <c r="BT198" s="300" t="s">
        <v>877</v>
      </c>
      <c r="BU198" t="s">
        <v>535</v>
      </c>
      <c r="CC198" s="683"/>
      <c r="CD198" s="300" t="s">
        <v>877</v>
      </c>
      <c r="CM198" s="683"/>
      <c r="CN198" s="300" t="s">
        <v>877</v>
      </c>
      <c r="CW198" s="683"/>
      <c r="CX198" s="300" t="s">
        <v>877</v>
      </c>
      <c r="CY198" t="s">
        <v>535</v>
      </c>
      <c r="CZ198" t="s">
        <v>534</v>
      </c>
      <c r="DA198" t="s">
        <v>534</v>
      </c>
      <c r="DG198" s="683"/>
      <c r="DH198" s="300" t="s">
        <v>877</v>
      </c>
      <c r="DI198" t="s">
        <v>533</v>
      </c>
      <c r="DQ198" s="683"/>
      <c r="DR198" s="300" t="s">
        <v>877</v>
      </c>
      <c r="EB198" s="300" t="s">
        <v>877</v>
      </c>
      <c r="EK198" s="683"/>
      <c r="EL198" s="300" t="s">
        <v>877</v>
      </c>
      <c r="EM198" t="s">
        <v>533</v>
      </c>
      <c r="EN198" t="s">
        <v>534</v>
      </c>
      <c r="EU198" s="683"/>
      <c r="EV198" s="300" t="s">
        <v>877</v>
      </c>
      <c r="EW198" t="s">
        <v>533</v>
      </c>
      <c r="FE198" s="683"/>
      <c r="FF198" s="300" t="s">
        <v>877</v>
      </c>
      <c r="FG198" t="s">
        <v>535</v>
      </c>
      <c r="FH198" t="s">
        <v>533</v>
      </c>
      <c r="FI198" t="s">
        <v>545</v>
      </c>
      <c r="FO198" s="683"/>
      <c r="FP198" s="300" t="s">
        <v>877</v>
      </c>
      <c r="FQ198" t="s">
        <v>535</v>
      </c>
      <c r="FR198" t="s">
        <v>534</v>
      </c>
      <c r="FS198" t="s">
        <v>534</v>
      </c>
      <c r="FZ198" s="683"/>
      <c r="GA198" s="300" t="s">
        <v>877</v>
      </c>
      <c r="GB198" t="s">
        <v>557</v>
      </c>
      <c r="GK198" s="300" t="s">
        <v>877</v>
      </c>
      <c r="GL198" t="s">
        <v>534</v>
      </c>
      <c r="GT198" s="683"/>
      <c r="GU198" s="300" t="s">
        <v>877</v>
      </c>
      <c r="HD198" s="683"/>
      <c r="HE198" s="300" t="s">
        <v>877</v>
      </c>
      <c r="HN198" s="683"/>
      <c r="HO198" s="300"/>
      <c r="HY198" s="683"/>
      <c r="HZ198" s="300"/>
      <c r="II198" s="683"/>
      <c r="IJ198" s="300"/>
    </row>
    <row r="199" spans="3:249" x14ac:dyDescent="0.3">
      <c r="C199" t="s">
        <v>2512</v>
      </c>
      <c r="D199" s="300" t="s">
        <v>877</v>
      </c>
      <c r="F199" s="8"/>
      <c r="G199" s="8"/>
      <c r="H199" s="8"/>
      <c r="I199" s="265"/>
      <c r="J199" s="265"/>
      <c r="K199" s="265"/>
      <c r="L199" s="8"/>
      <c r="M199" s="8"/>
      <c r="N199" s="300" t="s">
        <v>877</v>
      </c>
      <c r="O199" t="s">
        <v>533</v>
      </c>
      <c r="P199" s="8" t="s">
        <v>534</v>
      </c>
      <c r="Q199" s="8" t="s">
        <v>534</v>
      </c>
      <c r="R199" s="8"/>
      <c r="S199" s="265"/>
      <c r="T199" s="265"/>
      <c r="U199" s="265"/>
      <c r="V199" s="8"/>
      <c r="W199" s="1266"/>
      <c r="X199" s="300" t="s">
        <v>877</v>
      </c>
      <c r="Z199" s="8"/>
      <c r="AA199" s="8"/>
      <c r="AB199" s="8"/>
      <c r="AC199" s="265"/>
      <c r="AD199" s="265"/>
      <c r="AE199" s="265"/>
      <c r="AF199" s="8"/>
      <c r="AG199" s="1266"/>
      <c r="AH199" s="300" t="s">
        <v>877</v>
      </c>
      <c r="AI199" t="s">
        <v>533</v>
      </c>
      <c r="AJ199" s="8" t="s">
        <v>637</v>
      </c>
      <c r="AK199" s="8"/>
      <c r="AL199" s="8"/>
      <c r="AM199" s="265"/>
      <c r="AN199" s="265"/>
      <c r="AO199" s="265"/>
      <c r="AP199" s="265"/>
      <c r="AQ199" s="265"/>
      <c r="AR199" s="8"/>
      <c r="AS199" s="1266"/>
      <c r="AT199" s="300" t="s">
        <v>877</v>
      </c>
      <c r="AU199" t="s">
        <v>534</v>
      </c>
      <c r="AV199" s="8"/>
      <c r="AW199" s="8"/>
      <c r="AX199" s="8"/>
      <c r="AY199" s="265"/>
      <c r="AZ199" s="265"/>
      <c r="BA199" s="265"/>
      <c r="BB199" s="265"/>
      <c r="BC199" s="265"/>
      <c r="BD199" s="265"/>
      <c r="BE199" s="8"/>
      <c r="BF199" s="1266"/>
      <c r="BG199" s="300" t="s">
        <v>877</v>
      </c>
      <c r="BH199" t="s">
        <v>534</v>
      </c>
      <c r="BI199" s="8"/>
      <c r="BJ199" s="8"/>
      <c r="BK199" s="8"/>
      <c r="BL199" s="265"/>
      <c r="BT199" s="300" t="s">
        <v>877</v>
      </c>
      <c r="BV199" s="8"/>
      <c r="BW199" s="8"/>
      <c r="BX199" s="8"/>
      <c r="BY199" s="265"/>
      <c r="BZ199" s="265"/>
      <c r="CA199" s="265"/>
      <c r="CB199" s="8"/>
      <c r="CC199" s="1266"/>
      <c r="CD199" s="300" t="s">
        <v>877</v>
      </c>
      <c r="CF199" s="8"/>
      <c r="CG199" s="8"/>
      <c r="CH199" s="8"/>
      <c r="CI199" s="265"/>
      <c r="CJ199" s="265"/>
      <c r="CK199" s="265"/>
      <c r="CL199" s="8"/>
      <c r="CM199" s="1266"/>
      <c r="CN199" s="300"/>
      <c r="CP199" s="8"/>
      <c r="CQ199" s="8"/>
      <c r="CR199" s="8"/>
      <c r="CS199" s="265"/>
      <c r="CT199" s="265"/>
      <c r="CU199" s="265"/>
      <c r="CV199" s="8"/>
      <c r="CW199" s="1266"/>
      <c r="CX199" s="300"/>
      <c r="CZ199" s="8"/>
      <c r="DA199" s="8"/>
      <c r="DB199" s="8"/>
      <c r="DC199" s="265"/>
      <c r="DD199" s="265"/>
      <c r="DE199" s="265"/>
      <c r="DF199" s="8"/>
      <c r="DG199" s="1266"/>
      <c r="DH199" s="300"/>
      <c r="DJ199" s="8"/>
      <c r="DK199" s="8"/>
      <c r="DL199" s="8"/>
      <c r="DM199" s="265"/>
      <c r="DN199" s="265"/>
      <c r="DO199" s="265"/>
      <c r="DP199" s="8"/>
      <c r="DQ199" s="1266"/>
      <c r="DR199" s="300" t="s">
        <v>877</v>
      </c>
      <c r="DS199" t="s">
        <v>535</v>
      </c>
      <c r="DT199" s="8"/>
      <c r="DU199" s="8"/>
      <c r="DV199" s="8"/>
      <c r="DW199" s="265"/>
      <c r="EB199" s="300" t="s">
        <v>877</v>
      </c>
      <c r="ED199" s="8"/>
      <c r="EE199" s="8"/>
      <c r="EF199" s="8"/>
      <c r="EG199" s="265"/>
      <c r="EH199" s="265"/>
      <c r="EI199" s="265"/>
      <c r="EJ199" s="8"/>
      <c r="EK199" s="1266"/>
      <c r="EL199" s="300" t="s">
        <v>877</v>
      </c>
      <c r="EM199" t="s">
        <v>534</v>
      </c>
      <c r="EN199" s="8" t="s">
        <v>534</v>
      </c>
      <c r="EO199" s="8"/>
      <c r="EP199" s="8"/>
      <c r="EQ199" s="265"/>
      <c r="ER199" s="265"/>
      <c r="ES199" s="265"/>
      <c r="ET199" s="8"/>
      <c r="EU199" s="1266"/>
      <c r="EV199" s="300" t="s">
        <v>877</v>
      </c>
      <c r="EW199" t="s">
        <v>534</v>
      </c>
      <c r="EX199" s="8" t="s">
        <v>534</v>
      </c>
      <c r="EY199" s="8"/>
      <c r="EZ199" s="8"/>
      <c r="FA199" s="265"/>
      <c r="FB199" s="265"/>
      <c r="FC199" s="265"/>
      <c r="FD199" s="8"/>
      <c r="FE199" s="1266"/>
      <c r="FF199" s="300" t="s">
        <v>877</v>
      </c>
      <c r="FG199" t="s">
        <v>535</v>
      </c>
      <c r="FH199" s="8" t="s">
        <v>533</v>
      </c>
      <c r="FI199" s="8" t="s">
        <v>534</v>
      </c>
      <c r="FJ199" s="8"/>
      <c r="FK199" s="265"/>
      <c r="FL199" s="265"/>
      <c r="FM199" s="265"/>
      <c r="FN199" s="8"/>
      <c r="FO199" s="1266"/>
      <c r="FP199" s="300" t="s">
        <v>877</v>
      </c>
      <c r="FR199" s="8"/>
      <c r="FS199" s="8"/>
      <c r="FT199" s="8"/>
      <c r="FU199" s="265"/>
      <c r="FV199" s="265"/>
      <c r="FW199" s="265"/>
      <c r="FX199" s="265"/>
      <c r="FY199" s="8"/>
      <c r="FZ199" s="1266"/>
      <c r="GA199" s="300" t="s">
        <v>877</v>
      </c>
      <c r="GB199" t="s">
        <v>534</v>
      </c>
      <c r="GC199" s="8"/>
      <c r="GD199" s="8"/>
      <c r="GE199" s="8"/>
      <c r="GF199" s="265"/>
      <c r="GK199" s="300" t="s">
        <v>877</v>
      </c>
      <c r="GM199" s="8"/>
      <c r="GN199" s="8"/>
      <c r="GO199" s="8"/>
      <c r="GP199" s="265"/>
      <c r="GQ199" s="265"/>
      <c r="GR199" s="265"/>
      <c r="GS199" s="8"/>
      <c r="GT199" s="1266"/>
      <c r="GU199" s="300" t="s">
        <v>877</v>
      </c>
      <c r="GV199" t="s">
        <v>534</v>
      </c>
      <c r="GW199" s="8"/>
      <c r="GX199" s="8"/>
      <c r="GY199" s="8"/>
      <c r="GZ199" s="265"/>
      <c r="HA199" s="265"/>
      <c r="HB199" s="265"/>
      <c r="HC199" s="8"/>
      <c r="HD199" s="1266"/>
      <c r="HE199" s="300" t="s">
        <v>877</v>
      </c>
      <c r="HG199" s="8"/>
      <c r="HH199" s="8"/>
      <c r="HI199" s="8"/>
      <c r="HJ199" s="265"/>
      <c r="HK199" s="265"/>
      <c r="HL199" s="265"/>
      <c r="HM199" s="8"/>
      <c r="HN199" s="1266"/>
      <c r="HO199" s="300" t="s">
        <v>877</v>
      </c>
      <c r="HQ199" s="8"/>
      <c r="HR199" s="8"/>
      <c r="HS199" s="8"/>
      <c r="HT199" s="265"/>
      <c r="HU199" s="265"/>
      <c r="HV199" s="265"/>
      <c r="HW199" s="265"/>
      <c r="HX199" s="8"/>
      <c r="HY199" s="1266"/>
      <c r="HZ199" s="300"/>
      <c r="IB199" s="8"/>
      <c r="IC199" s="8"/>
      <c r="ID199" s="8"/>
      <c r="IE199" s="265"/>
      <c r="IF199" s="265"/>
      <c r="IG199" s="265"/>
      <c r="IH199" s="8"/>
      <c r="II199" s="1266"/>
      <c r="IJ199" s="300"/>
      <c r="IL199" s="8"/>
      <c r="IM199" s="8"/>
      <c r="IN199" s="8"/>
      <c r="IO199" s="265"/>
    </row>
    <row r="200" spans="3:249" x14ac:dyDescent="0.3">
      <c r="C200" t="s">
        <v>1815</v>
      </c>
      <c r="D200" s="300" t="s">
        <v>877</v>
      </c>
      <c r="N200" s="300" t="s">
        <v>877</v>
      </c>
      <c r="W200" s="683"/>
      <c r="X200" s="300"/>
      <c r="AG200" s="683"/>
      <c r="AH200" s="300"/>
      <c r="AS200" s="683"/>
      <c r="AT200" s="300"/>
      <c r="BF200" s="683"/>
      <c r="BG200" s="300"/>
      <c r="BT200" s="300" t="s">
        <v>877</v>
      </c>
      <c r="CC200" s="683"/>
      <c r="CD200" s="300" t="s">
        <v>877</v>
      </c>
      <c r="CM200" s="683"/>
      <c r="CN200" s="300" t="s">
        <v>877</v>
      </c>
      <c r="CW200" s="683"/>
      <c r="CX200" s="300" t="s">
        <v>877</v>
      </c>
      <c r="DG200" s="683"/>
      <c r="DH200" s="300" t="s">
        <v>877</v>
      </c>
      <c r="DQ200" s="683"/>
      <c r="DR200" s="300" t="s">
        <v>877</v>
      </c>
      <c r="EB200" s="300" t="s">
        <v>877</v>
      </c>
      <c r="EK200" s="683"/>
      <c r="EL200" s="300" t="s">
        <v>877</v>
      </c>
      <c r="EU200" s="683"/>
      <c r="EV200" s="300" t="s">
        <v>877</v>
      </c>
      <c r="FE200" s="683"/>
      <c r="FF200" s="300" t="s">
        <v>877</v>
      </c>
      <c r="FG200" t="s">
        <v>535</v>
      </c>
      <c r="FH200" t="s">
        <v>533</v>
      </c>
      <c r="FO200" s="683"/>
      <c r="FP200" s="300" t="s">
        <v>877</v>
      </c>
      <c r="FQ200" t="s">
        <v>535</v>
      </c>
      <c r="FZ200" s="683"/>
      <c r="GA200" s="300" t="s">
        <v>877</v>
      </c>
      <c r="GK200" s="300" t="s">
        <v>877</v>
      </c>
      <c r="GL200" t="s">
        <v>533</v>
      </c>
      <c r="GT200" s="683"/>
      <c r="GU200" s="300" t="s">
        <v>877</v>
      </c>
      <c r="GV200" t="s">
        <v>533</v>
      </c>
      <c r="GW200" t="s">
        <v>533</v>
      </c>
      <c r="HD200" s="683"/>
      <c r="HE200" s="300" t="s">
        <v>877</v>
      </c>
      <c r="HN200" s="683"/>
      <c r="HO200" s="300" t="s">
        <v>877</v>
      </c>
      <c r="HY200" s="683"/>
      <c r="HZ200" s="300"/>
      <c r="II200" s="683"/>
      <c r="IJ200" s="300"/>
    </row>
    <row r="201" spans="3:249" x14ac:dyDescent="0.3">
      <c r="C201" t="s">
        <v>2511</v>
      </c>
      <c r="D201" s="300"/>
      <c r="N201" s="300"/>
      <c r="W201" s="683"/>
      <c r="X201" s="300" t="s">
        <v>877</v>
      </c>
      <c r="AG201" s="683"/>
      <c r="AH201" s="300" t="s">
        <v>877</v>
      </c>
      <c r="AS201" s="683"/>
      <c r="AT201" s="300"/>
      <c r="BF201" s="683"/>
      <c r="BG201" s="300"/>
      <c r="BT201" s="300"/>
      <c r="CC201" s="683"/>
      <c r="CD201" s="300"/>
      <c r="CM201" s="683"/>
      <c r="CN201" s="300"/>
      <c r="CW201" s="683"/>
      <c r="CX201" s="300"/>
      <c r="DG201" s="683"/>
      <c r="DH201" s="300"/>
      <c r="DQ201" s="683"/>
      <c r="DR201" s="300" t="s">
        <v>877</v>
      </c>
      <c r="EB201" s="300"/>
      <c r="EK201" s="683"/>
      <c r="EL201" s="300"/>
      <c r="EU201" s="683"/>
      <c r="EV201" s="300"/>
      <c r="FE201" s="683"/>
      <c r="FF201" s="300"/>
      <c r="FO201" s="683"/>
      <c r="FP201" s="300"/>
      <c r="FZ201" s="683"/>
      <c r="GA201" s="300"/>
      <c r="GK201" s="300"/>
      <c r="GT201" s="683"/>
      <c r="GU201" s="300"/>
      <c r="HD201" s="683"/>
      <c r="HE201" s="300"/>
      <c r="HN201" s="683"/>
      <c r="HO201" s="300" t="s">
        <v>877</v>
      </c>
      <c r="HY201" s="683"/>
      <c r="HZ201" s="300"/>
      <c r="II201" s="683"/>
      <c r="IJ201" s="300"/>
    </row>
    <row r="202" spans="3:249" x14ac:dyDescent="0.3">
      <c r="C202" t="s">
        <v>2254</v>
      </c>
      <c r="D202" s="300" t="s">
        <v>877</v>
      </c>
      <c r="E202" t="s">
        <v>533</v>
      </c>
      <c r="N202" s="300" t="s">
        <v>877</v>
      </c>
      <c r="X202" s="300" t="s">
        <v>877</v>
      </c>
      <c r="Y202" t="s">
        <v>533</v>
      </c>
      <c r="AH202" s="300" t="s">
        <v>877</v>
      </c>
      <c r="AI202" t="s">
        <v>533</v>
      </c>
      <c r="AJ202" t="s">
        <v>533</v>
      </c>
      <c r="AT202" s="300" t="s">
        <v>877</v>
      </c>
      <c r="AU202" t="s">
        <v>533</v>
      </c>
      <c r="AV202" t="s">
        <v>533</v>
      </c>
      <c r="AW202" t="s">
        <v>534</v>
      </c>
      <c r="BG202" s="300" t="s">
        <v>877</v>
      </c>
      <c r="BH202" t="s">
        <v>534</v>
      </c>
      <c r="BT202" s="300" t="s">
        <v>877</v>
      </c>
      <c r="BU202" t="s">
        <v>534</v>
      </c>
      <c r="CD202" s="300" t="s">
        <v>877</v>
      </c>
      <c r="CE202" t="s">
        <v>534</v>
      </c>
      <c r="CN202" s="300" t="s">
        <v>877</v>
      </c>
      <c r="CX202" s="300" t="s">
        <v>877</v>
      </c>
      <c r="CY202" t="s">
        <v>533</v>
      </c>
      <c r="CZ202" t="s">
        <v>2229</v>
      </c>
      <c r="DH202" s="300" t="s">
        <v>877</v>
      </c>
      <c r="DI202" t="s">
        <v>533</v>
      </c>
      <c r="DJ202" t="s">
        <v>534</v>
      </c>
      <c r="DR202" s="300" t="s">
        <v>877</v>
      </c>
      <c r="EB202" s="300" t="s">
        <v>877</v>
      </c>
      <c r="EL202" s="300" t="s">
        <v>877</v>
      </c>
      <c r="EM202" t="s">
        <v>534</v>
      </c>
      <c r="EV202" s="300" t="s">
        <v>877</v>
      </c>
      <c r="EW202" t="s">
        <v>557</v>
      </c>
      <c r="FF202" s="300" t="s">
        <v>877</v>
      </c>
      <c r="FG202" t="s">
        <v>534</v>
      </c>
      <c r="FP202" s="300" t="s">
        <v>877</v>
      </c>
      <c r="GA202" s="300" t="s">
        <v>877</v>
      </c>
      <c r="GK202" s="300" t="s">
        <v>877</v>
      </c>
      <c r="GL202" t="s">
        <v>534</v>
      </c>
      <c r="GU202" s="300" t="s">
        <v>877</v>
      </c>
      <c r="GV202" t="s">
        <v>534</v>
      </c>
      <c r="HE202" s="300" t="s">
        <v>877</v>
      </c>
      <c r="HO202" s="300" t="s">
        <v>877</v>
      </c>
      <c r="HP202" t="s">
        <v>534</v>
      </c>
      <c r="HZ202" s="300"/>
      <c r="IJ202" s="300"/>
    </row>
    <row r="203" spans="3:249" x14ac:dyDescent="0.3">
      <c r="C203" t="s">
        <v>2739</v>
      </c>
      <c r="D203" s="300"/>
      <c r="N203" s="300"/>
      <c r="X203" s="300"/>
      <c r="AH203" s="300"/>
      <c r="AT203" s="300"/>
      <c r="BG203" s="300"/>
      <c r="BT203" s="300" t="s">
        <v>877</v>
      </c>
      <c r="BU203" t="s">
        <v>534</v>
      </c>
      <c r="CD203" s="300" t="s">
        <v>877</v>
      </c>
      <c r="CN203" s="300" t="s">
        <v>877</v>
      </c>
      <c r="CO203" t="s">
        <v>534</v>
      </c>
      <c r="CX203" s="300"/>
      <c r="DH203" s="300"/>
      <c r="DR203" s="300"/>
      <c r="EB203" s="300" t="s">
        <v>877</v>
      </c>
      <c r="EC203" t="s">
        <v>534</v>
      </c>
      <c r="EL203" s="300" t="s">
        <v>877</v>
      </c>
      <c r="EV203" s="300" t="s">
        <v>877</v>
      </c>
      <c r="FF203" s="300"/>
      <c r="FP203" s="300"/>
      <c r="GA203" s="300"/>
      <c r="GK203" s="300"/>
      <c r="GU203" s="300"/>
      <c r="HE203" s="300"/>
      <c r="HO203" s="300"/>
      <c r="HZ203" s="300"/>
      <c r="IJ203" s="300"/>
    </row>
    <row r="204" spans="3:249" x14ac:dyDescent="0.3">
      <c r="C204" t="s">
        <v>1816</v>
      </c>
      <c r="D204" s="300" t="s">
        <v>877</v>
      </c>
      <c r="N204" s="300" t="s">
        <v>877</v>
      </c>
      <c r="O204" t="s">
        <v>681</v>
      </c>
      <c r="P204" t="s">
        <v>993</v>
      </c>
      <c r="Q204" t="s">
        <v>993</v>
      </c>
      <c r="R204" t="s">
        <v>993</v>
      </c>
      <c r="S204" t="s">
        <v>993</v>
      </c>
      <c r="V204" t="s">
        <v>991</v>
      </c>
      <c r="W204">
        <v>19</v>
      </c>
      <c r="X204" s="300" t="s">
        <v>877</v>
      </c>
      <c r="AH204" s="300" t="s">
        <v>877</v>
      </c>
      <c r="AT204" s="300" t="s">
        <v>877</v>
      </c>
      <c r="BG204" s="300" t="s">
        <v>877</v>
      </c>
      <c r="BH204" t="s">
        <v>681</v>
      </c>
      <c r="BI204" t="s">
        <v>993</v>
      </c>
      <c r="BJ204" t="s">
        <v>993</v>
      </c>
      <c r="BK204" t="s">
        <v>993</v>
      </c>
      <c r="BL204" t="s">
        <v>993</v>
      </c>
      <c r="BM204" t="s">
        <v>993</v>
      </c>
      <c r="BN204" t="s">
        <v>993</v>
      </c>
      <c r="BO204" t="s">
        <v>993</v>
      </c>
      <c r="BR204" t="s">
        <v>991</v>
      </c>
      <c r="BS204">
        <v>17</v>
      </c>
      <c r="BT204" s="300" t="s">
        <v>877</v>
      </c>
      <c r="BU204" t="s">
        <v>681</v>
      </c>
      <c r="BV204" t="s">
        <v>993</v>
      </c>
      <c r="BW204" t="s">
        <v>993</v>
      </c>
      <c r="BX204" t="s">
        <v>993</v>
      </c>
      <c r="BY204" t="s">
        <v>993</v>
      </c>
      <c r="BZ204" t="s">
        <v>993</v>
      </c>
      <c r="CB204" t="s">
        <v>991</v>
      </c>
      <c r="CC204">
        <v>14</v>
      </c>
      <c r="CD204" s="300" t="s">
        <v>877</v>
      </c>
      <c r="CN204" s="300" t="s">
        <v>877</v>
      </c>
      <c r="CX204" s="300" t="s">
        <v>877</v>
      </c>
      <c r="DH204" s="300" t="s">
        <v>877</v>
      </c>
      <c r="DI204" t="s">
        <v>681</v>
      </c>
      <c r="DJ204" t="s">
        <v>993</v>
      </c>
      <c r="DK204" t="s">
        <v>993</v>
      </c>
      <c r="DL204" t="s">
        <v>993</v>
      </c>
      <c r="DM204" t="s">
        <v>993</v>
      </c>
      <c r="DN204" t="s">
        <v>993</v>
      </c>
      <c r="DP204" t="s">
        <v>991</v>
      </c>
      <c r="DQ204">
        <v>24</v>
      </c>
      <c r="DR204" s="300" t="s">
        <v>877</v>
      </c>
      <c r="EB204" s="300" t="s">
        <v>877</v>
      </c>
      <c r="EL204" s="300" t="s">
        <v>877</v>
      </c>
      <c r="EV204" s="300" t="s">
        <v>877</v>
      </c>
      <c r="FF204" s="300" t="s">
        <v>877</v>
      </c>
      <c r="FG204" t="s">
        <v>681</v>
      </c>
      <c r="FH204" t="s">
        <v>993</v>
      </c>
      <c r="FI204" t="s">
        <v>993</v>
      </c>
      <c r="FJ204" t="s">
        <v>993</v>
      </c>
      <c r="FK204" t="s">
        <v>990</v>
      </c>
      <c r="FN204" t="s">
        <v>991</v>
      </c>
      <c r="FO204">
        <v>20</v>
      </c>
      <c r="FP204" s="300" t="s">
        <v>877</v>
      </c>
      <c r="GA204" s="300" t="s">
        <v>877</v>
      </c>
      <c r="GB204" t="s">
        <v>681</v>
      </c>
      <c r="GC204" t="s">
        <v>993</v>
      </c>
      <c r="GD204" t="s">
        <v>993</v>
      </c>
      <c r="GE204" t="s">
        <v>993</v>
      </c>
      <c r="GI204" t="s">
        <v>991</v>
      </c>
      <c r="GJ204">
        <v>19</v>
      </c>
      <c r="GK204" s="300" t="s">
        <v>877</v>
      </c>
      <c r="GU204" s="300" t="s">
        <v>877</v>
      </c>
      <c r="HE204" s="300" t="s">
        <v>877</v>
      </c>
      <c r="HF204" t="s">
        <v>681</v>
      </c>
      <c r="HG204" t="s">
        <v>993</v>
      </c>
      <c r="HH204" t="s">
        <v>993</v>
      </c>
      <c r="HI204" t="s">
        <v>993</v>
      </c>
      <c r="HJ204" t="s">
        <v>993</v>
      </c>
      <c r="HK204" t="s">
        <v>993</v>
      </c>
      <c r="HL204" t="s">
        <v>993</v>
      </c>
      <c r="HM204" t="s">
        <v>991</v>
      </c>
      <c r="HN204">
        <v>19</v>
      </c>
      <c r="HO204" s="300" t="s">
        <v>877</v>
      </c>
      <c r="HP204" t="s">
        <v>681</v>
      </c>
      <c r="HQ204" t="s">
        <v>993</v>
      </c>
      <c r="HR204" t="s">
        <v>993</v>
      </c>
      <c r="HS204" t="s">
        <v>993</v>
      </c>
      <c r="HT204" t="s">
        <v>993</v>
      </c>
      <c r="HU204" t="s">
        <v>993</v>
      </c>
      <c r="HV204" t="s">
        <v>993</v>
      </c>
      <c r="HW204" t="s">
        <v>993</v>
      </c>
      <c r="HX204" t="s">
        <v>991</v>
      </c>
      <c r="HY204">
        <v>27</v>
      </c>
      <c r="HZ204" s="300"/>
      <c r="IJ204" s="300"/>
    </row>
    <row r="205" spans="3:249" x14ac:dyDescent="0.3">
      <c r="N205" s="300"/>
      <c r="X205" s="300"/>
      <c r="AH205" s="300"/>
      <c r="AT205" s="300"/>
      <c r="BG205" s="300"/>
      <c r="BT205" s="300"/>
      <c r="CD205" s="300"/>
      <c r="CN205" s="300"/>
      <c r="CX205" s="300"/>
      <c r="DH205" s="300"/>
      <c r="DR205" s="300"/>
      <c r="EB205" s="300"/>
      <c r="EL205" s="300"/>
      <c r="EV205" s="300"/>
      <c r="FF205" s="300"/>
      <c r="FP205" s="300"/>
      <c r="GA205" s="300"/>
      <c r="GK205" s="300"/>
      <c r="GU205" s="300"/>
      <c r="HE205" s="300"/>
      <c r="HO205" s="300"/>
      <c r="HZ205" s="300"/>
      <c r="IJ205" s="300"/>
    </row>
    <row r="206" spans="3:249" x14ac:dyDescent="0.3">
      <c r="C206" s="205" t="s">
        <v>2736</v>
      </c>
    </row>
    <row r="208" spans="3:249" x14ac:dyDescent="0.3">
      <c r="C208" s="205" t="s">
        <v>2527</v>
      </c>
      <c r="D208" s="1297" t="s">
        <v>995</v>
      </c>
      <c r="E208" s="205" t="s">
        <v>2718</v>
      </c>
      <c r="F208" s="265"/>
      <c r="G208" s="265"/>
      <c r="H208" s="265"/>
      <c r="I208" s="265"/>
      <c r="J208" s="265"/>
      <c r="K208" s="265"/>
      <c r="L208" s="265"/>
      <c r="M208" s="265"/>
      <c r="N208" s="1297" t="s">
        <v>997</v>
      </c>
      <c r="O208" s="205" t="s">
        <v>2719</v>
      </c>
      <c r="P208" s="265"/>
      <c r="Q208" s="265"/>
      <c r="R208" s="265"/>
      <c r="S208" s="265"/>
      <c r="T208" s="265"/>
      <c r="U208" s="265"/>
      <c r="V208" s="265"/>
      <c r="W208" s="1265"/>
      <c r="X208" s="1297" t="s">
        <v>999</v>
      </c>
      <c r="Y208" s="205" t="s">
        <v>2720</v>
      </c>
      <c r="Z208" s="265"/>
      <c r="AA208" s="265"/>
      <c r="AB208" s="265"/>
      <c r="AC208" s="265"/>
      <c r="AD208" s="265"/>
      <c r="AE208" s="265"/>
      <c r="AF208" s="265"/>
      <c r="AG208" s="1265"/>
      <c r="AH208" s="1297" t="s">
        <v>1001</v>
      </c>
      <c r="AI208" s="205" t="s">
        <v>2721</v>
      </c>
      <c r="AJ208" s="265"/>
      <c r="AK208" s="265"/>
      <c r="AL208" s="265"/>
      <c r="AM208" s="265"/>
      <c r="AN208" s="265"/>
      <c r="AO208" s="265"/>
      <c r="AP208" s="265"/>
      <c r="AQ208" s="265"/>
      <c r="AR208" s="265"/>
      <c r="AS208" s="1265"/>
      <c r="AT208" s="1297" t="s">
        <v>1003</v>
      </c>
      <c r="AU208" s="205" t="s">
        <v>2732</v>
      </c>
      <c r="AV208" s="265"/>
      <c r="AW208" s="265"/>
      <c r="AX208" s="265"/>
      <c r="AY208" s="265"/>
      <c r="AZ208" s="265"/>
      <c r="BA208" s="265"/>
      <c r="BB208" s="265"/>
      <c r="BC208" s="265"/>
      <c r="BD208" s="265"/>
      <c r="BE208" s="265"/>
      <c r="BF208" s="1265"/>
      <c r="BG208" s="1297" t="s">
        <v>1004</v>
      </c>
      <c r="BH208" s="205" t="s">
        <v>2733</v>
      </c>
      <c r="BI208" s="265"/>
      <c r="BJ208" s="265"/>
      <c r="BK208" s="265"/>
      <c r="BL208" s="265"/>
      <c r="BM208" s="205"/>
      <c r="BN208" s="205"/>
      <c r="BO208" s="205"/>
      <c r="BP208" s="205"/>
      <c r="BQ208" s="205"/>
      <c r="BR208" s="205"/>
      <c r="BS208" s="205"/>
      <c r="BT208" s="1297" t="s">
        <v>1006</v>
      </c>
      <c r="BU208" s="205" t="str">
        <f>BU182</f>
        <v>AjT - SekTa (5-3)</v>
      </c>
      <c r="BV208" s="265"/>
      <c r="BW208" s="265"/>
      <c r="BX208" s="265"/>
      <c r="BY208" s="265"/>
      <c r="BZ208" s="265"/>
      <c r="CA208" s="265"/>
      <c r="CB208" s="265"/>
      <c r="CC208" s="1265"/>
      <c r="CD208" s="1297" t="s">
        <v>1008</v>
      </c>
      <c r="CE208" s="205" t="str">
        <f>CE182</f>
        <v>SekTa - TA-631 (3-4)</v>
      </c>
      <c r="CF208" s="265"/>
      <c r="CG208" s="265"/>
      <c r="CH208" s="265"/>
      <c r="CI208" s="265"/>
      <c r="CJ208" s="265"/>
      <c r="CK208" s="265"/>
      <c r="CL208" s="265"/>
      <c r="CM208" s="1265"/>
      <c r="CN208" s="1297" t="s">
        <v>1010</v>
      </c>
      <c r="CO208" s="205" t="str">
        <f>CO182</f>
        <v>SalPa - SekTa (5-2)</v>
      </c>
      <c r="CP208" s="265"/>
      <c r="CQ208" s="265"/>
      <c r="CR208" s="265"/>
      <c r="CS208" s="265"/>
      <c r="CT208" s="265"/>
      <c r="CU208" s="265"/>
      <c r="CV208" s="265"/>
      <c r="CW208" s="1265"/>
      <c r="CX208" s="372" t="s">
        <v>1012</v>
      </c>
      <c r="CY208" s="205" t="str">
        <f>CY182</f>
        <v>TBS - SekTa (4-5)</v>
      </c>
      <c r="CZ208" s="265"/>
      <c r="DA208" s="265"/>
      <c r="DB208" s="265"/>
      <c r="DC208" s="265"/>
      <c r="DD208" s="265"/>
      <c r="DE208" s="265"/>
      <c r="DF208" s="265"/>
      <c r="DG208" s="1265"/>
      <c r="DH208" s="372" t="s">
        <v>1465</v>
      </c>
      <c r="DI208" s="205" t="str">
        <f>DI182</f>
        <v>SekTa - Velehot (5-5)</v>
      </c>
      <c r="DJ208" s="265"/>
      <c r="DK208" s="265"/>
      <c r="DL208" s="265"/>
      <c r="DM208" s="265"/>
      <c r="DN208" s="265"/>
      <c r="DO208" s="265"/>
      <c r="DP208" s="265"/>
      <c r="DQ208" s="1265"/>
      <c r="DR208" s="372" t="s">
        <v>1466</v>
      </c>
      <c r="DS208" s="205" t="s">
        <v>2722</v>
      </c>
      <c r="DT208" s="265"/>
      <c r="DU208" s="265"/>
      <c r="DV208" s="265"/>
      <c r="DW208" s="265"/>
      <c r="DX208" s="205"/>
      <c r="DY208" s="205"/>
      <c r="DZ208" s="205"/>
      <c r="EA208" s="205"/>
      <c r="EB208" s="372" t="s">
        <v>1467</v>
      </c>
      <c r="EC208" s="205" t="s">
        <v>2723</v>
      </c>
      <c r="ED208" s="265"/>
      <c r="EE208" s="265"/>
      <c r="EF208" s="265"/>
      <c r="EG208" s="265"/>
      <c r="EH208" s="265"/>
      <c r="EI208" s="265"/>
      <c r="EJ208" s="265"/>
      <c r="EK208" s="1265"/>
      <c r="EL208" s="372" t="s">
        <v>1468</v>
      </c>
      <c r="EM208" s="205" t="s">
        <v>2724</v>
      </c>
      <c r="EN208" s="265"/>
      <c r="EO208" s="265"/>
      <c r="EP208" s="265"/>
      <c r="EQ208" s="265"/>
      <c r="ER208" s="265"/>
      <c r="ES208" s="265"/>
      <c r="ET208" s="265"/>
      <c r="EU208" s="1265"/>
      <c r="EV208" s="372" t="s">
        <v>1469</v>
      </c>
      <c r="EW208" s="205" t="s">
        <v>2725</v>
      </c>
      <c r="EX208" s="265"/>
      <c r="EY208" s="265"/>
      <c r="EZ208" s="265"/>
      <c r="FA208" s="265"/>
      <c r="FB208" s="265"/>
      <c r="FC208" s="265"/>
      <c r="FD208" s="265"/>
      <c r="FE208" s="1265"/>
      <c r="FF208" s="372" t="s">
        <v>1470</v>
      </c>
      <c r="FG208" s="205" t="s">
        <v>2726</v>
      </c>
      <c r="FH208" s="265"/>
      <c r="FI208" s="265"/>
      <c r="FJ208" s="265"/>
      <c r="FK208" s="265"/>
      <c r="FL208" s="265"/>
      <c r="FM208" s="265"/>
      <c r="FN208" s="265"/>
      <c r="FO208" s="1265"/>
      <c r="FP208" s="372" t="s">
        <v>1472</v>
      </c>
      <c r="FQ208" s="205" t="s">
        <v>2727</v>
      </c>
      <c r="FR208" s="265"/>
      <c r="FS208" s="265"/>
      <c r="FT208" s="265"/>
      <c r="FU208" s="265"/>
      <c r="FV208" s="265"/>
      <c r="FW208" s="265"/>
      <c r="FX208" s="265"/>
      <c r="FY208" s="265"/>
      <c r="FZ208" s="1265"/>
      <c r="GA208" s="372" t="s">
        <v>1473</v>
      </c>
      <c r="GB208" s="205" t="s">
        <v>2728</v>
      </c>
      <c r="GC208" s="265"/>
      <c r="GD208" s="265"/>
      <c r="GE208" s="265"/>
      <c r="GF208" s="265"/>
      <c r="GG208" s="205"/>
      <c r="GH208" s="205"/>
      <c r="GI208" s="205"/>
      <c r="GJ208" s="205"/>
      <c r="GK208" s="372" t="s">
        <v>1474</v>
      </c>
      <c r="GL208" s="205" t="s">
        <v>2729</v>
      </c>
      <c r="GM208" s="265"/>
      <c r="GN208" s="265"/>
      <c r="GO208" s="265"/>
      <c r="GP208" s="265"/>
      <c r="GQ208" s="265"/>
      <c r="GR208" s="265"/>
      <c r="GS208" s="265"/>
      <c r="GT208" s="1265"/>
      <c r="GU208" s="372" t="s">
        <v>1475</v>
      </c>
      <c r="GV208" s="205" t="s">
        <v>2730</v>
      </c>
      <c r="GW208" s="265"/>
      <c r="GX208" s="265"/>
      <c r="GY208" s="265"/>
      <c r="GZ208" s="265"/>
      <c r="HA208" s="265"/>
      <c r="HB208" s="265"/>
      <c r="HC208" s="265"/>
      <c r="HD208" s="1265"/>
      <c r="HE208" s="372" t="s">
        <v>2450</v>
      </c>
      <c r="HF208" s="205" t="s">
        <v>2731</v>
      </c>
      <c r="HG208" s="265"/>
      <c r="HH208" s="265"/>
      <c r="HI208" s="265"/>
      <c r="HJ208" s="265"/>
      <c r="HK208" s="265"/>
      <c r="HL208" s="265"/>
      <c r="HM208" s="265"/>
      <c r="HN208" s="1265"/>
      <c r="HO208" s="372" t="s">
        <v>2451</v>
      </c>
      <c r="HP208" s="205"/>
      <c r="HQ208" s="265"/>
      <c r="HR208" s="265"/>
      <c r="HS208" s="265"/>
      <c r="HT208" s="265"/>
      <c r="HU208" s="265"/>
      <c r="HV208" s="265"/>
      <c r="HW208" s="265"/>
      <c r="HX208" s="265"/>
      <c r="HY208" s="1265"/>
      <c r="HZ208" s="372" t="s">
        <v>2452</v>
      </c>
      <c r="IA208" s="205"/>
      <c r="IB208" s="265"/>
      <c r="IC208" s="265"/>
      <c r="ID208" s="265"/>
      <c r="IE208" s="265"/>
      <c r="IF208" s="265"/>
      <c r="IG208" s="265"/>
      <c r="IH208" s="265"/>
      <c r="II208" s="1265"/>
      <c r="IJ208" s="372" t="s">
        <v>2453</v>
      </c>
    </row>
    <row r="209" spans="3:244" x14ac:dyDescent="0.3">
      <c r="C209" t="s">
        <v>1798</v>
      </c>
      <c r="D209" s="300"/>
      <c r="F209" s="8"/>
      <c r="G209" s="8"/>
      <c r="H209" s="8"/>
      <c r="I209" s="8"/>
      <c r="J209" s="8"/>
      <c r="K209" s="8"/>
      <c r="L209" s="8" t="s">
        <v>2354</v>
      </c>
      <c r="M209" s="8"/>
      <c r="N209" s="300"/>
      <c r="P209" s="8"/>
      <c r="Q209" s="8"/>
      <c r="R209" s="8"/>
      <c r="S209" s="8"/>
      <c r="T209" s="8"/>
      <c r="U209" s="8"/>
      <c r="V209" s="8" t="s">
        <v>2354</v>
      </c>
      <c r="W209" s="1266"/>
      <c r="X209" s="300"/>
      <c r="Z209" s="8"/>
      <c r="AA209" s="8"/>
      <c r="AB209" s="8"/>
      <c r="AC209" s="8"/>
      <c r="AD209" s="8"/>
      <c r="AE209" s="8"/>
      <c r="AF209" s="8" t="s">
        <v>2354</v>
      </c>
      <c r="AG209" s="1266">
        <v>3</v>
      </c>
      <c r="AH209" s="300" t="s">
        <v>106</v>
      </c>
      <c r="AI209" t="s">
        <v>106</v>
      </c>
      <c r="AJ209" s="8" t="s">
        <v>107</v>
      </c>
      <c r="AK209" s="8" t="s">
        <v>106</v>
      </c>
      <c r="AL209" s="8" t="s">
        <v>106</v>
      </c>
      <c r="AM209" s="8"/>
      <c r="AN209" s="8"/>
      <c r="AO209" s="8"/>
      <c r="AP209" s="8"/>
      <c r="AQ209" s="8"/>
      <c r="AR209" s="8" t="s">
        <v>2354</v>
      </c>
      <c r="AS209" s="1266">
        <v>4</v>
      </c>
      <c r="AT209" s="300" t="s">
        <v>106</v>
      </c>
      <c r="AU209" t="s">
        <v>106</v>
      </c>
      <c r="AV209" s="8" t="s">
        <v>106</v>
      </c>
      <c r="AW209" s="8" t="s">
        <v>107</v>
      </c>
      <c r="AX209" s="8"/>
      <c r="AY209" s="8"/>
      <c r="AZ209" s="8"/>
      <c r="BA209" s="8"/>
      <c r="BB209" s="8"/>
      <c r="BC209" s="8"/>
      <c r="BD209" s="8"/>
      <c r="BE209" s="8" t="s">
        <v>2354</v>
      </c>
      <c r="BF209" s="1266">
        <v>4</v>
      </c>
      <c r="BG209" s="300" t="s">
        <v>106</v>
      </c>
      <c r="BH209" t="s">
        <v>107</v>
      </c>
      <c r="BI209" s="8" t="s">
        <v>107</v>
      </c>
      <c r="BJ209" s="8"/>
      <c r="BK209" s="8"/>
      <c r="BL209" s="8"/>
      <c r="BR209" s="8" t="s">
        <v>2354</v>
      </c>
      <c r="BS209">
        <v>7</v>
      </c>
      <c r="BT209" s="300" t="s">
        <v>106</v>
      </c>
      <c r="BV209" s="8"/>
      <c r="BW209" s="8"/>
      <c r="BX209" s="8"/>
      <c r="BY209" s="8"/>
      <c r="BZ209" s="8"/>
      <c r="CA209" s="8"/>
      <c r="CB209" s="8" t="s">
        <v>2354</v>
      </c>
      <c r="CC209" s="1266">
        <v>5</v>
      </c>
      <c r="CD209" s="300" t="s">
        <v>106</v>
      </c>
      <c r="CE209" t="s">
        <v>107</v>
      </c>
      <c r="CF209" s="8" t="s">
        <v>106</v>
      </c>
      <c r="CG209" s="8"/>
      <c r="CH209" s="8"/>
      <c r="CI209" s="8"/>
      <c r="CJ209" s="8"/>
      <c r="CK209" s="8"/>
      <c r="CL209" s="8" t="s">
        <v>2354</v>
      </c>
      <c r="CM209" s="1266">
        <v>2</v>
      </c>
      <c r="CN209" s="300" t="s">
        <v>107</v>
      </c>
      <c r="CO209" t="s">
        <v>107</v>
      </c>
      <c r="CP209" s="8" t="s">
        <v>107</v>
      </c>
      <c r="CQ209" s="8" t="s">
        <v>107</v>
      </c>
      <c r="CR209" s="8"/>
      <c r="CS209" s="8"/>
      <c r="CT209" s="8"/>
      <c r="CU209" s="8"/>
      <c r="CV209" s="8" t="s">
        <v>2354</v>
      </c>
      <c r="CW209" s="1266">
        <v>0</v>
      </c>
      <c r="CX209" s="300"/>
      <c r="CZ209" s="8"/>
      <c r="DA209" s="8"/>
      <c r="DB209" s="8"/>
      <c r="DC209" s="8"/>
      <c r="DD209" s="8"/>
      <c r="DE209" s="8"/>
      <c r="DF209" s="8" t="s">
        <v>2354</v>
      </c>
      <c r="DG209" s="1266"/>
      <c r="DH209" s="300"/>
      <c r="DJ209" s="8"/>
      <c r="DK209" s="8"/>
      <c r="DL209" s="8"/>
      <c r="DM209" s="8"/>
      <c r="DN209" s="8"/>
      <c r="DO209" s="8"/>
      <c r="DP209" s="8" t="s">
        <v>2354</v>
      </c>
      <c r="DQ209" s="1266"/>
      <c r="DR209" s="300"/>
      <c r="DT209" s="8"/>
      <c r="DU209" s="8"/>
      <c r="DV209" s="8"/>
      <c r="DW209" s="8"/>
      <c r="EB209" s="300"/>
      <c r="ED209" s="8"/>
      <c r="EE209" s="8"/>
      <c r="EF209" s="8"/>
      <c r="EG209" s="8"/>
      <c r="EH209" s="8"/>
      <c r="EI209" s="8"/>
      <c r="EJ209" s="8"/>
      <c r="EK209" s="1266"/>
      <c r="EL209" s="300"/>
      <c r="EN209" s="8"/>
      <c r="EO209" s="8"/>
      <c r="EP209" s="8"/>
      <c r="EQ209" s="8"/>
      <c r="ER209" s="8"/>
      <c r="ES209" s="8"/>
      <c r="ET209" s="8"/>
      <c r="EU209" s="1266"/>
      <c r="EV209" s="300"/>
      <c r="EX209" s="8"/>
      <c r="EY209" s="8"/>
      <c r="EZ209" s="8"/>
      <c r="FA209" s="8"/>
      <c r="FB209" s="8"/>
      <c r="FC209" s="8"/>
      <c r="FD209" s="8"/>
      <c r="FE209" s="1266"/>
      <c r="FF209" s="300"/>
      <c r="FH209" s="8"/>
      <c r="FI209" s="8"/>
      <c r="FJ209" s="8"/>
      <c r="FK209" s="8"/>
      <c r="FL209" s="8"/>
      <c r="FM209" s="8"/>
      <c r="FN209" s="8"/>
      <c r="FO209" s="1266"/>
      <c r="FP209" s="300"/>
      <c r="FR209" s="8"/>
      <c r="FS209" s="8"/>
      <c r="FT209" s="8"/>
      <c r="FU209" s="8"/>
      <c r="FV209" s="8"/>
      <c r="FW209" s="8"/>
      <c r="FX209" s="8"/>
      <c r="FY209" s="8"/>
      <c r="FZ209" s="1266"/>
      <c r="GA209" s="300"/>
      <c r="GC209" s="8"/>
      <c r="GD209" s="8"/>
      <c r="GE209" s="8"/>
      <c r="GF209" s="8"/>
      <c r="GK209" s="300"/>
      <c r="GM209" s="8"/>
      <c r="GN209" s="8"/>
      <c r="GO209" s="8"/>
      <c r="GP209" s="8"/>
      <c r="GQ209" s="8"/>
      <c r="GR209" s="8"/>
      <c r="GS209" s="8"/>
      <c r="GT209" s="1266"/>
      <c r="GU209" s="300"/>
      <c r="GW209" s="8"/>
      <c r="GX209" s="8"/>
      <c r="GY209" s="8"/>
      <c r="GZ209" s="8"/>
      <c r="HA209" s="8"/>
      <c r="HB209" s="8"/>
      <c r="HC209" s="8"/>
      <c r="HD209" s="1266"/>
      <c r="HE209" s="300"/>
      <c r="HG209" s="8"/>
      <c r="HH209" s="8"/>
      <c r="HI209" s="8"/>
      <c r="HJ209" s="8"/>
      <c r="HK209" s="8"/>
      <c r="HL209" s="8"/>
      <c r="HM209" s="8"/>
      <c r="HN209" s="1266"/>
      <c r="HO209" s="300"/>
      <c r="HQ209" s="8"/>
      <c r="HR209" s="8"/>
      <c r="HS209" s="8"/>
      <c r="HT209" s="8"/>
      <c r="HU209" s="8"/>
      <c r="HV209" s="8"/>
      <c r="HW209" s="8"/>
      <c r="HX209" s="8"/>
      <c r="HY209" s="1266"/>
      <c r="HZ209" s="300"/>
      <c r="IB209" s="8"/>
      <c r="IC209" s="8"/>
      <c r="ID209" s="8"/>
      <c r="IE209" s="8"/>
      <c r="IF209" s="8"/>
      <c r="IG209" s="8"/>
      <c r="IH209" s="8"/>
      <c r="II209" s="1266"/>
      <c r="IJ209" s="300"/>
    </row>
    <row r="210" spans="3:244" x14ac:dyDescent="0.3">
      <c r="C210" t="s">
        <v>2364</v>
      </c>
      <c r="D210" s="300" t="s">
        <v>106</v>
      </c>
      <c r="E210" t="s">
        <v>107</v>
      </c>
      <c r="F210" s="8" t="s">
        <v>106</v>
      </c>
      <c r="G210" s="8" t="s">
        <v>107</v>
      </c>
      <c r="H210" s="8" t="s">
        <v>107</v>
      </c>
      <c r="I210" s="8"/>
      <c r="J210" s="8"/>
      <c r="K210" s="8"/>
      <c r="L210" s="8" t="s">
        <v>991</v>
      </c>
      <c r="M210" s="8">
        <v>8</v>
      </c>
      <c r="N210" s="300"/>
      <c r="P210" s="8"/>
      <c r="Q210" s="8"/>
      <c r="R210" s="8"/>
      <c r="S210" s="8"/>
      <c r="T210" s="8"/>
      <c r="U210" s="8"/>
      <c r="V210" s="8" t="s">
        <v>991</v>
      </c>
      <c r="W210" s="1266"/>
      <c r="X210" s="300" t="s">
        <v>106</v>
      </c>
      <c r="Y210" t="s">
        <v>107</v>
      </c>
      <c r="Z210" s="8" t="s">
        <v>106</v>
      </c>
      <c r="AA210" s="8"/>
      <c r="AB210" s="8"/>
      <c r="AC210" s="8"/>
      <c r="AD210" s="8"/>
      <c r="AE210" s="8"/>
      <c r="AF210" s="8" t="s">
        <v>991</v>
      </c>
      <c r="AG210" s="1266">
        <v>29</v>
      </c>
      <c r="AH210" s="300" t="s">
        <v>106</v>
      </c>
      <c r="AI210" t="s">
        <v>106</v>
      </c>
      <c r="AJ210" s="8" t="s">
        <v>106</v>
      </c>
      <c r="AK210" s="8" t="s">
        <v>106</v>
      </c>
      <c r="AL210" s="8" t="s">
        <v>107</v>
      </c>
      <c r="AM210" s="8" t="s">
        <v>106</v>
      </c>
      <c r="AN210" s="8" t="s">
        <v>106</v>
      </c>
      <c r="AO210" s="8" t="s">
        <v>106</v>
      </c>
      <c r="AP210" s="8" t="s">
        <v>106</v>
      </c>
      <c r="AQ210" s="8"/>
      <c r="AR210" s="8" t="s">
        <v>991</v>
      </c>
      <c r="AS210" s="1266">
        <v>20</v>
      </c>
      <c r="AT210" s="300" t="s">
        <v>106</v>
      </c>
      <c r="AU210" s="8" t="s">
        <v>106</v>
      </c>
      <c r="AV210" s="8" t="s">
        <v>106</v>
      </c>
      <c r="AW210" s="8" t="s">
        <v>106</v>
      </c>
      <c r="AX210" s="8" t="s">
        <v>107</v>
      </c>
      <c r="AY210" s="8" t="s">
        <v>106</v>
      </c>
      <c r="AZ210" s="8" t="s">
        <v>107</v>
      </c>
      <c r="BA210" s="8" t="s">
        <v>107</v>
      </c>
      <c r="BB210" s="8" t="s">
        <v>106</v>
      </c>
      <c r="BC210" s="8" t="s">
        <v>106</v>
      </c>
      <c r="BD210" s="8" t="s">
        <v>106</v>
      </c>
      <c r="BE210" s="8" t="s">
        <v>991</v>
      </c>
      <c r="BF210" s="1266">
        <v>20</v>
      </c>
      <c r="BG210" s="300"/>
      <c r="BI210" s="8"/>
      <c r="BJ210" s="8"/>
      <c r="BK210" s="8"/>
      <c r="BL210" s="8"/>
      <c r="BR210" s="8" t="s">
        <v>991</v>
      </c>
      <c r="BT210" s="300"/>
      <c r="BV210" s="8"/>
      <c r="BW210" s="8"/>
      <c r="BX210" s="8"/>
      <c r="BY210" s="8"/>
      <c r="BZ210" s="8"/>
      <c r="CA210" s="8"/>
      <c r="CB210" s="8" t="s">
        <v>991</v>
      </c>
      <c r="CC210" s="1266"/>
      <c r="CD210" s="300" t="s">
        <v>107</v>
      </c>
      <c r="CE210" t="s">
        <v>107</v>
      </c>
      <c r="CF210" s="8" t="s">
        <v>106</v>
      </c>
      <c r="CG210" s="8" t="s">
        <v>107</v>
      </c>
      <c r="CH210" s="8" t="s">
        <v>106</v>
      </c>
      <c r="CI210" s="8" t="s">
        <v>107</v>
      </c>
      <c r="CJ210" s="8" t="s">
        <v>106</v>
      </c>
      <c r="CK210" s="8"/>
      <c r="CL210" s="8" t="s">
        <v>991</v>
      </c>
      <c r="CM210" s="1266">
        <v>14</v>
      </c>
      <c r="CN210" s="300" t="s">
        <v>106</v>
      </c>
      <c r="CO210" s="8" t="s">
        <v>107</v>
      </c>
      <c r="CP210" s="8" t="s">
        <v>106</v>
      </c>
      <c r="CQ210" s="8" t="s">
        <v>107</v>
      </c>
      <c r="CR210" s="8" t="s">
        <v>107</v>
      </c>
      <c r="CS210" s="8" t="s">
        <v>107</v>
      </c>
      <c r="CT210" s="8" t="s">
        <v>107</v>
      </c>
      <c r="CU210" s="8"/>
      <c r="CV210" s="8" t="s">
        <v>991</v>
      </c>
      <c r="CW210" s="1266">
        <v>16</v>
      </c>
      <c r="CX210" s="300"/>
      <c r="CZ210" s="8"/>
      <c r="DA210" s="8"/>
      <c r="DB210" s="8"/>
      <c r="DC210" s="8"/>
      <c r="DD210" s="8"/>
      <c r="DE210" s="8"/>
      <c r="DF210" s="8" t="s">
        <v>991</v>
      </c>
      <c r="DG210" s="1266">
        <v>26</v>
      </c>
      <c r="DH210" s="300"/>
      <c r="DJ210" s="8"/>
      <c r="DK210" s="8"/>
      <c r="DL210" s="8"/>
      <c r="DM210" s="8"/>
      <c r="DN210" s="8"/>
      <c r="DO210" s="8"/>
      <c r="DP210" s="8" t="s">
        <v>991</v>
      </c>
      <c r="DQ210" s="1266"/>
      <c r="DR210" s="300"/>
      <c r="DT210" s="8"/>
      <c r="DU210" s="8"/>
      <c r="DV210" s="8"/>
      <c r="DW210" s="8"/>
      <c r="DZ210" t="s">
        <v>991</v>
      </c>
      <c r="EA210">
        <v>17</v>
      </c>
      <c r="EB210" s="300"/>
      <c r="ED210" s="8"/>
      <c r="EE210" s="8"/>
      <c r="EF210" s="8"/>
      <c r="EG210" s="8"/>
      <c r="EH210" s="8"/>
      <c r="EI210" s="8"/>
      <c r="EJ210" s="8" t="s">
        <v>991</v>
      </c>
      <c r="EK210" s="1266">
        <v>14</v>
      </c>
      <c r="EL210" s="300"/>
      <c r="EN210" s="8"/>
      <c r="EO210" s="8"/>
      <c r="EP210" s="8"/>
      <c r="EQ210" s="8"/>
      <c r="ER210" s="8"/>
      <c r="ES210" s="8"/>
      <c r="ET210" s="8" t="s">
        <v>991</v>
      </c>
      <c r="EU210" s="1266">
        <v>21</v>
      </c>
      <c r="EV210" s="300"/>
      <c r="EX210" s="8"/>
      <c r="EY210" s="8"/>
      <c r="EZ210" s="8"/>
      <c r="FA210" s="8"/>
      <c r="FB210" s="8"/>
      <c r="FC210" s="8"/>
      <c r="FD210" s="8" t="s">
        <v>991</v>
      </c>
      <c r="FE210" s="1266">
        <v>19</v>
      </c>
      <c r="FF210" s="300"/>
      <c r="FH210" s="8"/>
      <c r="FI210" s="8"/>
      <c r="FJ210" s="8"/>
      <c r="FK210" s="8"/>
      <c r="FL210" s="8"/>
      <c r="FM210" s="8"/>
      <c r="FN210" s="8"/>
      <c r="FO210" s="1266"/>
      <c r="FP210" s="300"/>
      <c r="FR210" s="8"/>
      <c r="FS210" s="8"/>
      <c r="FT210" s="8"/>
      <c r="FU210" s="8"/>
      <c r="FV210" s="8"/>
      <c r="FW210" s="8"/>
      <c r="FX210" s="8"/>
      <c r="FY210" s="8" t="s">
        <v>991</v>
      </c>
      <c r="FZ210" s="1266">
        <v>27</v>
      </c>
      <c r="GA210" s="300"/>
      <c r="GC210" s="8"/>
      <c r="GD210" s="8"/>
      <c r="GE210" s="8"/>
      <c r="GF210" s="8"/>
      <c r="GK210" s="300"/>
      <c r="GM210" s="8"/>
      <c r="GN210" s="8"/>
      <c r="GO210" s="8"/>
      <c r="GP210" s="8"/>
      <c r="GQ210" s="8"/>
      <c r="GR210" s="8"/>
      <c r="GS210" s="8" t="s">
        <v>991</v>
      </c>
      <c r="GT210" s="1266">
        <v>15</v>
      </c>
      <c r="GU210" s="300"/>
      <c r="GW210" s="8"/>
      <c r="GX210" s="8"/>
      <c r="GY210" s="8"/>
      <c r="GZ210" s="8"/>
      <c r="HA210" s="8"/>
      <c r="HB210" s="8"/>
      <c r="HC210" s="8" t="s">
        <v>991</v>
      </c>
      <c r="HD210" s="1266">
        <v>19</v>
      </c>
      <c r="HE210" s="300"/>
      <c r="HG210" s="8"/>
      <c r="HH210" s="8"/>
      <c r="HI210" s="8"/>
      <c r="HJ210" s="8"/>
      <c r="HK210" s="8"/>
      <c r="HL210" s="8"/>
      <c r="HM210" s="8"/>
      <c r="HN210" s="1266"/>
      <c r="HO210" s="300"/>
      <c r="HQ210" s="8"/>
      <c r="HR210" s="8"/>
      <c r="HS210" s="8"/>
      <c r="HT210" s="8"/>
      <c r="HU210" s="8"/>
      <c r="HV210" s="8"/>
      <c r="HW210" s="8"/>
      <c r="HX210" s="8"/>
      <c r="HY210" s="1266"/>
      <c r="HZ210" s="300"/>
      <c r="IB210" s="8"/>
      <c r="IC210" s="8"/>
      <c r="ID210" s="8"/>
      <c r="IE210" s="8"/>
      <c r="IF210" s="8"/>
      <c r="IG210" s="8"/>
      <c r="IH210" s="8"/>
      <c r="II210" s="1266"/>
      <c r="IJ210" s="300"/>
    </row>
    <row r="211" spans="3:244" x14ac:dyDescent="0.3">
      <c r="C211" t="s">
        <v>2716</v>
      </c>
      <c r="D211" s="300" t="s">
        <v>107</v>
      </c>
      <c r="E211" t="s">
        <v>106</v>
      </c>
      <c r="F211" s="8" t="s">
        <v>107</v>
      </c>
      <c r="G211" s="8"/>
      <c r="H211" s="8"/>
      <c r="I211" s="8"/>
      <c r="J211" s="8"/>
      <c r="K211" s="8"/>
      <c r="L211" s="8" t="s">
        <v>2354</v>
      </c>
      <c r="M211" s="8"/>
      <c r="N211" s="300" t="s">
        <v>107</v>
      </c>
      <c r="P211" s="8"/>
      <c r="Q211" s="8"/>
      <c r="R211" s="8"/>
      <c r="S211" s="8"/>
      <c r="T211" s="8"/>
      <c r="U211" s="8"/>
      <c r="V211" s="8" t="s">
        <v>2354</v>
      </c>
      <c r="W211" s="1266">
        <v>1</v>
      </c>
      <c r="X211" s="300"/>
      <c r="Z211" s="8"/>
      <c r="AA211" s="8"/>
      <c r="AB211" s="8"/>
      <c r="AC211" s="8"/>
      <c r="AD211" s="8"/>
      <c r="AE211" s="8"/>
      <c r="AF211" s="8" t="s">
        <v>2354</v>
      </c>
      <c r="AG211" s="1266"/>
      <c r="AH211" s="300" t="s">
        <v>106</v>
      </c>
      <c r="AI211" t="s">
        <v>106</v>
      </c>
      <c r="AJ211" s="8"/>
      <c r="AK211" s="8"/>
      <c r="AL211" s="8"/>
      <c r="AM211" s="8"/>
      <c r="AN211" s="8"/>
      <c r="AO211" s="8"/>
      <c r="AP211" s="8"/>
      <c r="AQ211" s="8"/>
      <c r="AR211" s="8" t="s">
        <v>2354</v>
      </c>
      <c r="AS211" s="1266"/>
      <c r="AT211" s="300" t="s">
        <v>106</v>
      </c>
      <c r="AU211" t="s">
        <v>107</v>
      </c>
      <c r="AV211" s="8" t="s">
        <v>106</v>
      </c>
      <c r="AW211" s="8"/>
      <c r="AX211" s="8"/>
      <c r="AY211" s="8"/>
      <c r="AZ211" s="8"/>
      <c r="BA211" s="8"/>
      <c r="BB211" s="8"/>
      <c r="BC211" s="8"/>
      <c r="BD211" s="8"/>
      <c r="BE211" s="8" t="s">
        <v>2354</v>
      </c>
      <c r="BF211" s="1266">
        <v>1</v>
      </c>
      <c r="BG211" s="300" t="s">
        <v>107</v>
      </c>
      <c r="BH211" t="s">
        <v>107</v>
      </c>
      <c r="BI211" s="8" t="s">
        <v>107</v>
      </c>
      <c r="BJ211" s="8" t="s">
        <v>106</v>
      </c>
      <c r="BK211" s="8" t="s">
        <v>107</v>
      </c>
      <c r="BL211" s="8"/>
      <c r="BR211" s="8" t="s">
        <v>2354</v>
      </c>
      <c r="BS211">
        <v>3</v>
      </c>
      <c r="BT211" s="300" t="s">
        <v>106</v>
      </c>
      <c r="BU211" t="s">
        <v>107</v>
      </c>
      <c r="BV211" s="8" t="s">
        <v>107</v>
      </c>
      <c r="BW211" s="8"/>
      <c r="BX211" s="8"/>
      <c r="BY211" s="8"/>
      <c r="BZ211" s="8"/>
      <c r="CA211" s="8"/>
      <c r="CB211" s="8" t="s">
        <v>2354</v>
      </c>
      <c r="CC211" s="1266">
        <v>1</v>
      </c>
      <c r="CD211" s="300" t="s">
        <v>107</v>
      </c>
      <c r="CE211" t="s">
        <v>107</v>
      </c>
      <c r="CF211" s="8" t="s">
        <v>106</v>
      </c>
      <c r="CG211" s="8" t="s">
        <v>107</v>
      </c>
      <c r="CH211" s="8"/>
      <c r="CI211" s="8"/>
      <c r="CJ211" s="8"/>
      <c r="CK211" s="8"/>
      <c r="CL211" s="8" t="s">
        <v>2354</v>
      </c>
      <c r="CM211" s="1266">
        <v>1</v>
      </c>
      <c r="CN211" s="300" t="s">
        <v>107</v>
      </c>
      <c r="CO211" t="s">
        <v>107</v>
      </c>
      <c r="CP211" s="8" t="s">
        <v>106</v>
      </c>
      <c r="CQ211" s="8" t="s">
        <v>107</v>
      </c>
      <c r="CR211" s="8"/>
      <c r="CS211" s="8"/>
      <c r="CT211" s="8"/>
      <c r="CU211" s="8"/>
      <c r="CV211" s="8" t="s">
        <v>2354</v>
      </c>
      <c r="CW211" s="1266">
        <v>2</v>
      </c>
      <c r="CX211" s="300"/>
      <c r="CZ211" s="8"/>
      <c r="DA211" s="8"/>
      <c r="DB211" s="8"/>
      <c r="DC211" s="8"/>
      <c r="DD211" s="8"/>
      <c r="DE211" s="8"/>
      <c r="DF211" s="8" t="s">
        <v>2354</v>
      </c>
      <c r="DG211" s="1266"/>
      <c r="DH211" s="300"/>
      <c r="DJ211" s="8"/>
      <c r="DK211" s="8"/>
      <c r="DL211" s="8"/>
      <c r="DM211" s="8"/>
      <c r="DN211" s="8"/>
      <c r="DO211" s="8"/>
      <c r="DP211" s="8" t="s">
        <v>2354</v>
      </c>
      <c r="DQ211" s="1266"/>
      <c r="DR211" s="300"/>
      <c r="DT211" s="8"/>
      <c r="DU211" s="8"/>
      <c r="DV211" s="8"/>
      <c r="DW211" s="8"/>
      <c r="EB211" s="300"/>
      <c r="ED211" s="8"/>
      <c r="EE211" s="8"/>
      <c r="EF211" s="8"/>
      <c r="EG211" s="8"/>
      <c r="EH211" s="8"/>
      <c r="EI211" s="8"/>
      <c r="EJ211" s="8"/>
      <c r="EK211" s="1266"/>
      <c r="EL211" s="300"/>
      <c r="EN211" s="8"/>
      <c r="EO211" s="8"/>
      <c r="EP211" s="8"/>
      <c r="EQ211" s="8"/>
      <c r="ER211" s="8"/>
      <c r="ES211" s="8"/>
      <c r="ET211" s="8"/>
      <c r="EU211" s="1266"/>
      <c r="EV211" s="300"/>
      <c r="EX211" s="8"/>
      <c r="EY211" s="8"/>
      <c r="EZ211" s="8"/>
      <c r="FA211" s="8"/>
      <c r="FB211" s="8"/>
      <c r="FC211" s="8"/>
      <c r="FD211" s="8"/>
      <c r="FE211" s="1266"/>
      <c r="FF211" s="300"/>
      <c r="FH211" s="8"/>
      <c r="FI211" s="8"/>
      <c r="FJ211" s="8"/>
      <c r="FK211" s="8"/>
      <c r="FL211" s="8"/>
      <c r="FM211" s="8"/>
      <c r="FN211" s="8"/>
      <c r="FO211" s="1266"/>
      <c r="FP211" s="300"/>
      <c r="FR211" s="8"/>
      <c r="FS211" s="8"/>
      <c r="FT211" s="8"/>
      <c r="FU211" s="8"/>
      <c r="FV211" s="8"/>
      <c r="FW211" s="8"/>
      <c r="FX211" s="8"/>
      <c r="FY211" s="8"/>
      <c r="FZ211" s="1266"/>
      <c r="GA211" s="300"/>
      <c r="GC211" s="8"/>
      <c r="GD211" s="8"/>
      <c r="GE211" s="8"/>
      <c r="GF211" s="8"/>
      <c r="GK211" s="300"/>
      <c r="GM211" s="8"/>
      <c r="GN211" s="8"/>
      <c r="GO211" s="8"/>
      <c r="GP211" s="8"/>
      <c r="GQ211" s="8"/>
      <c r="GR211" s="8"/>
      <c r="GS211" s="8"/>
      <c r="GT211" s="1266"/>
      <c r="GU211" s="300"/>
      <c r="GW211" s="8"/>
      <c r="GX211" s="8"/>
      <c r="GY211" s="8"/>
      <c r="GZ211" s="8"/>
      <c r="HA211" s="8"/>
      <c r="HB211" s="8"/>
      <c r="HC211" s="8"/>
      <c r="HD211" s="1266"/>
      <c r="HE211" s="300"/>
      <c r="HG211" s="8"/>
      <c r="HH211" s="8"/>
      <c r="HI211" s="8"/>
      <c r="HJ211" s="8"/>
      <c r="HK211" s="8"/>
      <c r="HL211" s="8"/>
      <c r="HM211" s="8"/>
      <c r="HN211" s="1266"/>
      <c r="HO211" s="300"/>
      <c r="HQ211" s="8"/>
      <c r="HR211" s="8"/>
      <c r="HS211" s="8"/>
      <c r="HT211" s="8"/>
      <c r="HU211" s="8"/>
      <c r="HV211" s="8"/>
      <c r="HW211" s="8"/>
      <c r="HX211" s="8"/>
      <c r="HY211" s="1266"/>
      <c r="HZ211" s="300"/>
      <c r="IB211" s="8"/>
      <c r="IC211" s="8"/>
      <c r="ID211" s="8"/>
      <c r="IE211" s="8"/>
      <c r="IF211" s="8"/>
      <c r="IG211" s="8"/>
      <c r="IH211" s="8"/>
      <c r="II211" s="1266"/>
      <c r="IJ211" s="300"/>
    </row>
    <row r="212" spans="3:244" x14ac:dyDescent="0.3">
      <c r="C212" t="s">
        <v>1800</v>
      </c>
      <c r="D212" s="300"/>
      <c r="F212" s="8"/>
      <c r="G212" s="8"/>
      <c r="H212" s="8"/>
      <c r="I212" s="8"/>
      <c r="J212" s="8"/>
      <c r="K212" s="8"/>
      <c r="L212" s="8" t="s">
        <v>2354</v>
      </c>
      <c r="M212" s="8"/>
      <c r="N212" s="300"/>
      <c r="P212" s="8"/>
      <c r="Q212" s="8"/>
      <c r="R212" s="8"/>
      <c r="S212" s="8"/>
      <c r="T212" s="8"/>
      <c r="U212" s="8"/>
      <c r="V212" s="8" t="s">
        <v>2354</v>
      </c>
      <c r="W212" s="1266"/>
      <c r="X212" s="300"/>
      <c r="Z212" s="8"/>
      <c r="AA212" s="8"/>
      <c r="AB212" s="8"/>
      <c r="AC212" s="8"/>
      <c r="AD212" s="8"/>
      <c r="AE212" s="8"/>
      <c r="AF212" s="8" t="s">
        <v>2354</v>
      </c>
      <c r="AG212" s="1266"/>
      <c r="AH212" s="300"/>
      <c r="AJ212" s="8"/>
      <c r="AK212" s="8"/>
      <c r="AL212" s="8"/>
      <c r="AM212" s="8"/>
      <c r="AN212" s="8"/>
      <c r="AO212" s="8"/>
      <c r="AP212" s="8"/>
      <c r="AQ212" s="8"/>
      <c r="AR212" s="8" t="s">
        <v>2354</v>
      </c>
      <c r="AS212" s="1266"/>
      <c r="AT212" s="300"/>
      <c r="AV212" s="8"/>
      <c r="AW212" s="8"/>
      <c r="AX212" s="8"/>
      <c r="AY212" s="8"/>
      <c r="AZ212" s="8"/>
      <c r="BA212" s="8"/>
      <c r="BB212" s="8"/>
      <c r="BC212" s="8"/>
      <c r="BD212" s="8"/>
      <c r="BE212" s="8" t="s">
        <v>2354</v>
      </c>
      <c r="BF212" s="1266"/>
      <c r="BG212" s="300"/>
      <c r="BI212" s="8"/>
      <c r="BJ212" s="8"/>
      <c r="BK212" s="8"/>
      <c r="BL212" s="8"/>
      <c r="BR212" s="8" t="s">
        <v>2354</v>
      </c>
      <c r="BT212" s="300"/>
      <c r="BV212" s="8"/>
      <c r="BW212" s="8"/>
      <c r="BX212" s="8"/>
      <c r="BY212" s="8"/>
      <c r="BZ212" s="8"/>
      <c r="CA212" s="8"/>
      <c r="CB212" s="8" t="s">
        <v>2354</v>
      </c>
      <c r="CC212" s="1266"/>
      <c r="CD212" s="300"/>
      <c r="CF212" s="8"/>
      <c r="CG212" s="8"/>
      <c r="CH212" s="8"/>
      <c r="CI212" s="8"/>
      <c r="CJ212" s="8"/>
      <c r="CK212" s="8"/>
      <c r="CL212" s="8" t="s">
        <v>2354</v>
      </c>
      <c r="CM212" s="1266"/>
      <c r="CN212" s="300"/>
      <c r="CP212" s="8"/>
      <c r="CQ212" s="8"/>
      <c r="CR212" s="8"/>
      <c r="CS212" s="8"/>
      <c r="CT212" s="8"/>
      <c r="CU212" s="8"/>
      <c r="CV212" s="8" t="s">
        <v>2354</v>
      </c>
      <c r="CW212" s="1266"/>
      <c r="CX212" s="300"/>
      <c r="CZ212" s="8"/>
      <c r="DA212" s="8"/>
      <c r="DB212" s="8"/>
      <c r="DC212" s="8"/>
      <c r="DD212" s="8"/>
      <c r="DE212" s="8"/>
      <c r="DF212" s="8" t="s">
        <v>2354</v>
      </c>
      <c r="DG212" s="1266"/>
      <c r="DH212" s="300"/>
      <c r="DJ212" s="8"/>
      <c r="DK212" s="8"/>
      <c r="DL212" s="8"/>
      <c r="DM212" s="8"/>
      <c r="DN212" s="8"/>
      <c r="DO212" s="8"/>
      <c r="DP212" s="8" t="s">
        <v>2354</v>
      </c>
      <c r="DQ212" s="1266"/>
      <c r="DR212" s="300"/>
      <c r="DT212" s="8"/>
      <c r="DU212" s="8"/>
      <c r="DV212" s="8"/>
      <c r="DW212" s="8"/>
      <c r="EB212" s="300"/>
      <c r="ED212" s="8"/>
      <c r="EE212" s="8"/>
      <c r="EF212" s="8"/>
      <c r="EG212" s="8"/>
      <c r="EH212" s="8"/>
      <c r="EI212" s="8"/>
      <c r="EJ212" s="8"/>
      <c r="EK212" s="1266"/>
      <c r="EL212" s="300"/>
      <c r="EN212" s="8"/>
      <c r="EO212" s="8"/>
      <c r="EP212" s="8"/>
      <c r="EQ212" s="8"/>
      <c r="ER212" s="8"/>
      <c r="ES212" s="8"/>
      <c r="ET212" s="8"/>
      <c r="EU212" s="1266"/>
      <c r="EV212" s="300"/>
      <c r="EX212" s="8"/>
      <c r="EY212" s="8"/>
      <c r="EZ212" s="8"/>
      <c r="FA212" s="8"/>
      <c r="FB212" s="8"/>
      <c r="FC212" s="8"/>
      <c r="FD212" s="8"/>
      <c r="FE212" s="1266"/>
      <c r="FF212" s="300"/>
      <c r="FH212" s="8"/>
      <c r="FI212" s="8"/>
      <c r="FJ212" s="8"/>
      <c r="FK212" s="8"/>
      <c r="FL212" s="8"/>
      <c r="FM212" s="8"/>
      <c r="FN212" s="8"/>
      <c r="FO212" s="1266"/>
      <c r="FP212" s="300"/>
      <c r="FR212" s="8"/>
      <c r="FS212" s="8"/>
      <c r="FT212" s="8"/>
      <c r="FU212" s="8"/>
      <c r="FV212" s="8"/>
      <c r="FW212" s="8"/>
      <c r="FX212" s="8"/>
      <c r="FY212" s="8"/>
      <c r="FZ212" s="1266"/>
      <c r="GA212" s="300"/>
      <c r="GC212" s="8"/>
      <c r="GD212" s="8"/>
      <c r="GE212" s="8"/>
      <c r="GF212" s="8"/>
      <c r="GK212" s="300"/>
      <c r="GM212" s="8"/>
      <c r="GN212" s="8"/>
      <c r="GO212" s="8"/>
      <c r="GP212" s="8"/>
      <c r="GQ212" s="8"/>
      <c r="GR212" s="8"/>
      <c r="GS212" s="8"/>
      <c r="GT212" s="1266"/>
      <c r="GU212" s="300"/>
      <c r="GW212" s="8"/>
      <c r="GX212" s="8"/>
      <c r="GY212" s="8"/>
      <c r="GZ212" s="8"/>
      <c r="HA212" s="8"/>
      <c r="HB212" s="8"/>
      <c r="HC212" s="8"/>
      <c r="HD212" s="1266"/>
      <c r="HE212" s="300"/>
      <c r="HG212" s="8"/>
      <c r="HH212" s="8"/>
      <c r="HI212" s="8"/>
      <c r="HJ212" s="8"/>
      <c r="HK212" s="8"/>
      <c r="HL212" s="8"/>
      <c r="HM212" s="8"/>
      <c r="HN212" s="1266"/>
      <c r="HO212" s="300"/>
      <c r="HQ212" s="8"/>
      <c r="HR212" s="8"/>
      <c r="HS212" s="8"/>
      <c r="HT212" s="8"/>
      <c r="HU212" s="8"/>
      <c r="HV212" s="8"/>
      <c r="HW212" s="8"/>
      <c r="HX212" s="8"/>
      <c r="HY212" s="1266"/>
      <c r="HZ212" s="300"/>
      <c r="IB212" s="8"/>
      <c r="IC212" s="8"/>
      <c r="ID212" s="8"/>
      <c r="IE212" s="8"/>
      <c r="IF212" s="8"/>
      <c r="IG212" s="8"/>
      <c r="IH212" s="8"/>
      <c r="II212" s="1266"/>
      <c r="IJ212" s="300"/>
    </row>
    <row r="213" spans="3:244" x14ac:dyDescent="0.3">
      <c r="C213" t="s">
        <v>2361</v>
      </c>
      <c r="D213" s="300" t="s">
        <v>106</v>
      </c>
      <c r="E213" t="s">
        <v>107</v>
      </c>
      <c r="F213" s="8"/>
      <c r="G213" s="8"/>
      <c r="H213" s="8"/>
      <c r="I213" s="8"/>
      <c r="J213" s="8"/>
      <c r="K213" s="8"/>
      <c r="L213" s="8" t="s">
        <v>2354</v>
      </c>
      <c r="M213" s="8"/>
      <c r="N213" s="300" t="s">
        <v>106</v>
      </c>
      <c r="O213" t="s">
        <v>107</v>
      </c>
      <c r="P213" s="8" t="s">
        <v>107</v>
      </c>
      <c r="Q213" s="8" t="s">
        <v>107</v>
      </c>
      <c r="R213" s="8" t="s">
        <v>106</v>
      </c>
      <c r="S213" s="8"/>
      <c r="T213" s="8"/>
      <c r="U213" s="8"/>
      <c r="V213" s="8" t="s">
        <v>2354</v>
      </c>
      <c r="W213" s="1266">
        <v>1</v>
      </c>
      <c r="X213" s="300" t="s">
        <v>106</v>
      </c>
      <c r="Z213" s="8"/>
      <c r="AA213" s="8"/>
      <c r="AB213" s="8"/>
      <c r="AC213" s="8"/>
      <c r="AD213" s="8"/>
      <c r="AE213" s="8"/>
      <c r="AF213" s="8" t="s">
        <v>2354</v>
      </c>
      <c r="AG213" s="1266"/>
      <c r="AH213" s="300" t="s">
        <v>107</v>
      </c>
      <c r="AI213" t="s">
        <v>106</v>
      </c>
      <c r="AJ213" s="8" t="s">
        <v>106</v>
      </c>
      <c r="AK213" s="8"/>
      <c r="AL213" s="8"/>
      <c r="AM213" s="8"/>
      <c r="AN213" s="8"/>
      <c r="AO213" s="8"/>
      <c r="AP213" s="8"/>
      <c r="AQ213" s="8"/>
      <c r="AR213" s="8" t="s">
        <v>2354</v>
      </c>
      <c r="AS213" s="1266"/>
      <c r="AT213" s="300" t="s">
        <v>106</v>
      </c>
      <c r="AU213" t="s">
        <v>106</v>
      </c>
      <c r="AV213" s="8" t="s">
        <v>106</v>
      </c>
      <c r="AW213" s="8" t="s">
        <v>107</v>
      </c>
      <c r="AX213" s="8" t="s">
        <v>106</v>
      </c>
      <c r="AY213" s="8" t="s">
        <v>107</v>
      </c>
      <c r="AZ213" s="8" t="s">
        <v>106</v>
      </c>
      <c r="BA213" s="8" t="s">
        <v>106</v>
      </c>
      <c r="BB213" s="8"/>
      <c r="BC213" s="8"/>
      <c r="BD213" s="8"/>
      <c r="BE213" s="8" t="s">
        <v>2354</v>
      </c>
      <c r="BF213" s="1266"/>
      <c r="BG213" s="300" t="s">
        <v>107</v>
      </c>
      <c r="BH213" t="s">
        <v>106</v>
      </c>
      <c r="BI213" s="8" t="s">
        <v>107</v>
      </c>
      <c r="BJ213" s="8" t="s">
        <v>107</v>
      </c>
      <c r="BK213" s="8" t="s">
        <v>106</v>
      </c>
      <c r="BL213" s="8" t="s">
        <v>106</v>
      </c>
      <c r="BR213" s="8" t="s">
        <v>2354</v>
      </c>
      <c r="BS213">
        <v>2</v>
      </c>
      <c r="BT213" s="300" t="s">
        <v>107</v>
      </c>
      <c r="BU213" t="s">
        <v>106</v>
      </c>
      <c r="BV213" s="8" t="s">
        <v>107</v>
      </c>
      <c r="BW213" s="8" t="s">
        <v>106</v>
      </c>
      <c r="BX213" s="8" t="s">
        <v>107</v>
      </c>
      <c r="BY213" s="8"/>
      <c r="BZ213" s="8"/>
      <c r="CA213" s="8"/>
      <c r="CB213" s="8" t="s">
        <v>2354</v>
      </c>
      <c r="CC213" s="1266"/>
      <c r="CD213" s="300" t="s">
        <v>106</v>
      </c>
      <c r="CF213" s="8"/>
      <c r="CG213" s="8"/>
      <c r="CH213" s="8"/>
      <c r="CI213" s="8"/>
      <c r="CJ213" s="8"/>
      <c r="CK213" s="8"/>
      <c r="CL213" s="8" t="s">
        <v>2354</v>
      </c>
      <c r="CM213" s="1266"/>
      <c r="CN213" s="300" t="s">
        <v>106</v>
      </c>
      <c r="CO213" t="s">
        <v>107</v>
      </c>
      <c r="CP213" s="8" t="s">
        <v>107</v>
      </c>
      <c r="CQ213" s="8"/>
      <c r="CR213" s="8"/>
      <c r="CS213" s="8"/>
      <c r="CT213" s="8"/>
      <c r="CU213" s="8"/>
      <c r="CV213" s="8" t="s">
        <v>2354</v>
      </c>
      <c r="CW213" s="1266">
        <v>1</v>
      </c>
      <c r="CX213" s="300"/>
      <c r="CZ213" s="8"/>
      <c r="DA213" s="8"/>
      <c r="DB213" s="8"/>
      <c r="DC213" s="8"/>
      <c r="DD213" s="8"/>
      <c r="DE213" s="8"/>
      <c r="DF213" s="8" t="s">
        <v>2354</v>
      </c>
      <c r="DG213" s="1266"/>
      <c r="DH213" s="300"/>
      <c r="DJ213" s="8"/>
      <c r="DK213" s="8"/>
      <c r="DL213" s="8"/>
      <c r="DM213" s="8"/>
      <c r="DN213" s="8"/>
      <c r="DO213" s="8"/>
      <c r="DP213" s="8" t="s">
        <v>2354</v>
      </c>
      <c r="DQ213" s="1266"/>
      <c r="DR213" s="300"/>
      <c r="DT213" s="8"/>
      <c r="DU213" s="8"/>
      <c r="DV213" s="8"/>
      <c r="DW213" s="8"/>
      <c r="EB213" s="300"/>
      <c r="ED213" s="8"/>
      <c r="EE213" s="8"/>
      <c r="EF213" s="8"/>
      <c r="EG213" s="8"/>
      <c r="EH213" s="8"/>
      <c r="EI213" s="8"/>
      <c r="EJ213" s="8"/>
      <c r="EK213" s="1266"/>
      <c r="EL213" s="300"/>
      <c r="EN213" s="8"/>
      <c r="EO213" s="8"/>
      <c r="EP213" s="8"/>
      <c r="EQ213" s="8"/>
      <c r="ER213" s="8"/>
      <c r="ES213" s="8"/>
      <c r="ET213" s="8"/>
      <c r="EU213" s="1266"/>
      <c r="EV213" s="300"/>
      <c r="EX213" s="8"/>
      <c r="EY213" s="8"/>
      <c r="EZ213" s="8"/>
      <c r="FA213" s="8"/>
      <c r="FB213" s="8"/>
      <c r="FC213" s="8"/>
      <c r="FD213" s="8"/>
      <c r="FE213" s="1266"/>
      <c r="FF213" s="300"/>
      <c r="FH213" s="8"/>
      <c r="FI213" s="8"/>
      <c r="FJ213" s="8"/>
      <c r="FK213" s="8"/>
      <c r="FL213" s="8"/>
      <c r="FM213" s="8"/>
      <c r="FN213" s="8"/>
      <c r="FO213" s="1266"/>
      <c r="FP213" s="300"/>
      <c r="FR213" s="8"/>
      <c r="FS213" s="8"/>
      <c r="FT213" s="8"/>
      <c r="FU213" s="8"/>
      <c r="FV213" s="8"/>
      <c r="FW213" s="8"/>
      <c r="FX213" s="8"/>
      <c r="FY213" s="8"/>
      <c r="FZ213" s="1266"/>
      <c r="GA213" s="300"/>
      <c r="GC213" s="8"/>
      <c r="GD213" s="8"/>
      <c r="GE213" s="8"/>
      <c r="GF213" s="8"/>
      <c r="GK213" s="300"/>
      <c r="GM213" s="8"/>
      <c r="GN213" s="8"/>
      <c r="GO213" s="8"/>
      <c r="GP213" s="8"/>
      <c r="GQ213" s="8"/>
      <c r="GR213" s="8"/>
      <c r="GS213" s="8"/>
      <c r="GT213" s="1266"/>
      <c r="GU213" s="300"/>
      <c r="GW213" s="8"/>
      <c r="GX213" s="8"/>
      <c r="GY213" s="8"/>
      <c r="GZ213" s="8"/>
      <c r="HA213" s="8"/>
      <c r="HB213" s="8"/>
      <c r="HC213" s="8"/>
      <c r="HD213" s="1266"/>
      <c r="HE213" s="300"/>
      <c r="HG213" s="8"/>
      <c r="HH213" s="8"/>
      <c r="HI213" s="8"/>
      <c r="HJ213" s="8"/>
      <c r="HK213" s="8"/>
      <c r="HL213" s="8"/>
      <c r="HM213" s="8"/>
      <c r="HN213" s="1266"/>
      <c r="HO213" s="300"/>
      <c r="HQ213" s="8"/>
      <c r="HR213" s="8"/>
      <c r="HS213" s="8"/>
      <c r="HT213" s="8"/>
      <c r="HU213" s="8"/>
      <c r="HV213" s="8"/>
      <c r="HW213" s="8"/>
      <c r="HX213" s="8"/>
      <c r="HY213" s="1266"/>
      <c r="HZ213" s="300"/>
      <c r="IB213" s="8"/>
      <c r="IC213" s="8"/>
      <c r="ID213" s="8"/>
      <c r="IE213" s="8"/>
      <c r="IF213" s="8"/>
      <c r="IG213" s="8"/>
      <c r="IH213" s="8"/>
      <c r="II213" s="1266"/>
      <c r="IJ213" s="300"/>
    </row>
    <row r="214" spans="3:244" x14ac:dyDescent="0.3">
      <c r="C214" t="s">
        <v>2715</v>
      </c>
      <c r="D214" s="300" t="s">
        <v>107</v>
      </c>
      <c r="E214" t="s">
        <v>106</v>
      </c>
      <c r="F214" s="8" t="s">
        <v>107</v>
      </c>
      <c r="G214" s="8"/>
      <c r="H214" s="8"/>
      <c r="I214" s="8"/>
      <c r="J214" s="8"/>
      <c r="K214" s="8"/>
      <c r="L214" s="8" t="s">
        <v>2354</v>
      </c>
      <c r="M214" s="8">
        <v>1</v>
      </c>
      <c r="N214" s="300" t="s">
        <v>107</v>
      </c>
      <c r="O214" t="s">
        <v>107</v>
      </c>
      <c r="P214" s="8" t="s">
        <v>106</v>
      </c>
      <c r="Q214" s="8" t="s">
        <v>107</v>
      </c>
      <c r="R214" s="8" t="s">
        <v>107</v>
      </c>
      <c r="S214" s="8"/>
      <c r="T214" s="8"/>
      <c r="U214" s="8"/>
      <c r="V214" s="8" t="s">
        <v>2354</v>
      </c>
      <c r="W214" s="1266">
        <v>1</v>
      </c>
      <c r="X214" s="300"/>
      <c r="Z214" s="8"/>
      <c r="AA214" s="8"/>
      <c r="AB214" s="8"/>
      <c r="AC214" s="8"/>
      <c r="AD214" s="8"/>
      <c r="AE214" s="8"/>
      <c r="AF214" s="8" t="s">
        <v>2354</v>
      </c>
      <c r="AG214" s="1266"/>
      <c r="AH214" s="300" t="s">
        <v>106</v>
      </c>
      <c r="AI214" t="s">
        <v>106</v>
      </c>
      <c r="AJ214" s="8"/>
      <c r="AK214" s="8"/>
      <c r="AL214" s="8"/>
      <c r="AM214" s="8"/>
      <c r="AN214" s="8"/>
      <c r="AO214" s="8"/>
      <c r="AP214" s="8"/>
      <c r="AQ214" s="8"/>
      <c r="AR214" s="8" t="s">
        <v>2354</v>
      </c>
      <c r="AS214" s="1266">
        <v>2</v>
      </c>
      <c r="AT214" s="300"/>
      <c r="AV214" s="8"/>
      <c r="AW214" s="8"/>
      <c r="AX214" s="8"/>
      <c r="AY214" s="8"/>
      <c r="AZ214" s="8"/>
      <c r="BA214" s="8"/>
      <c r="BB214" s="8"/>
      <c r="BC214" s="8"/>
      <c r="BD214" s="8"/>
      <c r="BE214" s="8" t="s">
        <v>2354</v>
      </c>
      <c r="BF214" s="1266"/>
      <c r="BG214" s="300"/>
      <c r="BI214" s="8"/>
      <c r="BJ214" s="8"/>
      <c r="BK214" s="8"/>
      <c r="BL214" s="8"/>
      <c r="BR214" s="8" t="s">
        <v>2354</v>
      </c>
      <c r="BT214" s="300"/>
      <c r="BV214" s="8"/>
      <c r="BW214" s="8"/>
      <c r="BX214" s="8"/>
      <c r="BY214" s="8"/>
      <c r="BZ214" s="8"/>
      <c r="CA214" s="8"/>
      <c r="CB214" s="8" t="s">
        <v>2354</v>
      </c>
      <c r="CC214" s="1266"/>
      <c r="CD214" s="300"/>
      <c r="CF214" s="8"/>
      <c r="CG214" s="8"/>
      <c r="CH214" s="8"/>
      <c r="CI214" s="8"/>
      <c r="CJ214" s="8"/>
      <c r="CK214" s="8"/>
      <c r="CL214" s="8" t="s">
        <v>2354</v>
      </c>
      <c r="CM214" s="1266"/>
      <c r="CN214" s="300" t="s">
        <v>107</v>
      </c>
      <c r="CO214" t="s">
        <v>107</v>
      </c>
      <c r="CP214" s="8" t="s">
        <v>106</v>
      </c>
      <c r="CQ214" s="8" t="s">
        <v>107</v>
      </c>
      <c r="CR214" s="8"/>
      <c r="CS214" s="8"/>
      <c r="CT214" s="8"/>
      <c r="CU214" s="8"/>
      <c r="CV214" s="8" t="s">
        <v>2354</v>
      </c>
      <c r="CW214" s="1266">
        <v>1</v>
      </c>
      <c r="CX214" s="300"/>
      <c r="CZ214" s="8"/>
      <c r="DA214" s="8"/>
      <c r="DB214" s="8"/>
      <c r="DC214" s="8"/>
      <c r="DD214" s="8"/>
      <c r="DE214" s="8"/>
      <c r="DF214" s="8" t="s">
        <v>2354</v>
      </c>
      <c r="DG214" s="1266"/>
      <c r="DH214" s="300"/>
      <c r="DJ214" s="8"/>
      <c r="DK214" s="8"/>
      <c r="DL214" s="8"/>
      <c r="DM214" s="8"/>
      <c r="DN214" s="8"/>
      <c r="DO214" s="8"/>
      <c r="DP214" s="8" t="s">
        <v>2354</v>
      </c>
      <c r="DQ214" s="1266"/>
      <c r="DR214" s="300"/>
      <c r="DT214" s="8"/>
      <c r="DU214" s="8"/>
      <c r="DV214" s="8"/>
      <c r="DW214" s="8"/>
      <c r="EB214" s="300"/>
      <c r="ED214" s="8"/>
      <c r="EE214" s="8"/>
      <c r="EF214" s="8"/>
      <c r="EG214" s="8"/>
      <c r="EH214" s="8"/>
      <c r="EI214" s="8"/>
      <c r="EJ214" s="8"/>
      <c r="EK214" s="1266"/>
      <c r="EL214" s="300"/>
      <c r="EN214" s="8"/>
      <c r="EO214" s="8"/>
      <c r="EP214" s="8"/>
      <c r="EQ214" s="8"/>
      <c r="ER214" s="8"/>
      <c r="ES214" s="8"/>
      <c r="ET214" s="8"/>
      <c r="EU214" s="1266"/>
      <c r="EV214" s="300"/>
      <c r="EX214" s="8"/>
      <c r="EY214" s="8"/>
      <c r="EZ214" s="8"/>
      <c r="FA214" s="8"/>
      <c r="FB214" s="8"/>
      <c r="FC214" s="8"/>
      <c r="FD214" s="8"/>
      <c r="FE214" s="1266"/>
      <c r="FF214" s="300"/>
      <c r="FH214" s="8"/>
      <c r="FI214" s="8"/>
      <c r="FJ214" s="8"/>
      <c r="FK214" s="8"/>
      <c r="FL214" s="8"/>
      <c r="FM214" s="8"/>
      <c r="FN214" s="8"/>
      <c r="FO214" s="1266"/>
      <c r="FP214" s="300"/>
      <c r="FR214" s="8"/>
      <c r="FS214" s="8"/>
      <c r="FT214" s="8"/>
      <c r="FU214" s="8"/>
      <c r="FV214" s="8"/>
      <c r="FW214" s="8"/>
      <c r="FX214" s="8"/>
      <c r="FY214" s="8"/>
      <c r="FZ214" s="1266"/>
      <c r="GA214" s="300"/>
      <c r="GC214" s="8"/>
      <c r="GD214" s="8"/>
      <c r="GE214" s="8"/>
      <c r="GF214" s="8"/>
      <c r="GK214" s="300"/>
      <c r="GM214" s="8"/>
      <c r="GN214" s="8"/>
      <c r="GO214" s="8"/>
      <c r="GP214" s="8"/>
      <c r="GQ214" s="8"/>
      <c r="GR214" s="8"/>
      <c r="GS214" s="8"/>
      <c r="GT214" s="1266"/>
      <c r="GU214" s="300"/>
      <c r="GW214" s="8"/>
      <c r="GX214" s="8"/>
      <c r="GY214" s="8"/>
      <c r="GZ214" s="8"/>
      <c r="HA214" s="8"/>
      <c r="HB214" s="8"/>
      <c r="HC214" s="8"/>
      <c r="HD214" s="1266"/>
      <c r="HE214" s="300"/>
      <c r="HG214" s="8"/>
      <c r="HH214" s="8"/>
      <c r="HI214" s="8"/>
      <c r="HJ214" s="8"/>
      <c r="HK214" s="8"/>
      <c r="HL214" s="8"/>
      <c r="HM214" s="8"/>
      <c r="HN214" s="1266"/>
      <c r="HO214" s="300"/>
      <c r="HQ214" s="8"/>
      <c r="HR214" s="8"/>
      <c r="HS214" s="8"/>
      <c r="HT214" s="8"/>
      <c r="HU214" s="8"/>
      <c r="HV214" s="8"/>
      <c r="HW214" s="8"/>
      <c r="HX214" s="8"/>
      <c r="HY214" s="1266"/>
      <c r="HZ214" s="300"/>
      <c r="IB214" s="8"/>
      <c r="IC214" s="8"/>
      <c r="ID214" s="8"/>
      <c r="IE214" s="8"/>
      <c r="IF214" s="8"/>
      <c r="IG214" s="8"/>
      <c r="IH214" s="8"/>
      <c r="II214" s="1266"/>
      <c r="IJ214" s="300"/>
    </row>
    <row r="215" spans="3:244" x14ac:dyDescent="0.3">
      <c r="C215" t="s">
        <v>2362</v>
      </c>
      <c r="D215" s="300" t="s">
        <v>107</v>
      </c>
      <c r="F215" s="8"/>
      <c r="G215" s="8"/>
      <c r="H215" s="8"/>
      <c r="I215" s="8"/>
      <c r="J215" s="8"/>
      <c r="K215" s="8"/>
      <c r="L215" s="8" t="s">
        <v>2354</v>
      </c>
      <c r="M215" s="8"/>
      <c r="N215" s="300" t="s">
        <v>107</v>
      </c>
      <c r="O215" t="s">
        <v>107</v>
      </c>
      <c r="P215" s="8" t="s">
        <v>106</v>
      </c>
      <c r="Q215" s="8"/>
      <c r="R215" s="8"/>
      <c r="S215" s="8"/>
      <c r="T215" s="8"/>
      <c r="U215" s="8"/>
      <c r="V215" s="8" t="s">
        <v>2354</v>
      </c>
      <c r="W215" s="1266">
        <v>3</v>
      </c>
      <c r="X215" s="300" t="s">
        <v>106</v>
      </c>
      <c r="Y215" t="s">
        <v>107</v>
      </c>
      <c r="Z215" s="8"/>
      <c r="AA215" s="8"/>
      <c r="AB215" s="8"/>
      <c r="AC215" s="8"/>
      <c r="AD215" s="8"/>
      <c r="AE215" s="8"/>
      <c r="AF215" s="8" t="s">
        <v>2354</v>
      </c>
      <c r="AG215" s="1266">
        <v>1</v>
      </c>
      <c r="AH215" s="300" t="s">
        <v>106</v>
      </c>
      <c r="AI215" t="s">
        <v>106</v>
      </c>
      <c r="AJ215" s="8"/>
      <c r="AK215" s="8"/>
      <c r="AL215" s="8"/>
      <c r="AM215" s="8"/>
      <c r="AN215" s="8"/>
      <c r="AO215" s="8"/>
      <c r="AP215" s="8"/>
      <c r="AQ215" s="8"/>
      <c r="AR215" s="8" t="s">
        <v>2354</v>
      </c>
      <c r="AS215" s="1266"/>
      <c r="AT215" s="300" t="s">
        <v>106</v>
      </c>
      <c r="AU215" t="s">
        <v>107</v>
      </c>
      <c r="AV215" s="8" t="s">
        <v>107</v>
      </c>
      <c r="AW215" s="8" t="s">
        <v>106</v>
      </c>
      <c r="AX215" s="8"/>
      <c r="AY215" s="8"/>
      <c r="AZ215" s="8"/>
      <c r="BA215" s="8"/>
      <c r="BB215" s="8"/>
      <c r="BC215" s="8"/>
      <c r="BD215" s="8"/>
      <c r="BE215" s="8" t="s">
        <v>2354</v>
      </c>
      <c r="BF215" s="1266">
        <v>1</v>
      </c>
      <c r="BG215" s="300" t="s">
        <v>107</v>
      </c>
      <c r="BH215" t="s">
        <v>107</v>
      </c>
      <c r="BI215" s="8" t="s">
        <v>107</v>
      </c>
      <c r="BJ215" s="8" t="s">
        <v>107</v>
      </c>
      <c r="BK215" s="8" t="s">
        <v>106</v>
      </c>
      <c r="BL215" s="8"/>
      <c r="BR215" s="8" t="s">
        <v>2354</v>
      </c>
      <c r="BS215">
        <v>3</v>
      </c>
      <c r="BT215" s="300" t="s">
        <v>106</v>
      </c>
      <c r="BV215" s="8"/>
      <c r="BW215" s="8"/>
      <c r="BX215" s="8"/>
      <c r="BY215" s="8"/>
      <c r="BZ215" s="8"/>
      <c r="CA215" s="8"/>
      <c r="CB215" s="8" t="s">
        <v>2354</v>
      </c>
      <c r="CC215" s="1266"/>
      <c r="CD215" s="300"/>
      <c r="CF215" s="8"/>
      <c r="CG215" s="8"/>
      <c r="CH215" s="8"/>
      <c r="CI215" s="8"/>
      <c r="CJ215" s="8"/>
      <c r="CK215" s="8"/>
      <c r="CL215" s="8" t="s">
        <v>2354</v>
      </c>
      <c r="CM215" s="1266"/>
      <c r="CN215" s="300"/>
      <c r="CP215" s="8"/>
      <c r="CQ215" s="8"/>
      <c r="CR215" s="8"/>
      <c r="CS215" s="8"/>
      <c r="CT215" s="8"/>
      <c r="CU215" s="8"/>
      <c r="CV215" s="8" t="s">
        <v>2354</v>
      </c>
      <c r="CW215" s="1266">
        <v>2</v>
      </c>
      <c r="CX215" s="300"/>
      <c r="CZ215" s="8"/>
      <c r="DA215" s="8"/>
      <c r="DB215" s="8"/>
      <c r="DC215" s="8"/>
      <c r="DD215" s="8"/>
      <c r="DE215" s="8"/>
      <c r="DF215" s="8" t="s">
        <v>2354</v>
      </c>
      <c r="DG215" s="1266"/>
      <c r="DH215" s="300"/>
      <c r="DJ215" s="8"/>
      <c r="DK215" s="8"/>
      <c r="DL215" s="8"/>
      <c r="DM215" s="8"/>
      <c r="DN215" s="8"/>
      <c r="DO215" s="8"/>
      <c r="DP215" s="8" t="s">
        <v>2354</v>
      </c>
      <c r="DQ215" s="1266"/>
      <c r="DR215" s="300"/>
      <c r="DT215" s="8"/>
      <c r="DU215" s="8"/>
      <c r="DV215" s="8"/>
      <c r="DW215" s="8"/>
      <c r="EB215" s="300"/>
      <c r="ED215" s="8"/>
      <c r="EE215" s="8"/>
      <c r="EF215" s="8"/>
      <c r="EG215" s="8"/>
      <c r="EH215" s="8"/>
      <c r="EI215" s="8"/>
      <c r="EJ215" s="8"/>
      <c r="EK215" s="1266"/>
      <c r="EL215" s="300"/>
      <c r="EN215" s="8"/>
      <c r="EO215" s="8"/>
      <c r="EP215" s="8"/>
      <c r="EQ215" s="8"/>
      <c r="ER215" s="8"/>
      <c r="ES215" s="8"/>
      <c r="ET215" s="8"/>
      <c r="EU215" s="1266"/>
      <c r="EV215" s="300"/>
      <c r="EX215" s="8"/>
      <c r="EY215" s="8"/>
      <c r="EZ215" s="8"/>
      <c r="FA215" s="8"/>
      <c r="FB215" s="8"/>
      <c r="FC215" s="8"/>
      <c r="FD215" s="8"/>
      <c r="FE215" s="1266"/>
      <c r="FF215" s="300"/>
      <c r="FH215" s="8"/>
      <c r="FI215" s="8"/>
      <c r="FJ215" s="8"/>
      <c r="FK215" s="8"/>
      <c r="FL215" s="8"/>
      <c r="FM215" s="8"/>
      <c r="FN215" s="8"/>
      <c r="FO215" s="1266"/>
      <c r="FP215" s="300"/>
      <c r="FR215" s="8"/>
      <c r="FS215" s="8"/>
      <c r="FT215" s="8"/>
      <c r="FU215" s="8"/>
      <c r="FV215" s="8"/>
      <c r="FW215" s="8"/>
      <c r="FX215" s="8"/>
      <c r="FY215" s="8"/>
      <c r="FZ215" s="1266"/>
      <c r="GA215" s="300"/>
      <c r="GC215" s="8"/>
      <c r="GD215" s="8"/>
      <c r="GE215" s="8"/>
      <c r="GF215" s="8"/>
      <c r="GK215" s="300"/>
      <c r="GM215" s="8"/>
      <c r="GN215" s="8"/>
      <c r="GO215" s="8"/>
      <c r="GP215" s="8"/>
      <c r="GQ215" s="8"/>
      <c r="GR215" s="8"/>
      <c r="GS215" s="8"/>
      <c r="GT215" s="1266"/>
      <c r="GU215" s="300"/>
      <c r="GW215" s="8"/>
      <c r="GX215" s="8"/>
      <c r="GY215" s="8"/>
      <c r="GZ215" s="8"/>
      <c r="HA215" s="8"/>
      <c r="HB215" s="8"/>
      <c r="HC215" s="8"/>
      <c r="HD215" s="1266"/>
      <c r="HE215" s="300"/>
      <c r="HG215" s="8"/>
      <c r="HH215" s="8"/>
      <c r="HI215" s="8"/>
      <c r="HJ215" s="8"/>
      <c r="HK215" s="8"/>
      <c r="HL215" s="8"/>
      <c r="HM215" s="8"/>
      <c r="HN215" s="1266"/>
      <c r="HO215" s="300"/>
      <c r="HQ215" s="8"/>
      <c r="HR215" s="8"/>
      <c r="HS215" s="8"/>
      <c r="HT215" s="8"/>
      <c r="HU215" s="8"/>
      <c r="HV215" s="8"/>
      <c r="HW215" s="8"/>
      <c r="HX215" s="8"/>
      <c r="HY215" s="1266"/>
      <c r="HZ215" s="300"/>
      <c r="IB215" s="8"/>
      <c r="IC215" s="8"/>
      <c r="ID215" s="8"/>
      <c r="IE215" s="8"/>
      <c r="IF215" s="8"/>
      <c r="IG215" s="8"/>
      <c r="IH215" s="8"/>
      <c r="II215" s="1266"/>
      <c r="IJ215" s="300"/>
    </row>
    <row r="216" spans="3:244" x14ac:dyDescent="0.3">
      <c r="C216" t="s">
        <v>2734</v>
      </c>
      <c r="D216" s="300"/>
      <c r="F216" s="8"/>
      <c r="G216" s="8"/>
      <c r="H216" s="8"/>
      <c r="I216" s="8"/>
      <c r="J216" s="8"/>
      <c r="K216" s="8"/>
      <c r="L216" s="8" t="s">
        <v>2354</v>
      </c>
      <c r="M216" s="8"/>
      <c r="N216" s="300"/>
      <c r="P216" s="8"/>
      <c r="Q216" s="8"/>
      <c r="R216" s="8"/>
      <c r="S216" s="8"/>
      <c r="T216" s="8"/>
      <c r="U216" s="8"/>
      <c r="V216" s="8" t="s">
        <v>2354</v>
      </c>
      <c r="W216" s="1266"/>
      <c r="X216" s="300" t="s">
        <v>107</v>
      </c>
      <c r="Y216" t="s">
        <v>106</v>
      </c>
      <c r="Z216" s="8"/>
      <c r="AA216" s="8"/>
      <c r="AB216" s="8"/>
      <c r="AC216" s="8"/>
      <c r="AD216" s="8"/>
      <c r="AE216" s="8"/>
      <c r="AF216" s="8" t="s">
        <v>2354</v>
      </c>
      <c r="AG216" s="1266"/>
      <c r="AH216" s="300" t="s">
        <v>106</v>
      </c>
      <c r="AI216" t="s">
        <v>106</v>
      </c>
      <c r="AJ216" s="8"/>
      <c r="AK216" s="8"/>
      <c r="AL216" s="8"/>
      <c r="AM216" s="8"/>
      <c r="AN216" s="8"/>
      <c r="AO216" s="8"/>
      <c r="AP216" s="8"/>
      <c r="AQ216" s="8"/>
      <c r="AR216" s="8" t="s">
        <v>2354</v>
      </c>
      <c r="AS216" s="1266">
        <v>2</v>
      </c>
      <c r="AT216" s="300" t="s">
        <v>106</v>
      </c>
      <c r="AU216" t="s">
        <v>106</v>
      </c>
      <c r="AV216" s="8"/>
      <c r="AW216" s="8"/>
      <c r="AX216" s="8"/>
      <c r="AY216" s="8"/>
      <c r="AZ216" s="8"/>
      <c r="BA216" s="8"/>
      <c r="BB216" s="8"/>
      <c r="BC216" s="8"/>
      <c r="BD216" s="8"/>
      <c r="BE216" s="8" t="s">
        <v>2354</v>
      </c>
      <c r="BF216" s="1266">
        <v>5</v>
      </c>
      <c r="BG216" s="300" t="s">
        <v>106</v>
      </c>
      <c r="BH216" t="s">
        <v>107</v>
      </c>
      <c r="BI216" s="8" t="s">
        <v>106</v>
      </c>
      <c r="BJ216" s="8"/>
      <c r="BK216" s="8"/>
      <c r="BL216" s="8"/>
      <c r="BR216" s="8" t="s">
        <v>2354</v>
      </c>
      <c r="BS216">
        <v>7</v>
      </c>
      <c r="BT216" s="300" t="s">
        <v>106</v>
      </c>
      <c r="BU216" t="s">
        <v>107</v>
      </c>
      <c r="BV216" s="8" t="s">
        <v>107</v>
      </c>
      <c r="BW216" s="8" t="s">
        <v>107</v>
      </c>
      <c r="BX216" s="8" t="s">
        <v>107</v>
      </c>
      <c r="BY216" s="8"/>
      <c r="BZ216" s="8"/>
      <c r="CA216" s="8"/>
      <c r="CB216" s="8" t="s">
        <v>2354</v>
      </c>
      <c r="CC216" s="1266">
        <v>5</v>
      </c>
      <c r="CD216" s="300" t="s">
        <v>106</v>
      </c>
      <c r="CE216" t="s">
        <v>107</v>
      </c>
      <c r="CF216" s="8" t="s">
        <v>107</v>
      </c>
      <c r="CG216" s="8" t="s">
        <v>106</v>
      </c>
      <c r="CH216" s="8"/>
      <c r="CI216" s="8"/>
      <c r="CJ216" s="8"/>
      <c r="CK216" s="8"/>
      <c r="CL216" s="8" t="s">
        <v>2354</v>
      </c>
      <c r="CM216" s="1266">
        <v>2</v>
      </c>
      <c r="CN216" s="300"/>
      <c r="CP216" s="8"/>
      <c r="CQ216" s="8"/>
      <c r="CR216" s="8"/>
      <c r="CS216" s="8"/>
      <c r="CT216" s="8"/>
      <c r="CU216" s="8"/>
      <c r="CV216" s="8" t="s">
        <v>2354</v>
      </c>
      <c r="CW216" s="1266">
        <v>4</v>
      </c>
      <c r="CX216" s="300"/>
      <c r="CZ216" s="8"/>
      <c r="DA216" s="8"/>
      <c r="DB216" s="8"/>
      <c r="DC216" s="8"/>
      <c r="DD216" s="8"/>
      <c r="DE216" s="8"/>
      <c r="DF216" s="8" t="s">
        <v>2354</v>
      </c>
      <c r="DG216" s="1266"/>
      <c r="DH216" s="300"/>
      <c r="DJ216" s="8"/>
      <c r="DK216" s="8"/>
      <c r="DL216" s="8"/>
      <c r="DM216" s="8"/>
      <c r="DN216" s="8"/>
      <c r="DO216" s="8"/>
      <c r="DP216" s="8" t="s">
        <v>2354</v>
      </c>
      <c r="DQ216" s="1266"/>
      <c r="DR216" s="300"/>
      <c r="DT216" s="8"/>
      <c r="DU216" s="8"/>
      <c r="DV216" s="8"/>
      <c r="DW216" s="8"/>
      <c r="EB216" s="300"/>
      <c r="ED216" s="8"/>
      <c r="EE216" s="8"/>
      <c r="EF216" s="8"/>
      <c r="EG216" s="8"/>
      <c r="EH216" s="8"/>
      <c r="EI216" s="8"/>
      <c r="EJ216" s="8"/>
      <c r="EK216" s="1266"/>
      <c r="EL216" s="300"/>
      <c r="EN216" s="8"/>
      <c r="EO216" s="8"/>
      <c r="EP216" s="8"/>
      <c r="EQ216" s="8"/>
      <c r="ER216" s="8"/>
      <c r="ES216" s="8"/>
      <c r="ET216" s="8"/>
      <c r="EU216" s="1266"/>
      <c r="EV216" s="300"/>
      <c r="EX216" s="8"/>
      <c r="EY216" s="8"/>
      <c r="EZ216" s="8"/>
      <c r="FA216" s="8"/>
      <c r="FB216" s="8"/>
      <c r="FC216" s="8"/>
      <c r="FD216" s="8"/>
      <c r="FE216" s="1266"/>
      <c r="FF216" s="300"/>
      <c r="FH216" s="8"/>
      <c r="FI216" s="8"/>
      <c r="FJ216" s="8"/>
      <c r="FK216" s="8"/>
      <c r="FL216" s="8"/>
      <c r="FM216" s="8"/>
      <c r="FN216" s="8"/>
      <c r="FO216" s="1266"/>
      <c r="FP216" s="300"/>
      <c r="FR216" s="8"/>
      <c r="FS216" s="8"/>
      <c r="FT216" s="8"/>
      <c r="FU216" s="8"/>
      <c r="FV216" s="8"/>
      <c r="FW216" s="8"/>
      <c r="FX216" s="8"/>
      <c r="FY216" s="8"/>
      <c r="FZ216" s="1266"/>
      <c r="GA216" s="300"/>
      <c r="GC216" s="8"/>
      <c r="GD216" s="8"/>
      <c r="GE216" s="8"/>
      <c r="GF216" s="8"/>
      <c r="GK216" s="300"/>
      <c r="GM216" s="8"/>
      <c r="GN216" s="8"/>
      <c r="GO216" s="8"/>
      <c r="GP216" s="8"/>
      <c r="GQ216" s="8"/>
      <c r="GR216" s="8"/>
      <c r="GS216" s="8"/>
      <c r="GT216" s="1266"/>
      <c r="GU216" s="300"/>
      <c r="GW216" s="8"/>
      <c r="GX216" s="8"/>
      <c r="GY216" s="8"/>
      <c r="GZ216" s="8"/>
      <c r="HA216" s="8"/>
      <c r="HB216" s="8"/>
      <c r="HC216" s="8"/>
      <c r="HD216" s="1266"/>
      <c r="HE216" s="300"/>
      <c r="HG216" s="8"/>
      <c r="HH216" s="8"/>
      <c r="HI216" s="8"/>
      <c r="HJ216" s="8"/>
      <c r="HK216" s="8"/>
      <c r="HL216" s="8"/>
      <c r="HM216" s="8"/>
      <c r="HN216" s="1266"/>
      <c r="HO216" s="300"/>
      <c r="HQ216" s="8"/>
      <c r="HR216" s="8"/>
      <c r="HS216" s="8"/>
      <c r="HT216" s="8"/>
      <c r="HU216" s="8"/>
      <c r="HV216" s="8"/>
      <c r="HW216" s="8"/>
      <c r="HX216" s="8"/>
      <c r="HY216" s="1266"/>
      <c r="HZ216" s="300"/>
      <c r="IB216" s="8"/>
      <c r="IC216" s="8"/>
      <c r="ID216" s="8"/>
      <c r="IE216" s="8"/>
      <c r="IF216" s="8"/>
      <c r="IG216" s="8"/>
      <c r="IH216" s="8"/>
      <c r="II216" s="1266"/>
      <c r="IJ216" s="300"/>
    </row>
    <row r="217" spans="3:244" x14ac:dyDescent="0.3">
      <c r="C217" t="s">
        <v>2740</v>
      </c>
      <c r="D217" s="300"/>
      <c r="F217" s="8"/>
      <c r="G217" s="8"/>
      <c r="H217" s="8"/>
      <c r="I217" s="8"/>
      <c r="J217" s="8"/>
      <c r="K217" s="8"/>
      <c r="L217" s="8" t="s">
        <v>2354</v>
      </c>
      <c r="M217" s="8"/>
      <c r="N217" s="300"/>
      <c r="P217" s="8"/>
      <c r="Q217" s="8"/>
      <c r="R217" s="8"/>
      <c r="S217" s="8"/>
      <c r="T217" s="8"/>
      <c r="U217" s="8"/>
      <c r="V217" s="8" t="s">
        <v>2354</v>
      </c>
      <c r="W217" s="1266"/>
      <c r="X217" s="300"/>
      <c r="Z217" s="8"/>
      <c r="AA217" s="8"/>
      <c r="AB217" s="8"/>
      <c r="AC217" s="8"/>
      <c r="AD217" s="8"/>
      <c r="AE217" s="8"/>
      <c r="AF217" s="8" t="s">
        <v>2354</v>
      </c>
      <c r="AG217" s="1266"/>
      <c r="AH217" s="300"/>
      <c r="AJ217" s="8"/>
      <c r="AK217" s="8"/>
      <c r="AL217" s="8"/>
      <c r="AM217" s="8"/>
      <c r="AN217" s="8"/>
      <c r="AO217" s="8"/>
      <c r="AP217" s="8"/>
      <c r="AQ217" s="8"/>
      <c r="AR217" s="8" t="s">
        <v>2354</v>
      </c>
      <c r="AS217" s="1266"/>
      <c r="AT217" s="300"/>
      <c r="AV217" s="8"/>
      <c r="AW217" s="8"/>
      <c r="AX217" s="8"/>
      <c r="AY217" s="8"/>
      <c r="AZ217" s="8"/>
      <c r="BA217" s="8"/>
      <c r="BB217" s="8"/>
      <c r="BC217" s="8"/>
      <c r="BD217" s="8"/>
      <c r="BE217" s="8" t="s">
        <v>2354</v>
      </c>
      <c r="BF217" s="1266"/>
      <c r="BG217" s="300"/>
      <c r="BI217" s="8"/>
      <c r="BJ217" s="8"/>
      <c r="BK217" s="8"/>
      <c r="BL217" s="8"/>
      <c r="BR217" s="8" t="s">
        <v>2354</v>
      </c>
      <c r="BT217" s="300" t="s">
        <v>107</v>
      </c>
      <c r="BU217" t="s">
        <v>106</v>
      </c>
      <c r="BV217" s="8"/>
      <c r="BW217" s="8"/>
      <c r="BX217" s="8"/>
      <c r="BY217" s="8"/>
      <c r="BZ217" s="8"/>
      <c r="CA217" s="8"/>
      <c r="CB217" s="8" t="s">
        <v>2354</v>
      </c>
      <c r="CC217" s="1266">
        <v>8</v>
      </c>
      <c r="CD217" s="300" t="s">
        <v>107</v>
      </c>
      <c r="CE217" t="s">
        <v>107</v>
      </c>
      <c r="CF217" s="8" t="s">
        <v>106</v>
      </c>
      <c r="CG217" s="8" t="s">
        <v>107</v>
      </c>
      <c r="CH217" s="8" t="s">
        <v>106</v>
      </c>
      <c r="CI217" s="8"/>
      <c r="CJ217" s="8"/>
      <c r="CK217" s="8"/>
      <c r="CL217" s="8" t="s">
        <v>2354</v>
      </c>
      <c r="CM217" s="1266">
        <v>4</v>
      </c>
      <c r="CN217" s="300" t="s">
        <v>106</v>
      </c>
      <c r="CO217" t="s">
        <v>107</v>
      </c>
      <c r="CP217" s="8" t="s">
        <v>106</v>
      </c>
      <c r="CQ217" s="8"/>
      <c r="CR217" s="8"/>
      <c r="CS217" s="8"/>
      <c r="CT217" s="8"/>
      <c r="CU217" s="8"/>
      <c r="CV217" s="8" t="s">
        <v>2354</v>
      </c>
      <c r="CW217" s="1266">
        <v>7</v>
      </c>
      <c r="CX217" s="300"/>
      <c r="CZ217" s="8"/>
      <c r="DA217" s="8"/>
      <c r="DB217" s="8"/>
      <c r="DC217" s="8"/>
      <c r="DD217" s="8"/>
      <c r="DE217" s="8"/>
      <c r="DF217" s="8" t="s">
        <v>2354</v>
      </c>
      <c r="DG217" s="1266"/>
      <c r="DH217" s="300"/>
      <c r="DJ217" s="8"/>
      <c r="DK217" s="8"/>
      <c r="DL217" s="8"/>
      <c r="DM217" s="8"/>
      <c r="DN217" s="8"/>
      <c r="DO217" s="8"/>
      <c r="DP217" s="8" t="s">
        <v>2354</v>
      </c>
      <c r="DQ217" s="1266"/>
      <c r="DR217" s="300"/>
      <c r="DT217" s="8"/>
      <c r="DU217" s="8"/>
      <c r="DV217" s="8"/>
      <c r="DW217" s="8"/>
      <c r="EB217" s="300"/>
      <c r="ED217" s="8"/>
      <c r="EE217" s="8"/>
      <c r="EF217" s="8"/>
      <c r="EG217" s="8"/>
      <c r="EH217" s="8"/>
      <c r="EI217" s="8"/>
      <c r="EJ217" s="8"/>
      <c r="EK217" s="1266"/>
      <c r="EL217" s="300"/>
      <c r="EN217" s="8"/>
      <c r="EO217" s="8"/>
      <c r="EP217" s="8"/>
      <c r="EQ217" s="8"/>
      <c r="ER217" s="8"/>
      <c r="ES217" s="8"/>
      <c r="ET217" s="8"/>
      <c r="EU217" s="1266"/>
      <c r="EV217" s="300"/>
      <c r="EX217" s="8"/>
      <c r="EY217" s="8"/>
      <c r="EZ217" s="8"/>
      <c r="FA217" s="8"/>
      <c r="FB217" s="8"/>
      <c r="FC217" s="8"/>
      <c r="FD217" s="8"/>
      <c r="FE217" s="1266"/>
      <c r="FF217" s="300"/>
      <c r="FH217" s="8"/>
      <c r="FI217" s="8"/>
      <c r="FJ217" s="8"/>
      <c r="FK217" s="8"/>
      <c r="FL217" s="8"/>
      <c r="FM217" s="8"/>
      <c r="FN217" s="8"/>
      <c r="FO217" s="1266"/>
      <c r="FP217" s="300"/>
      <c r="FR217" s="8"/>
      <c r="FS217" s="8"/>
      <c r="FT217" s="8"/>
      <c r="FU217" s="8"/>
      <c r="FV217" s="8"/>
      <c r="FW217" s="8"/>
      <c r="FX217" s="8"/>
      <c r="FY217" s="8"/>
      <c r="FZ217" s="1266"/>
      <c r="GA217" s="300"/>
      <c r="GC217" s="8"/>
      <c r="GD217" s="8"/>
      <c r="GE217" s="8"/>
      <c r="GF217" s="8"/>
      <c r="GK217" s="300"/>
      <c r="GM217" s="8"/>
      <c r="GN217" s="8"/>
      <c r="GO217" s="8"/>
      <c r="GP217" s="8"/>
      <c r="GQ217" s="8"/>
      <c r="GR217" s="8"/>
      <c r="GS217" s="8"/>
      <c r="GT217" s="1266"/>
      <c r="GU217" s="300"/>
      <c r="GW217" s="8"/>
      <c r="GX217" s="8"/>
      <c r="GY217" s="8"/>
      <c r="GZ217" s="8"/>
      <c r="HA217" s="8"/>
      <c r="HB217" s="8"/>
      <c r="HC217" s="8"/>
      <c r="HD217" s="1266"/>
      <c r="HE217" s="300"/>
      <c r="HG217" s="8"/>
      <c r="HH217" s="8"/>
      <c r="HI217" s="8"/>
      <c r="HJ217" s="8"/>
      <c r="HK217" s="8"/>
      <c r="HL217" s="8"/>
      <c r="HM217" s="8"/>
      <c r="HN217" s="1266"/>
      <c r="HO217" s="300"/>
      <c r="HQ217" s="8"/>
      <c r="HR217" s="8"/>
      <c r="HS217" s="8"/>
      <c r="HT217" s="8"/>
      <c r="HU217" s="8"/>
      <c r="HV217" s="8"/>
      <c r="HW217" s="8"/>
      <c r="HX217" s="8"/>
      <c r="HY217" s="1266"/>
      <c r="HZ217" s="300"/>
      <c r="IB217" s="8"/>
      <c r="IC217" s="8"/>
      <c r="ID217" s="8"/>
      <c r="IE217" s="8"/>
      <c r="IF217" s="8"/>
      <c r="IG217" s="8"/>
      <c r="IH217" s="8"/>
      <c r="II217" s="1266"/>
      <c r="IJ217" s="300"/>
    </row>
    <row r="218" spans="3:244" x14ac:dyDescent="0.3">
      <c r="C218" t="s">
        <v>2253</v>
      </c>
      <c r="D218" s="300" t="s">
        <v>106</v>
      </c>
      <c r="E218" t="s">
        <v>107</v>
      </c>
      <c r="F218" s="8" t="s">
        <v>107</v>
      </c>
      <c r="G218" s="8"/>
      <c r="H218" s="8"/>
      <c r="I218" s="8"/>
      <c r="J218" s="8"/>
      <c r="K218" s="8"/>
      <c r="L218" s="8" t="s">
        <v>2354</v>
      </c>
      <c r="M218" s="8"/>
      <c r="N218" s="300"/>
      <c r="P218" s="8"/>
      <c r="Q218" s="8"/>
      <c r="R218" s="8"/>
      <c r="S218" s="8"/>
      <c r="T218" s="8"/>
      <c r="U218" s="8"/>
      <c r="V218" s="8" t="s">
        <v>2354</v>
      </c>
      <c r="W218" s="1266"/>
      <c r="X218" s="300" t="s">
        <v>107</v>
      </c>
      <c r="Y218" t="s">
        <v>106</v>
      </c>
      <c r="Z218" s="8"/>
      <c r="AA218" s="8"/>
      <c r="AB218" s="8"/>
      <c r="AC218" s="8"/>
      <c r="AD218" s="8"/>
      <c r="AE218" s="8"/>
      <c r="AF218" s="8" t="s">
        <v>2354</v>
      </c>
      <c r="AG218" s="1266"/>
      <c r="AH218" s="300" t="s">
        <v>106</v>
      </c>
      <c r="AI218" t="s">
        <v>106</v>
      </c>
      <c r="AJ218" s="8"/>
      <c r="AK218" s="8"/>
      <c r="AL218" s="8"/>
      <c r="AM218" s="8"/>
      <c r="AN218" s="8"/>
      <c r="AO218" s="8"/>
      <c r="AP218" s="8"/>
      <c r="AQ218" s="8"/>
      <c r="AR218" s="8" t="s">
        <v>2354</v>
      </c>
      <c r="AS218" s="1266">
        <v>4</v>
      </c>
      <c r="AT218" s="300" t="s">
        <v>106</v>
      </c>
      <c r="AU218" t="s">
        <v>106</v>
      </c>
      <c r="AV218" s="8"/>
      <c r="AW218" s="8"/>
      <c r="AX218" s="8"/>
      <c r="AY218" s="8"/>
      <c r="AZ218" s="8"/>
      <c r="BA218" s="8"/>
      <c r="BB218" s="8"/>
      <c r="BC218" s="8"/>
      <c r="BD218" s="8"/>
      <c r="BE218" s="8" t="s">
        <v>2354</v>
      </c>
      <c r="BF218" s="1266">
        <v>3</v>
      </c>
      <c r="BG218" s="300" t="s">
        <v>106</v>
      </c>
      <c r="BH218" t="s">
        <v>107</v>
      </c>
      <c r="BI218" s="8" t="s">
        <v>106</v>
      </c>
      <c r="BJ218" s="8"/>
      <c r="BK218" s="8"/>
      <c r="BL218" s="8"/>
      <c r="BR218" s="8" t="s">
        <v>2354</v>
      </c>
      <c r="BS218">
        <v>5</v>
      </c>
      <c r="BT218" s="300" t="s">
        <v>106</v>
      </c>
      <c r="BU218" t="s">
        <v>107</v>
      </c>
      <c r="BV218" s="8" t="s">
        <v>107</v>
      </c>
      <c r="BW218" s="8" t="s">
        <v>107</v>
      </c>
      <c r="BX218" s="8" t="s">
        <v>107</v>
      </c>
      <c r="BY218" s="8"/>
      <c r="BZ218" s="8"/>
      <c r="CA218" s="8"/>
      <c r="CB218" s="8" t="s">
        <v>2354</v>
      </c>
      <c r="CC218" s="1266">
        <v>4</v>
      </c>
      <c r="CD218" s="300" t="s">
        <v>106</v>
      </c>
      <c r="CE218" t="s">
        <v>107</v>
      </c>
      <c r="CF218" s="8" t="s">
        <v>107</v>
      </c>
      <c r="CG218" s="8" t="s">
        <v>106</v>
      </c>
      <c r="CH218" s="8"/>
      <c r="CI218" s="8"/>
      <c r="CJ218" s="8"/>
      <c r="CK218" s="8"/>
      <c r="CL218" s="8" t="s">
        <v>2354</v>
      </c>
      <c r="CM218" s="1266">
        <v>1</v>
      </c>
      <c r="CN218" s="300"/>
      <c r="CP218" s="8"/>
      <c r="CQ218" s="8"/>
      <c r="CR218" s="8"/>
      <c r="CS218" s="8"/>
      <c r="CT218" s="8"/>
      <c r="CU218" s="8"/>
      <c r="CV218" s="8" t="s">
        <v>2354</v>
      </c>
      <c r="CW218" s="1266"/>
      <c r="CX218" s="300"/>
      <c r="CZ218" s="8"/>
      <c r="DA218" s="8"/>
      <c r="DB218" s="8"/>
      <c r="DC218" s="8"/>
      <c r="DD218" s="8"/>
      <c r="DE218" s="8"/>
      <c r="DF218" s="8" t="s">
        <v>2354</v>
      </c>
      <c r="DG218" s="1266"/>
      <c r="DH218" s="300"/>
      <c r="DJ218" s="8"/>
      <c r="DK218" s="8"/>
      <c r="DL218" s="8"/>
      <c r="DM218" s="8"/>
      <c r="DN218" s="8"/>
      <c r="DO218" s="8"/>
      <c r="DP218" s="8" t="s">
        <v>2354</v>
      </c>
      <c r="DQ218" s="1266"/>
      <c r="DR218" s="300"/>
      <c r="DT218" s="8"/>
      <c r="DU218" s="8"/>
      <c r="DV218" s="8"/>
      <c r="DW218" s="8"/>
      <c r="EB218" s="300"/>
      <c r="ED218" s="8"/>
      <c r="EE218" s="8"/>
      <c r="EF218" s="8"/>
      <c r="EG218" s="8"/>
      <c r="EH218" s="8"/>
      <c r="EI218" s="8"/>
      <c r="EJ218" s="8"/>
      <c r="EK218" s="1266"/>
      <c r="EL218" s="300"/>
      <c r="EN218" s="8"/>
      <c r="EO218" s="8"/>
      <c r="EP218" s="8"/>
      <c r="EQ218" s="8"/>
      <c r="ER218" s="8"/>
      <c r="ES218" s="8"/>
      <c r="ET218" s="8"/>
      <c r="EU218" s="1266"/>
      <c r="EV218" s="300"/>
      <c r="EX218" s="8"/>
      <c r="EY218" s="8"/>
      <c r="EZ218" s="8"/>
      <c r="FA218" s="8"/>
      <c r="FB218" s="8"/>
      <c r="FC218" s="8"/>
      <c r="FD218" s="8"/>
      <c r="FE218" s="1266"/>
      <c r="FF218" s="300"/>
      <c r="FH218" s="8"/>
      <c r="FI218" s="8"/>
      <c r="FJ218" s="8"/>
      <c r="FK218" s="8"/>
      <c r="FL218" s="8"/>
      <c r="FM218" s="8"/>
      <c r="FN218" s="8"/>
      <c r="FO218" s="1266"/>
      <c r="FP218" s="300"/>
      <c r="FR218" s="8"/>
      <c r="FS218" s="8"/>
      <c r="FT218" s="8"/>
      <c r="FU218" s="8"/>
      <c r="FV218" s="8"/>
      <c r="FW218" s="8"/>
      <c r="FX218" s="8"/>
      <c r="FY218" s="8"/>
      <c r="FZ218" s="1266"/>
      <c r="GA218" s="300"/>
      <c r="GC218" s="8"/>
      <c r="GD218" s="8"/>
      <c r="GE218" s="8"/>
      <c r="GF218" s="8"/>
      <c r="GK218" s="300"/>
      <c r="GM218" s="8"/>
      <c r="GN218" s="8"/>
      <c r="GO218" s="8"/>
      <c r="GP218" s="8"/>
      <c r="GQ218" s="8"/>
      <c r="GR218" s="8"/>
      <c r="GS218" s="8"/>
      <c r="GT218" s="1266"/>
      <c r="GU218" s="300"/>
      <c r="GW218" s="8"/>
      <c r="GX218" s="8"/>
      <c r="GY218" s="8"/>
      <c r="GZ218" s="8"/>
      <c r="HA218" s="8"/>
      <c r="HB218" s="8"/>
      <c r="HC218" s="8"/>
      <c r="HD218" s="1266"/>
      <c r="HE218" s="300"/>
      <c r="HG218" s="8"/>
      <c r="HH218" s="8"/>
      <c r="HI218" s="8"/>
      <c r="HJ218" s="8"/>
      <c r="HK218" s="8"/>
      <c r="HL218" s="8"/>
      <c r="HM218" s="8"/>
      <c r="HN218" s="1266"/>
      <c r="HO218" s="300"/>
      <c r="HQ218" s="8"/>
      <c r="HR218" s="8"/>
      <c r="HS218" s="8"/>
      <c r="HT218" s="8"/>
      <c r="HU218" s="8"/>
      <c r="HV218" s="8"/>
      <c r="HW218" s="8"/>
      <c r="HX218" s="8"/>
      <c r="HY218" s="1266"/>
      <c r="HZ218" s="300"/>
      <c r="IB218" s="8"/>
      <c r="IC218" s="8"/>
      <c r="ID218" s="8"/>
      <c r="IE218" s="8"/>
      <c r="IF218" s="8"/>
      <c r="IG218" s="8"/>
      <c r="IH218" s="8"/>
      <c r="II218" s="1266"/>
      <c r="IJ218" s="300"/>
    </row>
    <row r="219" spans="3:244" x14ac:dyDescent="0.3">
      <c r="C219" t="s">
        <v>1999</v>
      </c>
      <c r="D219" s="300" t="s">
        <v>107</v>
      </c>
      <c r="F219" s="8"/>
      <c r="G219" s="8"/>
      <c r="H219" s="8"/>
      <c r="I219" s="8"/>
      <c r="J219" s="8"/>
      <c r="K219" s="8"/>
      <c r="L219" s="8" t="s">
        <v>2354</v>
      </c>
      <c r="M219" s="8"/>
      <c r="N219" s="300" t="s">
        <v>107</v>
      </c>
      <c r="O219" t="s">
        <v>107</v>
      </c>
      <c r="P219" s="8" t="s">
        <v>106</v>
      </c>
      <c r="Q219" s="8" t="s">
        <v>107</v>
      </c>
      <c r="R219" s="8"/>
      <c r="S219" s="8"/>
      <c r="T219" s="8"/>
      <c r="U219" s="8"/>
      <c r="V219" s="8" t="s">
        <v>2354</v>
      </c>
      <c r="W219" s="1266">
        <v>4</v>
      </c>
      <c r="X219" s="300" t="s">
        <v>106</v>
      </c>
      <c r="Y219" t="s">
        <v>107</v>
      </c>
      <c r="Z219" s="8"/>
      <c r="AA219" s="8"/>
      <c r="AB219" s="8"/>
      <c r="AC219" s="8"/>
      <c r="AD219" s="8"/>
      <c r="AE219" s="8"/>
      <c r="AF219" s="8" t="s">
        <v>2354</v>
      </c>
      <c r="AG219" s="1266"/>
      <c r="AH219" s="300" t="s">
        <v>106</v>
      </c>
      <c r="AI219" t="s">
        <v>106</v>
      </c>
      <c r="AJ219" s="8" t="s">
        <v>106</v>
      </c>
      <c r="AK219" s="8" t="s">
        <v>106</v>
      </c>
      <c r="AL219" s="8"/>
      <c r="AM219" s="8"/>
      <c r="AN219" s="8"/>
      <c r="AO219" s="8"/>
      <c r="AP219" s="8"/>
      <c r="AQ219" s="8"/>
      <c r="AR219" s="8" t="s">
        <v>2354</v>
      </c>
      <c r="AS219" s="1266"/>
      <c r="AT219" s="300" t="s">
        <v>107</v>
      </c>
      <c r="AU219" t="s">
        <v>106</v>
      </c>
      <c r="AV219" s="8"/>
      <c r="AW219" s="8"/>
      <c r="AX219" s="8"/>
      <c r="AY219" s="8"/>
      <c r="AZ219" s="8"/>
      <c r="BA219" s="8"/>
      <c r="BB219" s="8"/>
      <c r="BC219" s="8"/>
      <c r="BD219" s="8"/>
      <c r="BE219" s="8" t="s">
        <v>2354</v>
      </c>
      <c r="BF219" s="1266">
        <v>1</v>
      </c>
      <c r="BG219" s="300" t="s">
        <v>107</v>
      </c>
      <c r="BH219" t="s">
        <v>107</v>
      </c>
      <c r="BI219" s="8" t="s">
        <v>106</v>
      </c>
      <c r="BJ219" s="8" t="s">
        <v>107</v>
      </c>
      <c r="BK219" s="8"/>
      <c r="BL219" s="8"/>
      <c r="BR219" s="8" t="s">
        <v>2354</v>
      </c>
      <c r="BS219">
        <v>1</v>
      </c>
      <c r="BT219" s="300"/>
      <c r="BV219" s="8"/>
      <c r="BW219" s="8"/>
      <c r="BX219" s="8"/>
      <c r="BY219" s="8"/>
      <c r="BZ219" s="8"/>
      <c r="CA219" s="8"/>
      <c r="CB219" s="8" t="s">
        <v>2354</v>
      </c>
      <c r="CC219" s="1266"/>
      <c r="CD219" s="300"/>
      <c r="CF219" s="8"/>
      <c r="CG219" s="8"/>
      <c r="CH219" s="8"/>
      <c r="CI219" s="8"/>
      <c r="CJ219" s="8"/>
      <c r="CK219" s="8"/>
      <c r="CL219" s="8" t="s">
        <v>2354</v>
      </c>
      <c r="CM219" s="1266"/>
      <c r="CN219" s="300"/>
      <c r="CP219" s="8"/>
      <c r="CQ219" s="8"/>
      <c r="CR219" s="8"/>
      <c r="CS219" s="8"/>
      <c r="CT219" s="8"/>
      <c r="CU219" s="8"/>
      <c r="CV219" s="8" t="s">
        <v>2354</v>
      </c>
      <c r="CW219" s="1266"/>
      <c r="CX219" s="300"/>
      <c r="CZ219" s="8"/>
      <c r="DA219" s="8"/>
      <c r="DB219" s="8"/>
      <c r="DC219" s="8"/>
      <c r="DD219" s="8"/>
      <c r="DE219" s="8"/>
      <c r="DF219" s="8" t="s">
        <v>2354</v>
      </c>
      <c r="DG219" s="1266"/>
      <c r="DH219" s="300"/>
      <c r="DJ219" s="8"/>
      <c r="DK219" s="8"/>
      <c r="DL219" s="8"/>
      <c r="DM219" s="8"/>
      <c r="DN219" s="8"/>
      <c r="DO219" s="8"/>
      <c r="DP219" s="8" t="s">
        <v>2354</v>
      </c>
      <c r="DQ219" s="1266"/>
      <c r="DR219" s="300"/>
      <c r="DT219" s="8"/>
      <c r="DU219" s="8"/>
      <c r="DV219" s="8"/>
      <c r="DW219" s="8"/>
      <c r="EB219" s="300"/>
      <c r="ED219" s="8"/>
      <c r="EE219" s="8"/>
      <c r="EF219" s="8"/>
      <c r="EG219" s="8"/>
      <c r="EH219" s="8"/>
      <c r="EI219" s="8"/>
      <c r="EJ219" s="8"/>
      <c r="EK219" s="1266"/>
      <c r="EL219" s="300"/>
      <c r="EN219" s="8"/>
      <c r="EO219" s="8"/>
      <c r="EP219" s="8"/>
      <c r="EQ219" s="8"/>
      <c r="ER219" s="8"/>
      <c r="ES219" s="8"/>
      <c r="ET219" s="8"/>
      <c r="EU219" s="1266"/>
      <c r="EV219" s="300"/>
      <c r="EX219" s="8"/>
      <c r="EY219" s="8"/>
      <c r="EZ219" s="8"/>
      <c r="FA219" s="8"/>
      <c r="FB219" s="8"/>
      <c r="FC219" s="8"/>
      <c r="FD219" s="8"/>
      <c r="FE219" s="1266"/>
      <c r="FF219" s="300"/>
      <c r="FH219" s="8"/>
      <c r="FI219" s="8"/>
      <c r="FJ219" s="8"/>
      <c r="FK219" s="8"/>
      <c r="FL219" s="8"/>
      <c r="FM219" s="8"/>
      <c r="FN219" s="8"/>
      <c r="FO219" s="1266"/>
      <c r="FP219" s="300"/>
      <c r="FR219" s="8"/>
      <c r="FS219" s="8"/>
      <c r="FT219" s="8"/>
      <c r="FU219" s="8"/>
      <c r="FV219" s="8"/>
      <c r="FW219" s="8"/>
      <c r="FX219" s="8"/>
      <c r="FY219" s="8"/>
      <c r="FZ219" s="1266"/>
      <c r="GA219" s="300"/>
      <c r="GC219" s="8"/>
      <c r="GD219" s="8"/>
      <c r="GE219" s="8"/>
      <c r="GF219" s="8"/>
      <c r="GK219" s="300"/>
      <c r="GM219" s="8"/>
      <c r="GN219" s="8"/>
      <c r="GO219" s="8"/>
      <c r="GP219" s="8"/>
      <c r="GQ219" s="8"/>
      <c r="GR219" s="8"/>
      <c r="GS219" s="8"/>
      <c r="GT219" s="1266"/>
      <c r="GU219" s="300"/>
      <c r="GW219" s="8"/>
      <c r="GX219" s="8"/>
      <c r="GY219" s="8"/>
      <c r="GZ219" s="8"/>
      <c r="HA219" s="8"/>
      <c r="HB219" s="8"/>
      <c r="HC219" s="8"/>
      <c r="HD219" s="1266"/>
      <c r="HE219" s="300"/>
      <c r="HG219" s="8"/>
      <c r="HH219" s="8"/>
      <c r="HI219" s="8"/>
      <c r="HJ219" s="8"/>
      <c r="HK219" s="8"/>
      <c r="HL219" s="8"/>
      <c r="HM219" s="8"/>
      <c r="HN219" s="1266"/>
      <c r="HO219" s="300"/>
      <c r="HQ219" s="8"/>
      <c r="HR219" s="8"/>
      <c r="HS219" s="8"/>
      <c r="HT219" s="8"/>
      <c r="HU219" s="8"/>
      <c r="HV219" s="8"/>
      <c r="HW219" s="8"/>
      <c r="HX219" s="8"/>
      <c r="HY219" s="1266"/>
      <c r="HZ219" s="300"/>
      <c r="IB219" s="8"/>
      <c r="IC219" s="8"/>
      <c r="ID219" s="8"/>
      <c r="IE219" s="8"/>
      <c r="IF219" s="8"/>
      <c r="IG219" s="8"/>
      <c r="IH219" s="8"/>
      <c r="II219" s="1266"/>
      <c r="IJ219" s="300"/>
    </row>
    <row r="220" spans="3:244" x14ac:dyDescent="0.3">
      <c r="C220" t="s">
        <v>2363</v>
      </c>
      <c r="D220" s="300" t="s">
        <v>106</v>
      </c>
      <c r="E220" t="s">
        <v>107</v>
      </c>
      <c r="F220" s="8"/>
      <c r="G220" s="8"/>
      <c r="H220" s="8"/>
      <c r="I220" s="8"/>
      <c r="J220" s="8"/>
      <c r="K220" s="8"/>
      <c r="L220" s="8" t="s">
        <v>2354</v>
      </c>
      <c r="M220" s="8"/>
      <c r="N220" s="300" t="s">
        <v>106</v>
      </c>
      <c r="O220" t="s">
        <v>106</v>
      </c>
      <c r="P220" s="8" t="s">
        <v>107</v>
      </c>
      <c r="Q220" s="8" t="s">
        <v>106</v>
      </c>
      <c r="R220" s="8"/>
      <c r="S220" s="8"/>
      <c r="T220" s="8"/>
      <c r="U220" s="8"/>
      <c r="V220" s="8" t="s">
        <v>2354</v>
      </c>
      <c r="W220" s="1266">
        <v>10</v>
      </c>
      <c r="X220" s="300" t="s">
        <v>106</v>
      </c>
      <c r="Z220" s="8"/>
      <c r="AA220" s="8"/>
      <c r="AB220" s="8"/>
      <c r="AC220" s="8"/>
      <c r="AD220" s="8"/>
      <c r="AE220" s="8"/>
      <c r="AF220" s="8" t="s">
        <v>2354</v>
      </c>
      <c r="AG220" s="1266"/>
      <c r="AH220" s="300" t="s">
        <v>106</v>
      </c>
      <c r="AI220" t="s">
        <v>106</v>
      </c>
      <c r="AJ220" s="8" t="s">
        <v>107</v>
      </c>
      <c r="AK220" s="8" t="s">
        <v>106</v>
      </c>
      <c r="AL220" s="8" t="s">
        <v>106</v>
      </c>
      <c r="AM220" s="8" t="s">
        <v>106</v>
      </c>
      <c r="AN220" s="8"/>
      <c r="AO220" s="8"/>
      <c r="AP220" s="8"/>
      <c r="AQ220" s="8"/>
      <c r="AR220" s="8" t="s">
        <v>2354</v>
      </c>
      <c r="AS220" s="1266">
        <v>2</v>
      </c>
      <c r="AT220" s="300" t="s">
        <v>106</v>
      </c>
      <c r="AU220" t="s">
        <v>106</v>
      </c>
      <c r="AV220" s="8" t="s">
        <v>106</v>
      </c>
      <c r="AW220" s="8" t="s">
        <v>107</v>
      </c>
      <c r="AX220" s="8" t="s">
        <v>106</v>
      </c>
      <c r="AY220" s="8" t="s">
        <v>107</v>
      </c>
      <c r="AZ220" s="8" t="s">
        <v>106</v>
      </c>
      <c r="BA220" s="8"/>
      <c r="BB220" s="8"/>
      <c r="BC220" s="8"/>
      <c r="BD220" s="8"/>
      <c r="BE220" s="8" t="s">
        <v>2354</v>
      </c>
      <c r="BF220" s="1266">
        <v>1</v>
      </c>
      <c r="BG220" s="300" t="s">
        <v>107</v>
      </c>
      <c r="BH220" t="s">
        <v>107</v>
      </c>
      <c r="BI220" s="8" t="s">
        <v>106</v>
      </c>
      <c r="BJ220" s="8" t="s">
        <v>107</v>
      </c>
      <c r="BK220" s="8" t="s">
        <v>107</v>
      </c>
      <c r="BL220" s="8" t="s">
        <v>106</v>
      </c>
      <c r="BM220" s="8" t="s">
        <v>106</v>
      </c>
      <c r="BR220" s="8" t="s">
        <v>2354</v>
      </c>
      <c r="BS220">
        <v>2</v>
      </c>
      <c r="BT220" s="300" t="s">
        <v>107</v>
      </c>
      <c r="BU220" t="s">
        <v>106</v>
      </c>
      <c r="BV220" s="8" t="s">
        <v>106</v>
      </c>
      <c r="BW220" s="8" t="s">
        <v>107</v>
      </c>
      <c r="BX220" s="8"/>
      <c r="BY220" s="8"/>
      <c r="BZ220" s="8"/>
      <c r="CA220" s="8"/>
      <c r="CB220" s="8" t="s">
        <v>2354</v>
      </c>
      <c r="CC220" s="1266"/>
      <c r="CD220" s="300"/>
      <c r="CF220" s="8"/>
      <c r="CG220" s="8"/>
      <c r="CH220" s="8"/>
      <c r="CI220" s="8"/>
      <c r="CJ220" s="8"/>
      <c r="CK220" s="8"/>
      <c r="CL220" s="8" t="s">
        <v>2354</v>
      </c>
      <c r="CM220" s="1266"/>
      <c r="CN220" s="300" t="s">
        <v>106</v>
      </c>
      <c r="CO220" t="s">
        <v>107</v>
      </c>
      <c r="CP220" s="8" t="s">
        <v>107</v>
      </c>
      <c r="CQ220" s="8"/>
      <c r="CR220" s="8"/>
      <c r="CS220" s="8"/>
      <c r="CT220" s="8"/>
      <c r="CU220" s="8"/>
      <c r="CV220" s="8" t="s">
        <v>2354</v>
      </c>
      <c r="CW220" s="1266">
        <v>3</v>
      </c>
      <c r="CX220" s="300"/>
      <c r="CZ220" s="8"/>
      <c r="DA220" s="8"/>
      <c r="DB220" s="8"/>
      <c r="DC220" s="8"/>
      <c r="DD220" s="8"/>
      <c r="DE220" s="8"/>
      <c r="DF220" s="8" t="s">
        <v>2354</v>
      </c>
      <c r="DG220" s="1266"/>
      <c r="DH220" s="300"/>
      <c r="DJ220" s="8"/>
      <c r="DK220" s="8"/>
      <c r="DL220" s="8"/>
      <c r="DM220" s="8"/>
      <c r="DN220" s="8"/>
      <c r="DO220" s="8"/>
      <c r="DP220" s="8" t="s">
        <v>2354</v>
      </c>
      <c r="DQ220" s="1266"/>
      <c r="DR220" s="300"/>
      <c r="DT220" s="8"/>
      <c r="DU220" s="8"/>
      <c r="DV220" s="8"/>
      <c r="DW220" s="8"/>
      <c r="EB220" s="300"/>
      <c r="ED220" s="8"/>
      <c r="EE220" s="8"/>
      <c r="EF220" s="8"/>
      <c r="EG220" s="8"/>
      <c r="EH220" s="8"/>
      <c r="EI220" s="8"/>
      <c r="EJ220" s="8"/>
      <c r="EK220" s="1266"/>
      <c r="EL220" s="300"/>
      <c r="EN220" s="8"/>
      <c r="EO220" s="8"/>
      <c r="EP220" s="8"/>
      <c r="EQ220" s="8"/>
      <c r="ER220" s="8"/>
      <c r="ES220" s="8"/>
      <c r="ET220" s="8"/>
      <c r="EU220" s="1266"/>
      <c r="EV220" s="300"/>
      <c r="EX220" s="8"/>
      <c r="EY220" s="8"/>
      <c r="EZ220" s="8"/>
      <c r="FA220" s="8"/>
      <c r="FB220" s="8"/>
      <c r="FC220" s="8"/>
      <c r="FD220" s="8"/>
      <c r="FE220" s="1266"/>
      <c r="FF220" s="300"/>
      <c r="FH220" s="8"/>
      <c r="FI220" s="8"/>
      <c r="FJ220" s="8"/>
      <c r="FK220" s="8"/>
      <c r="FL220" s="8"/>
      <c r="FM220" s="8"/>
      <c r="FN220" s="8"/>
      <c r="FO220" s="1266"/>
      <c r="FP220" s="300"/>
      <c r="FR220" s="8"/>
      <c r="FS220" s="8"/>
      <c r="FT220" s="8"/>
      <c r="FU220" s="8"/>
      <c r="FV220" s="8"/>
      <c r="FW220" s="8"/>
      <c r="FX220" s="8"/>
      <c r="FY220" s="8"/>
      <c r="FZ220" s="1266"/>
      <c r="GA220" s="300"/>
      <c r="GC220" s="8"/>
      <c r="GD220" s="8"/>
      <c r="GE220" s="8"/>
      <c r="GF220" s="8"/>
      <c r="GK220" s="300"/>
      <c r="GM220" s="8"/>
      <c r="GN220" s="8"/>
      <c r="GO220" s="8"/>
      <c r="GP220" s="8"/>
      <c r="GQ220" s="8"/>
      <c r="GR220" s="8"/>
      <c r="GS220" s="8"/>
      <c r="GT220" s="1266"/>
      <c r="GU220" s="300"/>
      <c r="GW220" s="8"/>
      <c r="GX220" s="8"/>
      <c r="GY220" s="8"/>
      <c r="GZ220" s="8"/>
      <c r="HA220" s="8"/>
      <c r="HB220" s="8"/>
      <c r="HC220" s="8"/>
      <c r="HD220" s="1266"/>
      <c r="HE220" s="300"/>
      <c r="HG220" s="8"/>
      <c r="HH220" s="8"/>
      <c r="HI220" s="8"/>
      <c r="HJ220" s="8"/>
      <c r="HK220" s="8"/>
      <c r="HL220" s="8"/>
      <c r="HM220" s="8"/>
      <c r="HN220" s="1266"/>
      <c r="HO220" s="300"/>
      <c r="HQ220" s="8"/>
      <c r="HR220" s="8"/>
      <c r="HS220" s="8"/>
      <c r="HT220" s="8"/>
      <c r="HU220" s="8"/>
      <c r="HV220" s="8"/>
      <c r="HW220" s="8"/>
      <c r="HX220" s="8"/>
      <c r="HY220" s="1266"/>
      <c r="HZ220" s="300"/>
      <c r="IB220" s="8"/>
      <c r="IC220" s="8"/>
      <c r="ID220" s="8"/>
      <c r="IE220" s="8"/>
      <c r="IF220" s="8"/>
      <c r="IG220" s="8"/>
      <c r="IH220" s="8"/>
      <c r="II220" s="1266"/>
      <c r="IJ220" s="300"/>
    </row>
    <row r="221" spans="3:244" x14ac:dyDescent="0.3">
      <c r="C221" t="s">
        <v>1812</v>
      </c>
      <c r="D221" s="300" t="s">
        <v>106</v>
      </c>
      <c r="E221" t="s">
        <v>107</v>
      </c>
      <c r="F221" s="8" t="s">
        <v>107</v>
      </c>
      <c r="G221" s="8"/>
      <c r="H221" s="8"/>
      <c r="I221" s="8"/>
      <c r="J221" s="8"/>
      <c r="K221" s="8"/>
      <c r="L221" s="8" t="s">
        <v>2354</v>
      </c>
      <c r="M221" s="8"/>
      <c r="N221" s="300" t="s">
        <v>107</v>
      </c>
      <c r="O221" t="s">
        <v>107</v>
      </c>
      <c r="P221" s="8"/>
      <c r="Q221" s="8"/>
      <c r="R221" s="8"/>
      <c r="S221" s="8"/>
      <c r="T221" s="8"/>
      <c r="U221" s="8"/>
      <c r="V221" s="8" t="s">
        <v>2354</v>
      </c>
      <c r="W221" s="1266">
        <v>1</v>
      </c>
      <c r="X221" s="300" t="s">
        <v>106</v>
      </c>
      <c r="Z221" s="8"/>
      <c r="AA221" s="8"/>
      <c r="AB221" s="8"/>
      <c r="AC221" s="8"/>
      <c r="AD221" s="8"/>
      <c r="AE221" s="8"/>
      <c r="AF221" s="8" t="s">
        <v>2354</v>
      </c>
      <c r="AG221" s="1266"/>
      <c r="AH221" s="300" t="s">
        <v>106</v>
      </c>
      <c r="AI221" t="s">
        <v>106</v>
      </c>
      <c r="AJ221" s="8" t="s">
        <v>106</v>
      </c>
      <c r="AK221" s="8"/>
      <c r="AL221" s="8"/>
      <c r="AM221" s="8"/>
      <c r="AN221" s="8"/>
      <c r="AO221" s="8"/>
      <c r="AP221" s="8"/>
      <c r="AQ221" s="8"/>
      <c r="AR221" s="8" t="s">
        <v>2354</v>
      </c>
      <c r="AS221" s="1266">
        <v>2</v>
      </c>
      <c r="AT221" s="300" t="s">
        <v>106</v>
      </c>
      <c r="AU221" t="s">
        <v>106</v>
      </c>
      <c r="AV221" s="8" t="s">
        <v>107</v>
      </c>
      <c r="AW221" s="8" t="s">
        <v>107</v>
      </c>
      <c r="AX221" s="8" t="s">
        <v>106</v>
      </c>
      <c r="AY221" s="8" t="s">
        <v>106</v>
      </c>
      <c r="AZ221" s="8"/>
      <c r="BA221" s="8"/>
      <c r="BB221" s="8"/>
      <c r="BC221" s="8"/>
      <c r="BD221" s="8"/>
      <c r="BE221" s="8" t="s">
        <v>2354</v>
      </c>
      <c r="BF221" s="1266">
        <v>1</v>
      </c>
      <c r="BG221" s="300" t="s">
        <v>107</v>
      </c>
      <c r="BH221" t="s">
        <v>107</v>
      </c>
      <c r="BI221" s="8" t="s">
        <v>107</v>
      </c>
      <c r="BJ221" s="8" t="s">
        <v>107</v>
      </c>
      <c r="BK221" s="8" t="s">
        <v>106</v>
      </c>
      <c r="BL221" s="8"/>
      <c r="BR221" s="8" t="s">
        <v>2354</v>
      </c>
      <c r="BS221">
        <v>4</v>
      </c>
      <c r="BT221" s="300" t="s">
        <v>106</v>
      </c>
      <c r="BV221" s="8"/>
      <c r="BW221" s="8"/>
      <c r="BX221" s="8"/>
      <c r="BY221" s="8"/>
      <c r="BZ221" s="8"/>
      <c r="CA221" s="8"/>
      <c r="CB221" s="8" t="s">
        <v>2354</v>
      </c>
      <c r="CC221" s="1266">
        <v>2</v>
      </c>
      <c r="CD221" s="300" t="s">
        <v>106</v>
      </c>
      <c r="CF221" s="8"/>
      <c r="CG221" s="8"/>
      <c r="CH221" s="8"/>
      <c r="CI221" s="8"/>
      <c r="CJ221" s="8"/>
      <c r="CK221" s="8"/>
      <c r="CL221" s="8" t="s">
        <v>2354</v>
      </c>
      <c r="CM221" s="1266"/>
      <c r="CN221" s="300"/>
      <c r="CP221" s="8"/>
      <c r="CQ221" s="8"/>
      <c r="CR221" s="8"/>
      <c r="CS221" s="8"/>
      <c r="CT221" s="8"/>
      <c r="CU221" s="8"/>
      <c r="CV221" s="8" t="s">
        <v>2354</v>
      </c>
      <c r="CW221" s="1266"/>
      <c r="CX221" s="300"/>
      <c r="CZ221" s="8"/>
      <c r="DA221" s="8"/>
      <c r="DB221" s="8"/>
      <c r="DC221" s="8"/>
      <c r="DD221" s="8"/>
      <c r="DE221" s="8"/>
      <c r="DF221" s="8" t="s">
        <v>2354</v>
      </c>
      <c r="DG221" s="1266"/>
      <c r="DH221" s="300"/>
      <c r="DJ221" s="8"/>
      <c r="DK221" s="8"/>
      <c r="DL221" s="8"/>
      <c r="DM221" s="8"/>
      <c r="DN221" s="8"/>
      <c r="DO221" s="8"/>
      <c r="DP221" s="8" t="s">
        <v>2354</v>
      </c>
      <c r="DQ221" s="1266"/>
      <c r="DR221" s="300"/>
      <c r="DT221" s="8"/>
      <c r="DU221" s="8"/>
      <c r="DV221" s="8"/>
      <c r="DW221" s="8"/>
      <c r="EB221" s="300"/>
      <c r="ED221" s="8"/>
      <c r="EE221" s="8"/>
      <c r="EF221" s="8"/>
      <c r="EG221" s="8"/>
      <c r="EH221" s="8"/>
      <c r="EI221" s="8"/>
      <c r="EJ221" s="8"/>
      <c r="EK221" s="1266"/>
      <c r="EL221" s="300"/>
      <c r="EN221" s="8"/>
      <c r="EO221" s="8"/>
      <c r="EP221" s="8"/>
      <c r="EQ221" s="8"/>
      <c r="ER221" s="8"/>
      <c r="ES221" s="8"/>
      <c r="ET221" s="8"/>
      <c r="EU221" s="1266"/>
      <c r="EV221" s="300"/>
      <c r="EX221" s="8"/>
      <c r="EY221" s="8"/>
      <c r="EZ221" s="8"/>
      <c r="FA221" s="8"/>
      <c r="FB221" s="8"/>
      <c r="FC221" s="8"/>
      <c r="FD221" s="8"/>
      <c r="FE221" s="1266"/>
      <c r="FF221" s="300"/>
      <c r="FH221" s="8"/>
      <c r="FI221" s="8"/>
      <c r="FJ221" s="8"/>
      <c r="FK221" s="8"/>
      <c r="FL221" s="8"/>
      <c r="FM221" s="8"/>
      <c r="FN221" s="8"/>
      <c r="FO221" s="1266"/>
      <c r="FP221" s="300"/>
      <c r="FR221" s="8"/>
      <c r="FS221" s="8"/>
      <c r="FT221" s="8"/>
      <c r="FU221" s="8"/>
      <c r="FV221" s="8"/>
      <c r="FW221" s="8"/>
      <c r="FX221" s="8"/>
      <c r="FY221" s="8"/>
      <c r="FZ221" s="1266"/>
      <c r="GA221" s="300"/>
      <c r="GC221" s="8"/>
      <c r="GD221" s="8"/>
      <c r="GE221" s="8"/>
      <c r="GF221" s="8"/>
      <c r="GK221" s="300"/>
      <c r="GM221" s="8"/>
      <c r="GN221" s="8"/>
      <c r="GO221" s="8"/>
      <c r="GP221" s="8"/>
      <c r="GQ221" s="8"/>
      <c r="GR221" s="8"/>
      <c r="GS221" s="8"/>
      <c r="GT221" s="1266"/>
      <c r="GU221" s="300"/>
      <c r="GW221" s="8"/>
      <c r="GX221" s="8"/>
      <c r="GY221" s="8"/>
      <c r="GZ221" s="8"/>
      <c r="HA221" s="8"/>
      <c r="HB221" s="8"/>
      <c r="HC221" s="8"/>
      <c r="HD221" s="1266"/>
      <c r="HE221" s="300"/>
      <c r="HG221" s="8"/>
      <c r="HH221" s="8"/>
      <c r="HI221" s="8"/>
      <c r="HJ221" s="8"/>
      <c r="HK221" s="8"/>
      <c r="HL221" s="8"/>
      <c r="HM221" s="8"/>
      <c r="HN221" s="1266"/>
      <c r="HO221" s="300"/>
      <c r="HQ221" s="8"/>
      <c r="HR221" s="8"/>
      <c r="HS221" s="8"/>
      <c r="HT221" s="8"/>
      <c r="HU221" s="8"/>
      <c r="HV221" s="8"/>
      <c r="HW221" s="8"/>
      <c r="HX221" s="8"/>
      <c r="HY221" s="1266"/>
      <c r="HZ221" s="300"/>
      <c r="IB221" s="8"/>
      <c r="IC221" s="8"/>
      <c r="ID221" s="8"/>
      <c r="IE221" s="8"/>
      <c r="IF221" s="8"/>
      <c r="IG221" s="8"/>
      <c r="IH221" s="8"/>
      <c r="II221" s="1266"/>
      <c r="IJ221" s="300"/>
    </row>
    <row r="222" spans="3:244" x14ac:dyDescent="0.3">
      <c r="C222" t="s">
        <v>2513</v>
      </c>
      <c r="D222" s="300" t="s">
        <v>106</v>
      </c>
      <c r="F222" s="8"/>
      <c r="G222" s="8"/>
      <c r="H222" s="8"/>
      <c r="I222" s="265"/>
      <c r="J222" s="265"/>
      <c r="K222" s="265"/>
      <c r="L222" s="8" t="s">
        <v>2354</v>
      </c>
      <c r="M222" s="8">
        <v>4</v>
      </c>
      <c r="N222" s="300" t="s">
        <v>106</v>
      </c>
      <c r="O222" t="s">
        <v>107</v>
      </c>
      <c r="P222" s="8" t="s">
        <v>106</v>
      </c>
      <c r="Q222" s="8" t="s">
        <v>107</v>
      </c>
      <c r="R222" s="8"/>
      <c r="S222" s="265"/>
      <c r="T222" s="265"/>
      <c r="U222" s="265"/>
      <c r="V222" s="8" t="s">
        <v>2354</v>
      </c>
      <c r="W222" s="1266">
        <v>11</v>
      </c>
      <c r="X222" s="300"/>
      <c r="Z222" s="8"/>
      <c r="AA222" s="8"/>
      <c r="AB222" s="8"/>
      <c r="AC222" s="265"/>
      <c r="AD222" s="265"/>
      <c r="AE222" s="265"/>
      <c r="AF222" s="8" t="s">
        <v>2354</v>
      </c>
      <c r="AG222" s="1266">
        <v>4</v>
      </c>
      <c r="AH222" s="300" t="s">
        <v>106</v>
      </c>
      <c r="AI222" t="s">
        <v>106</v>
      </c>
      <c r="AJ222" s="8" t="s">
        <v>107</v>
      </c>
      <c r="AK222" s="8" t="s">
        <v>106</v>
      </c>
      <c r="AL222" s="8" t="s">
        <v>106</v>
      </c>
      <c r="AM222" s="265"/>
      <c r="AN222" s="265"/>
      <c r="AO222" s="265"/>
      <c r="AP222" s="265"/>
      <c r="AQ222" s="265"/>
      <c r="AR222" s="8" t="s">
        <v>2354</v>
      </c>
      <c r="AS222" s="1266">
        <v>6</v>
      </c>
      <c r="AT222" s="300" t="s">
        <v>106</v>
      </c>
      <c r="AU222" t="s">
        <v>106</v>
      </c>
      <c r="AV222" s="8" t="s">
        <v>106</v>
      </c>
      <c r="AW222" s="8" t="s">
        <v>107</v>
      </c>
      <c r="AX222" s="8" t="s">
        <v>106</v>
      </c>
      <c r="AY222" s="265"/>
      <c r="AZ222" s="265"/>
      <c r="BA222" s="265"/>
      <c r="BB222" s="265"/>
      <c r="BC222" s="265"/>
      <c r="BD222" s="265"/>
      <c r="BE222" s="8" t="s">
        <v>2354</v>
      </c>
      <c r="BF222" s="1266">
        <v>6</v>
      </c>
      <c r="BG222" s="300" t="s">
        <v>106</v>
      </c>
      <c r="BH222" t="s">
        <v>107</v>
      </c>
      <c r="BI222" s="8" t="s">
        <v>107</v>
      </c>
      <c r="BJ222" s="8"/>
      <c r="BK222" s="8"/>
      <c r="BL222" s="265"/>
      <c r="BR222" s="8" t="s">
        <v>2354</v>
      </c>
      <c r="BS222">
        <v>4</v>
      </c>
      <c r="BT222" s="300"/>
      <c r="BV222" s="8"/>
      <c r="BW222" s="8"/>
      <c r="BX222" s="8"/>
      <c r="BY222" s="265"/>
      <c r="BZ222" s="265"/>
      <c r="CA222" s="265"/>
      <c r="CB222" s="8" t="s">
        <v>2354</v>
      </c>
      <c r="CC222" s="1266"/>
      <c r="CD222" s="300"/>
      <c r="CF222" s="8"/>
      <c r="CG222" s="8"/>
      <c r="CH222" s="8"/>
      <c r="CI222" s="265"/>
      <c r="CJ222" s="265"/>
      <c r="CK222" s="265"/>
      <c r="CL222" s="8" t="s">
        <v>2354</v>
      </c>
      <c r="CM222" s="1266"/>
      <c r="CN222" s="300" t="s">
        <v>107</v>
      </c>
      <c r="CO222" t="s">
        <v>107</v>
      </c>
      <c r="CP222" s="8" t="s">
        <v>107</v>
      </c>
      <c r="CQ222" s="8" t="s">
        <v>107</v>
      </c>
      <c r="CR222" s="8"/>
      <c r="CS222" s="265"/>
      <c r="CT222" s="265"/>
      <c r="CU222" s="265"/>
      <c r="CV222" s="8" t="s">
        <v>2354</v>
      </c>
      <c r="CW222" s="1266">
        <v>1</v>
      </c>
      <c r="CX222" s="300"/>
      <c r="CZ222" s="8"/>
      <c r="DA222" s="8"/>
      <c r="DB222" s="8"/>
      <c r="DC222" s="265"/>
      <c r="DD222" s="265"/>
      <c r="DE222" s="265"/>
      <c r="DF222" s="8" t="s">
        <v>2354</v>
      </c>
      <c r="DG222" s="1266"/>
      <c r="DH222" s="300"/>
      <c r="DJ222" s="8"/>
      <c r="DK222" s="8"/>
      <c r="DL222" s="8"/>
      <c r="DM222" s="265"/>
      <c r="DN222" s="265"/>
      <c r="DO222" s="265"/>
      <c r="DP222" s="8" t="s">
        <v>2354</v>
      </c>
      <c r="DQ222" s="1266"/>
      <c r="DR222" s="300"/>
      <c r="DT222" s="8"/>
      <c r="DU222" s="8"/>
      <c r="DV222" s="8"/>
      <c r="DW222" s="265"/>
      <c r="EB222" s="300"/>
      <c r="ED222" s="8"/>
      <c r="EE222" s="8"/>
      <c r="EF222" s="8"/>
      <c r="EG222" s="265"/>
      <c r="EH222" s="265"/>
      <c r="EI222" s="265"/>
      <c r="EJ222" s="8"/>
      <c r="EK222" s="1266"/>
      <c r="EL222" s="300"/>
      <c r="EN222" s="8"/>
      <c r="EO222" s="8"/>
      <c r="EP222" s="8"/>
      <c r="EQ222" s="265"/>
      <c r="ER222" s="265"/>
      <c r="ES222" s="265"/>
      <c r="ET222" s="8"/>
      <c r="EU222" s="1266"/>
      <c r="EV222" s="300"/>
      <c r="EX222" s="8"/>
      <c r="EY222" s="8"/>
      <c r="EZ222" s="8"/>
      <c r="FA222" s="265"/>
      <c r="FB222" s="265"/>
      <c r="FC222" s="265"/>
      <c r="FD222" s="8"/>
      <c r="FE222" s="1266"/>
      <c r="FF222" s="300"/>
      <c r="FH222" s="8"/>
      <c r="FI222" s="8"/>
      <c r="FJ222" s="8"/>
      <c r="FK222" s="265"/>
      <c r="FL222" s="265"/>
      <c r="FM222" s="265"/>
      <c r="FN222" s="8"/>
      <c r="FO222" s="1266"/>
      <c r="FP222" s="300"/>
      <c r="FR222" s="8"/>
      <c r="FS222" s="8"/>
      <c r="FT222" s="8"/>
      <c r="FU222" s="265"/>
      <c r="FV222" s="265"/>
      <c r="FW222" s="265"/>
      <c r="FX222" s="265"/>
      <c r="FY222" s="8"/>
      <c r="FZ222" s="1266"/>
      <c r="GA222" s="300"/>
      <c r="GC222" s="8"/>
      <c r="GD222" s="8"/>
      <c r="GE222" s="8"/>
      <c r="GF222" s="265"/>
      <c r="GK222" s="300"/>
      <c r="GM222" s="8"/>
      <c r="GN222" s="8"/>
      <c r="GO222" s="8"/>
      <c r="GP222" s="265"/>
      <c r="GQ222" s="265"/>
      <c r="GR222" s="265"/>
      <c r="GS222" s="8"/>
      <c r="GT222" s="1266"/>
      <c r="GU222" s="300"/>
      <c r="GW222" s="8"/>
      <c r="GX222" s="8"/>
      <c r="GY222" s="8"/>
      <c r="GZ222" s="265"/>
      <c r="HA222" s="265"/>
      <c r="HB222" s="265"/>
      <c r="HC222" s="8"/>
      <c r="HD222" s="1266"/>
      <c r="HE222" s="300"/>
      <c r="HG222" s="8"/>
      <c r="HH222" s="8"/>
      <c r="HI222" s="8"/>
      <c r="HJ222" s="265"/>
      <c r="HK222" s="265"/>
      <c r="HL222" s="265"/>
      <c r="HM222" s="8"/>
      <c r="HN222" s="1266"/>
      <c r="HO222" s="300"/>
      <c r="HQ222" s="8"/>
      <c r="HR222" s="8"/>
      <c r="HS222" s="8"/>
      <c r="HT222" s="265"/>
      <c r="HU222" s="265"/>
      <c r="HV222" s="265"/>
      <c r="HW222" s="265"/>
      <c r="HX222" s="8"/>
      <c r="HY222" s="1266"/>
      <c r="HZ222" s="300"/>
      <c r="IB222" s="8"/>
      <c r="IC222" s="8"/>
      <c r="ID222" s="8"/>
      <c r="IE222" s="265"/>
      <c r="IF222" s="265"/>
      <c r="IG222" s="265"/>
      <c r="IH222" s="8"/>
      <c r="II222" s="1266"/>
      <c r="IJ222" s="300"/>
    </row>
    <row r="223" spans="3:244" x14ac:dyDescent="0.3">
      <c r="C223" t="s">
        <v>2717</v>
      </c>
      <c r="D223" s="300"/>
      <c r="L223" s="8" t="s">
        <v>2354</v>
      </c>
      <c r="N223" s="300"/>
      <c r="V223" s="8" t="s">
        <v>2354</v>
      </c>
      <c r="W223" s="683"/>
      <c r="X223" s="300" t="s">
        <v>106</v>
      </c>
      <c r="AF223" s="8" t="s">
        <v>2354</v>
      </c>
      <c r="AG223" s="683"/>
      <c r="AH223" s="300"/>
      <c r="AR223" s="8" t="s">
        <v>2354</v>
      </c>
      <c r="AS223" s="683"/>
      <c r="AT223" s="300"/>
      <c r="BE223" s="8" t="s">
        <v>2354</v>
      </c>
      <c r="BF223" s="683"/>
      <c r="BG223" s="300"/>
      <c r="BR223" s="8" t="s">
        <v>2354</v>
      </c>
      <c r="BT223" s="300"/>
      <c r="CB223" s="8" t="s">
        <v>2354</v>
      </c>
      <c r="CC223" s="683"/>
      <c r="CD223" s="300"/>
      <c r="CL223" s="8" t="s">
        <v>2354</v>
      </c>
      <c r="CM223" s="683"/>
      <c r="CN223" s="300"/>
      <c r="CV223" s="8" t="s">
        <v>2354</v>
      </c>
      <c r="CW223" s="683"/>
      <c r="CX223" s="300"/>
      <c r="DF223" s="8" t="s">
        <v>2354</v>
      </c>
      <c r="DG223" s="683"/>
      <c r="DH223" s="300"/>
      <c r="DP223" s="8" t="s">
        <v>2354</v>
      </c>
      <c r="DQ223" s="683"/>
      <c r="DR223" s="300"/>
      <c r="EB223" s="300"/>
      <c r="EK223" s="683"/>
      <c r="EL223" s="300"/>
      <c r="EU223" s="683"/>
      <c r="EV223" s="300"/>
      <c r="FE223" s="683"/>
      <c r="FF223" s="300"/>
      <c r="FO223" s="683"/>
      <c r="FP223" s="300"/>
      <c r="FZ223" s="683"/>
      <c r="GA223" s="300"/>
      <c r="GK223" s="300"/>
      <c r="GT223" s="683"/>
      <c r="GU223" s="300"/>
      <c r="HD223" s="683"/>
      <c r="HE223" s="300"/>
      <c r="HN223" s="683"/>
      <c r="HO223" s="300"/>
      <c r="HY223" s="683"/>
      <c r="HZ223" s="300"/>
      <c r="II223" s="683"/>
      <c r="IJ223" s="300"/>
    </row>
    <row r="224" spans="3:244" x14ac:dyDescent="0.3">
      <c r="C224" t="s">
        <v>2251</v>
      </c>
      <c r="D224" s="300" t="s">
        <v>106</v>
      </c>
      <c r="E224" t="s">
        <v>106</v>
      </c>
      <c r="F224" t="s">
        <v>107</v>
      </c>
      <c r="G224" t="s">
        <v>107</v>
      </c>
      <c r="L224" s="8" t="s">
        <v>2354</v>
      </c>
      <c r="M224">
        <v>2</v>
      </c>
      <c r="N224" s="300" t="s">
        <v>107</v>
      </c>
      <c r="O224" t="s">
        <v>107</v>
      </c>
      <c r="V224" s="8" t="s">
        <v>2354</v>
      </c>
      <c r="W224" s="683">
        <v>9</v>
      </c>
      <c r="X224" s="300" t="s">
        <v>107</v>
      </c>
      <c r="Y224" t="s">
        <v>106</v>
      </c>
      <c r="AF224" s="8" t="s">
        <v>2354</v>
      </c>
      <c r="AG224" s="683">
        <v>2</v>
      </c>
      <c r="AH224" s="300" t="s">
        <v>106</v>
      </c>
      <c r="AI224" t="s">
        <v>106</v>
      </c>
      <c r="AR224" s="8" t="s">
        <v>2354</v>
      </c>
      <c r="AS224" s="683">
        <v>4</v>
      </c>
      <c r="AT224" s="300" t="s">
        <v>106</v>
      </c>
      <c r="AU224" t="s">
        <v>106</v>
      </c>
      <c r="BE224" s="8" t="s">
        <v>2354</v>
      </c>
      <c r="BF224" s="683">
        <v>8</v>
      </c>
      <c r="BG224" s="300" t="s">
        <v>107</v>
      </c>
      <c r="BH224" t="s">
        <v>106</v>
      </c>
      <c r="BR224" s="8" t="s">
        <v>2354</v>
      </c>
      <c r="BS224">
        <v>5</v>
      </c>
      <c r="BT224" s="300" t="s">
        <v>106</v>
      </c>
      <c r="BU224" t="s">
        <v>107</v>
      </c>
      <c r="BV224" t="s">
        <v>107</v>
      </c>
      <c r="BW224" t="s">
        <v>107</v>
      </c>
      <c r="BX224" t="s">
        <v>107</v>
      </c>
      <c r="BY224" t="s">
        <v>107</v>
      </c>
      <c r="CB224" s="8" t="s">
        <v>2354</v>
      </c>
      <c r="CC224" s="683">
        <v>5</v>
      </c>
      <c r="CD224" s="300" t="s">
        <v>107</v>
      </c>
      <c r="CE224" t="s">
        <v>107</v>
      </c>
      <c r="CF224" t="s">
        <v>106</v>
      </c>
      <c r="CL224" s="8" t="s">
        <v>2354</v>
      </c>
      <c r="CM224" s="683"/>
      <c r="CN224" s="300" t="s">
        <v>106</v>
      </c>
      <c r="CO224" t="s">
        <v>107</v>
      </c>
      <c r="CP224" t="s">
        <v>106</v>
      </c>
      <c r="CV224" s="8" t="s">
        <v>2354</v>
      </c>
      <c r="CW224" s="683">
        <v>3</v>
      </c>
      <c r="CX224" s="300"/>
      <c r="DF224" s="8" t="s">
        <v>2354</v>
      </c>
      <c r="DG224" s="683"/>
      <c r="DH224" s="300"/>
      <c r="DP224" s="8" t="s">
        <v>2354</v>
      </c>
      <c r="DQ224" s="683"/>
      <c r="DR224" s="300"/>
      <c r="EB224" s="300"/>
      <c r="EK224" s="683"/>
      <c r="EL224" s="300"/>
      <c r="EU224" s="683"/>
      <c r="EV224" s="300"/>
      <c r="FE224" s="683"/>
      <c r="FF224" s="300"/>
      <c r="FO224" s="683"/>
      <c r="FP224" s="300"/>
      <c r="FZ224" s="683"/>
      <c r="GA224" s="300"/>
      <c r="GK224" s="300"/>
      <c r="GT224" s="683"/>
      <c r="GU224" s="300"/>
      <c r="HD224" s="683"/>
      <c r="HE224" s="300"/>
      <c r="HN224" s="683"/>
      <c r="HO224" s="300"/>
      <c r="HY224" s="683"/>
      <c r="HZ224" s="300"/>
      <c r="II224" s="683"/>
      <c r="IJ224" s="300"/>
    </row>
    <row r="225" spans="3:244" x14ac:dyDescent="0.3">
      <c r="C225" t="s">
        <v>2512</v>
      </c>
      <c r="D225" s="300"/>
      <c r="F225" s="8"/>
      <c r="G225" s="8"/>
      <c r="H225" s="8"/>
      <c r="I225" s="265"/>
      <c r="J225" s="265"/>
      <c r="K225" s="265"/>
      <c r="L225" s="8" t="s">
        <v>2354</v>
      </c>
      <c r="M225" s="8">
        <v>1</v>
      </c>
      <c r="N225" s="300" t="s">
        <v>106</v>
      </c>
      <c r="O225" t="s">
        <v>106</v>
      </c>
      <c r="P225" s="8" t="s">
        <v>107</v>
      </c>
      <c r="Q225" s="8" t="s">
        <v>106</v>
      </c>
      <c r="R225" s="8"/>
      <c r="S225" s="265"/>
      <c r="T225" s="265"/>
      <c r="U225" s="265"/>
      <c r="V225" s="8" t="s">
        <v>2354</v>
      </c>
      <c r="W225" s="1266">
        <v>7</v>
      </c>
      <c r="X225" s="300"/>
      <c r="Z225" s="8"/>
      <c r="AA225" s="8"/>
      <c r="AB225" s="8"/>
      <c r="AC225" s="265"/>
      <c r="AD225" s="265"/>
      <c r="AE225" s="265"/>
      <c r="AF225" s="8" t="s">
        <v>2354</v>
      </c>
      <c r="AG225" s="1266">
        <v>1</v>
      </c>
      <c r="AH225" s="300" t="s">
        <v>106</v>
      </c>
      <c r="AI225" t="s">
        <v>106</v>
      </c>
      <c r="AJ225" s="8" t="s">
        <v>107</v>
      </c>
      <c r="AK225" s="8" t="s">
        <v>106</v>
      </c>
      <c r="AL225" s="8" t="s">
        <v>106</v>
      </c>
      <c r="AM225" s="265"/>
      <c r="AN225" s="265"/>
      <c r="AO225" s="265"/>
      <c r="AP225" s="265"/>
      <c r="AQ225" s="265"/>
      <c r="AR225" s="8" t="s">
        <v>2354</v>
      </c>
      <c r="AS225" s="1266">
        <v>3</v>
      </c>
      <c r="AT225" s="300" t="s">
        <v>106</v>
      </c>
      <c r="AU225" t="s">
        <v>106</v>
      </c>
      <c r="AV225" s="8" t="s">
        <v>106</v>
      </c>
      <c r="AW225" s="8" t="s">
        <v>107</v>
      </c>
      <c r="AX225" s="8"/>
      <c r="AY225" s="265"/>
      <c r="AZ225" s="265"/>
      <c r="BA225" s="265"/>
      <c r="BB225" s="265"/>
      <c r="BC225" s="265"/>
      <c r="BD225" s="265"/>
      <c r="BE225" s="8" t="s">
        <v>2354</v>
      </c>
      <c r="BF225" s="1266">
        <v>1</v>
      </c>
      <c r="BG225" s="300" t="s">
        <v>106</v>
      </c>
      <c r="BH225" t="s">
        <v>107</v>
      </c>
      <c r="BI225" s="8" t="s">
        <v>106</v>
      </c>
      <c r="BJ225" s="8" t="s">
        <v>107</v>
      </c>
      <c r="BK225" s="8"/>
      <c r="BL225" s="265"/>
      <c r="BR225" s="8" t="s">
        <v>2354</v>
      </c>
      <c r="BS225">
        <v>5</v>
      </c>
      <c r="BT225" s="300"/>
      <c r="BV225" s="8"/>
      <c r="BW225" s="8"/>
      <c r="BX225" s="8"/>
      <c r="BY225" s="265"/>
      <c r="BZ225" s="265"/>
      <c r="CA225" s="265"/>
      <c r="CB225" s="8" t="s">
        <v>2354</v>
      </c>
      <c r="CC225" s="1266"/>
      <c r="CD225" s="300"/>
      <c r="CF225" s="8"/>
      <c r="CG225" s="8"/>
      <c r="CH225" s="8"/>
      <c r="CI225" s="265"/>
      <c r="CJ225" s="265"/>
      <c r="CK225" s="265"/>
      <c r="CL225" s="8" t="s">
        <v>2354</v>
      </c>
      <c r="CM225" s="1266"/>
      <c r="CN225" s="300"/>
      <c r="CP225" s="8"/>
      <c r="CQ225" s="8"/>
      <c r="CR225" s="8"/>
      <c r="CS225" s="265"/>
      <c r="CT225" s="265"/>
      <c r="CU225" s="265"/>
      <c r="CV225" s="8" t="s">
        <v>2354</v>
      </c>
      <c r="CW225" s="1266"/>
      <c r="CX225" s="300"/>
      <c r="CZ225" s="8"/>
      <c r="DA225" s="8"/>
      <c r="DB225" s="8"/>
      <c r="DC225" s="265"/>
      <c r="DD225" s="265"/>
      <c r="DE225" s="265"/>
      <c r="DF225" s="8" t="s">
        <v>2354</v>
      </c>
      <c r="DG225" s="1266"/>
      <c r="DH225" s="300"/>
      <c r="DJ225" s="8"/>
      <c r="DK225" s="8"/>
      <c r="DL225" s="8"/>
      <c r="DM225" s="265"/>
      <c r="DN225" s="265"/>
      <c r="DO225" s="265"/>
      <c r="DP225" s="8" t="s">
        <v>2354</v>
      </c>
      <c r="DQ225" s="1266"/>
      <c r="DR225" s="300"/>
      <c r="DT225" s="8"/>
      <c r="DU225" s="8"/>
      <c r="DV225" s="8"/>
      <c r="DW225" s="265"/>
      <c r="EB225" s="300"/>
      <c r="ED225" s="8"/>
      <c r="EE225" s="8"/>
      <c r="EF225" s="8"/>
      <c r="EG225" s="265"/>
      <c r="EH225" s="265"/>
      <c r="EI225" s="265"/>
      <c r="EJ225" s="8"/>
      <c r="EK225" s="1266"/>
      <c r="EL225" s="300"/>
      <c r="EN225" s="8"/>
      <c r="EO225" s="8"/>
      <c r="EP225" s="8"/>
      <c r="EQ225" s="265"/>
      <c r="ER225" s="265"/>
      <c r="ES225" s="265"/>
      <c r="ET225" s="8"/>
      <c r="EU225" s="1266"/>
      <c r="EV225" s="300"/>
      <c r="EX225" s="8"/>
      <c r="EY225" s="8"/>
      <c r="EZ225" s="8"/>
      <c r="FA225" s="265"/>
      <c r="FB225" s="265"/>
      <c r="FC225" s="265"/>
      <c r="FD225" s="8"/>
      <c r="FE225" s="1266"/>
      <c r="FF225" s="300"/>
      <c r="FH225" s="8"/>
      <c r="FI225" s="8"/>
      <c r="FJ225" s="8"/>
      <c r="FK225" s="265"/>
      <c r="FL225" s="265"/>
      <c r="FM225" s="265"/>
      <c r="FN225" s="8"/>
      <c r="FO225" s="1266"/>
      <c r="FP225" s="300"/>
      <c r="FR225" s="8"/>
      <c r="FS225" s="8"/>
      <c r="FT225" s="8"/>
      <c r="FU225" s="265"/>
      <c r="FV225" s="265"/>
      <c r="FW225" s="265"/>
      <c r="FX225" s="265"/>
      <c r="FY225" s="8"/>
      <c r="FZ225" s="1266"/>
      <c r="GA225" s="300"/>
      <c r="GC225" s="8"/>
      <c r="GD225" s="8"/>
      <c r="GE225" s="8"/>
      <c r="GF225" s="265"/>
      <c r="GK225" s="300"/>
      <c r="GM225" s="8"/>
      <c r="GN225" s="8"/>
      <c r="GO225" s="8"/>
      <c r="GP225" s="265"/>
      <c r="GQ225" s="265"/>
      <c r="GR225" s="265"/>
      <c r="GS225" s="8"/>
      <c r="GT225" s="1266"/>
      <c r="GU225" s="300"/>
      <c r="GW225" s="8"/>
      <c r="GX225" s="8"/>
      <c r="GY225" s="8"/>
      <c r="GZ225" s="265"/>
      <c r="HA225" s="265"/>
      <c r="HB225" s="265"/>
      <c r="HC225" s="8"/>
      <c r="HD225" s="1266"/>
      <c r="HE225" s="300"/>
      <c r="HG225" s="8"/>
      <c r="HH225" s="8"/>
      <c r="HI225" s="8"/>
      <c r="HJ225" s="265"/>
      <c r="HK225" s="265"/>
      <c r="HL225" s="265"/>
      <c r="HM225" s="8"/>
      <c r="HN225" s="1266"/>
      <c r="HO225" s="300"/>
      <c r="HQ225" s="8"/>
      <c r="HR225" s="8"/>
      <c r="HS225" s="8"/>
      <c r="HT225" s="265"/>
      <c r="HU225" s="265"/>
      <c r="HV225" s="265"/>
      <c r="HW225" s="265"/>
      <c r="HX225" s="8"/>
      <c r="HY225" s="1266"/>
      <c r="HZ225" s="300"/>
      <c r="IB225" s="8"/>
      <c r="IC225" s="8"/>
      <c r="ID225" s="8"/>
      <c r="IE225" s="265"/>
      <c r="IF225" s="265"/>
      <c r="IG225" s="265"/>
      <c r="IH225" s="8"/>
      <c r="II225" s="1266"/>
      <c r="IJ225" s="300"/>
    </row>
    <row r="226" spans="3:244" x14ac:dyDescent="0.3">
      <c r="C226" t="s">
        <v>1815</v>
      </c>
      <c r="D226" s="300" t="s">
        <v>107</v>
      </c>
      <c r="L226" s="8" t="s">
        <v>2354</v>
      </c>
      <c r="M226" s="8">
        <v>1</v>
      </c>
      <c r="N226" s="300" t="s">
        <v>107</v>
      </c>
      <c r="O226" t="s">
        <v>107</v>
      </c>
      <c r="P226" t="s">
        <v>107</v>
      </c>
      <c r="V226" s="8" t="s">
        <v>2354</v>
      </c>
      <c r="W226" s="683">
        <v>7</v>
      </c>
      <c r="X226" s="300"/>
      <c r="AF226" s="8" t="s">
        <v>2354</v>
      </c>
      <c r="AG226" s="683"/>
      <c r="AH226" s="300"/>
      <c r="AR226" s="8" t="s">
        <v>2354</v>
      </c>
      <c r="AS226" s="683"/>
      <c r="AT226" s="300"/>
      <c r="BE226" s="8" t="s">
        <v>2354</v>
      </c>
      <c r="BF226" s="683"/>
      <c r="BG226" s="300"/>
      <c r="BR226" s="8" t="s">
        <v>2354</v>
      </c>
      <c r="BT226" s="300" t="s">
        <v>106</v>
      </c>
      <c r="CB226" s="8" t="s">
        <v>2354</v>
      </c>
      <c r="CC226" s="683">
        <v>2</v>
      </c>
      <c r="CD226" s="300"/>
      <c r="CL226" s="8" t="s">
        <v>2354</v>
      </c>
      <c r="CM226" s="683">
        <v>1</v>
      </c>
      <c r="CN226" s="300" t="s">
        <v>107</v>
      </c>
      <c r="CO226" t="s">
        <v>107</v>
      </c>
      <c r="CP226" t="s">
        <v>107</v>
      </c>
      <c r="CQ226" t="s">
        <v>107</v>
      </c>
      <c r="CV226" s="8" t="s">
        <v>2354</v>
      </c>
      <c r="CW226" s="683"/>
      <c r="CX226" s="300"/>
      <c r="DF226" s="8" t="s">
        <v>2354</v>
      </c>
      <c r="DG226" s="683"/>
      <c r="DH226" s="300"/>
      <c r="DP226" s="8" t="s">
        <v>2354</v>
      </c>
      <c r="DQ226" s="683"/>
      <c r="DR226" s="300"/>
      <c r="EB226" s="300"/>
      <c r="EK226" s="683"/>
      <c r="EL226" s="300"/>
      <c r="EU226" s="683"/>
      <c r="EV226" s="300"/>
      <c r="FE226" s="683"/>
      <c r="FF226" s="300"/>
      <c r="FO226" s="683"/>
      <c r="FP226" s="300"/>
      <c r="FZ226" s="683"/>
      <c r="GA226" s="300"/>
      <c r="GK226" s="300"/>
      <c r="GT226" s="683"/>
      <c r="GU226" s="300"/>
      <c r="HD226" s="683"/>
      <c r="HE226" s="300"/>
      <c r="HN226" s="683"/>
      <c r="HO226" s="300"/>
      <c r="HY226" s="683"/>
      <c r="HZ226" s="300"/>
      <c r="II226" s="683"/>
      <c r="IJ226" s="300"/>
    </row>
    <row r="227" spans="3:244" x14ac:dyDescent="0.3">
      <c r="C227" t="s">
        <v>2511</v>
      </c>
      <c r="D227" s="300"/>
      <c r="L227" s="8" t="s">
        <v>2354</v>
      </c>
      <c r="N227" s="300"/>
      <c r="V227" s="8" t="s">
        <v>2354</v>
      </c>
      <c r="W227" s="683"/>
      <c r="X227" s="300"/>
      <c r="AF227" s="8" t="s">
        <v>2354</v>
      </c>
      <c r="AG227" s="683"/>
      <c r="AH227" s="300"/>
      <c r="AR227" s="8" t="s">
        <v>2354</v>
      </c>
      <c r="AS227" s="683"/>
      <c r="AT227" s="300"/>
      <c r="BE227" s="8" t="s">
        <v>2354</v>
      </c>
      <c r="BF227" s="683"/>
      <c r="BG227" s="300"/>
      <c r="BR227" s="8" t="s">
        <v>2354</v>
      </c>
      <c r="BT227" s="300"/>
      <c r="CB227" s="8" t="s">
        <v>2354</v>
      </c>
      <c r="CC227" s="683"/>
      <c r="CD227" s="300"/>
      <c r="CL227" s="8" t="s">
        <v>2354</v>
      </c>
      <c r="CM227" s="683"/>
      <c r="CN227" s="300"/>
      <c r="CV227" s="8" t="s">
        <v>2354</v>
      </c>
      <c r="CW227" s="683"/>
      <c r="CX227" s="300"/>
      <c r="DF227" s="8" t="s">
        <v>2354</v>
      </c>
      <c r="DG227" s="683"/>
      <c r="DH227" s="300"/>
      <c r="DP227" s="8" t="s">
        <v>2354</v>
      </c>
      <c r="DQ227" s="683"/>
      <c r="DR227" s="300"/>
      <c r="EB227" s="300"/>
      <c r="EK227" s="683"/>
      <c r="EL227" s="300"/>
      <c r="EU227" s="683"/>
      <c r="EV227" s="300"/>
      <c r="FE227" s="683"/>
      <c r="FF227" s="300"/>
      <c r="FO227" s="683"/>
      <c r="FP227" s="300"/>
      <c r="FZ227" s="683"/>
      <c r="GA227" s="300"/>
      <c r="GK227" s="300"/>
      <c r="GT227" s="683"/>
      <c r="GU227" s="300"/>
      <c r="HD227" s="683"/>
      <c r="HE227" s="300"/>
      <c r="HN227" s="683"/>
      <c r="HO227" s="300"/>
      <c r="HY227" s="683"/>
      <c r="HZ227" s="300"/>
      <c r="II227" s="683"/>
      <c r="IJ227" s="300"/>
    </row>
    <row r="228" spans="3:244" x14ac:dyDescent="0.3">
      <c r="C228" t="s">
        <v>2254</v>
      </c>
      <c r="D228" s="300" t="s">
        <v>106</v>
      </c>
      <c r="L228" s="8" t="s">
        <v>2354</v>
      </c>
      <c r="M228">
        <v>3</v>
      </c>
      <c r="N228" s="300" t="s">
        <v>106</v>
      </c>
      <c r="O228" t="s">
        <v>107</v>
      </c>
      <c r="P228" t="s">
        <v>106</v>
      </c>
      <c r="Q228" t="s">
        <v>107</v>
      </c>
      <c r="V228" s="8" t="s">
        <v>2354</v>
      </c>
      <c r="W228" s="683">
        <v>6</v>
      </c>
      <c r="X228" s="300" t="s">
        <v>106</v>
      </c>
      <c r="AF228" s="8" t="s">
        <v>2354</v>
      </c>
      <c r="AG228">
        <v>1</v>
      </c>
      <c r="AH228" s="300" t="s">
        <v>106</v>
      </c>
      <c r="AI228" t="s">
        <v>106</v>
      </c>
      <c r="AR228" s="8" t="s">
        <v>2354</v>
      </c>
      <c r="AS228">
        <v>7</v>
      </c>
      <c r="AT228" s="300" t="s">
        <v>106</v>
      </c>
      <c r="AU228" t="s">
        <v>107</v>
      </c>
      <c r="AV228" t="s">
        <v>107</v>
      </c>
      <c r="AW228" t="s">
        <v>106</v>
      </c>
      <c r="AX228" t="s">
        <v>106</v>
      </c>
      <c r="BE228" s="8" t="s">
        <v>2354</v>
      </c>
      <c r="BF228">
        <v>6</v>
      </c>
      <c r="BG228" s="300" t="s">
        <v>107</v>
      </c>
      <c r="BH228" t="s">
        <v>107</v>
      </c>
      <c r="BI228" t="s">
        <v>107</v>
      </c>
      <c r="BJ228" t="s">
        <v>107</v>
      </c>
      <c r="BK228" t="s">
        <v>106</v>
      </c>
      <c r="BR228" s="8" t="s">
        <v>2354</v>
      </c>
      <c r="BS228">
        <v>3</v>
      </c>
      <c r="BT228" s="300" t="s">
        <v>106</v>
      </c>
      <c r="BU228" t="s">
        <v>107</v>
      </c>
      <c r="BV228" t="s">
        <v>107</v>
      </c>
      <c r="BW228" t="s">
        <v>107</v>
      </c>
      <c r="CB228" s="8" t="s">
        <v>2354</v>
      </c>
      <c r="CD228" s="300" t="s">
        <v>107</v>
      </c>
      <c r="CE228" t="s">
        <v>107</v>
      </c>
      <c r="CF228" t="s">
        <v>106</v>
      </c>
      <c r="CG228" t="s">
        <v>107</v>
      </c>
      <c r="CH228" t="s">
        <v>107</v>
      </c>
      <c r="CI228" t="s">
        <v>106</v>
      </c>
      <c r="CL228" s="8" t="s">
        <v>2354</v>
      </c>
      <c r="CM228">
        <v>4</v>
      </c>
      <c r="CN228" s="300"/>
      <c r="CV228" s="8" t="s">
        <v>2354</v>
      </c>
      <c r="CW228">
        <v>6</v>
      </c>
      <c r="CX228" s="300"/>
      <c r="DF228" s="8" t="s">
        <v>2354</v>
      </c>
      <c r="DH228" s="300"/>
      <c r="DP228" s="8" t="s">
        <v>2354</v>
      </c>
      <c r="DR228" s="300"/>
      <c r="EB228" s="300"/>
      <c r="EL228" s="300"/>
      <c r="EV228" s="300"/>
      <c r="FF228" s="300"/>
      <c r="FP228" s="300"/>
      <c r="GA228" s="300"/>
      <c r="GK228" s="300"/>
      <c r="GU228" s="300"/>
      <c r="HE228" s="300"/>
      <c r="HO228" s="300"/>
      <c r="HZ228" s="300"/>
      <c r="IJ228" s="300"/>
    </row>
    <row r="229" spans="3:244" x14ac:dyDescent="0.3">
      <c r="C229" t="s">
        <v>2739</v>
      </c>
      <c r="D229" s="300"/>
      <c r="L229" s="8" t="s">
        <v>2354</v>
      </c>
      <c r="N229" s="300"/>
      <c r="V229" s="8" t="s">
        <v>2354</v>
      </c>
      <c r="W229" s="683"/>
      <c r="X229" s="300"/>
      <c r="AF229" s="8" t="s">
        <v>2354</v>
      </c>
      <c r="AH229" s="300"/>
      <c r="AR229" s="8" t="s">
        <v>2354</v>
      </c>
      <c r="AT229" s="300"/>
      <c r="BE229" s="8" t="s">
        <v>2354</v>
      </c>
      <c r="BG229" s="300"/>
      <c r="BR229" s="8" t="s">
        <v>2354</v>
      </c>
      <c r="BT229" s="300" t="s">
        <v>107</v>
      </c>
      <c r="BU229" t="s">
        <v>106</v>
      </c>
      <c r="CB229" s="8" t="s">
        <v>2354</v>
      </c>
      <c r="CC229">
        <v>4</v>
      </c>
      <c r="CD229" s="300"/>
      <c r="CL229" s="8" t="s">
        <v>2354</v>
      </c>
      <c r="CM229">
        <v>3</v>
      </c>
      <c r="CN229" s="300" t="s">
        <v>106</v>
      </c>
      <c r="CO229" t="s">
        <v>107</v>
      </c>
      <c r="CP229" t="s">
        <v>106</v>
      </c>
      <c r="CV229" s="8" t="s">
        <v>2354</v>
      </c>
      <c r="CW229">
        <v>2</v>
      </c>
      <c r="CX229" s="300"/>
      <c r="DF229" s="8" t="s">
        <v>2354</v>
      </c>
      <c r="DH229" s="300"/>
      <c r="DP229" s="8" t="s">
        <v>2354</v>
      </c>
      <c r="DR229" s="300"/>
      <c r="EB229" s="300"/>
      <c r="EL229" s="300"/>
      <c r="EV229" s="300"/>
      <c r="FF229" s="300"/>
      <c r="FP229" s="300"/>
      <c r="GA229" s="300"/>
      <c r="GK229" s="300"/>
      <c r="GU229" s="300"/>
      <c r="HE229" s="300"/>
      <c r="HO229" s="300"/>
      <c r="HZ229" s="300"/>
      <c r="IJ229" s="300"/>
    </row>
    <row r="230" spans="3:244" x14ac:dyDescent="0.3">
      <c r="C230" t="s">
        <v>1816</v>
      </c>
      <c r="D230" s="300"/>
      <c r="L230" s="8" t="s">
        <v>991</v>
      </c>
      <c r="N230" s="300" t="s">
        <v>106</v>
      </c>
      <c r="O230" t="s">
        <v>107</v>
      </c>
      <c r="P230" t="s">
        <v>107</v>
      </c>
      <c r="Q230" t="s">
        <v>106</v>
      </c>
      <c r="R230" t="s">
        <v>107</v>
      </c>
      <c r="S230" t="s">
        <v>106</v>
      </c>
      <c r="T230" t="s">
        <v>107</v>
      </c>
      <c r="U230" t="s">
        <v>107</v>
      </c>
      <c r="V230" s="8" t="s">
        <v>991</v>
      </c>
      <c r="W230" s="683">
        <v>19</v>
      </c>
      <c r="X230" s="300"/>
      <c r="AF230" s="8" t="s">
        <v>991</v>
      </c>
      <c r="AH230" s="300"/>
      <c r="AR230" s="8" t="s">
        <v>991</v>
      </c>
      <c r="AT230" s="300"/>
      <c r="BE230" s="8" t="s">
        <v>991</v>
      </c>
      <c r="BG230" s="300" t="s">
        <v>107</v>
      </c>
      <c r="BH230" t="s">
        <v>107</v>
      </c>
      <c r="BI230" t="s">
        <v>106</v>
      </c>
      <c r="BJ230" t="s">
        <v>107</v>
      </c>
      <c r="BK230" t="s">
        <v>107</v>
      </c>
      <c r="BL230" t="s">
        <v>106</v>
      </c>
      <c r="BM230" t="s">
        <v>107</v>
      </c>
      <c r="BN230" t="s">
        <v>107</v>
      </c>
      <c r="BO230" t="s">
        <v>107</v>
      </c>
      <c r="BP230" t="s">
        <v>106</v>
      </c>
      <c r="BQ230" t="s">
        <v>106</v>
      </c>
      <c r="BR230" s="8" t="s">
        <v>991</v>
      </c>
      <c r="BS230">
        <v>17</v>
      </c>
      <c r="BT230" s="300" t="s">
        <v>106</v>
      </c>
      <c r="BU230" t="s">
        <v>107</v>
      </c>
      <c r="BV230" t="s">
        <v>107</v>
      </c>
      <c r="BW230" t="s">
        <v>106</v>
      </c>
      <c r="BX230" t="s">
        <v>107</v>
      </c>
      <c r="BY230" t="s">
        <v>106</v>
      </c>
      <c r="BZ230" t="s">
        <v>107</v>
      </c>
      <c r="CA230" t="s">
        <v>107</v>
      </c>
      <c r="CB230" s="8" t="s">
        <v>991</v>
      </c>
      <c r="CC230">
        <v>14</v>
      </c>
      <c r="CD230" s="300"/>
      <c r="CL230" s="8" t="s">
        <v>991</v>
      </c>
      <c r="CN230" s="300"/>
      <c r="CV230" s="8" t="s">
        <v>991</v>
      </c>
      <c r="CX230" s="300"/>
      <c r="DF230" s="8" t="s">
        <v>991</v>
      </c>
      <c r="DH230" s="300"/>
      <c r="DP230" s="8" t="s">
        <v>991</v>
      </c>
      <c r="DQ230">
        <v>24</v>
      </c>
      <c r="DR230" s="300"/>
      <c r="EB230" s="300"/>
      <c r="EL230" s="300"/>
      <c r="EV230" s="300"/>
      <c r="FF230" s="300"/>
      <c r="FN230" t="s">
        <v>991</v>
      </c>
      <c r="FO230">
        <v>20</v>
      </c>
      <c r="FP230" s="300"/>
      <c r="GA230" s="300"/>
      <c r="GI230" t="s">
        <v>991</v>
      </c>
      <c r="GJ230">
        <v>19</v>
      </c>
      <c r="GK230" s="300"/>
      <c r="GU230" s="300"/>
      <c r="HE230" s="300"/>
      <c r="HM230" t="s">
        <v>991</v>
      </c>
      <c r="HN230">
        <v>19</v>
      </c>
      <c r="HO230" s="300"/>
      <c r="HX230" t="s">
        <v>991</v>
      </c>
      <c r="HY230">
        <v>27</v>
      </c>
      <c r="HZ230" s="300"/>
      <c r="IJ230" s="300"/>
    </row>
    <row r="231" spans="3:244" x14ac:dyDescent="0.3">
      <c r="N231" s="300"/>
      <c r="X231" s="300"/>
      <c r="AH231" s="300"/>
      <c r="AT231" s="300"/>
      <c r="BG231" s="300"/>
      <c r="BT231" s="300"/>
      <c r="CD231" s="300"/>
      <c r="CN231" s="300"/>
      <c r="CX231" s="300"/>
      <c r="DH231" s="300"/>
      <c r="DR231" s="300"/>
      <c r="EB231" s="300"/>
      <c r="EL231" s="300"/>
      <c r="EV231" s="300"/>
      <c r="FF231" s="300"/>
      <c r="FP231" s="300"/>
      <c r="GA231" s="300"/>
      <c r="GK231" s="300"/>
      <c r="GU231" s="300"/>
      <c r="HE231" s="300"/>
      <c r="HO231" s="300"/>
      <c r="HZ231" s="300"/>
      <c r="IJ231" s="300"/>
    </row>
  </sheetData>
  <mergeCells count="681">
    <mergeCell ref="BB173:BC173"/>
    <mergeCell ref="AO173:AP173"/>
    <mergeCell ref="AQ173:AR173"/>
    <mergeCell ref="AS173:AT173"/>
    <mergeCell ref="AU173:AV173"/>
    <mergeCell ref="AO162:AP162"/>
    <mergeCell ref="AQ162:AR162"/>
    <mergeCell ref="AS162:AT162"/>
    <mergeCell ref="AU162:AV162"/>
    <mergeCell ref="BB165:BC165"/>
    <mergeCell ref="BB166:BC166"/>
    <mergeCell ref="BB167:BC167"/>
    <mergeCell ref="AO163:AP163"/>
    <mergeCell ref="AQ163:AR163"/>
    <mergeCell ref="AS163:AT163"/>
    <mergeCell ref="AO164:AP164"/>
    <mergeCell ref="AQ164:AR164"/>
    <mergeCell ref="AS164:AT164"/>
    <mergeCell ref="AO165:AP165"/>
    <mergeCell ref="AQ165:AR165"/>
    <mergeCell ref="AS165:AT165"/>
    <mergeCell ref="AQ169:AR169"/>
    <mergeCell ref="AS169:AT169"/>
    <mergeCell ref="AO170:AP170"/>
    <mergeCell ref="D173:E173"/>
    <mergeCell ref="F173:G173"/>
    <mergeCell ref="H173:I173"/>
    <mergeCell ref="J173:K173"/>
    <mergeCell ref="L173:M173"/>
    <mergeCell ref="N173:O173"/>
    <mergeCell ref="P173:Q173"/>
    <mergeCell ref="R173:S173"/>
    <mergeCell ref="T173:U173"/>
    <mergeCell ref="V173:W173"/>
    <mergeCell ref="X173:Y173"/>
    <mergeCell ref="Z173:AA173"/>
    <mergeCell ref="AB173:AC173"/>
    <mergeCell ref="AD173:AE173"/>
    <mergeCell ref="AF173:AG173"/>
    <mergeCell ref="AH173:AI173"/>
    <mergeCell ref="AJ173:AK173"/>
    <mergeCell ref="AL173:AM173"/>
    <mergeCell ref="AL165:AM165"/>
    <mergeCell ref="AX165:AY165"/>
    <mergeCell ref="AL166:AM166"/>
    <mergeCell ref="AX166:AY166"/>
    <mergeCell ref="AL167:AM167"/>
    <mergeCell ref="AX167:AY167"/>
    <mergeCell ref="AB171:AC171"/>
    <mergeCell ref="AB172:AC172"/>
    <mergeCell ref="AF163:AG163"/>
    <mergeCell ref="AF164:AG164"/>
    <mergeCell ref="AF165:AG165"/>
    <mergeCell ref="AD167:AE167"/>
    <mergeCell ref="AD168:AE168"/>
    <mergeCell ref="AD169:AE169"/>
    <mergeCell ref="AD170:AE170"/>
    <mergeCell ref="AJ164:AK164"/>
    <mergeCell ref="AJ165:AK165"/>
    <mergeCell ref="AQ170:AR170"/>
    <mergeCell ref="AS170:AT170"/>
    <mergeCell ref="AO171:AP171"/>
    <mergeCell ref="AQ171:AR171"/>
    <mergeCell ref="AS171:AT171"/>
    <mergeCell ref="AO166:AP166"/>
    <mergeCell ref="AQ166:AR166"/>
    <mergeCell ref="X162:Y162"/>
    <mergeCell ref="Z162:AA162"/>
    <mergeCell ref="AB162:AC162"/>
    <mergeCell ref="AD162:AE162"/>
    <mergeCell ref="AF162:AG162"/>
    <mergeCell ref="AH162:AI162"/>
    <mergeCell ref="AJ162:AK162"/>
    <mergeCell ref="AL162:AM162"/>
    <mergeCell ref="AX162:AY162"/>
    <mergeCell ref="D162:E162"/>
    <mergeCell ref="F162:G162"/>
    <mergeCell ref="H162:I162"/>
    <mergeCell ref="J162:K162"/>
    <mergeCell ref="L162:M162"/>
    <mergeCell ref="N162:O162"/>
    <mergeCell ref="P162:Q162"/>
    <mergeCell ref="R162:S162"/>
    <mergeCell ref="T162:U162"/>
    <mergeCell ref="AL175:AM175"/>
    <mergeCell ref="AX175:AY175"/>
    <mergeCell ref="BB175:BC175"/>
    <mergeCell ref="AL152:AM152"/>
    <mergeCell ref="AX152:AY152"/>
    <mergeCell ref="BB152:BC152"/>
    <mergeCell ref="AL171:AM171"/>
    <mergeCell ref="AX171:AY171"/>
    <mergeCell ref="BB171:BC171"/>
    <mergeCell ref="AL172:AM172"/>
    <mergeCell ref="AX172:AY172"/>
    <mergeCell ref="BB172:BC172"/>
    <mergeCell ref="AL174:AM174"/>
    <mergeCell ref="AX174:AY174"/>
    <mergeCell ref="BB174:BC174"/>
    <mergeCell ref="AL168:AM168"/>
    <mergeCell ref="AX168:AY168"/>
    <mergeCell ref="BB168:BC168"/>
    <mergeCell ref="AL169:AM169"/>
    <mergeCell ref="AX169:AY169"/>
    <mergeCell ref="BB169:BC169"/>
    <mergeCell ref="AL170:AM170"/>
    <mergeCell ref="AX170:AY170"/>
    <mergeCell ref="BB170:BC170"/>
    <mergeCell ref="AL161:AM161"/>
    <mergeCell ref="AX161:AY161"/>
    <mergeCell ref="BB161:BC161"/>
    <mergeCell ref="AL163:AM163"/>
    <mergeCell ref="AX163:AY163"/>
    <mergeCell ref="BB163:BC163"/>
    <mergeCell ref="AL164:AM164"/>
    <mergeCell ref="AX164:AY164"/>
    <mergeCell ref="BB164:BC164"/>
    <mergeCell ref="AZ162:BA162"/>
    <mergeCell ref="BB162:BC162"/>
    <mergeCell ref="AQ161:AR161"/>
    <mergeCell ref="AS161:AT161"/>
    <mergeCell ref="AX157:AY157"/>
    <mergeCell ref="BB157:BC157"/>
    <mergeCell ref="AL158:AM158"/>
    <mergeCell ref="AX158:AY158"/>
    <mergeCell ref="BB158:BC158"/>
    <mergeCell ref="AL159:AM159"/>
    <mergeCell ref="AX159:AY159"/>
    <mergeCell ref="BB159:BC159"/>
    <mergeCell ref="AL160:AM160"/>
    <mergeCell ref="AX160:AY160"/>
    <mergeCell ref="BB160:BC160"/>
    <mergeCell ref="AS157:AT157"/>
    <mergeCell ref="AO158:AP158"/>
    <mergeCell ref="AQ158:AR158"/>
    <mergeCell ref="AS158:AT158"/>
    <mergeCell ref="AO157:AP157"/>
    <mergeCell ref="AQ157:AR157"/>
    <mergeCell ref="AX153:AY153"/>
    <mergeCell ref="BB153:BC153"/>
    <mergeCell ref="AL154:AM154"/>
    <mergeCell ref="AX154:AY154"/>
    <mergeCell ref="BB154:BC154"/>
    <mergeCell ref="AL155:AM155"/>
    <mergeCell ref="AX155:AY155"/>
    <mergeCell ref="BB155:BC155"/>
    <mergeCell ref="AL156:AM156"/>
    <mergeCell ref="AX156:AY156"/>
    <mergeCell ref="BB156:BC156"/>
    <mergeCell ref="AO153:AP153"/>
    <mergeCell ref="AQ153:AR153"/>
    <mergeCell ref="AS153:AT153"/>
    <mergeCell ref="AO154:AP154"/>
    <mergeCell ref="AQ154:AR154"/>
    <mergeCell ref="AS154:AT154"/>
    <mergeCell ref="AO155:AP155"/>
    <mergeCell ref="AQ155:AR155"/>
    <mergeCell ref="AS155:AT155"/>
    <mergeCell ref="AO156:AP156"/>
    <mergeCell ref="AQ156:AR156"/>
    <mergeCell ref="AS156:AT156"/>
    <mergeCell ref="J157:K157"/>
    <mergeCell ref="J158:K158"/>
    <mergeCell ref="L154:M154"/>
    <mergeCell ref="L155:M155"/>
    <mergeCell ref="L156:M156"/>
    <mergeCell ref="L157:M157"/>
    <mergeCell ref="L158:M158"/>
    <mergeCell ref="N154:O154"/>
    <mergeCell ref="AL153:AM153"/>
    <mergeCell ref="AL157:AM157"/>
    <mergeCell ref="V153:W153"/>
    <mergeCell ref="V154:W154"/>
    <mergeCell ref="V155:W155"/>
    <mergeCell ref="V156:W156"/>
    <mergeCell ref="V157:W157"/>
    <mergeCell ref="V158:W158"/>
    <mergeCell ref="AB153:AC153"/>
    <mergeCell ref="AB154:AC154"/>
    <mergeCell ref="AB155:AC155"/>
    <mergeCell ref="AB156:AC156"/>
    <mergeCell ref="AB157:AC157"/>
    <mergeCell ref="AB158:AC158"/>
    <mergeCell ref="AH153:AI153"/>
    <mergeCell ref="AH154:AI154"/>
    <mergeCell ref="D166:E166"/>
    <mergeCell ref="D167:E167"/>
    <mergeCell ref="AI10:AJ10"/>
    <mergeCell ref="BY10:BZ10"/>
    <mergeCell ref="AI14:AJ14"/>
    <mergeCell ref="E66:F66"/>
    <mergeCell ref="E67:F67"/>
    <mergeCell ref="E68:F68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E70:F70"/>
    <mergeCell ref="E71:F71"/>
    <mergeCell ref="E72:F72"/>
    <mergeCell ref="BY158:BZ158"/>
    <mergeCell ref="J154:K154"/>
    <mergeCell ref="J155:K155"/>
    <mergeCell ref="J156:K156"/>
    <mergeCell ref="D174:E174"/>
    <mergeCell ref="D175:E175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3:G163"/>
    <mergeCell ref="F164:G164"/>
    <mergeCell ref="F165:G165"/>
    <mergeCell ref="F166:G166"/>
    <mergeCell ref="F167:G167"/>
    <mergeCell ref="F168:G168"/>
    <mergeCell ref="D168:E168"/>
    <mergeCell ref="D169:E169"/>
    <mergeCell ref="D170:E170"/>
    <mergeCell ref="D171:E171"/>
    <mergeCell ref="D172:E172"/>
    <mergeCell ref="D163:E163"/>
    <mergeCell ref="D164:E164"/>
    <mergeCell ref="D165:E165"/>
    <mergeCell ref="H175:I175"/>
    <mergeCell ref="F175:G175"/>
    <mergeCell ref="H154:I154"/>
    <mergeCell ref="H155:I155"/>
    <mergeCell ref="H156:I156"/>
    <mergeCell ref="H157:I157"/>
    <mergeCell ref="H158:I158"/>
    <mergeCell ref="H159:I159"/>
    <mergeCell ref="H160:I160"/>
    <mergeCell ref="H161:I161"/>
    <mergeCell ref="H163:I163"/>
    <mergeCell ref="H164:I164"/>
    <mergeCell ref="H165:I165"/>
    <mergeCell ref="H166:I166"/>
    <mergeCell ref="H167:I167"/>
    <mergeCell ref="H168:I168"/>
    <mergeCell ref="H169:I169"/>
    <mergeCell ref="F169:G169"/>
    <mergeCell ref="F170:G170"/>
    <mergeCell ref="F171:G171"/>
    <mergeCell ref="F172:G172"/>
    <mergeCell ref="F174:G174"/>
    <mergeCell ref="J159:K159"/>
    <mergeCell ref="J160:K160"/>
    <mergeCell ref="J161:K161"/>
    <mergeCell ref="J163:K163"/>
    <mergeCell ref="J164:K164"/>
    <mergeCell ref="H170:I170"/>
    <mergeCell ref="H171:I171"/>
    <mergeCell ref="H172:I172"/>
    <mergeCell ref="H174:I174"/>
    <mergeCell ref="J170:K170"/>
    <mergeCell ref="J171:K171"/>
    <mergeCell ref="J172:K172"/>
    <mergeCell ref="J174:K174"/>
    <mergeCell ref="J175:K175"/>
    <mergeCell ref="J165:K165"/>
    <mergeCell ref="J166:K166"/>
    <mergeCell ref="J167:K167"/>
    <mergeCell ref="J168:K168"/>
    <mergeCell ref="J169:K169"/>
    <mergeCell ref="L172:M172"/>
    <mergeCell ref="L174:M174"/>
    <mergeCell ref="L175:M175"/>
    <mergeCell ref="L165:M165"/>
    <mergeCell ref="L166:M166"/>
    <mergeCell ref="L167:M167"/>
    <mergeCell ref="L168:M168"/>
    <mergeCell ref="L169:M169"/>
    <mergeCell ref="L170:M170"/>
    <mergeCell ref="L171:M171"/>
    <mergeCell ref="L159:M159"/>
    <mergeCell ref="L160:M160"/>
    <mergeCell ref="L161:M161"/>
    <mergeCell ref="L163:M163"/>
    <mergeCell ref="L164:M164"/>
    <mergeCell ref="N164:O164"/>
    <mergeCell ref="N165:O165"/>
    <mergeCell ref="N155:O155"/>
    <mergeCell ref="N156:O156"/>
    <mergeCell ref="N157:O157"/>
    <mergeCell ref="N158:O158"/>
    <mergeCell ref="N159:O159"/>
    <mergeCell ref="N171:O171"/>
    <mergeCell ref="N172:O172"/>
    <mergeCell ref="N174:O174"/>
    <mergeCell ref="N175:O175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63:Q163"/>
    <mergeCell ref="P164:Q164"/>
    <mergeCell ref="P165:Q165"/>
    <mergeCell ref="N166:O166"/>
    <mergeCell ref="N167:O167"/>
    <mergeCell ref="N168:O168"/>
    <mergeCell ref="N169:O169"/>
    <mergeCell ref="N170:O170"/>
    <mergeCell ref="N160:O160"/>
    <mergeCell ref="N161:O161"/>
    <mergeCell ref="N163:O163"/>
    <mergeCell ref="P171:Q171"/>
    <mergeCell ref="P172:Q172"/>
    <mergeCell ref="P174:Q174"/>
    <mergeCell ref="P175:Q175"/>
    <mergeCell ref="R153:S153"/>
    <mergeCell ref="R154:S154"/>
    <mergeCell ref="R155:S155"/>
    <mergeCell ref="R156:S156"/>
    <mergeCell ref="R157:S157"/>
    <mergeCell ref="R158:S158"/>
    <mergeCell ref="R159:S159"/>
    <mergeCell ref="R160:S160"/>
    <mergeCell ref="R161:S161"/>
    <mergeCell ref="R163:S163"/>
    <mergeCell ref="R164:S164"/>
    <mergeCell ref="R165:S165"/>
    <mergeCell ref="P166:Q166"/>
    <mergeCell ref="P167:Q167"/>
    <mergeCell ref="P168:Q168"/>
    <mergeCell ref="P169:Q169"/>
    <mergeCell ref="P170:Q170"/>
    <mergeCell ref="R171:S171"/>
    <mergeCell ref="R172:S172"/>
    <mergeCell ref="R174:S174"/>
    <mergeCell ref="R175:S175"/>
    <mergeCell ref="T153:U153"/>
    <mergeCell ref="T154:U154"/>
    <mergeCell ref="T155:U155"/>
    <mergeCell ref="T156:U156"/>
    <mergeCell ref="T157:U157"/>
    <mergeCell ref="T158:U158"/>
    <mergeCell ref="T159:U159"/>
    <mergeCell ref="T160:U160"/>
    <mergeCell ref="T161:U161"/>
    <mergeCell ref="T163:U163"/>
    <mergeCell ref="T164:U164"/>
    <mergeCell ref="T165:U165"/>
    <mergeCell ref="R166:S166"/>
    <mergeCell ref="R167:S167"/>
    <mergeCell ref="R168:S168"/>
    <mergeCell ref="R169:S169"/>
    <mergeCell ref="R170:S170"/>
    <mergeCell ref="T171:U171"/>
    <mergeCell ref="T172:U172"/>
    <mergeCell ref="T174:U174"/>
    <mergeCell ref="T175:U175"/>
    <mergeCell ref="T169:U169"/>
    <mergeCell ref="T170:U170"/>
    <mergeCell ref="V159:W159"/>
    <mergeCell ref="V160:W160"/>
    <mergeCell ref="V161:W161"/>
    <mergeCell ref="V163:W163"/>
    <mergeCell ref="V164:W164"/>
    <mergeCell ref="V165:W165"/>
    <mergeCell ref="T166:U166"/>
    <mergeCell ref="T167:U167"/>
    <mergeCell ref="T168:U168"/>
    <mergeCell ref="V162:W162"/>
    <mergeCell ref="V171:W171"/>
    <mergeCell ref="V172:W172"/>
    <mergeCell ref="V174:W174"/>
    <mergeCell ref="V175:W175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3:Y163"/>
    <mergeCell ref="X164:Y164"/>
    <mergeCell ref="X165:Y165"/>
    <mergeCell ref="V166:W166"/>
    <mergeCell ref="V167:W167"/>
    <mergeCell ref="V168:W168"/>
    <mergeCell ref="V169:W169"/>
    <mergeCell ref="V170:W170"/>
    <mergeCell ref="X171:Y171"/>
    <mergeCell ref="X172:Y172"/>
    <mergeCell ref="X174:Y174"/>
    <mergeCell ref="X175:Y175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3:AA163"/>
    <mergeCell ref="Z164:AA164"/>
    <mergeCell ref="Z165:AA165"/>
    <mergeCell ref="X166:Y166"/>
    <mergeCell ref="X167:Y167"/>
    <mergeCell ref="X168:Y168"/>
    <mergeCell ref="X169:Y169"/>
    <mergeCell ref="X170:Y170"/>
    <mergeCell ref="Z171:AA171"/>
    <mergeCell ref="Z172:AA172"/>
    <mergeCell ref="Z174:AA174"/>
    <mergeCell ref="Z175:AA175"/>
    <mergeCell ref="Z169:AA169"/>
    <mergeCell ref="Z170:AA170"/>
    <mergeCell ref="AB159:AC159"/>
    <mergeCell ref="AB160:AC160"/>
    <mergeCell ref="AB161:AC161"/>
    <mergeCell ref="AB163:AC163"/>
    <mergeCell ref="AB164:AC164"/>
    <mergeCell ref="AB165:AC165"/>
    <mergeCell ref="Z166:AA166"/>
    <mergeCell ref="Z167:AA167"/>
    <mergeCell ref="Z168:AA168"/>
    <mergeCell ref="AB174:AC174"/>
    <mergeCell ref="AB175:AC175"/>
    <mergeCell ref="AD153:AE153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3:AE163"/>
    <mergeCell ref="AD164:AE164"/>
    <mergeCell ref="AD165:AE165"/>
    <mergeCell ref="AB166:AC166"/>
    <mergeCell ref="AB167:AC167"/>
    <mergeCell ref="AB168:AC168"/>
    <mergeCell ref="AB169:AC169"/>
    <mergeCell ref="AB170:AC170"/>
    <mergeCell ref="AD171:AE171"/>
    <mergeCell ref="AD172:AE172"/>
    <mergeCell ref="AD174:AE174"/>
    <mergeCell ref="AD175:AE175"/>
    <mergeCell ref="AD166:AE166"/>
    <mergeCell ref="AF153:AG153"/>
    <mergeCell ref="AF154:AG154"/>
    <mergeCell ref="AF155:AG155"/>
    <mergeCell ref="AF156:AG156"/>
    <mergeCell ref="AF157:AG157"/>
    <mergeCell ref="AF158:AG158"/>
    <mergeCell ref="AF159:AG159"/>
    <mergeCell ref="AF160:AG160"/>
    <mergeCell ref="AF161:AG161"/>
    <mergeCell ref="AF174:AG174"/>
    <mergeCell ref="AF175:AG175"/>
    <mergeCell ref="AF171:AG171"/>
    <mergeCell ref="AF172:AG172"/>
    <mergeCell ref="AH155:AI155"/>
    <mergeCell ref="AH156:AI156"/>
    <mergeCell ref="AH157:AI157"/>
    <mergeCell ref="AH158:AI158"/>
    <mergeCell ref="AH159:AI159"/>
    <mergeCell ref="AH160:AI160"/>
    <mergeCell ref="AH161:AI161"/>
    <mergeCell ref="AH163:AI163"/>
    <mergeCell ref="AH164:AI164"/>
    <mergeCell ref="AH165:AI165"/>
    <mergeCell ref="AF166:AG166"/>
    <mergeCell ref="AF167:AG167"/>
    <mergeCell ref="AF168:AG168"/>
    <mergeCell ref="AF169:AG169"/>
    <mergeCell ref="AF170:AG170"/>
    <mergeCell ref="AH166:AI166"/>
    <mergeCell ref="AH167:AI167"/>
    <mergeCell ref="AH168:AI168"/>
    <mergeCell ref="AH169:AI169"/>
    <mergeCell ref="AH170:AI170"/>
    <mergeCell ref="AJ154:AK154"/>
    <mergeCell ref="AJ155:AK155"/>
    <mergeCell ref="AJ156:AK156"/>
    <mergeCell ref="AJ157:AK157"/>
    <mergeCell ref="AJ158:AK158"/>
    <mergeCell ref="AJ159:AK159"/>
    <mergeCell ref="AJ160:AK160"/>
    <mergeCell ref="AJ161:AK161"/>
    <mergeCell ref="AJ163:AK163"/>
    <mergeCell ref="F152:G152"/>
    <mergeCell ref="H152:I152"/>
    <mergeCell ref="J152:K152"/>
    <mergeCell ref="L152:M152"/>
    <mergeCell ref="N152:O152"/>
    <mergeCell ref="AJ171:AK171"/>
    <mergeCell ref="AJ172:AK172"/>
    <mergeCell ref="AJ174:AK174"/>
    <mergeCell ref="AJ175:AK175"/>
    <mergeCell ref="F153:G153"/>
    <mergeCell ref="H153:I153"/>
    <mergeCell ref="J153:K153"/>
    <mergeCell ref="L153:M153"/>
    <mergeCell ref="N153:O153"/>
    <mergeCell ref="AJ166:AK166"/>
    <mergeCell ref="AJ167:AK167"/>
    <mergeCell ref="AJ168:AK168"/>
    <mergeCell ref="AJ169:AK169"/>
    <mergeCell ref="AJ170:AK170"/>
    <mergeCell ref="AH171:AI171"/>
    <mergeCell ref="AH172:AI172"/>
    <mergeCell ref="AH174:AI174"/>
    <mergeCell ref="AH175:AI175"/>
    <mergeCell ref="AJ153:AK153"/>
    <mergeCell ref="AJ152:AK152"/>
    <mergeCell ref="Z152:AA152"/>
    <mergeCell ref="AB152:AC152"/>
    <mergeCell ref="AD152:AE152"/>
    <mergeCell ref="AF152:AG152"/>
    <mergeCell ref="AH152:AI152"/>
    <mergeCell ref="P152:Q152"/>
    <mergeCell ref="R152:S152"/>
    <mergeCell ref="T152:U152"/>
    <mergeCell ref="V152:W152"/>
    <mergeCell ref="X152:Y152"/>
    <mergeCell ref="AS166:AT166"/>
    <mergeCell ref="AO167:AP167"/>
    <mergeCell ref="AQ167:AR167"/>
    <mergeCell ref="AS167:AT167"/>
    <mergeCell ref="AO168:AP168"/>
    <mergeCell ref="AQ168:AR168"/>
    <mergeCell ref="AS168:AT168"/>
    <mergeCell ref="AO169:AP169"/>
    <mergeCell ref="AU153:AV153"/>
    <mergeCell ref="AU154:AV154"/>
    <mergeCell ref="AU155:AV155"/>
    <mergeCell ref="AU156:AV156"/>
    <mergeCell ref="AU157:AV157"/>
    <mergeCell ref="AU158:AV158"/>
    <mergeCell ref="AU159:AV159"/>
    <mergeCell ref="AU160:AV160"/>
    <mergeCell ref="AU161:AV161"/>
    <mergeCell ref="AO159:AP159"/>
    <mergeCell ref="AQ159:AR159"/>
    <mergeCell ref="AS159:AT159"/>
    <mergeCell ref="AO160:AP160"/>
    <mergeCell ref="AQ160:AR160"/>
    <mergeCell ref="AS160:AT160"/>
    <mergeCell ref="AO161:AP161"/>
    <mergeCell ref="AO172:AP172"/>
    <mergeCell ref="AQ172:AR172"/>
    <mergeCell ref="AS172:AT172"/>
    <mergeCell ref="AO174:AP174"/>
    <mergeCell ref="AQ174:AR174"/>
    <mergeCell ref="AS174:AT174"/>
    <mergeCell ref="AO175:AP175"/>
    <mergeCell ref="AQ175:AR175"/>
    <mergeCell ref="AS175:AT175"/>
    <mergeCell ref="AZ170:BA170"/>
    <mergeCell ref="AZ171:BA171"/>
    <mergeCell ref="AZ172:BA172"/>
    <mergeCell ref="AZ174:BA174"/>
    <mergeCell ref="AZ175:BA175"/>
    <mergeCell ref="AU163:AV163"/>
    <mergeCell ref="AU164:AV164"/>
    <mergeCell ref="AU165:AV165"/>
    <mergeCell ref="AU166:AV166"/>
    <mergeCell ref="AU167:AV167"/>
    <mergeCell ref="AU168:AV168"/>
    <mergeCell ref="AU169:AV169"/>
    <mergeCell ref="AU170:AV170"/>
    <mergeCell ref="AU171:AV171"/>
    <mergeCell ref="AX173:AY173"/>
    <mergeCell ref="AZ173:BA173"/>
    <mergeCell ref="AZ152:BA152"/>
    <mergeCell ref="AO152:AP152"/>
    <mergeCell ref="AQ152:AR152"/>
    <mergeCell ref="AS152:AT152"/>
    <mergeCell ref="AU152:AV152"/>
    <mergeCell ref="AU172:AV172"/>
    <mergeCell ref="AU174:AV174"/>
    <mergeCell ref="AU175:AV175"/>
    <mergeCell ref="AZ153:BA153"/>
    <mergeCell ref="AZ154:BA154"/>
    <mergeCell ref="AZ155:BA155"/>
    <mergeCell ref="AZ156:BA156"/>
    <mergeCell ref="AZ157:BA157"/>
    <mergeCell ref="AZ158:BA158"/>
    <mergeCell ref="AZ159:BA159"/>
    <mergeCell ref="AZ160:BA160"/>
    <mergeCell ref="AZ161:BA161"/>
    <mergeCell ref="AZ163:BA163"/>
    <mergeCell ref="AZ164:BA164"/>
    <mergeCell ref="AZ165:BA165"/>
    <mergeCell ref="AZ166:BA166"/>
    <mergeCell ref="AZ167:BA167"/>
    <mergeCell ref="AZ168:BA168"/>
    <mergeCell ref="AZ169:BA169"/>
    <mergeCell ref="BD152:BE152"/>
    <mergeCell ref="BD153:BE153"/>
    <mergeCell ref="BD154:BE154"/>
    <mergeCell ref="BD155:BE155"/>
    <mergeCell ref="BD156:BE156"/>
    <mergeCell ref="BD157:BE157"/>
    <mergeCell ref="BD158:BE158"/>
    <mergeCell ref="BD159:BE159"/>
    <mergeCell ref="BD160:BE160"/>
    <mergeCell ref="BD161:BE161"/>
    <mergeCell ref="BD162:BE162"/>
    <mergeCell ref="BD163:BE163"/>
    <mergeCell ref="BD164:BE164"/>
    <mergeCell ref="BD165:BE165"/>
    <mergeCell ref="BD166:BE166"/>
    <mergeCell ref="BD167:BE167"/>
    <mergeCell ref="BD168:BE168"/>
    <mergeCell ref="BD169:BE169"/>
    <mergeCell ref="BH169:BI169"/>
    <mergeCell ref="BD170:BE170"/>
    <mergeCell ref="BD171:BE171"/>
    <mergeCell ref="BD172:BE172"/>
    <mergeCell ref="BD173:BE173"/>
    <mergeCell ref="BD174:BE174"/>
    <mergeCell ref="BD175:BE175"/>
    <mergeCell ref="BF153:BG153"/>
    <mergeCell ref="BF154:BG154"/>
    <mergeCell ref="BF155:BG155"/>
    <mergeCell ref="BF156:BG156"/>
    <mergeCell ref="BF157:BG157"/>
    <mergeCell ref="BF158:BG158"/>
    <mergeCell ref="BF159:BG159"/>
    <mergeCell ref="BF160:BG160"/>
    <mergeCell ref="BF161:BG161"/>
    <mergeCell ref="BF162:BG162"/>
    <mergeCell ref="BF163:BG163"/>
    <mergeCell ref="BF164:BG164"/>
    <mergeCell ref="BF165:BG165"/>
    <mergeCell ref="BF166:BG166"/>
    <mergeCell ref="BF167:BG167"/>
    <mergeCell ref="BF168:BG168"/>
    <mergeCell ref="BF169:BG169"/>
    <mergeCell ref="BH160:BI160"/>
    <mergeCell ref="BH161:BI161"/>
    <mergeCell ref="BH162:BI162"/>
    <mergeCell ref="BH163:BI163"/>
    <mergeCell ref="BH164:BI164"/>
    <mergeCell ref="BH165:BI165"/>
    <mergeCell ref="BH166:BI166"/>
    <mergeCell ref="BH167:BI167"/>
    <mergeCell ref="BH168:BI168"/>
    <mergeCell ref="BF152:BG152"/>
    <mergeCell ref="BH152:BI152"/>
    <mergeCell ref="BH153:BI153"/>
    <mergeCell ref="BH154:BI154"/>
    <mergeCell ref="BH155:BI155"/>
    <mergeCell ref="BH156:BI156"/>
    <mergeCell ref="BH157:BI157"/>
    <mergeCell ref="BH158:BI158"/>
    <mergeCell ref="BH159:BI159"/>
    <mergeCell ref="BH170:BI170"/>
    <mergeCell ref="BH171:BI171"/>
    <mergeCell ref="BH172:BI172"/>
    <mergeCell ref="BH173:BI173"/>
    <mergeCell ref="BH174:BI174"/>
    <mergeCell ref="BH175:BI175"/>
    <mergeCell ref="BF171:BG171"/>
    <mergeCell ref="BF172:BG172"/>
    <mergeCell ref="BF173:BG173"/>
    <mergeCell ref="BF174:BG174"/>
    <mergeCell ref="BF175:BG175"/>
    <mergeCell ref="BF170:BG170"/>
  </mergeCells>
  <hyperlinks>
    <hyperlink ref="D208" r:id="rId1" xr:uid="{E904381F-3525-4B5E-BF20-0E03D730FC48}"/>
    <hyperlink ref="N208" r:id="rId2" xr:uid="{6A53E12E-EC31-414A-8B84-AB6987FD3FB7}"/>
    <hyperlink ref="X208" r:id="rId3" xr:uid="{1B4431DF-91AA-42E8-BFDE-2260017018E3}"/>
    <hyperlink ref="AH208" r:id="rId4" xr:uid="{8253F9F2-ADAD-44A4-B968-A853D4BDB438}"/>
    <hyperlink ref="AT208" r:id="rId5" xr:uid="{9BFC61F0-65E0-470C-8621-5101E5E1C540}"/>
    <hyperlink ref="AT182" r:id="rId6" xr:uid="{E0E13D8A-D3C8-4B02-8563-7DB73C12EF39}"/>
    <hyperlink ref="BG208" r:id="rId7" xr:uid="{55F8875E-03AB-4BC6-BBBC-5C513ADF48B1}"/>
    <hyperlink ref="BG182" r:id="rId8" xr:uid="{9FE0EF9C-83E5-4B53-BBD8-FC41E6EE08EA}"/>
    <hyperlink ref="AH182" r:id="rId9" xr:uid="{4F24335D-6728-45C7-A304-2FF170098BFC}"/>
    <hyperlink ref="X182" r:id="rId10" xr:uid="{FA941209-FFD8-4312-AC02-75D6F879C2CD}"/>
    <hyperlink ref="N182" r:id="rId11" xr:uid="{2FC0E46B-9FBA-4E7C-867E-C7BB6459040C}"/>
    <hyperlink ref="D182" r:id="rId12" xr:uid="{82FC8876-0EFA-417B-84A9-22F9884B02A2}"/>
    <hyperlink ref="BT182" r:id="rId13" xr:uid="{2C6D6E3A-D5A1-4FF4-925F-BBDEEE84BD35}"/>
    <hyperlink ref="CD182" r:id="rId14" xr:uid="{CB187451-2143-40E5-B2B7-5059D73E8614}"/>
    <hyperlink ref="CN182" r:id="rId15" xr:uid="{5702E22A-0CFC-44FE-9EF3-A301B7A63FED}"/>
    <hyperlink ref="BT208" r:id="rId16" xr:uid="{2E50845F-BC87-4E00-8FCF-65F57F0687E1}"/>
    <hyperlink ref="CD208" r:id="rId17" xr:uid="{730906EF-5CD3-4641-B659-5AA44790D39F}"/>
    <hyperlink ref="CN208" r:id="rId18" xr:uid="{4D06D92C-A17E-45E9-BAF8-AFBD0773335F}"/>
  </hyperlinks>
  <pageMargins left="0.7" right="0.7" top="0.75" bottom="0.75" header="0.3" footer="0.3"/>
  <pageSetup paperSize="9" scale="55" orientation="landscape" r:id="rId19"/>
  <ignoredErrors>
    <ignoredError sqref="J175:K175 J154:K161 J163:K172 J173:J174 J162" formula="1"/>
  </ignoredErrors>
  <drawing r:id="rId2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B5D6-3F0B-48EF-AA41-B6F6D687FE13}">
  <sheetPr>
    <tabColor theme="9"/>
  </sheetPr>
  <dimension ref="B4:IR92"/>
  <sheetViews>
    <sheetView zoomScale="80" zoomScaleNormal="80" workbookViewId="0">
      <pane xSplit="4" topLeftCell="AO1" activePane="topRight" state="frozen"/>
      <selection pane="topRight" activeCell="BR18" sqref="BR18"/>
    </sheetView>
  </sheetViews>
  <sheetFormatPr defaultColWidth="9.109375" defaultRowHeight="14.4" x14ac:dyDescent="0.3"/>
  <cols>
    <col min="1" max="1" width="2.88671875" customWidth="1"/>
    <col min="2" max="2" width="4.33203125" bestFit="1" customWidth="1"/>
    <col min="3" max="3" width="21.6640625" bestFit="1" customWidth="1"/>
    <col min="4" max="4" width="2.88671875" customWidth="1"/>
    <col min="5" max="17" width="6.44140625" customWidth="1"/>
    <col min="18" max="18" width="6.44140625" bestFit="1" customWidth="1"/>
    <col min="19" max="29" width="6.44140625" customWidth="1"/>
    <col min="30" max="30" width="2.6640625" customWidth="1"/>
    <col min="31" max="41" width="6.44140625" customWidth="1"/>
    <col min="42" max="42" width="6.44140625" bestFit="1" customWidth="1"/>
    <col min="43" max="47" width="6.44140625" customWidth="1"/>
    <col min="48" max="48" width="2.6640625" customWidth="1"/>
    <col min="49" max="59" width="6.44140625" customWidth="1"/>
    <col min="60" max="60" width="6.44140625" bestFit="1" customWidth="1"/>
    <col min="61" max="65" width="6.44140625" customWidth="1"/>
    <col min="66" max="66" width="2.6640625" customWidth="1"/>
    <col min="67" max="75" width="6.44140625" customWidth="1"/>
    <col min="76" max="76" width="6.44140625" bestFit="1" customWidth="1"/>
    <col min="77" max="81" width="6.44140625" customWidth="1"/>
    <col min="82" max="82" width="2.6640625" customWidth="1"/>
    <col min="83" max="88" width="6.44140625" customWidth="1"/>
    <col min="89" max="89" width="6.44140625" bestFit="1" customWidth="1"/>
    <col min="90" max="94" width="6.44140625" customWidth="1"/>
    <col min="95" max="95" width="2.6640625" customWidth="1"/>
    <col min="96" max="101" width="6.44140625" customWidth="1"/>
    <col min="102" max="102" width="7" bestFit="1" customWidth="1"/>
    <col min="103" max="107" width="7" customWidth="1"/>
    <col min="108" max="108" width="2.88671875" customWidth="1"/>
    <col min="109" max="114" width="7" customWidth="1"/>
    <col min="115" max="115" width="6.44140625" bestFit="1" customWidth="1"/>
    <col min="116" max="121" width="6.44140625" customWidth="1"/>
    <col min="122" max="122" width="2.6640625" customWidth="1"/>
    <col min="123" max="128" width="6.44140625" customWidth="1"/>
    <col min="129" max="129" width="6.44140625" bestFit="1" customWidth="1"/>
    <col min="130" max="134" width="6.44140625" customWidth="1"/>
    <col min="135" max="135" width="2.6640625" customWidth="1"/>
    <col min="136" max="141" width="6.44140625" customWidth="1"/>
    <col min="142" max="142" width="6.44140625" bestFit="1" customWidth="1"/>
    <col min="143" max="147" width="6.44140625" customWidth="1"/>
    <col min="148" max="148" width="2.6640625" customWidth="1"/>
    <col min="149" max="154" width="6.44140625" customWidth="1"/>
    <col min="155" max="155" width="6.44140625" bestFit="1" customWidth="1"/>
    <col min="156" max="160" width="6.44140625" customWidth="1"/>
    <col min="161" max="161" width="2.6640625" customWidth="1"/>
    <col min="162" max="167" width="6.44140625" customWidth="1"/>
    <col min="168" max="168" width="6.44140625" bestFit="1" customWidth="1"/>
    <col min="169" max="173" width="6.44140625" customWidth="1"/>
    <col min="174" max="174" width="2.6640625" customWidth="1"/>
    <col min="175" max="180" width="6.44140625" customWidth="1"/>
    <col min="181" max="181" width="6.44140625" bestFit="1" customWidth="1"/>
    <col min="182" max="186" width="6.44140625" customWidth="1"/>
    <col min="187" max="187" width="2.6640625" customWidth="1"/>
    <col min="188" max="193" width="6.44140625" customWidth="1"/>
    <col min="194" max="194" width="6.44140625" bestFit="1" customWidth="1"/>
    <col min="195" max="199" width="6.44140625" customWidth="1"/>
    <col min="200" max="200" width="2.6640625" customWidth="1"/>
    <col min="201" max="206" width="6.44140625" customWidth="1"/>
    <col min="207" max="207" width="6.44140625" bestFit="1" customWidth="1"/>
    <col min="208" max="212" width="6.44140625" customWidth="1"/>
    <col min="213" max="213" width="2.6640625" customWidth="1"/>
    <col min="214" max="219" width="6.44140625" customWidth="1"/>
    <col min="220" max="220" width="6.44140625" bestFit="1" customWidth="1"/>
    <col min="221" max="225" width="6.44140625" customWidth="1"/>
    <col min="226" max="226" width="2.6640625" customWidth="1"/>
    <col min="227" max="232" width="6.44140625" customWidth="1"/>
    <col min="233" max="233" width="6.44140625" bestFit="1" customWidth="1"/>
    <col min="234" max="237" width="6.44140625" customWidth="1"/>
    <col min="238" max="238" width="6.5546875" customWidth="1"/>
    <col min="239" max="239" width="2.6640625" customWidth="1"/>
    <col min="240" max="245" width="6.44140625" customWidth="1"/>
    <col min="246" max="246" width="6.44140625" bestFit="1" customWidth="1"/>
    <col min="247" max="250" width="6.44140625" customWidth="1"/>
    <col min="251" max="251" width="6.5546875" customWidth="1"/>
    <col min="252" max="252" width="2.6640625" customWidth="1"/>
  </cols>
  <sheetData>
    <row r="4" spans="2:252" s="8" customFormat="1" x14ac:dyDescent="0.3">
      <c r="G4" s="8" t="s">
        <v>2080</v>
      </c>
      <c r="H4" s="8" t="s">
        <v>2514</v>
      </c>
      <c r="I4" s="8" t="s">
        <v>702</v>
      </c>
      <c r="J4" s="8" t="s">
        <v>702</v>
      </c>
      <c r="K4" s="8" t="s">
        <v>1984</v>
      </c>
      <c r="L4" s="8" t="s">
        <v>2080</v>
      </c>
      <c r="M4" s="8" t="s">
        <v>2080</v>
      </c>
      <c r="N4" s="8" t="s">
        <v>702</v>
      </c>
      <c r="O4" s="8" t="s">
        <v>2109</v>
      </c>
      <c r="P4" s="8" t="s">
        <v>1984</v>
      </c>
      <c r="Q4" s="8" t="str">
        <f>VLOOKUP(Q5,tbl_KausiDivari[],2,FALSE)</f>
        <v>IV-Div+Kars</v>
      </c>
      <c r="R4" s="8" t="str">
        <f>VLOOKUP(R5,tbl_KausiDivari[],2,FALSE)</f>
        <v>IV-Div</v>
      </c>
      <c r="S4" s="8" t="str">
        <f>VLOOKUP(S5,tbl_KausiDivari[],2,FALSE)</f>
        <v>IV-Div</v>
      </c>
      <c r="T4" s="8" t="s">
        <v>702</v>
      </c>
      <c r="U4" s="8" t="s">
        <v>702</v>
      </c>
      <c r="V4" s="8" t="s">
        <v>702</v>
      </c>
      <c r="W4" s="8" t="s">
        <v>703</v>
      </c>
      <c r="X4" s="8" t="s">
        <v>702</v>
      </c>
      <c r="Y4" s="8" t="s">
        <v>702</v>
      </c>
      <c r="Z4" s="8" t="s">
        <v>702</v>
      </c>
      <c r="AA4" s="8" t="s">
        <v>703</v>
      </c>
      <c r="AB4" s="8" t="s">
        <v>702</v>
      </c>
      <c r="AC4" s="8" t="str">
        <f>VLOOKUP(AC5,tbl_KausiDivari[],2,FALSE)</f>
        <v>V-Div</v>
      </c>
      <c r="AD4" s="1088"/>
      <c r="AG4" s="8" t="s">
        <v>2080</v>
      </c>
      <c r="AH4" s="8" t="s">
        <v>2514</v>
      </c>
      <c r="AI4" s="8" t="s">
        <v>702</v>
      </c>
      <c r="AJ4" s="8" t="s">
        <v>702</v>
      </c>
      <c r="AL4" s="8" t="s">
        <v>702</v>
      </c>
      <c r="AM4" s="8" t="s">
        <v>2109</v>
      </c>
      <c r="AN4" s="8" t="s">
        <v>1984</v>
      </c>
      <c r="AO4" s="8" t="str">
        <f>VLOOKUP(AO5,tbl_KausiDivari[],2,FALSE)</f>
        <v>IV-Div+Kars</v>
      </c>
      <c r="AP4" s="8" t="str">
        <f>VLOOKUP(AP5,tbl_KausiDivari[],2,FALSE)</f>
        <v>IV-Div</v>
      </c>
      <c r="AQ4" s="8" t="str">
        <f>VLOOKUP(AQ5,tbl_KausiDivari[],2,FALSE)</f>
        <v>IV-Div</v>
      </c>
      <c r="AS4" s="8" t="str">
        <f>VLOOKUP(AS5,tbl_KausiDivari[],2,FALSE)</f>
        <v>V-Div</v>
      </c>
      <c r="AT4" s="8" t="str">
        <f>VLOOKUP(AT5,tbl_KausiDivari[],2,FALSE)</f>
        <v>IV-Div</v>
      </c>
      <c r="AU4" s="8" t="str">
        <f>VLOOKUP(AU5,tbl_KausiDivari[],2,FALSE)</f>
        <v>V-Div</v>
      </c>
      <c r="AV4" s="1088"/>
      <c r="AY4" s="8" t="s">
        <v>2080</v>
      </c>
      <c r="AZ4" s="8" t="s">
        <v>2514</v>
      </c>
      <c r="BA4" s="8" t="s">
        <v>702</v>
      </c>
      <c r="BB4" s="8" t="s">
        <v>702</v>
      </c>
      <c r="BD4" s="8" t="s">
        <v>702</v>
      </c>
      <c r="BE4" s="8" t="s">
        <v>2109</v>
      </c>
      <c r="BF4" s="8" t="s">
        <v>1984</v>
      </c>
      <c r="BG4" s="8" t="str">
        <f>VLOOKUP(BG5,tbl_KausiDivari[],2,FALSE)</f>
        <v>IV-Div+Kars</v>
      </c>
      <c r="BH4" s="8" t="str">
        <f>VLOOKUP(BH5,tbl_KausiDivari[],2,FALSE)</f>
        <v>IV-Div</v>
      </c>
      <c r="BI4" s="8" t="str">
        <f>VLOOKUP(BI5,tbl_KausiDivari[],2,FALSE)</f>
        <v>IV-Div</v>
      </c>
      <c r="BK4" s="8" t="str">
        <f>VLOOKUP(BK5,tbl_KausiDivari[],2,FALSE)</f>
        <v>V-Div</v>
      </c>
      <c r="BL4" s="8" t="str">
        <f>VLOOKUP(BL5,tbl_KausiDivari[],2,FALSE)</f>
        <v>IV-Div</v>
      </c>
      <c r="BM4" s="8" t="str">
        <f>VLOOKUP(BM5,tbl_KausiDivari[],2,FALSE)</f>
        <v>V-Div</v>
      </c>
      <c r="BN4" s="1088"/>
      <c r="BQ4" s="8" t="s">
        <v>2080</v>
      </c>
      <c r="BR4" s="8" t="s">
        <v>2514</v>
      </c>
      <c r="BS4" s="8" t="s">
        <v>702</v>
      </c>
      <c r="BT4" s="8" t="s">
        <v>702</v>
      </c>
      <c r="BU4" s="8" t="s">
        <v>2109</v>
      </c>
      <c r="BV4" s="8" t="s">
        <v>1984</v>
      </c>
      <c r="BW4" s="8" t="str">
        <f>VLOOKUP(BW5,tbl_KausiDivari[],2,FALSE)</f>
        <v>IV-Div+Kars</v>
      </c>
      <c r="BX4" s="8" t="str">
        <f>VLOOKUP(BX5,tbl_KausiDivari[],2,FALSE)</f>
        <v>IV-Div</v>
      </c>
      <c r="BY4" s="8" t="str">
        <f>VLOOKUP(BY5,tbl_KausiDivari[],2,FALSE)</f>
        <v>IV-Div</v>
      </c>
      <c r="CC4" s="8" t="str">
        <f>VLOOKUP(CC5,tbl_KausiDivari[],2,FALSE)</f>
        <v>V-Div</v>
      </c>
      <c r="CD4" s="1088"/>
      <c r="CG4" s="8" t="s">
        <v>702</v>
      </c>
      <c r="CH4" s="8" t="s">
        <v>2109</v>
      </c>
      <c r="CI4" s="8" t="s">
        <v>1984</v>
      </c>
      <c r="CJ4" s="8" t="str">
        <f>VLOOKUP(CJ5,tbl_KausiDivari[],2,FALSE)</f>
        <v>IV-Div+Kars</v>
      </c>
      <c r="CK4" s="8" t="str">
        <f>VLOOKUP(CK5,tbl_KausiDivari[],2,FALSE)</f>
        <v>IV-Div</v>
      </c>
      <c r="CL4" s="8" t="str">
        <f>VLOOKUP(CL5,tbl_KausiDivari[],2,FALSE)</f>
        <v>IV-Div</v>
      </c>
      <c r="CN4" s="8" t="str">
        <f>VLOOKUP(CN5,tbl_KausiDivari[],2,FALSE)</f>
        <v>V-Div</v>
      </c>
      <c r="CO4" s="8" t="str">
        <f>VLOOKUP(CO5,tbl_KausiDivari[],2,FALSE)</f>
        <v>IV-Div</v>
      </c>
      <c r="CP4" s="8" t="str">
        <f>VLOOKUP(CP5,tbl_KausiDivari[],2,FALSE)</f>
        <v>V-Div</v>
      </c>
      <c r="CQ4" s="1088"/>
      <c r="CT4" s="8" t="s">
        <v>702</v>
      </c>
      <c r="CU4" s="8" t="s">
        <v>2109</v>
      </c>
      <c r="CV4" s="8" t="s">
        <v>1984</v>
      </c>
      <c r="CW4" s="8" t="str">
        <f>VLOOKUP(CW5,tbl_KausiDivari[],2,FALSE)</f>
        <v>IV-Div+Kars</v>
      </c>
      <c r="CX4" s="8" t="str">
        <f>VLOOKUP(CX5,tbl_KausiDivari[],2,FALSE)</f>
        <v>IV-Div</v>
      </c>
      <c r="CY4" s="8" t="str">
        <f>VLOOKUP(CY5,tbl_KausiDivari[],2,FALSE)</f>
        <v>IV-Div</v>
      </c>
      <c r="CZ4" s="8" t="e">
        <f>VLOOKUP(CZ5,tbl_KausiDivari[],2,FALSE)</f>
        <v>#N/A</v>
      </c>
      <c r="DA4" s="8" t="str">
        <f>VLOOKUP(DA5,tbl_KausiDivari[],2,FALSE)</f>
        <v>V-Div</v>
      </c>
      <c r="DB4" s="8" t="str">
        <f>VLOOKUP(DB5,tbl_KausiDivari[],2,FALSE)</f>
        <v>IV-Div</v>
      </c>
      <c r="DC4" s="8" t="str">
        <f>VLOOKUP(DC5,tbl_KausiDivari[],2,FALSE)</f>
        <v>V-Div</v>
      </c>
      <c r="DD4" s="1088"/>
      <c r="DG4" s="8" t="s">
        <v>702</v>
      </c>
      <c r="DH4" s="8" t="s">
        <v>2109</v>
      </c>
      <c r="DI4" s="8" t="s">
        <v>1984</v>
      </c>
      <c r="DJ4" s="8" t="str">
        <f>VLOOKUP(DJ5,tbl_KausiDivari[],2,FALSE)</f>
        <v>IV-Div+Kars</v>
      </c>
      <c r="DK4" s="8" t="str">
        <f>VLOOKUP(DK5,tbl_KausiDivari[],2,FALSE)</f>
        <v>IV-Div</v>
      </c>
      <c r="DL4" s="8" t="str">
        <f>VLOOKUP(DL5,tbl_KausiDivari[],2,FALSE)</f>
        <v>IV-Div</v>
      </c>
      <c r="DM4" s="8" t="e">
        <f>VLOOKUP(DM5,tbl_KausiDivari[],2,FALSE)</f>
        <v>#N/A</v>
      </c>
      <c r="DN4" s="8" t="e">
        <f>VLOOKUP(DN5,tbl_KausiDivari[],2,FALSE)</f>
        <v>#N/A</v>
      </c>
      <c r="DO4" s="8" t="str">
        <f>VLOOKUP(DO5,tbl_KausiDivari[],2,FALSE)</f>
        <v>V-Div</v>
      </c>
      <c r="DP4" s="8" t="str">
        <f>VLOOKUP(DP5,tbl_KausiDivari[],2,FALSE)</f>
        <v>IV-Div</v>
      </c>
      <c r="DQ4" s="8" t="str">
        <f>VLOOKUP(DQ5,tbl_KausiDivari[],2,FALSE)</f>
        <v>V-Div</v>
      </c>
      <c r="DR4" s="1088"/>
      <c r="DU4" s="8" t="s">
        <v>702</v>
      </c>
      <c r="DV4" s="8" t="s">
        <v>2109</v>
      </c>
      <c r="DW4" s="8" t="s">
        <v>1984</v>
      </c>
      <c r="DX4" s="8" t="str">
        <f>VLOOKUP(DX5,tbl_KausiDivari[],2,FALSE)</f>
        <v>IV-Div+Kars</v>
      </c>
      <c r="DY4" s="8" t="str">
        <f>VLOOKUP(DY5,tbl_KausiDivari[],2,FALSE)</f>
        <v>IV-Div</v>
      </c>
      <c r="DZ4" s="8" t="s">
        <v>702</v>
      </c>
      <c r="EB4" s="8" t="str">
        <f>VLOOKUP(EB5,tbl_KausiDivari[],2,FALSE)</f>
        <v>V-Div</v>
      </c>
      <c r="EC4" s="8" t="str">
        <f>VLOOKUP(EC5,tbl_KausiDivari[],2,FALSE)</f>
        <v>IV-Div</v>
      </c>
      <c r="ED4" s="8" t="str">
        <f>VLOOKUP(ED5,tbl_KausiDivari[],2,FALSE)</f>
        <v>V-Div</v>
      </c>
      <c r="EE4" s="1088"/>
      <c r="EH4" s="8" t="s">
        <v>702</v>
      </c>
      <c r="EI4" s="8" t="s">
        <v>2109</v>
      </c>
      <c r="EJ4" s="8" t="s">
        <v>1984</v>
      </c>
      <c r="EK4" s="8" t="str">
        <f>VLOOKUP(EK5,tbl_KausiDivari[],2,FALSE)</f>
        <v>IV-Div+Kars</v>
      </c>
      <c r="EL4" s="8" t="str">
        <f>VLOOKUP(EL5,tbl_KausiDivari[],2,FALSE)</f>
        <v>IV-Div</v>
      </c>
      <c r="EM4" s="8" t="s">
        <v>702</v>
      </c>
      <c r="EN4" s="8" t="e">
        <f>VLOOKUP(EN5,tbl_KausiDivari[],2,FALSE)</f>
        <v>#N/A</v>
      </c>
      <c r="EO4" s="8" t="str">
        <f>VLOOKUP(EO5,tbl_KausiDivari[],2,FALSE)</f>
        <v>V-Div</v>
      </c>
      <c r="EP4" s="8" t="str">
        <f>VLOOKUP(EP5,tbl_KausiDivari[],2,FALSE)</f>
        <v>IV-Div</v>
      </c>
      <c r="EQ4" s="8" t="str">
        <f>VLOOKUP(EQ5,tbl_KausiDivari[],2,FALSE)</f>
        <v>V-Div</v>
      </c>
      <c r="ER4" s="1088"/>
      <c r="EU4" s="8" t="s">
        <v>702</v>
      </c>
      <c r="EV4" s="8" t="s">
        <v>2109</v>
      </c>
      <c r="EW4" s="8" t="s">
        <v>1984</v>
      </c>
      <c r="EX4" s="8" t="str">
        <f>VLOOKUP(EX5,tbl_KausiDivari[],2,FALSE)</f>
        <v>IV-Div+Kars</v>
      </c>
      <c r="EY4" s="8" t="str">
        <f>VLOOKUP(EY5,tbl_KausiDivari[],2,FALSE)</f>
        <v>IV-Div</v>
      </c>
      <c r="EZ4" s="8" t="s">
        <v>702</v>
      </c>
      <c r="FB4" s="8" t="str">
        <f>VLOOKUP(FB5,tbl_KausiDivari[],2,FALSE)</f>
        <v>V-Div</v>
      </c>
      <c r="FC4" s="8" t="str">
        <f>VLOOKUP(FC5,tbl_KausiDivari[],2,FALSE)</f>
        <v>IV-Div</v>
      </c>
      <c r="FD4" s="8" t="str">
        <f>VLOOKUP(FD5,tbl_KausiDivari[],2,FALSE)</f>
        <v>V-Div</v>
      </c>
      <c r="FE4" s="1088"/>
      <c r="FH4" s="8" t="s">
        <v>702</v>
      </c>
      <c r="FI4" s="8" t="s">
        <v>2109</v>
      </c>
      <c r="FJ4" s="8" t="s">
        <v>1984</v>
      </c>
      <c r="FK4" s="8" t="str">
        <f>VLOOKUP(FK5,tbl_KausiDivari[],2,FALSE)</f>
        <v>IV-Div+Kars</v>
      </c>
      <c r="FL4" s="8" t="str">
        <f>VLOOKUP(FL5,tbl_KausiDivari[],2,FALSE)</f>
        <v>IV-Div</v>
      </c>
      <c r="FM4" s="8" t="s">
        <v>702</v>
      </c>
      <c r="FO4" s="8" t="str">
        <f>VLOOKUP(FO5,tbl_KausiDivari[],2,FALSE)</f>
        <v>V-Div</v>
      </c>
      <c r="FP4" s="8" t="str">
        <f>VLOOKUP(FP5,tbl_KausiDivari[],2,FALSE)</f>
        <v>IV-Div</v>
      </c>
      <c r="FQ4" s="8" t="str">
        <f>VLOOKUP(FQ5,tbl_KausiDivari[],2,FALSE)</f>
        <v>V-Div</v>
      </c>
      <c r="FR4" s="1088"/>
      <c r="FU4" s="8" t="s">
        <v>702</v>
      </c>
      <c r="FV4" s="8" t="s">
        <v>2109</v>
      </c>
      <c r="FW4" s="8" t="s">
        <v>1984</v>
      </c>
      <c r="FX4" s="8" t="str">
        <f>VLOOKUP(FX5,tbl_KausiDivari[],2,FALSE)</f>
        <v>IV-Div+Kars</v>
      </c>
      <c r="FY4" s="8" t="str">
        <f>VLOOKUP(FY5,tbl_KausiDivari[],2,FALSE)</f>
        <v>IV-Div</v>
      </c>
      <c r="FZ4" s="8" t="s">
        <v>702</v>
      </c>
      <c r="GB4" s="8" t="str">
        <f>VLOOKUP(GB5,tbl_KausiDivari[],2,FALSE)</f>
        <v>V-Div</v>
      </c>
      <c r="GC4" s="8" t="str">
        <f>VLOOKUP(GC5,tbl_KausiDivari[],2,FALSE)</f>
        <v>IV-Div</v>
      </c>
      <c r="GD4" s="8" t="str">
        <f>VLOOKUP(GD5,tbl_KausiDivari[],2,FALSE)</f>
        <v>V-Div</v>
      </c>
      <c r="GE4" s="1088"/>
      <c r="GH4" s="8" t="s">
        <v>702</v>
      </c>
      <c r="GI4" s="8" t="s">
        <v>2109</v>
      </c>
      <c r="GJ4" s="8" t="s">
        <v>1984</v>
      </c>
      <c r="GK4" s="8" t="str">
        <f>VLOOKUP(GK5,tbl_KausiDivari[],2,FALSE)</f>
        <v>IV-Div+Kars</v>
      </c>
      <c r="GL4" s="8" t="str">
        <f>VLOOKUP(GL5,tbl_KausiDivari[],2,FALSE)</f>
        <v>IV-Div</v>
      </c>
      <c r="GM4" s="8" t="s">
        <v>702</v>
      </c>
      <c r="GO4" s="8" t="str">
        <f>VLOOKUP(GO5,tbl_KausiDivari[],2,FALSE)</f>
        <v>V-Div</v>
      </c>
      <c r="GP4" s="8" t="str">
        <f>VLOOKUP(GP5,tbl_KausiDivari[],2,FALSE)</f>
        <v>IV-Div</v>
      </c>
      <c r="GQ4" s="8" t="str">
        <f>VLOOKUP(GQ5,tbl_KausiDivari[],2,FALSE)</f>
        <v>V-Div</v>
      </c>
      <c r="GR4" s="1088"/>
      <c r="GU4" s="8" t="s">
        <v>702</v>
      </c>
      <c r="GV4" s="8" t="s">
        <v>2109</v>
      </c>
      <c r="GW4" s="8" t="s">
        <v>1984</v>
      </c>
      <c r="GX4" s="8" t="str">
        <f>VLOOKUP(GX5,tbl_KausiDivari[],2,FALSE)</f>
        <v>IV-Div+Kars</v>
      </c>
      <c r="GY4" s="8" t="str">
        <f>VLOOKUP(GY5,tbl_KausiDivari[],2,FALSE)</f>
        <v>IV-Div</v>
      </c>
      <c r="GZ4" s="8" t="s">
        <v>702</v>
      </c>
      <c r="HB4" s="8" t="str">
        <f>VLOOKUP(HB5,tbl_KausiDivari[],2,FALSE)</f>
        <v>V-Div</v>
      </c>
      <c r="HC4" s="8" t="str">
        <f>VLOOKUP(HC5,tbl_KausiDivari[],2,FALSE)</f>
        <v>IV-Div</v>
      </c>
      <c r="HD4" s="8" t="str">
        <f>VLOOKUP(HD5,tbl_KausiDivari[],2,FALSE)</f>
        <v>V-Div</v>
      </c>
      <c r="HE4" s="1088"/>
      <c r="HH4" s="8" t="s">
        <v>702</v>
      </c>
      <c r="HI4" s="8" t="s">
        <v>2109</v>
      </c>
      <c r="HJ4" s="8" t="s">
        <v>1984</v>
      </c>
      <c r="HK4" s="8" t="str">
        <f>VLOOKUP(HK5,tbl_KausiDivari[],2,FALSE)</f>
        <v>IV-Div+Kars</v>
      </c>
      <c r="HL4" s="8" t="str">
        <f>VLOOKUP(HL5,tbl_KausiDivari[],2,FALSE)</f>
        <v>IV-Div</v>
      </c>
      <c r="HM4" s="8" t="s">
        <v>702</v>
      </c>
      <c r="HN4" s="8" t="e">
        <f>VLOOKUP(HN5,tbl_KausiDivari[],2,FALSE)</f>
        <v>#N/A</v>
      </c>
      <c r="HO4" s="8" t="str">
        <f>VLOOKUP(HO5,tbl_KausiDivari[],2,FALSE)</f>
        <v>V-Div</v>
      </c>
      <c r="HP4" s="8" t="str">
        <f>VLOOKUP(HP5,tbl_KausiDivari[],2,FALSE)</f>
        <v>IV-Div</v>
      </c>
      <c r="HQ4" s="8" t="str">
        <f>VLOOKUP(HQ5,tbl_KausiDivari[],2,FALSE)</f>
        <v>V-Div</v>
      </c>
      <c r="HR4" s="1088"/>
      <c r="HU4" s="8" t="s">
        <v>702</v>
      </c>
      <c r="HV4" s="8" t="s">
        <v>2109</v>
      </c>
      <c r="HW4" s="8" t="s">
        <v>1984</v>
      </c>
      <c r="HX4" s="8" t="str">
        <f>VLOOKUP(HX5,tbl_KausiDivari[],2,FALSE)</f>
        <v>IV-Div+Kars</v>
      </c>
      <c r="HY4" s="8" t="str">
        <f>VLOOKUP(HY5,tbl_KausiDivari[],2,FALSE)</f>
        <v>IV-Div</v>
      </c>
      <c r="HZ4" s="8" t="s">
        <v>702</v>
      </c>
      <c r="IA4" s="8" t="e">
        <f>VLOOKUP(IA5,tbl_KausiDivari[],2,FALSE)</f>
        <v>#N/A</v>
      </c>
      <c r="IB4" s="8" t="str">
        <f>VLOOKUP(IB5,tbl_KausiDivari[],2,FALSE)</f>
        <v>V-Div</v>
      </c>
      <c r="IC4" s="8" t="str">
        <f>VLOOKUP(IC5,tbl_KausiDivari[],2,FALSE)</f>
        <v>IV-Div</v>
      </c>
      <c r="ID4" s="8" t="str">
        <f>VLOOKUP(ID5,tbl_KausiDivari[],2,FALSE)</f>
        <v>V-Div</v>
      </c>
      <c r="IE4" s="1088"/>
      <c r="IH4" s="8" t="s">
        <v>702</v>
      </c>
      <c r="II4" s="8" t="s">
        <v>2109</v>
      </c>
      <c r="IJ4" s="8" t="s">
        <v>1984</v>
      </c>
      <c r="IK4" s="8" t="str">
        <f>VLOOKUP(IK5,tbl_KausiDivari[],2,FALSE)</f>
        <v>IV-Div+Kars</v>
      </c>
      <c r="IL4" s="8" t="str">
        <f>VLOOKUP(IL5,tbl_KausiDivari[],2,FALSE)</f>
        <v>IV-Div</v>
      </c>
      <c r="IM4" s="8" t="s">
        <v>702</v>
      </c>
      <c r="IN4" s="8" t="e">
        <f>VLOOKUP(IN5,tbl_KausiDivari[],2,FALSE)</f>
        <v>#N/A</v>
      </c>
      <c r="IO4" s="8" t="str">
        <f>VLOOKUP(IO5,tbl_KausiDivari[],2,FALSE)</f>
        <v>V-Div</v>
      </c>
      <c r="IP4" s="8" t="str">
        <f>VLOOKUP(IP5,tbl_KausiDivari[],2,FALSE)</f>
        <v>IV-Div</v>
      </c>
      <c r="IQ4" s="8" t="str">
        <f>VLOOKUP(IQ5,tbl_KausiDivari[],2,FALSE)</f>
        <v>V-Div</v>
      </c>
      <c r="IR4" s="1088"/>
    </row>
    <row r="5" spans="2:252" s="8" customFormat="1" x14ac:dyDescent="0.3">
      <c r="E5" s="8" t="s">
        <v>1802</v>
      </c>
      <c r="G5" s="8" t="s">
        <v>2437</v>
      </c>
      <c r="H5" s="8" t="s">
        <v>2409</v>
      </c>
      <c r="I5" s="8" t="s">
        <v>2409</v>
      </c>
      <c r="J5" s="8" t="s">
        <v>2230</v>
      </c>
      <c r="K5" s="8" t="s">
        <v>2187</v>
      </c>
      <c r="L5" s="8" t="s">
        <v>2187</v>
      </c>
      <c r="M5" s="8" t="s">
        <v>2079</v>
      </c>
      <c r="N5" s="8" t="s">
        <v>2047</v>
      </c>
      <c r="O5" s="8" t="s">
        <v>2047</v>
      </c>
      <c r="P5" s="8" t="s">
        <v>1817</v>
      </c>
      <c r="Q5" s="8" t="s">
        <v>1817</v>
      </c>
      <c r="R5" s="8" t="s">
        <v>1662</v>
      </c>
      <c r="S5" s="8" t="s">
        <v>1589</v>
      </c>
      <c r="T5" s="8" t="s">
        <v>1406</v>
      </c>
      <c r="U5" s="8" t="s">
        <v>1146</v>
      </c>
      <c r="V5" s="8" t="s">
        <v>1079</v>
      </c>
      <c r="W5" s="1089" t="s">
        <v>884</v>
      </c>
      <c r="X5" s="1089" t="s">
        <v>844</v>
      </c>
      <c r="Y5" s="1089" t="s">
        <v>701</v>
      </c>
      <c r="Z5" s="1089" t="s">
        <v>580</v>
      </c>
      <c r="AA5" s="1089" t="s">
        <v>261</v>
      </c>
      <c r="AB5" s="1089" t="s">
        <v>177</v>
      </c>
      <c r="AC5" s="899" t="s">
        <v>178</v>
      </c>
      <c r="AD5" s="1088"/>
      <c r="AE5" s="8" t="s">
        <v>1802</v>
      </c>
      <c r="AG5" s="8" t="s">
        <v>2437</v>
      </c>
      <c r="AH5" s="8" t="s">
        <v>2409</v>
      </c>
      <c r="AI5" s="8" t="s">
        <v>2409</v>
      </c>
      <c r="AJ5" s="8" t="s">
        <v>2230</v>
      </c>
      <c r="AL5" s="8" t="s">
        <v>2047</v>
      </c>
      <c r="AM5" s="8" t="s">
        <v>2047</v>
      </c>
      <c r="AN5" s="8" t="s">
        <v>1817</v>
      </c>
      <c r="AO5" s="8" t="s">
        <v>1817</v>
      </c>
      <c r="AP5" s="8" t="s">
        <v>1662</v>
      </c>
      <c r="AQ5" s="8" t="s">
        <v>1589</v>
      </c>
      <c r="AS5" s="899" t="s">
        <v>261</v>
      </c>
      <c r="AT5" s="899" t="s">
        <v>177</v>
      </c>
      <c r="AU5" s="899" t="s">
        <v>178</v>
      </c>
      <c r="AV5" s="1088"/>
      <c r="AW5" s="8" t="s">
        <v>1802</v>
      </c>
      <c r="AY5" s="8" t="s">
        <v>2437</v>
      </c>
      <c r="AZ5" s="8" t="s">
        <v>2409</v>
      </c>
      <c r="BA5" s="8" t="s">
        <v>2409</v>
      </c>
      <c r="BB5" s="8" t="s">
        <v>2230</v>
      </c>
      <c r="BD5" s="8" t="s">
        <v>2047</v>
      </c>
      <c r="BE5" s="8" t="s">
        <v>2047</v>
      </c>
      <c r="BF5" s="8" t="s">
        <v>1817</v>
      </c>
      <c r="BG5" s="8" t="s">
        <v>1817</v>
      </c>
      <c r="BH5" s="8" t="s">
        <v>1662</v>
      </c>
      <c r="BI5" s="8" t="s">
        <v>1589</v>
      </c>
      <c r="BK5" s="899" t="s">
        <v>261</v>
      </c>
      <c r="BL5" s="899" t="s">
        <v>177</v>
      </c>
      <c r="BM5" s="899" t="s">
        <v>178</v>
      </c>
      <c r="BN5" s="1088"/>
      <c r="BO5" s="8" t="s">
        <v>1802</v>
      </c>
      <c r="BQ5" s="8" t="s">
        <v>2437</v>
      </c>
      <c r="BR5" s="8" t="s">
        <v>2409</v>
      </c>
      <c r="BS5" s="8" t="s">
        <v>2409</v>
      </c>
      <c r="BT5" s="8" t="s">
        <v>2047</v>
      </c>
      <c r="BU5" s="8" t="s">
        <v>2047</v>
      </c>
      <c r="BV5" s="8" t="s">
        <v>1817</v>
      </c>
      <c r="BW5" s="8" t="s">
        <v>1817</v>
      </c>
      <c r="BX5" s="8" t="s">
        <v>1662</v>
      </c>
      <c r="BY5" s="8" t="s">
        <v>1589</v>
      </c>
      <c r="CC5" s="899" t="s">
        <v>178</v>
      </c>
      <c r="CD5" s="1088"/>
      <c r="CE5" s="8" t="s">
        <v>1802</v>
      </c>
      <c r="CG5" s="8" t="s">
        <v>2047</v>
      </c>
      <c r="CH5" s="8" t="s">
        <v>2047</v>
      </c>
      <c r="CI5" s="8" t="s">
        <v>1817</v>
      </c>
      <c r="CJ5" s="8" t="s">
        <v>1817</v>
      </c>
      <c r="CK5" s="8" t="s">
        <v>1662</v>
      </c>
      <c r="CL5" s="8" t="s">
        <v>1589</v>
      </c>
      <c r="CN5" s="899" t="s">
        <v>261</v>
      </c>
      <c r="CO5" s="899" t="s">
        <v>177</v>
      </c>
      <c r="CP5" s="899" t="s">
        <v>178</v>
      </c>
      <c r="CQ5" s="1088"/>
      <c r="CR5" s="8" t="s">
        <v>1802</v>
      </c>
      <c r="CT5" s="8" t="s">
        <v>2047</v>
      </c>
      <c r="CU5" s="8" t="s">
        <v>2047</v>
      </c>
      <c r="CV5" s="8" t="s">
        <v>1817</v>
      </c>
      <c r="CW5" s="8" t="s">
        <v>1817</v>
      </c>
      <c r="CX5" s="8" t="s">
        <v>1662</v>
      </c>
      <c r="CY5" s="8" t="s">
        <v>1589</v>
      </c>
      <c r="DA5" s="899" t="s">
        <v>261</v>
      </c>
      <c r="DB5" s="899" t="s">
        <v>177</v>
      </c>
      <c r="DC5" s="899" t="s">
        <v>178</v>
      </c>
      <c r="DD5" s="1088"/>
      <c r="DE5" s="8" t="s">
        <v>1802</v>
      </c>
      <c r="DG5" s="8" t="s">
        <v>2047</v>
      </c>
      <c r="DH5" s="8" t="s">
        <v>2047</v>
      </c>
      <c r="DI5" s="8" t="s">
        <v>1817</v>
      </c>
      <c r="DJ5" s="8" t="s">
        <v>1817</v>
      </c>
      <c r="DK5" s="8" t="s">
        <v>1662</v>
      </c>
      <c r="DL5" s="8" t="s">
        <v>1589</v>
      </c>
      <c r="DM5" s="899"/>
      <c r="DN5" s="899"/>
      <c r="DO5" s="899" t="s">
        <v>261</v>
      </c>
      <c r="DP5" s="899" t="s">
        <v>177</v>
      </c>
      <c r="DQ5" s="899" t="s">
        <v>178</v>
      </c>
      <c r="DR5" s="1088"/>
      <c r="DS5" s="8" t="s">
        <v>1802</v>
      </c>
      <c r="DU5" s="8" t="s">
        <v>2047</v>
      </c>
      <c r="DV5" s="8" t="s">
        <v>2047</v>
      </c>
      <c r="DW5" s="8" t="s">
        <v>1817</v>
      </c>
      <c r="DX5" s="8" t="s">
        <v>1817</v>
      </c>
      <c r="DY5" s="8" t="s">
        <v>1662</v>
      </c>
      <c r="DZ5" s="8" t="s">
        <v>1589</v>
      </c>
      <c r="EB5" s="899" t="s">
        <v>261</v>
      </c>
      <c r="EC5" s="899" t="s">
        <v>177</v>
      </c>
      <c r="ED5" s="899" t="s">
        <v>178</v>
      </c>
      <c r="EE5" s="1088"/>
      <c r="EF5" s="8" t="s">
        <v>1802</v>
      </c>
      <c r="EH5" s="8" t="s">
        <v>2047</v>
      </c>
      <c r="EI5" s="8" t="s">
        <v>2047</v>
      </c>
      <c r="EJ5" s="8" t="s">
        <v>1817</v>
      </c>
      <c r="EK5" s="8" t="s">
        <v>1817</v>
      </c>
      <c r="EL5" s="8" t="s">
        <v>1662</v>
      </c>
      <c r="EM5" s="8" t="s">
        <v>1589</v>
      </c>
      <c r="EO5" s="1089" t="s">
        <v>261</v>
      </c>
      <c r="EP5" s="1089" t="s">
        <v>177</v>
      </c>
      <c r="EQ5" s="899" t="s">
        <v>178</v>
      </c>
      <c r="ER5" s="1088"/>
      <c r="ES5" s="8" t="s">
        <v>1802</v>
      </c>
      <c r="EU5" s="8" t="s">
        <v>2047</v>
      </c>
      <c r="EV5" s="8" t="s">
        <v>2047</v>
      </c>
      <c r="EW5" s="8" t="s">
        <v>1817</v>
      </c>
      <c r="EX5" s="8" t="s">
        <v>1817</v>
      </c>
      <c r="EY5" s="8" t="s">
        <v>1662</v>
      </c>
      <c r="EZ5" s="8" t="s">
        <v>1589</v>
      </c>
      <c r="FB5" s="1089" t="s">
        <v>261</v>
      </c>
      <c r="FC5" s="1089" t="s">
        <v>177</v>
      </c>
      <c r="FD5" s="899" t="s">
        <v>178</v>
      </c>
      <c r="FE5" s="1088"/>
      <c r="FF5" s="8" t="s">
        <v>1802</v>
      </c>
      <c r="FH5" s="8" t="s">
        <v>2047</v>
      </c>
      <c r="FI5" s="8" t="s">
        <v>2047</v>
      </c>
      <c r="FJ5" s="8" t="s">
        <v>1817</v>
      </c>
      <c r="FK5" s="8" t="s">
        <v>1817</v>
      </c>
      <c r="FL5" s="8" t="s">
        <v>1662</v>
      </c>
      <c r="FM5" s="8" t="s">
        <v>1589</v>
      </c>
      <c r="FO5" s="1089" t="s">
        <v>261</v>
      </c>
      <c r="FP5" s="1089" t="s">
        <v>177</v>
      </c>
      <c r="FQ5" s="899" t="s">
        <v>178</v>
      </c>
      <c r="FR5" s="1088"/>
      <c r="FS5" s="8" t="s">
        <v>1802</v>
      </c>
      <c r="FU5" s="8" t="s">
        <v>2047</v>
      </c>
      <c r="FV5" s="8" t="s">
        <v>2047</v>
      </c>
      <c r="FW5" s="8" t="s">
        <v>1817</v>
      </c>
      <c r="FX5" s="8" t="s">
        <v>1817</v>
      </c>
      <c r="FY5" s="8" t="s">
        <v>1662</v>
      </c>
      <c r="FZ5" s="8" t="s">
        <v>1589</v>
      </c>
      <c r="GB5" s="1089" t="s">
        <v>261</v>
      </c>
      <c r="GC5" s="1089" t="s">
        <v>177</v>
      </c>
      <c r="GD5" s="899" t="s">
        <v>178</v>
      </c>
      <c r="GE5" s="1088"/>
      <c r="GF5" s="8" t="s">
        <v>1802</v>
      </c>
      <c r="GH5" s="8" t="s">
        <v>2047</v>
      </c>
      <c r="GI5" s="8" t="s">
        <v>2047</v>
      </c>
      <c r="GJ5" s="8" t="s">
        <v>1817</v>
      </c>
      <c r="GK5" s="8" t="s">
        <v>1817</v>
      </c>
      <c r="GL5" s="8" t="s">
        <v>1662</v>
      </c>
      <c r="GM5" s="8" t="s">
        <v>1589</v>
      </c>
      <c r="GO5" s="1089" t="s">
        <v>261</v>
      </c>
      <c r="GP5" s="1089" t="s">
        <v>177</v>
      </c>
      <c r="GQ5" s="899" t="s">
        <v>178</v>
      </c>
      <c r="GR5" s="1088"/>
      <c r="GS5" s="8" t="s">
        <v>1802</v>
      </c>
      <c r="GU5" s="8" t="s">
        <v>2047</v>
      </c>
      <c r="GV5" s="8" t="s">
        <v>2047</v>
      </c>
      <c r="GW5" s="8" t="s">
        <v>1817</v>
      </c>
      <c r="GX5" s="8" t="s">
        <v>1817</v>
      </c>
      <c r="GY5" s="8" t="s">
        <v>1662</v>
      </c>
      <c r="GZ5" s="8" t="s">
        <v>1589</v>
      </c>
      <c r="HB5" s="1089" t="s">
        <v>261</v>
      </c>
      <c r="HC5" s="1089" t="s">
        <v>177</v>
      </c>
      <c r="HD5" s="899" t="s">
        <v>178</v>
      </c>
      <c r="HE5" s="1088"/>
      <c r="HF5" s="8" t="s">
        <v>1802</v>
      </c>
      <c r="HH5" s="8" t="s">
        <v>2047</v>
      </c>
      <c r="HI5" s="8" t="s">
        <v>2047</v>
      </c>
      <c r="HJ5" s="8" t="s">
        <v>1817</v>
      </c>
      <c r="HK5" s="8" t="s">
        <v>1817</v>
      </c>
      <c r="HL5" s="8" t="s">
        <v>1662</v>
      </c>
      <c r="HM5" s="8" t="s">
        <v>1589</v>
      </c>
      <c r="HO5" s="1089" t="s">
        <v>261</v>
      </c>
      <c r="HP5" s="1089" t="s">
        <v>177</v>
      </c>
      <c r="HQ5" s="899" t="s">
        <v>178</v>
      </c>
      <c r="HR5" s="1088"/>
      <c r="HS5" s="8" t="s">
        <v>1802</v>
      </c>
      <c r="HU5" s="8" t="s">
        <v>2047</v>
      </c>
      <c r="HV5" s="8" t="s">
        <v>2047</v>
      </c>
      <c r="HW5" s="8" t="s">
        <v>1817</v>
      </c>
      <c r="HX5" s="8" t="s">
        <v>1817</v>
      </c>
      <c r="HY5" s="8" t="s">
        <v>1662</v>
      </c>
      <c r="HZ5" s="8" t="s">
        <v>1589</v>
      </c>
      <c r="IB5" s="1089" t="s">
        <v>261</v>
      </c>
      <c r="IC5" s="1089" t="s">
        <v>177</v>
      </c>
      <c r="ID5" s="899" t="s">
        <v>178</v>
      </c>
      <c r="IE5" s="1088"/>
      <c r="IF5" s="8" t="s">
        <v>1802</v>
      </c>
      <c r="IH5" s="8" t="s">
        <v>2047</v>
      </c>
      <c r="II5" s="8" t="s">
        <v>2047</v>
      </c>
      <c r="IJ5" s="8" t="s">
        <v>1817</v>
      </c>
      <c r="IK5" s="8" t="s">
        <v>1817</v>
      </c>
      <c r="IL5" s="8" t="s">
        <v>1662</v>
      </c>
      <c r="IM5" s="8" t="s">
        <v>1589</v>
      </c>
      <c r="IO5" s="1089" t="s">
        <v>261</v>
      </c>
      <c r="IP5" s="1089" t="s">
        <v>177</v>
      </c>
      <c r="IQ5" s="899" t="s">
        <v>178</v>
      </c>
      <c r="IR5" s="1088"/>
    </row>
    <row r="6" spans="2:252" s="205" customFormat="1" x14ac:dyDescent="0.3">
      <c r="E6" s="1319" t="s">
        <v>516</v>
      </c>
      <c r="F6" s="1319"/>
      <c r="G6" s="1319"/>
      <c r="H6" s="1319"/>
      <c r="I6" s="1319"/>
      <c r="J6" s="1319"/>
      <c r="K6" s="1319"/>
      <c r="L6" s="1319"/>
      <c r="M6" s="1319"/>
      <c r="N6" s="1319"/>
      <c r="O6" s="1319"/>
      <c r="P6" s="1319"/>
      <c r="Q6" s="1319"/>
      <c r="R6" s="1319"/>
      <c r="S6" s="1319"/>
      <c r="T6" s="1319"/>
      <c r="U6" s="1319"/>
      <c r="V6" s="1319"/>
      <c r="W6" s="1319"/>
      <c r="X6" s="1319"/>
      <c r="Y6" s="1319"/>
      <c r="Z6" s="1319"/>
      <c r="AA6" s="1319"/>
      <c r="AB6" s="1319"/>
      <c r="AC6" s="1319"/>
      <c r="AD6" s="968"/>
      <c r="AE6" s="1319" t="s">
        <v>2515</v>
      </c>
      <c r="AF6" s="1319"/>
      <c r="AG6" s="1319"/>
      <c r="AH6" s="1319"/>
      <c r="AI6" s="1319"/>
      <c r="AJ6" s="1319"/>
      <c r="AK6" s="1319"/>
      <c r="AL6" s="1319"/>
      <c r="AM6" s="1319"/>
      <c r="AN6" s="1319"/>
      <c r="AO6" s="1319"/>
      <c r="AP6" s="1319"/>
      <c r="AQ6" s="1319"/>
      <c r="AR6" s="1319"/>
      <c r="AS6" s="1319"/>
      <c r="AT6" s="1319"/>
      <c r="AU6" s="1319"/>
      <c r="AV6" s="968"/>
      <c r="AW6" s="1318" t="s">
        <v>742</v>
      </c>
      <c r="AX6" s="1319"/>
      <c r="AY6" s="1319"/>
      <c r="AZ6" s="1319"/>
      <c r="BA6" s="1319"/>
      <c r="BB6" s="1319"/>
      <c r="BC6" s="1319"/>
      <c r="BD6" s="1319"/>
      <c r="BE6" s="1319"/>
      <c r="BF6" s="1319"/>
      <c r="BG6" s="1319"/>
      <c r="BH6" s="1319"/>
      <c r="BI6" s="1319"/>
      <c r="BJ6" s="1319"/>
      <c r="BK6" s="1319"/>
      <c r="BL6" s="1319"/>
      <c r="BM6" s="1320"/>
      <c r="BN6" s="968"/>
      <c r="BO6" s="1318" t="s">
        <v>2516</v>
      </c>
      <c r="BP6" s="1319"/>
      <c r="BQ6" s="1319"/>
      <c r="BR6" s="1319"/>
      <c r="BS6" s="1319"/>
      <c r="BT6" s="1319"/>
      <c r="BU6" s="1319"/>
      <c r="BV6" s="1319"/>
      <c r="BW6" s="1319"/>
      <c r="BX6" s="1319"/>
      <c r="BY6" s="1319"/>
      <c r="BZ6" s="1319"/>
      <c r="CA6" s="1319"/>
      <c r="CB6" s="1319"/>
      <c r="CC6" s="1320"/>
      <c r="CD6" s="968"/>
      <c r="CE6" s="1318" t="s">
        <v>1867</v>
      </c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20"/>
      <c r="CQ6" s="968"/>
      <c r="CR6" s="1318" t="s">
        <v>1868</v>
      </c>
      <c r="CS6" s="1319"/>
      <c r="CT6" s="1319"/>
      <c r="CU6" s="1319"/>
      <c r="CV6" s="1319"/>
      <c r="CW6" s="1319"/>
      <c r="CX6" s="1319"/>
      <c r="CY6" s="1319"/>
      <c r="CZ6" s="1319"/>
      <c r="DA6" s="1319"/>
      <c r="DB6" s="1319"/>
      <c r="DC6" s="1320"/>
      <c r="DD6" s="968"/>
      <c r="DE6" s="1318" t="s">
        <v>2270</v>
      </c>
      <c r="DF6" s="1319"/>
      <c r="DG6" s="1319"/>
      <c r="DH6" s="1319"/>
      <c r="DI6" s="1319"/>
      <c r="DJ6" s="1319"/>
      <c r="DK6" s="1319"/>
      <c r="DL6" s="1319"/>
      <c r="DM6" s="1319"/>
      <c r="DN6" s="1319"/>
      <c r="DO6" s="1319"/>
      <c r="DP6" s="1319"/>
      <c r="DQ6" s="1320"/>
      <c r="DR6" s="968"/>
      <c r="DS6" s="1318" t="s">
        <v>540</v>
      </c>
      <c r="DT6" s="1319"/>
      <c r="DU6" s="1319"/>
      <c r="DV6" s="1319"/>
      <c r="DW6" s="1319"/>
      <c r="DX6" s="1319"/>
      <c r="DY6" s="1319"/>
      <c r="DZ6" s="1319"/>
      <c r="EA6" s="1319"/>
      <c r="EB6" s="1319"/>
      <c r="EC6" s="1319"/>
      <c r="ED6" s="1320"/>
      <c r="EE6" s="968"/>
      <c r="EF6" s="1318" t="s">
        <v>545</v>
      </c>
      <c r="EG6" s="1319"/>
      <c r="EH6" s="1319"/>
      <c r="EI6" s="1319"/>
      <c r="EJ6" s="1319"/>
      <c r="EK6" s="1319"/>
      <c r="EL6" s="1319"/>
      <c r="EM6" s="1319"/>
      <c r="EN6" s="1319"/>
      <c r="EO6" s="1319"/>
      <c r="EP6" s="1319"/>
      <c r="EQ6" s="1320"/>
      <c r="ER6" s="968"/>
      <c r="ES6" s="1318" t="s">
        <v>556</v>
      </c>
      <c r="ET6" s="1319"/>
      <c r="EU6" s="1319"/>
      <c r="EV6" s="1319"/>
      <c r="EW6" s="1319"/>
      <c r="EX6" s="1319"/>
      <c r="EY6" s="1319"/>
      <c r="EZ6" s="1319"/>
      <c r="FA6" s="1319"/>
      <c r="FB6" s="1319"/>
      <c r="FC6" s="1319"/>
      <c r="FD6" s="1320"/>
      <c r="FE6" s="968"/>
      <c r="FF6" s="1318" t="s">
        <v>611</v>
      </c>
      <c r="FG6" s="1319"/>
      <c r="FH6" s="1319"/>
      <c r="FI6" s="1319"/>
      <c r="FJ6" s="1319"/>
      <c r="FK6" s="1319"/>
      <c r="FL6" s="1319"/>
      <c r="FM6" s="1319"/>
      <c r="FN6" s="1319"/>
      <c r="FO6" s="1319"/>
      <c r="FP6" s="1319"/>
      <c r="FQ6" s="1320"/>
      <c r="FR6" s="968"/>
      <c r="FS6" s="1318" t="s">
        <v>1797</v>
      </c>
      <c r="FT6" s="1319"/>
      <c r="FU6" s="1319"/>
      <c r="FV6" s="1319"/>
      <c r="FW6" s="1319"/>
      <c r="FX6" s="1319"/>
      <c r="FY6" s="1319"/>
      <c r="FZ6" s="1319"/>
      <c r="GA6" s="1319"/>
      <c r="GB6" s="1319"/>
      <c r="GC6" s="1319"/>
      <c r="GD6" s="1320"/>
      <c r="GE6" s="968"/>
      <c r="GF6" s="1318" t="s">
        <v>637</v>
      </c>
      <c r="GG6" s="1319"/>
      <c r="GH6" s="1319"/>
      <c r="GI6" s="1319"/>
      <c r="GJ6" s="1319"/>
      <c r="GK6" s="1319"/>
      <c r="GL6" s="1319"/>
      <c r="GM6" s="1319"/>
      <c r="GN6" s="1319"/>
      <c r="GO6" s="1319"/>
      <c r="GP6" s="1319"/>
      <c r="GQ6" s="1320"/>
      <c r="GR6" s="968"/>
      <c r="GS6" s="1318" t="s">
        <v>693</v>
      </c>
      <c r="GT6" s="1319"/>
      <c r="GU6" s="1319"/>
      <c r="GV6" s="1319"/>
      <c r="GW6" s="1319"/>
      <c r="GX6" s="1319"/>
      <c r="GY6" s="1319"/>
      <c r="GZ6" s="1319"/>
      <c r="HA6" s="1319"/>
      <c r="HB6" s="1319"/>
      <c r="HC6" s="1319"/>
      <c r="HD6" s="1320"/>
      <c r="HE6" s="968"/>
      <c r="HF6" s="1318" t="s">
        <v>1595</v>
      </c>
      <c r="HG6" s="1319"/>
      <c r="HH6" s="1319"/>
      <c r="HI6" s="1319"/>
      <c r="HJ6" s="1319"/>
      <c r="HK6" s="1319"/>
      <c r="HL6" s="1319"/>
      <c r="HM6" s="1319"/>
      <c r="HN6" s="1319"/>
      <c r="HO6" s="1319"/>
      <c r="HP6" s="1319"/>
      <c r="HQ6" s="1320"/>
      <c r="HR6" s="968"/>
      <c r="HS6" s="1318" t="s">
        <v>139</v>
      </c>
      <c r="HT6" s="1319"/>
      <c r="HU6" s="1319"/>
      <c r="HV6" s="1319"/>
      <c r="HW6" s="1319"/>
      <c r="HX6" s="1319"/>
      <c r="HY6" s="1319"/>
      <c r="HZ6" s="1319"/>
      <c r="IA6" s="1319"/>
      <c r="IB6" s="1319"/>
      <c r="IC6" s="1319"/>
      <c r="ID6" s="1319"/>
      <c r="IE6" s="968"/>
      <c r="IF6" s="1318" t="s">
        <v>669</v>
      </c>
      <c r="IG6" s="1319"/>
      <c r="IH6" s="1319"/>
      <c r="II6" s="1319"/>
      <c r="IJ6" s="1319"/>
      <c r="IK6" s="1319"/>
      <c r="IL6" s="1319"/>
      <c r="IM6" s="1319"/>
      <c r="IN6" s="1319"/>
      <c r="IO6" s="1319"/>
      <c r="IP6" s="1319"/>
      <c r="IQ6" s="1319"/>
      <c r="IR6" s="968"/>
    </row>
    <row r="7" spans="2:252" s="205" customFormat="1" x14ac:dyDescent="0.3">
      <c r="C7" s="205" t="s">
        <v>1796</v>
      </c>
      <c r="E7" s="265">
        <f>SUM(F7:AC7)</f>
        <v>308</v>
      </c>
      <c r="F7" s="265"/>
      <c r="G7" s="1298">
        <f t="shared" ref="G7:AC7" si="0">SUM(G8:G91)</f>
        <v>22</v>
      </c>
      <c r="H7" s="1298">
        <f t="shared" si="0"/>
        <v>4</v>
      </c>
      <c r="I7" s="1298">
        <f t="shared" si="0"/>
        <v>20</v>
      </c>
      <c r="J7" s="1298">
        <f t="shared" si="0"/>
        <v>24</v>
      </c>
      <c r="K7" s="265">
        <f t="shared" si="0"/>
        <v>1</v>
      </c>
      <c r="L7" s="265">
        <f t="shared" si="0"/>
        <v>26</v>
      </c>
      <c r="M7" s="265">
        <f t="shared" si="0"/>
        <v>2</v>
      </c>
      <c r="N7" s="265">
        <f t="shared" si="0"/>
        <v>30</v>
      </c>
      <c r="O7" s="265">
        <f t="shared" si="0"/>
        <v>6</v>
      </c>
      <c r="P7" s="265">
        <f t="shared" si="0"/>
        <v>3</v>
      </c>
      <c r="Q7" s="265">
        <f t="shared" si="0"/>
        <v>21</v>
      </c>
      <c r="R7" s="265">
        <f t="shared" si="0"/>
        <v>34</v>
      </c>
      <c r="S7" s="265">
        <f t="shared" si="0"/>
        <v>16</v>
      </c>
      <c r="T7" s="265">
        <f t="shared" si="0"/>
        <v>0</v>
      </c>
      <c r="U7" s="265">
        <f t="shared" si="0"/>
        <v>0</v>
      </c>
      <c r="V7" s="265">
        <f t="shared" si="0"/>
        <v>0</v>
      </c>
      <c r="W7" s="265">
        <f t="shared" si="0"/>
        <v>0</v>
      </c>
      <c r="X7" s="265">
        <f t="shared" si="0"/>
        <v>20</v>
      </c>
      <c r="Y7" s="265">
        <f t="shared" si="0"/>
        <v>0</v>
      </c>
      <c r="Z7" s="265">
        <f t="shared" si="0"/>
        <v>0</v>
      </c>
      <c r="AA7" s="265">
        <f t="shared" si="0"/>
        <v>12</v>
      </c>
      <c r="AB7" s="265">
        <f t="shared" si="0"/>
        <v>14</v>
      </c>
      <c r="AC7" s="265">
        <f t="shared" si="0"/>
        <v>53</v>
      </c>
      <c r="AD7" s="968"/>
      <c r="AE7" s="265">
        <f>SUM(AF7:AU7)</f>
        <v>746</v>
      </c>
      <c r="AF7" s="265"/>
      <c r="AG7" s="265">
        <f t="shared" ref="AG7:AQ7" si="1">SUM(AG8:AG91)</f>
        <v>424</v>
      </c>
      <c r="AH7" s="265">
        <f t="shared" si="1"/>
        <v>88</v>
      </c>
      <c r="AI7" s="265">
        <f t="shared" si="1"/>
        <v>228</v>
      </c>
      <c r="AJ7" s="265">
        <f t="shared" si="1"/>
        <v>2</v>
      </c>
      <c r="AK7" s="265">
        <f t="shared" si="1"/>
        <v>0</v>
      </c>
      <c r="AL7" s="265">
        <f t="shared" si="1"/>
        <v>0</v>
      </c>
      <c r="AM7" s="265">
        <f t="shared" si="1"/>
        <v>3</v>
      </c>
      <c r="AN7" s="265">
        <f t="shared" si="1"/>
        <v>0</v>
      </c>
      <c r="AO7" s="265">
        <f t="shared" si="1"/>
        <v>0</v>
      </c>
      <c r="AP7" s="265">
        <f t="shared" si="1"/>
        <v>0</v>
      </c>
      <c r="AQ7" s="265">
        <f t="shared" si="1"/>
        <v>1</v>
      </c>
      <c r="AR7" s="265"/>
      <c r="AS7" s="265"/>
      <c r="AT7" s="265"/>
      <c r="AU7" s="265">
        <f>SUM(AU8:AU91)</f>
        <v>0</v>
      </c>
      <c r="AV7" s="968"/>
      <c r="AW7" s="265">
        <f>SUM(AX7:BM7)</f>
        <v>11</v>
      </c>
      <c r="AX7" s="265"/>
      <c r="AY7" s="265">
        <f t="shared" ref="AY7:BI7" si="2">SUM(AY8:AY91)</f>
        <v>0</v>
      </c>
      <c r="AZ7" s="265">
        <f t="shared" si="2"/>
        <v>0</v>
      </c>
      <c r="BA7" s="265">
        <f t="shared" si="2"/>
        <v>1</v>
      </c>
      <c r="BB7" s="265">
        <f t="shared" si="2"/>
        <v>7</v>
      </c>
      <c r="BC7" s="265">
        <f t="shared" si="2"/>
        <v>0</v>
      </c>
      <c r="BD7" s="265">
        <f t="shared" si="2"/>
        <v>2</v>
      </c>
      <c r="BE7" s="265">
        <f t="shared" si="2"/>
        <v>1</v>
      </c>
      <c r="BF7" s="265">
        <f t="shared" si="2"/>
        <v>0</v>
      </c>
      <c r="BG7" s="265">
        <f t="shared" si="2"/>
        <v>0</v>
      </c>
      <c r="BH7" s="265">
        <f t="shared" si="2"/>
        <v>0</v>
      </c>
      <c r="BI7" s="265">
        <f t="shared" si="2"/>
        <v>0</v>
      </c>
      <c r="BJ7" s="265"/>
      <c r="BK7" s="265"/>
      <c r="BL7" s="265"/>
      <c r="BM7" s="265">
        <f>SUM(BM8:BM91)</f>
        <v>0</v>
      </c>
      <c r="BN7" s="968"/>
      <c r="BO7" s="265">
        <f>SUM(BP7:CD7)</f>
        <v>149</v>
      </c>
      <c r="BP7" s="265"/>
      <c r="BQ7" s="265">
        <f t="shared" ref="BQ7:BY7" si="3">SUM(BQ8:BQ91)</f>
        <v>88</v>
      </c>
      <c r="BR7" s="265">
        <f t="shared" si="3"/>
        <v>8</v>
      </c>
      <c r="BS7" s="265">
        <f t="shared" si="3"/>
        <v>46</v>
      </c>
      <c r="BT7" s="265">
        <f t="shared" si="3"/>
        <v>2</v>
      </c>
      <c r="BU7" s="265">
        <f t="shared" si="3"/>
        <v>4</v>
      </c>
      <c r="BV7" s="265">
        <f t="shared" si="3"/>
        <v>0</v>
      </c>
      <c r="BW7" s="265">
        <f t="shared" si="3"/>
        <v>0</v>
      </c>
      <c r="BX7" s="265">
        <f t="shared" si="3"/>
        <v>0</v>
      </c>
      <c r="BY7" s="265">
        <f t="shared" si="3"/>
        <v>1</v>
      </c>
      <c r="BZ7" s="265"/>
      <c r="CA7" s="265"/>
      <c r="CB7" s="265"/>
      <c r="CC7" s="265">
        <f>SUM(CC8:CC91)</f>
        <v>0</v>
      </c>
      <c r="CD7" s="968"/>
      <c r="CE7" s="265">
        <f>SUM(CF7:CQ7)</f>
        <v>1</v>
      </c>
      <c r="CF7" s="265"/>
      <c r="CG7" s="265">
        <f t="shared" ref="CG7:CL7" si="4">SUM(CG8:CG91)</f>
        <v>0</v>
      </c>
      <c r="CH7" s="265">
        <f t="shared" si="4"/>
        <v>0</v>
      </c>
      <c r="CI7" s="265">
        <f t="shared" si="4"/>
        <v>0</v>
      </c>
      <c r="CJ7" s="265">
        <f t="shared" si="4"/>
        <v>1</v>
      </c>
      <c r="CK7" s="265">
        <f t="shared" si="4"/>
        <v>0</v>
      </c>
      <c r="CL7" s="265">
        <f t="shared" si="4"/>
        <v>0</v>
      </c>
      <c r="CM7" s="265"/>
      <c r="CN7" s="265"/>
      <c r="CO7" s="265"/>
      <c r="CP7" s="265">
        <f>SUM(CP8:CP91)</f>
        <v>0</v>
      </c>
      <c r="CQ7" s="968"/>
      <c r="CR7" s="265">
        <f>SUM(CS7:DD7)</f>
        <v>2</v>
      </c>
      <c r="CS7" s="265"/>
      <c r="CT7" s="265">
        <f t="shared" ref="CT7:DC7" si="5">SUM(CT8:CT91)</f>
        <v>0</v>
      </c>
      <c r="CU7" s="265">
        <f t="shared" si="5"/>
        <v>0</v>
      </c>
      <c r="CV7" s="265">
        <f t="shared" si="5"/>
        <v>0</v>
      </c>
      <c r="CW7" s="265">
        <f t="shared" si="5"/>
        <v>2</v>
      </c>
      <c r="CX7" s="265">
        <f t="shared" si="5"/>
        <v>0</v>
      </c>
      <c r="CY7" s="265">
        <f t="shared" si="5"/>
        <v>0</v>
      </c>
      <c r="CZ7" s="265">
        <f t="shared" si="5"/>
        <v>0</v>
      </c>
      <c r="DA7" s="265">
        <f t="shared" si="5"/>
        <v>0</v>
      </c>
      <c r="DB7" s="265">
        <f t="shared" si="5"/>
        <v>0</v>
      </c>
      <c r="DC7" s="265">
        <f t="shared" si="5"/>
        <v>0</v>
      </c>
      <c r="DD7" s="968"/>
      <c r="DE7" s="265">
        <f>SUM(DF7:DR7)</f>
        <v>1</v>
      </c>
      <c r="DF7" s="265"/>
      <c r="DG7" s="265">
        <f t="shared" ref="DG7:DQ7" si="6">SUM(DG8:DG91)</f>
        <v>0</v>
      </c>
      <c r="DH7" s="265">
        <f t="shared" si="6"/>
        <v>0</v>
      </c>
      <c r="DI7" s="265">
        <f t="shared" si="6"/>
        <v>0</v>
      </c>
      <c r="DJ7" s="265">
        <f t="shared" si="6"/>
        <v>0</v>
      </c>
      <c r="DK7" s="265">
        <f t="shared" si="6"/>
        <v>0</v>
      </c>
      <c r="DL7" s="265">
        <f t="shared" si="6"/>
        <v>0</v>
      </c>
      <c r="DM7" s="265">
        <f t="shared" si="6"/>
        <v>0</v>
      </c>
      <c r="DN7" s="265">
        <f t="shared" si="6"/>
        <v>0</v>
      </c>
      <c r="DO7" s="265">
        <f t="shared" si="6"/>
        <v>1</v>
      </c>
      <c r="DP7" s="265">
        <f t="shared" si="6"/>
        <v>0</v>
      </c>
      <c r="DQ7" s="265">
        <f t="shared" si="6"/>
        <v>0</v>
      </c>
      <c r="DR7" s="968"/>
      <c r="DS7" s="265">
        <f>SUM(DT7:EE7)</f>
        <v>0</v>
      </c>
      <c r="DT7" s="265"/>
      <c r="DU7" s="265">
        <f t="shared" ref="DU7:DZ7" si="7">SUM(DU8:DU91)</f>
        <v>0</v>
      </c>
      <c r="DV7" s="265">
        <f t="shared" si="7"/>
        <v>0</v>
      </c>
      <c r="DW7" s="265">
        <f t="shared" si="7"/>
        <v>0</v>
      </c>
      <c r="DX7" s="265">
        <f t="shared" si="7"/>
        <v>0</v>
      </c>
      <c r="DY7" s="265">
        <f t="shared" si="7"/>
        <v>0</v>
      </c>
      <c r="DZ7" s="265">
        <f t="shared" si="7"/>
        <v>0</v>
      </c>
      <c r="EA7" s="265"/>
      <c r="EB7" s="265"/>
      <c r="EC7" s="265"/>
      <c r="ED7" s="265">
        <f>SUM(ED8:ED91)</f>
        <v>0</v>
      </c>
      <c r="EE7" s="968"/>
      <c r="EF7" s="265">
        <f>SUM(EG7:ER7)</f>
        <v>0</v>
      </c>
      <c r="EG7" s="265"/>
      <c r="EH7" s="265">
        <f t="shared" ref="EH7:EQ7" si="8">SUM(EH8:EH91)</f>
        <v>0</v>
      </c>
      <c r="EI7" s="265">
        <f t="shared" si="8"/>
        <v>0</v>
      </c>
      <c r="EJ7" s="265">
        <f t="shared" si="8"/>
        <v>0</v>
      </c>
      <c r="EK7" s="265">
        <f t="shared" si="8"/>
        <v>0</v>
      </c>
      <c r="EL7" s="265">
        <f t="shared" si="8"/>
        <v>0</v>
      </c>
      <c r="EM7" s="265">
        <f t="shared" si="8"/>
        <v>0</v>
      </c>
      <c r="EN7" s="265">
        <f t="shared" si="8"/>
        <v>0</v>
      </c>
      <c r="EO7" s="265">
        <f t="shared" si="8"/>
        <v>0</v>
      </c>
      <c r="EP7" s="265">
        <f t="shared" si="8"/>
        <v>0</v>
      </c>
      <c r="EQ7" s="265">
        <f t="shared" si="8"/>
        <v>0</v>
      </c>
      <c r="ER7" s="968"/>
      <c r="ES7" s="265">
        <f>SUM(ET7:FE7)</f>
        <v>0</v>
      </c>
      <c r="ET7" s="265"/>
      <c r="EU7" s="265">
        <f>SUM(EU8:EU91)</f>
        <v>0</v>
      </c>
      <c r="EV7" s="265">
        <f>SUM(EV8:EV91)</f>
        <v>0</v>
      </c>
      <c r="EW7" s="265">
        <f>SUM(EW8:EW91)</f>
        <v>0</v>
      </c>
      <c r="EX7" s="265">
        <f>SUM(EX8:EX91)</f>
        <v>0</v>
      </c>
      <c r="EY7" s="265">
        <f>SUM(EY8:EY91)</f>
        <v>0</v>
      </c>
      <c r="EZ7" s="265"/>
      <c r="FA7" s="265"/>
      <c r="FB7" s="265"/>
      <c r="FC7" s="265"/>
      <c r="FD7" s="265">
        <f>SUM(FD8:FD91)</f>
        <v>0</v>
      </c>
      <c r="FE7" s="968"/>
      <c r="FF7" s="265">
        <f>SUM(FG7:FR7)</f>
        <v>0</v>
      </c>
      <c r="FG7" s="265"/>
      <c r="FH7" s="265">
        <f>SUM(FH8:FH91)</f>
        <v>0</v>
      </c>
      <c r="FI7" s="265">
        <f>SUM(FI8:FI91)</f>
        <v>0</v>
      </c>
      <c r="FJ7" s="265">
        <f>SUM(FJ8:FJ91)</f>
        <v>0</v>
      </c>
      <c r="FK7" s="265">
        <f>SUM(FK8:FK91)</f>
        <v>0</v>
      </c>
      <c r="FL7" s="265">
        <f>SUM(FL8:FL91)</f>
        <v>0</v>
      </c>
      <c r="FM7" s="265"/>
      <c r="FN7" s="265"/>
      <c r="FO7" s="265"/>
      <c r="FP7" s="265"/>
      <c r="FQ7" s="265">
        <f>SUM(FQ8:FQ91)</f>
        <v>0</v>
      </c>
      <c r="FR7" s="968"/>
      <c r="FS7" s="265">
        <f>SUM(FT7:GE7)</f>
        <v>0</v>
      </c>
      <c r="FT7" s="265"/>
      <c r="FU7" s="265">
        <f>SUM(FU8:FU91)</f>
        <v>0</v>
      </c>
      <c r="FV7" s="265">
        <f>SUM(FV8:FV91)</f>
        <v>0</v>
      </c>
      <c r="FW7" s="265">
        <f>SUM(FW8:FW91)</f>
        <v>0</v>
      </c>
      <c r="FX7" s="265">
        <f>SUM(FX8:FX91)</f>
        <v>0</v>
      </c>
      <c r="FY7" s="265">
        <f>SUM(FY8:FY91)</f>
        <v>0</v>
      </c>
      <c r="FZ7" s="265"/>
      <c r="GA7" s="265"/>
      <c r="GB7" s="265"/>
      <c r="GC7" s="265"/>
      <c r="GD7" s="265">
        <f>SUM(GD8:GD91)</f>
        <v>0</v>
      </c>
      <c r="GE7" s="968"/>
      <c r="GF7" s="265">
        <f>SUM(GG7:GR7)</f>
        <v>0</v>
      </c>
      <c r="GG7" s="265"/>
      <c r="GH7" s="265">
        <f>SUM(GH8:GH91)</f>
        <v>0</v>
      </c>
      <c r="GI7" s="265">
        <f>SUM(GI8:GI91)</f>
        <v>0</v>
      </c>
      <c r="GJ7" s="265">
        <f>SUM(GJ8:GJ91)</f>
        <v>0</v>
      </c>
      <c r="GK7" s="265">
        <f>SUM(GK8:GK91)</f>
        <v>0</v>
      </c>
      <c r="GL7" s="265">
        <f>SUM(GL8:GL91)</f>
        <v>0</v>
      </c>
      <c r="GM7" s="265"/>
      <c r="GN7" s="265"/>
      <c r="GO7" s="265"/>
      <c r="GP7" s="265"/>
      <c r="GQ7" s="265">
        <f>SUM(GQ8:GQ91)</f>
        <v>0</v>
      </c>
      <c r="GR7" s="968"/>
      <c r="GS7" s="265">
        <f>SUM(GT7:HE7)</f>
        <v>0</v>
      </c>
      <c r="GT7" s="265"/>
      <c r="GU7" s="265">
        <f>SUM(GU8:GU91)</f>
        <v>0</v>
      </c>
      <c r="GV7" s="265">
        <f>SUM(GV8:GV91)</f>
        <v>0</v>
      </c>
      <c r="GW7" s="265">
        <f>SUM(GW8:GW91)</f>
        <v>0</v>
      </c>
      <c r="GX7" s="265">
        <f>SUM(GX8:GX91)</f>
        <v>0</v>
      </c>
      <c r="GY7" s="265">
        <f>SUM(GY8:GY91)</f>
        <v>0</v>
      </c>
      <c r="GZ7" s="265"/>
      <c r="HA7" s="265"/>
      <c r="HB7" s="265"/>
      <c r="HC7" s="265"/>
      <c r="HD7" s="265">
        <f>SUM(HD8:HD91)</f>
        <v>0</v>
      </c>
      <c r="HE7" s="968"/>
      <c r="HF7" s="265">
        <f>SUM(HG7:HR7)</f>
        <v>0</v>
      </c>
      <c r="HG7" s="265"/>
      <c r="HH7" s="265">
        <f>SUM(HH8:HH91)</f>
        <v>0</v>
      </c>
      <c r="HI7" s="265">
        <f>SUM(HI8:HI91)</f>
        <v>0</v>
      </c>
      <c r="HJ7" s="265">
        <f>SUM(HJ8:HJ91)</f>
        <v>0</v>
      </c>
      <c r="HK7" s="265">
        <f>SUM(HK8:HK91)</f>
        <v>0</v>
      </c>
      <c r="HL7" s="265">
        <f>SUM(HL8:HL91)</f>
        <v>0</v>
      </c>
      <c r="HM7" s="265"/>
      <c r="HN7" s="265"/>
      <c r="HO7" s="265"/>
      <c r="HP7" s="265"/>
      <c r="HQ7" s="265">
        <f>SUM(HQ8:HQ91)</f>
        <v>0</v>
      </c>
      <c r="HR7" s="968"/>
      <c r="HS7" s="265">
        <f>SUM(HT7:IE7)</f>
        <v>0</v>
      </c>
      <c r="HT7" s="265"/>
      <c r="HU7" s="265">
        <f t="shared" ref="HU7:ID7" si="9">SUM(HU8:HU91)</f>
        <v>0</v>
      </c>
      <c r="HV7" s="265">
        <f t="shared" si="9"/>
        <v>0</v>
      </c>
      <c r="HW7" s="265">
        <f t="shared" si="9"/>
        <v>0</v>
      </c>
      <c r="HX7" s="265">
        <f t="shared" si="9"/>
        <v>0</v>
      </c>
      <c r="HY7" s="265">
        <f t="shared" si="9"/>
        <v>0</v>
      </c>
      <c r="HZ7" s="265">
        <f t="shared" si="9"/>
        <v>0</v>
      </c>
      <c r="IA7" s="265">
        <f t="shared" si="9"/>
        <v>0</v>
      </c>
      <c r="IB7" s="265">
        <f t="shared" si="9"/>
        <v>0</v>
      </c>
      <c r="IC7" s="265">
        <f t="shared" si="9"/>
        <v>0</v>
      </c>
      <c r="ID7" s="265">
        <f t="shared" si="9"/>
        <v>0</v>
      </c>
      <c r="IE7" s="968"/>
      <c r="IF7" s="265">
        <f>SUM(IG7:IR7)</f>
        <v>0</v>
      </c>
      <c r="IG7" s="265"/>
      <c r="IH7" s="265">
        <f t="shared" ref="IH7:IQ7" si="10">SUM(IH8:IH91)</f>
        <v>0</v>
      </c>
      <c r="II7" s="265">
        <f t="shared" si="10"/>
        <v>0</v>
      </c>
      <c r="IJ7" s="265">
        <f t="shared" si="10"/>
        <v>0</v>
      </c>
      <c r="IK7" s="265">
        <f t="shared" si="10"/>
        <v>0</v>
      </c>
      <c r="IL7" s="265">
        <f t="shared" si="10"/>
        <v>0</v>
      </c>
      <c r="IM7" s="265">
        <f t="shared" si="10"/>
        <v>0</v>
      </c>
      <c r="IN7" s="265">
        <f t="shared" si="10"/>
        <v>0</v>
      </c>
      <c r="IO7" s="265">
        <f t="shared" si="10"/>
        <v>0</v>
      </c>
      <c r="IP7" s="265">
        <f t="shared" si="10"/>
        <v>0</v>
      </c>
      <c r="IQ7" s="265">
        <f t="shared" si="10"/>
        <v>0</v>
      </c>
      <c r="IR7" s="968"/>
    </row>
    <row r="8" spans="2:252" x14ac:dyDescent="0.3">
      <c r="C8" t="s">
        <v>1866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967"/>
      <c r="AE8" s="8"/>
      <c r="AF8" s="8"/>
      <c r="AG8" s="8"/>
      <c r="AH8" s="8"/>
      <c r="AI8" s="8"/>
      <c r="AJ8" s="8"/>
      <c r="AK8" s="8"/>
      <c r="AL8" s="8" t="s">
        <v>107</v>
      </c>
      <c r="AM8" s="8" t="s">
        <v>107</v>
      </c>
      <c r="AN8" s="8"/>
      <c r="AO8" s="8"/>
      <c r="AP8" s="8"/>
      <c r="AQ8" s="8">
        <v>1</v>
      </c>
      <c r="AR8" s="8"/>
      <c r="AS8" s="8"/>
      <c r="AT8" s="8"/>
      <c r="AU8" s="8"/>
      <c r="AV8" s="967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967"/>
      <c r="BO8" s="8"/>
      <c r="BP8" s="8"/>
      <c r="BQ8" s="8"/>
      <c r="BR8" s="8"/>
      <c r="BS8" s="8"/>
      <c r="BT8" s="8"/>
      <c r="BU8" s="8"/>
      <c r="BV8" s="8"/>
      <c r="BW8" s="8"/>
      <c r="BX8" s="8"/>
      <c r="BY8" s="8">
        <v>1</v>
      </c>
      <c r="BZ8" s="8"/>
      <c r="CA8" s="8"/>
      <c r="CB8" s="8"/>
      <c r="CC8" s="8"/>
      <c r="CD8" s="967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967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967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1</v>
      </c>
      <c r="DP8" s="8" t="s">
        <v>107</v>
      </c>
      <c r="DQ8" s="8" t="s">
        <v>107</v>
      </c>
      <c r="DR8" s="967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967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967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967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967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967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967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967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967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967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967"/>
    </row>
    <row r="9" spans="2:252" x14ac:dyDescent="0.3">
      <c r="B9" t="s">
        <v>681</v>
      </c>
      <c r="C9" t="s">
        <v>2364</v>
      </c>
      <c r="E9" s="8">
        <f t="shared" ref="E9:E22" si="11">SUM(F9:AC9)</f>
        <v>40</v>
      </c>
      <c r="F9" s="8"/>
      <c r="G9" s="8">
        <v>14</v>
      </c>
      <c r="H9" s="8">
        <v>4</v>
      </c>
      <c r="I9" s="8">
        <v>10</v>
      </c>
      <c r="J9" s="8">
        <v>12</v>
      </c>
      <c r="K9" s="8" t="s">
        <v>107</v>
      </c>
      <c r="L9" s="8" t="s">
        <v>107</v>
      </c>
      <c r="M9" s="8" t="s">
        <v>107</v>
      </c>
      <c r="N9" s="8" t="s">
        <v>107</v>
      </c>
      <c r="O9" s="8" t="s">
        <v>107</v>
      </c>
      <c r="P9" s="8" t="s">
        <v>107</v>
      </c>
      <c r="Q9" s="8" t="s">
        <v>107</v>
      </c>
      <c r="R9" s="8" t="s">
        <v>107</v>
      </c>
      <c r="S9" s="8" t="s">
        <v>107</v>
      </c>
      <c r="T9" s="8" t="s">
        <v>107</v>
      </c>
      <c r="U9" s="8" t="s">
        <v>107</v>
      </c>
      <c r="V9" s="8" t="s">
        <v>107</v>
      </c>
      <c r="W9" s="8" t="s">
        <v>107</v>
      </c>
      <c r="X9" s="8" t="s">
        <v>107</v>
      </c>
      <c r="Y9" s="8" t="s">
        <v>107</v>
      </c>
      <c r="Z9" s="8" t="s">
        <v>107</v>
      </c>
      <c r="AA9" s="8" t="s">
        <v>107</v>
      </c>
      <c r="AB9" s="8" t="s">
        <v>107</v>
      </c>
      <c r="AC9" s="8" t="s">
        <v>107</v>
      </c>
      <c r="AD9" s="967"/>
      <c r="AE9" s="8">
        <f t="shared" ref="AE9:AE21" si="12">SUM(AF9:AU9)</f>
        <v>478</v>
      </c>
      <c r="AF9" s="8"/>
      <c r="AG9" s="8">
        <v>265</v>
      </c>
      <c r="AH9" s="8">
        <v>88</v>
      </c>
      <c r="AI9" s="8">
        <v>123</v>
      </c>
      <c r="AJ9" s="8">
        <v>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67"/>
      <c r="AW9" s="8">
        <f t="shared" ref="AW9:AW23" si="13">SUM(AX9:BM9)</f>
        <v>8</v>
      </c>
      <c r="AX9" s="8"/>
      <c r="AY9" s="8">
        <v>0</v>
      </c>
      <c r="AZ9" s="8">
        <v>0</v>
      </c>
      <c r="BA9" s="8">
        <v>1</v>
      </c>
      <c r="BB9" s="8">
        <v>7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967"/>
      <c r="BO9" s="8">
        <f t="shared" ref="BO9:BO23" si="14">SUM(BP9:CC9)</f>
        <v>68</v>
      </c>
      <c r="BP9" s="8"/>
      <c r="BQ9" s="8">
        <v>48</v>
      </c>
      <c r="BR9" s="8">
        <v>8</v>
      </c>
      <c r="BS9" s="8">
        <v>12</v>
      </c>
      <c r="BT9" s="8"/>
      <c r="BU9" s="8"/>
      <c r="BV9" s="8"/>
      <c r="BW9" s="8"/>
      <c r="BX9" s="8"/>
      <c r="BY9" s="8"/>
      <c r="BZ9" s="8"/>
      <c r="CA9" s="8"/>
      <c r="CB9" s="8"/>
      <c r="CC9" s="8"/>
      <c r="CD9" s="967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967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967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967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967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967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967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967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967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967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967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967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967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967"/>
    </row>
    <row r="10" spans="2:252" x14ac:dyDescent="0.3">
      <c r="B10" t="s">
        <v>681</v>
      </c>
      <c r="C10" t="s">
        <v>2002</v>
      </c>
      <c r="E10" s="8">
        <f t="shared" si="11"/>
        <v>4</v>
      </c>
      <c r="F10" s="8"/>
      <c r="G10" s="8" t="s">
        <v>107</v>
      </c>
      <c r="H10" s="8" t="s">
        <v>107</v>
      </c>
      <c r="I10" s="8" t="s">
        <v>107</v>
      </c>
      <c r="J10" s="8" t="s">
        <v>107</v>
      </c>
      <c r="K10" s="8" t="s">
        <v>107</v>
      </c>
      <c r="L10" s="8" t="s">
        <v>107</v>
      </c>
      <c r="M10" s="8" t="s">
        <v>107</v>
      </c>
      <c r="N10" s="8" t="s">
        <v>107</v>
      </c>
      <c r="O10" s="8" t="s">
        <v>107</v>
      </c>
      <c r="P10" s="8" t="s">
        <v>107</v>
      </c>
      <c r="Q10" s="8" t="s">
        <v>107</v>
      </c>
      <c r="R10" s="8" t="s">
        <v>107</v>
      </c>
      <c r="S10" s="8" t="s">
        <v>107</v>
      </c>
      <c r="T10" s="8" t="s">
        <v>107</v>
      </c>
      <c r="U10" s="8" t="s">
        <v>107</v>
      </c>
      <c r="V10" s="8" t="s">
        <v>107</v>
      </c>
      <c r="W10" s="8" t="s">
        <v>107</v>
      </c>
      <c r="X10" s="8">
        <v>4</v>
      </c>
      <c r="Y10" s="8"/>
      <c r="Z10" s="8"/>
      <c r="AA10" s="8" t="s">
        <v>107</v>
      </c>
      <c r="AB10" s="8" t="s">
        <v>107</v>
      </c>
      <c r="AC10" s="8" t="s">
        <v>107</v>
      </c>
      <c r="AD10" s="967"/>
      <c r="AE10" s="8">
        <f t="shared" si="12"/>
        <v>0</v>
      </c>
      <c r="AF10" s="8"/>
      <c r="AG10" s="8" t="s">
        <v>107</v>
      </c>
      <c r="AH10" s="8" t="s">
        <v>107</v>
      </c>
      <c r="AI10" s="8" t="s">
        <v>107</v>
      </c>
      <c r="AJ10" s="8"/>
      <c r="AK10" s="8"/>
      <c r="AL10" s="8" t="s">
        <v>107</v>
      </c>
      <c r="AM10" s="8" t="s">
        <v>107</v>
      </c>
      <c r="AN10" s="8"/>
      <c r="AO10" s="8"/>
      <c r="AP10" s="8"/>
      <c r="AQ10" s="8"/>
      <c r="AR10" s="8"/>
      <c r="AS10" s="8" t="s">
        <v>107</v>
      </c>
      <c r="AT10" s="8" t="s">
        <v>107</v>
      </c>
      <c r="AU10" s="8" t="s">
        <v>107</v>
      </c>
      <c r="AV10" s="967"/>
      <c r="AW10" s="8">
        <f t="shared" si="13"/>
        <v>0</v>
      </c>
      <c r="AX10" s="8"/>
      <c r="AY10" s="8" t="s">
        <v>107</v>
      </c>
      <c r="AZ10" s="8" t="s">
        <v>107</v>
      </c>
      <c r="BA10" s="8" t="s">
        <v>107</v>
      </c>
      <c r="BB10" s="8"/>
      <c r="BC10" s="8"/>
      <c r="BD10" s="8" t="s">
        <v>107</v>
      </c>
      <c r="BE10" s="8" t="s">
        <v>107</v>
      </c>
      <c r="BF10" s="8"/>
      <c r="BG10" s="8"/>
      <c r="BH10" s="8"/>
      <c r="BI10" s="8"/>
      <c r="BJ10" s="8"/>
      <c r="BK10" s="8" t="s">
        <v>107</v>
      </c>
      <c r="BL10" s="8" t="s">
        <v>107</v>
      </c>
      <c r="BM10" s="8" t="s">
        <v>107</v>
      </c>
      <c r="BN10" s="967"/>
      <c r="BO10" s="8">
        <f t="shared" si="14"/>
        <v>0</v>
      </c>
      <c r="BP10" s="8"/>
      <c r="BQ10" s="8" t="s">
        <v>107</v>
      </c>
      <c r="BR10" s="8" t="s">
        <v>107</v>
      </c>
      <c r="BS10" s="8" t="s">
        <v>107</v>
      </c>
      <c r="BT10" s="8" t="s">
        <v>107</v>
      </c>
      <c r="BU10" s="8" t="s">
        <v>107</v>
      </c>
      <c r="BV10" s="8"/>
      <c r="BW10" s="8"/>
      <c r="BX10" s="8"/>
      <c r="BY10" s="8"/>
      <c r="BZ10" s="8"/>
      <c r="CA10" s="8" t="s">
        <v>107</v>
      </c>
      <c r="CB10" s="8" t="s">
        <v>107</v>
      </c>
      <c r="CC10" s="8" t="s">
        <v>107</v>
      </c>
      <c r="CD10" s="967"/>
      <c r="CE10" s="8">
        <f t="shared" ref="CE10:CE23" si="15">SUM(CF10:CP10)</f>
        <v>0</v>
      </c>
      <c r="CF10" s="8"/>
      <c r="CG10" s="8" t="s">
        <v>107</v>
      </c>
      <c r="CH10" s="8" t="s">
        <v>107</v>
      </c>
      <c r="CI10" s="8"/>
      <c r="CJ10" s="8"/>
      <c r="CK10" s="8"/>
      <c r="CL10" s="8"/>
      <c r="CM10" s="8"/>
      <c r="CN10" s="8" t="s">
        <v>107</v>
      </c>
      <c r="CO10" s="8" t="s">
        <v>107</v>
      </c>
      <c r="CP10" s="8" t="s">
        <v>107</v>
      </c>
      <c r="CQ10" s="967"/>
      <c r="CR10" s="8">
        <f t="shared" ref="CR10:CR23" si="16">SUM(CS10:DC10)</f>
        <v>0</v>
      </c>
      <c r="CS10" s="8"/>
      <c r="CT10" s="8" t="s">
        <v>107</v>
      </c>
      <c r="CU10" s="8" t="s">
        <v>107</v>
      </c>
      <c r="CV10" s="8"/>
      <c r="CW10" s="8"/>
      <c r="CX10" s="8"/>
      <c r="CY10" s="8"/>
      <c r="CZ10" s="8"/>
      <c r="DA10" s="8" t="s">
        <v>107</v>
      </c>
      <c r="DB10" s="8" t="s">
        <v>107</v>
      </c>
      <c r="DC10" s="8" t="s">
        <v>107</v>
      </c>
      <c r="DD10" s="967"/>
      <c r="DE10" s="8">
        <f t="shared" ref="DE10:DE23" si="17">SUM(DF10:DQ10)</f>
        <v>0</v>
      </c>
      <c r="DF10" s="8"/>
      <c r="DG10" s="8" t="s">
        <v>107</v>
      </c>
      <c r="DH10" s="8" t="s">
        <v>107</v>
      </c>
      <c r="DI10" s="8"/>
      <c r="DJ10" s="8"/>
      <c r="DK10" s="8"/>
      <c r="DL10" s="8"/>
      <c r="DM10" s="8"/>
      <c r="DN10" s="8"/>
      <c r="DO10" s="8" t="s">
        <v>107</v>
      </c>
      <c r="DP10" s="8" t="s">
        <v>107</v>
      </c>
      <c r="DQ10" s="8" t="s">
        <v>107</v>
      </c>
      <c r="DR10" s="967"/>
      <c r="DS10" s="8">
        <f t="shared" ref="DS10:DS23" si="18">SUM(DT10:ED10)</f>
        <v>0</v>
      </c>
      <c r="DT10" s="8"/>
      <c r="DU10" s="8" t="s">
        <v>107</v>
      </c>
      <c r="DV10" s="8" t="s">
        <v>107</v>
      </c>
      <c r="DW10" s="8"/>
      <c r="DX10" s="8"/>
      <c r="DY10" s="8"/>
      <c r="DZ10" s="8"/>
      <c r="EA10" s="8"/>
      <c r="EB10" s="8" t="s">
        <v>107</v>
      </c>
      <c r="EC10" s="8" t="s">
        <v>107</v>
      </c>
      <c r="ED10" s="8" t="s">
        <v>107</v>
      </c>
      <c r="EE10" s="967"/>
      <c r="EF10" s="8">
        <f t="shared" ref="EF10:EF23" si="19">SUM(EG10:EQ10)</f>
        <v>0</v>
      </c>
      <c r="EG10" s="8"/>
      <c r="EH10" s="8" t="s">
        <v>107</v>
      </c>
      <c r="EI10" s="8" t="s">
        <v>107</v>
      </c>
      <c r="EJ10" s="8"/>
      <c r="EK10" s="8"/>
      <c r="EL10" s="8"/>
      <c r="EM10" s="8"/>
      <c r="EN10" s="8"/>
      <c r="EO10" s="8" t="s">
        <v>107</v>
      </c>
      <c r="EP10" s="8" t="s">
        <v>107</v>
      </c>
      <c r="EQ10" s="8" t="s">
        <v>107</v>
      </c>
      <c r="ER10" s="967"/>
      <c r="ES10" s="8">
        <f t="shared" ref="ES10:ES23" si="20">SUM(ET10:FD10)</f>
        <v>0</v>
      </c>
      <c r="ET10" s="8"/>
      <c r="EU10" s="8" t="s">
        <v>107</v>
      </c>
      <c r="EV10" s="8" t="s">
        <v>107</v>
      </c>
      <c r="EW10" s="8"/>
      <c r="EX10" s="8"/>
      <c r="EY10" s="8"/>
      <c r="EZ10" s="8"/>
      <c r="FA10" s="8"/>
      <c r="FB10" s="8" t="s">
        <v>107</v>
      </c>
      <c r="FC10" s="8" t="s">
        <v>107</v>
      </c>
      <c r="FD10" s="8" t="s">
        <v>107</v>
      </c>
      <c r="FE10" s="967"/>
      <c r="FF10" s="8">
        <f t="shared" ref="FF10:FF23" si="21">SUM(FG10:FQ10)</f>
        <v>0</v>
      </c>
      <c r="FG10" s="8"/>
      <c r="FH10" s="8" t="s">
        <v>107</v>
      </c>
      <c r="FI10" s="8" t="s">
        <v>107</v>
      </c>
      <c r="FJ10" s="8"/>
      <c r="FK10" s="8"/>
      <c r="FL10" s="8"/>
      <c r="FM10" s="8"/>
      <c r="FN10" s="8"/>
      <c r="FO10" s="8" t="s">
        <v>107</v>
      </c>
      <c r="FP10" s="8" t="s">
        <v>107</v>
      </c>
      <c r="FQ10" s="8" t="s">
        <v>107</v>
      </c>
      <c r="FR10" s="967"/>
      <c r="FS10" s="8">
        <f t="shared" ref="FS10:FS23" si="22">SUM(FT10:GD10)</f>
        <v>0</v>
      </c>
      <c r="FT10" s="8"/>
      <c r="FU10" s="8" t="s">
        <v>107</v>
      </c>
      <c r="FV10" s="8" t="s">
        <v>107</v>
      </c>
      <c r="FW10" s="8"/>
      <c r="FX10" s="8"/>
      <c r="FY10" s="8"/>
      <c r="FZ10" s="8"/>
      <c r="GA10" s="8"/>
      <c r="GB10" s="8" t="s">
        <v>107</v>
      </c>
      <c r="GC10" s="8" t="s">
        <v>107</v>
      </c>
      <c r="GD10" s="8" t="s">
        <v>107</v>
      </c>
      <c r="GE10" s="967"/>
      <c r="GF10" s="8">
        <f t="shared" ref="GF10:GF23" si="23">SUM(GG10:GQ10)</f>
        <v>0</v>
      </c>
      <c r="GG10" s="8"/>
      <c r="GH10" s="8" t="s">
        <v>107</v>
      </c>
      <c r="GI10" s="8" t="s">
        <v>107</v>
      </c>
      <c r="GJ10" s="8"/>
      <c r="GK10" s="8"/>
      <c r="GL10" s="8"/>
      <c r="GM10" s="8"/>
      <c r="GN10" s="8"/>
      <c r="GO10" s="8" t="s">
        <v>107</v>
      </c>
      <c r="GP10" s="8" t="s">
        <v>107</v>
      </c>
      <c r="GQ10" s="8" t="s">
        <v>107</v>
      </c>
      <c r="GR10" s="967"/>
      <c r="GS10" s="8">
        <f t="shared" ref="GS10:GS24" si="24">SUM(GT10:HD10)</f>
        <v>0</v>
      </c>
      <c r="GT10" s="8"/>
      <c r="GU10" s="8" t="s">
        <v>107</v>
      </c>
      <c r="GV10" s="8" t="s">
        <v>107</v>
      </c>
      <c r="GW10" s="8"/>
      <c r="GX10" s="8"/>
      <c r="GY10" s="8"/>
      <c r="GZ10" s="8"/>
      <c r="HA10" s="8"/>
      <c r="HB10" s="8" t="s">
        <v>107</v>
      </c>
      <c r="HC10" s="8" t="s">
        <v>107</v>
      </c>
      <c r="HD10" s="8" t="s">
        <v>107</v>
      </c>
      <c r="HE10" s="967"/>
      <c r="HF10" s="8">
        <f t="shared" ref="HF10:HF23" si="25">SUM(HG10:HQ10)</f>
        <v>0</v>
      </c>
      <c r="HG10" s="8"/>
      <c r="HH10" s="8" t="s">
        <v>107</v>
      </c>
      <c r="HI10" s="8" t="s">
        <v>107</v>
      </c>
      <c r="HJ10" s="8"/>
      <c r="HK10" s="8"/>
      <c r="HL10" s="8"/>
      <c r="HM10" s="8"/>
      <c r="HN10" s="8"/>
      <c r="HO10" s="8" t="s">
        <v>107</v>
      </c>
      <c r="HP10" s="8" t="s">
        <v>107</v>
      </c>
      <c r="HQ10" s="8" t="s">
        <v>107</v>
      </c>
      <c r="HR10" s="967"/>
      <c r="HS10" s="8">
        <f t="shared" ref="HS10:HS23" si="26">SUM(HT10:ID10)</f>
        <v>0</v>
      </c>
      <c r="HT10" s="8"/>
      <c r="HU10" s="8" t="s">
        <v>107</v>
      </c>
      <c r="HV10" s="8" t="s">
        <v>107</v>
      </c>
      <c r="HW10" s="8"/>
      <c r="HX10" s="8"/>
      <c r="HY10" s="8"/>
      <c r="HZ10" s="8"/>
      <c r="IA10" s="8"/>
      <c r="IB10" s="8" t="s">
        <v>107</v>
      </c>
      <c r="IC10" s="8" t="s">
        <v>107</v>
      </c>
      <c r="ID10" s="8" t="s">
        <v>107</v>
      </c>
      <c r="IE10" s="967"/>
      <c r="IF10" s="8">
        <f t="shared" ref="IF10:IF42" si="27">SUM(IG10:IQ10)</f>
        <v>0</v>
      </c>
      <c r="IG10" s="8"/>
      <c r="IH10" s="8" t="s">
        <v>107</v>
      </c>
      <c r="II10" s="8" t="s">
        <v>107</v>
      </c>
      <c r="IJ10" s="8"/>
      <c r="IK10" s="8"/>
      <c r="IL10" s="8"/>
      <c r="IM10" s="8"/>
      <c r="IN10" s="8"/>
      <c r="IO10" s="8" t="s">
        <v>107</v>
      </c>
      <c r="IP10" s="8" t="s">
        <v>107</v>
      </c>
      <c r="IQ10" s="8" t="s">
        <v>107</v>
      </c>
      <c r="IR10" s="967"/>
    </row>
    <row r="11" spans="2:252" x14ac:dyDescent="0.3">
      <c r="C11" t="s">
        <v>2003</v>
      </c>
      <c r="E11" s="8">
        <f t="shared" si="11"/>
        <v>51</v>
      </c>
      <c r="F11" s="8"/>
      <c r="G11" s="8" t="s">
        <v>107</v>
      </c>
      <c r="H11" s="8" t="s">
        <v>107</v>
      </c>
      <c r="I11" s="8" t="s">
        <v>107</v>
      </c>
      <c r="J11" s="8" t="s">
        <v>107</v>
      </c>
      <c r="K11" s="8" t="s">
        <v>107</v>
      </c>
      <c r="L11" s="8" t="s">
        <v>107</v>
      </c>
      <c r="M11" s="8" t="s">
        <v>107</v>
      </c>
      <c r="N11" s="8" t="s">
        <v>107</v>
      </c>
      <c r="O11" s="8" t="s">
        <v>107</v>
      </c>
      <c r="P11" s="8" t="s">
        <v>107</v>
      </c>
      <c r="Q11" s="8" t="s">
        <v>107</v>
      </c>
      <c r="R11" s="8" t="s">
        <v>107</v>
      </c>
      <c r="S11" s="8" t="s">
        <v>107</v>
      </c>
      <c r="T11" s="8" t="s">
        <v>107</v>
      </c>
      <c r="U11" s="8" t="s">
        <v>107</v>
      </c>
      <c r="V11" s="8" t="s">
        <v>107</v>
      </c>
      <c r="W11" s="8" t="s">
        <v>107</v>
      </c>
      <c r="X11" s="8">
        <v>16</v>
      </c>
      <c r="Y11" s="8"/>
      <c r="Z11" s="8"/>
      <c r="AA11" s="1087">
        <v>12</v>
      </c>
      <c r="AB11" s="8">
        <v>6</v>
      </c>
      <c r="AC11" s="8">
        <v>17</v>
      </c>
      <c r="AD11" s="967"/>
      <c r="AE11" s="8">
        <f t="shared" si="12"/>
        <v>0</v>
      </c>
      <c r="AF11" s="8"/>
      <c r="AG11" s="8" t="s">
        <v>107</v>
      </c>
      <c r="AH11" s="8" t="s">
        <v>107</v>
      </c>
      <c r="AI11" s="8" t="s">
        <v>107</v>
      </c>
      <c r="AJ11" s="8"/>
      <c r="AK11" s="8"/>
      <c r="AL11" s="8" t="s">
        <v>107</v>
      </c>
      <c r="AM11" s="8" t="s">
        <v>107</v>
      </c>
      <c r="AN11" s="8"/>
      <c r="AO11" s="8"/>
      <c r="AP11" s="8"/>
      <c r="AQ11" s="8"/>
      <c r="AR11" s="8"/>
      <c r="AS11" s="8">
        <v>0</v>
      </c>
      <c r="AT11" s="8">
        <v>0</v>
      </c>
      <c r="AU11" s="8">
        <v>0</v>
      </c>
      <c r="AV11" s="967"/>
      <c r="AW11" s="8">
        <f t="shared" si="13"/>
        <v>0</v>
      </c>
      <c r="AX11" s="8"/>
      <c r="AY11" s="8" t="s">
        <v>107</v>
      </c>
      <c r="AZ11" s="8" t="s">
        <v>107</v>
      </c>
      <c r="BA11" s="8" t="s">
        <v>107</v>
      </c>
      <c r="BB11" s="8"/>
      <c r="BC11" s="8"/>
      <c r="BD11" s="8" t="s">
        <v>107</v>
      </c>
      <c r="BE11" s="8" t="s">
        <v>107</v>
      </c>
      <c r="BF11" s="8"/>
      <c r="BG11" s="8"/>
      <c r="BH11" s="8"/>
      <c r="BI11" s="8"/>
      <c r="BJ11" s="8"/>
      <c r="BK11" s="8">
        <v>0</v>
      </c>
      <c r="BL11" s="8">
        <v>0</v>
      </c>
      <c r="BM11" s="8">
        <v>0</v>
      </c>
      <c r="BN11" s="967"/>
      <c r="BO11" s="8">
        <f t="shared" si="14"/>
        <v>0</v>
      </c>
      <c r="BP11" s="8"/>
      <c r="BQ11" s="8" t="s">
        <v>107</v>
      </c>
      <c r="BR11" s="8" t="s">
        <v>107</v>
      </c>
      <c r="BS11" s="8" t="s">
        <v>107</v>
      </c>
      <c r="BT11" s="8" t="s">
        <v>107</v>
      </c>
      <c r="BU11" s="8" t="s">
        <v>107</v>
      </c>
      <c r="BV11" s="8"/>
      <c r="BW11" s="8"/>
      <c r="BX11" s="8"/>
      <c r="BY11" s="8"/>
      <c r="BZ11" s="8"/>
      <c r="CA11" s="8">
        <v>0</v>
      </c>
      <c r="CB11" s="8">
        <v>0</v>
      </c>
      <c r="CC11" s="8">
        <v>0</v>
      </c>
      <c r="CD11" s="967"/>
      <c r="CE11" s="8">
        <f t="shared" si="15"/>
        <v>0</v>
      </c>
      <c r="CF11" s="8"/>
      <c r="CG11" s="8" t="s">
        <v>107</v>
      </c>
      <c r="CH11" s="8" t="s">
        <v>107</v>
      </c>
      <c r="CI11" s="8"/>
      <c r="CJ11" s="8"/>
      <c r="CK11" s="8"/>
      <c r="CL11" s="8"/>
      <c r="CM11" s="8"/>
      <c r="CN11" s="8">
        <v>0</v>
      </c>
      <c r="CO11" s="8">
        <v>0</v>
      </c>
      <c r="CP11" s="8">
        <v>0</v>
      </c>
      <c r="CQ11" s="967"/>
      <c r="CR11" s="8">
        <f t="shared" si="16"/>
        <v>0</v>
      </c>
      <c r="CS11" s="8"/>
      <c r="CT11" s="8" t="s">
        <v>107</v>
      </c>
      <c r="CU11" s="8" t="s">
        <v>107</v>
      </c>
      <c r="CV11" s="8"/>
      <c r="CW11" s="8"/>
      <c r="CX11" s="8"/>
      <c r="CY11" s="8"/>
      <c r="CZ11" s="8"/>
      <c r="DA11" s="8">
        <v>0</v>
      </c>
      <c r="DB11" s="8">
        <v>0</v>
      </c>
      <c r="DC11" s="8">
        <v>0</v>
      </c>
      <c r="DD11" s="967"/>
      <c r="DE11" s="8">
        <f t="shared" si="17"/>
        <v>0</v>
      </c>
      <c r="DF11" s="8"/>
      <c r="DG11" s="8" t="s">
        <v>107</v>
      </c>
      <c r="DH11" s="8" t="s">
        <v>107</v>
      </c>
      <c r="DI11" s="8"/>
      <c r="DJ11" s="8"/>
      <c r="DK11" s="8"/>
      <c r="DL11" s="8"/>
      <c r="DM11" s="8"/>
      <c r="DN11" s="8"/>
      <c r="DO11" s="8">
        <v>0</v>
      </c>
      <c r="DP11" s="8">
        <v>0</v>
      </c>
      <c r="DQ11" s="8">
        <v>0</v>
      </c>
      <c r="DR11" s="967"/>
      <c r="DS11" s="8">
        <f t="shared" si="18"/>
        <v>0</v>
      </c>
      <c r="DT11" s="8"/>
      <c r="DU11" s="8" t="s">
        <v>107</v>
      </c>
      <c r="DV11" s="8" t="s">
        <v>107</v>
      </c>
      <c r="DW11" s="8"/>
      <c r="DX11" s="8"/>
      <c r="DY11" s="8"/>
      <c r="DZ11" s="8"/>
      <c r="EA11" s="8"/>
      <c r="EB11" s="8">
        <v>0</v>
      </c>
      <c r="EC11" s="8">
        <v>0</v>
      </c>
      <c r="ED11" s="8">
        <v>0</v>
      </c>
      <c r="EE11" s="967"/>
      <c r="EF11" s="8">
        <f t="shared" si="19"/>
        <v>0</v>
      </c>
      <c r="EG11" s="8"/>
      <c r="EH11" s="8" t="s">
        <v>107</v>
      </c>
      <c r="EI11" s="8" t="s">
        <v>107</v>
      </c>
      <c r="EJ11" s="8"/>
      <c r="EK11" s="8"/>
      <c r="EL11" s="8"/>
      <c r="EM11" s="8"/>
      <c r="EN11" s="8"/>
      <c r="EO11" s="8">
        <v>0</v>
      </c>
      <c r="EP11" s="8">
        <v>0</v>
      </c>
      <c r="EQ11" s="8">
        <v>0</v>
      </c>
      <c r="ER11" s="967"/>
      <c r="ES11" s="8">
        <f t="shared" si="20"/>
        <v>0</v>
      </c>
      <c r="ET11" s="8"/>
      <c r="EU11" s="8" t="s">
        <v>107</v>
      </c>
      <c r="EV11" s="8" t="s">
        <v>107</v>
      </c>
      <c r="EW11" s="8"/>
      <c r="EX11" s="8"/>
      <c r="EY11" s="8"/>
      <c r="EZ11" s="8"/>
      <c r="FA11" s="8"/>
      <c r="FB11" s="8">
        <v>0</v>
      </c>
      <c r="FC11" s="8">
        <v>0</v>
      </c>
      <c r="FD11" s="8">
        <v>0</v>
      </c>
      <c r="FE11" s="967"/>
      <c r="FF11" s="8">
        <f t="shared" si="21"/>
        <v>0</v>
      </c>
      <c r="FG11" s="8"/>
      <c r="FH11" s="8" t="s">
        <v>107</v>
      </c>
      <c r="FI11" s="8" t="s">
        <v>107</v>
      </c>
      <c r="FJ11" s="8"/>
      <c r="FK11" s="8"/>
      <c r="FL11" s="8"/>
      <c r="FM11" s="8"/>
      <c r="FN11" s="8"/>
      <c r="FO11" s="8">
        <v>0</v>
      </c>
      <c r="FP11" s="8">
        <v>0</v>
      </c>
      <c r="FQ11" s="8">
        <v>0</v>
      </c>
      <c r="FR11" s="967"/>
      <c r="FS11" s="8">
        <f t="shared" si="22"/>
        <v>0</v>
      </c>
      <c r="FT11" s="8"/>
      <c r="FU11" s="8" t="s">
        <v>107</v>
      </c>
      <c r="FV11" s="8" t="s">
        <v>107</v>
      </c>
      <c r="FW11" s="8"/>
      <c r="FX11" s="8"/>
      <c r="FY11" s="8"/>
      <c r="FZ11" s="8"/>
      <c r="GA11" s="8"/>
      <c r="GB11" s="8">
        <v>0</v>
      </c>
      <c r="GC11" s="8">
        <v>0</v>
      </c>
      <c r="GD11" s="8">
        <v>0</v>
      </c>
      <c r="GE11" s="967"/>
      <c r="GF11" s="8">
        <f t="shared" si="23"/>
        <v>0</v>
      </c>
      <c r="GG11" s="8"/>
      <c r="GH11" s="8" t="s">
        <v>107</v>
      </c>
      <c r="GI11" s="8" t="s">
        <v>107</v>
      </c>
      <c r="GJ11" s="8"/>
      <c r="GK11" s="8"/>
      <c r="GL11" s="8"/>
      <c r="GM11" s="8"/>
      <c r="GN11" s="8"/>
      <c r="GO11" s="8">
        <v>0</v>
      </c>
      <c r="GP11" s="8">
        <v>0</v>
      </c>
      <c r="GQ11" s="8">
        <v>0</v>
      </c>
      <c r="GR11" s="967"/>
      <c r="GS11" s="8">
        <f t="shared" si="24"/>
        <v>0</v>
      </c>
      <c r="GT11" s="8"/>
      <c r="GU11" s="8" t="s">
        <v>107</v>
      </c>
      <c r="GV11" s="8" t="s">
        <v>107</v>
      </c>
      <c r="GW11" s="8"/>
      <c r="GX11" s="8"/>
      <c r="GY11" s="8"/>
      <c r="GZ11" s="8"/>
      <c r="HA11" s="8"/>
      <c r="HB11" s="8">
        <v>0</v>
      </c>
      <c r="HC11" s="8">
        <v>0</v>
      </c>
      <c r="HD11" s="8">
        <v>0</v>
      </c>
      <c r="HE11" s="967"/>
      <c r="HF11" s="8">
        <f t="shared" si="25"/>
        <v>0</v>
      </c>
      <c r="HG11" s="8"/>
      <c r="HH11" s="8" t="s">
        <v>107</v>
      </c>
      <c r="HI11" s="8" t="s">
        <v>107</v>
      </c>
      <c r="HJ11" s="8"/>
      <c r="HK11" s="8"/>
      <c r="HL11" s="8"/>
      <c r="HM11" s="8"/>
      <c r="HN11" s="8"/>
      <c r="HO11" s="8">
        <v>0</v>
      </c>
      <c r="HP11" s="8">
        <v>0</v>
      </c>
      <c r="HQ11" s="8">
        <v>0</v>
      </c>
      <c r="HR11" s="967"/>
      <c r="HS11" s="8">
        <f t="shared" si="26"/>
        <v>0</v>
      </c>
      <c r="HT11" s="8"/>
      <c r="HU11" s="8" t="s">
        <v>107</v>
      </c>
      <c r="HV11" s="8" t="s">
        <v>107</v>
      </c>
      <c r="HW11" s="8"/>
      <c r="HX11" s="8"/>
      <c r="HY11" s="8"/>
      <c r="HZ11" s="8"/>
      <c r="IA11" s="8"/>
      <c r="IB11" s="8">
        <v>0</v>
      </c>
      <c r="IC11" s="8">
        <v>0</v>
      </c>
      <c r="ID11" s="8">
        <v>0</v>
      </c>
      <c r="IE11" s="967"/>
      <c r="IF11" s="8">
        <f t="shared" si="27"/>
        <v>0</v>
      </c>
      <c r="IG11" s="8"/>
      <c r="IH11" s="8" t="s">
        <v>107</v>
      </c>
      <c r="II11" s="8" t="s">
        <v>107</v>
      </c>
      <c r="IJ11" s="8"/>
      <c r="IK11" s="8"/>
      <c r="IL11" s="8"/>
      <c r="IM11" s="8"/>
      <c r="IN11" s="8"/>
      <c r="IO11" s="8">
        <v>0</v>
      </c>
      <c r="IP11" s="8">
        <v>0</v>
      </c>
      <c r="IQ11" s="8">
        <v>0</v>
      </c>
      <c r="IR11" s="967"/>
    </row>
    <row r="12" spans="2:252" x14ac:dyDescent="0.3">
      <c r="B12" t="s">
        <v>681</v>
      </c>
      <c r="C12" t="s">
        <v>2110</v>
      </c>
      <c r="E12" s="8">
        <f t="shared" si="11"/>
        <v>25</v>
      </c>
      <c r="F12" s="8"/>
      <c r="G12" s="8" t="s">
        <v>107</v>
      </c>
      <c r="H12" s="8" t="s">
        <v>107</v>
      </c>
      <c r="I12" s="8" t="s">
        <v>107</v>
      </c>
      <c r="J12" s="8" t="s">
        <v>107</v>
      </c>
      <c r="K12" s="8" t="s">
        <v>107</v>
      </c>
      <c r="L12" s="8">
        <v>8</v>
      </c>
      <c r="M12" s="8" t="s">
        <v>107</v>
      </c>
      <c r="N12" s="8">
        <v>14</v>
      </c>
      <c r="O12" s="8">
        <v>3</v>
      </c>
      <c r="P12" s="8" t="s">
        <v>107</v>
      </c>
      <c r="Q12" s="8" t="s">
        <v>107</v>
      </c>
      <c r="R12" s="8" t="s">
        <v>107</v>
      </c>
      <c r="S12" s="8" t="s">
        <v>107</v>
      </c>
      <c r="T12" s="8" t="s">
        <v>107</v>
      </c>
      <c r="U12" s="8" t="s">
        <v>107</v>
      </c>
      <c r="V12" s="8" t="s">
        <v>107</v>
      </c>
      <c r="W12" s="8" t="s">
        <v>107</v>
      </c>
      <c r="X12" s="8" t="s">
        <v>107</v>
      </c>
      <c r="Y12" s="8" t="s">
        <v>107</v>
      </c>
      <c r="Z12" s="8" t="s">
        <v>107</v>
      </c>
      <c r="AA12" s="8" t="s">
        <v>107</v>
      </c>
      <c r="AB12" s="8" t="s">
        <v>107</v>
      </c>
      <c r="AC12" s="8" t="s">
        <v>107</v>
      </c>
      <c r="AD12" s="967"/>
      <c r="AE12" s="8">
        <f t="shared" si="12"/>
        <v>3</v>
      </c>
      <c r="AF12" s="8"/>
      <c r="AG12" s="8" t="s">
        <v>107</v>
      </c>
      <c r="AH12" s="8" t="s">
        <v>107</v>
      </c>
      <c r="AI12" s="8" t="s">
        <v>107</v>
      </c>
      <c r="AJ12" s="8"/>
      <c r="AK12" s="8"/>
      <c r="AL12" s="8">
        <v>0</v>
      </c>
      <c r="AM12" s="8">
        <v>3</v>
      </c>
      <c r="AN12" s="8"/>
      <c r="AO12" s="8"/>
      <c r="AP12" s="8"/>
      <c r="AQ12" s="8"/>
      <c r="AR12" s="8"/>
      <c r="AS12" s="8" t="s">
        <v>107</v>
      </c>
      <c r="AT12" s="8" t="s">
        <v>107</v>
      </c>
      <c r="AU12" s="8" t="s">
        <v>107</v>
      </c>
      <c r="AV12" s="967"/>
      <c r="AW12" s="8">
        <f t="shared" si="13"/>
        <v>3</v>
      </c>
      <c r="AX12" s="8"/>
      <c r="AY12" s="8" t="s">
        <v>107</v>
      </c>
      <c r="AZ12" s="8" t="s">
        <v>107</v>
      </c>
      <c r="BA12" s="8" t="s">
        <v>107</v>
      </c>
      <c r="BB12" s="8"/>
      <c r="BC12" s="8"/>
      <c r="BD12" s="8">
        <v>2</v>
      </c>
      <c r="BE12" s="8">
        <v>1</v>
      </c>
      <c r="BF12" s="8"/>
      <c r="BG12" s="8"/>
      <c r="BH12" s="8"/>
      <c r="BI12" s="8"/>
      <c r="BJ12" s="8"/>
      <c r="BK12" s="8" t="s">
        <v>107</v>
      </c>
      <c r="BL12" s="8" t="s">
        <v>107</v>
      </c>
      <c r="BM12" s="8" t="s">
        <v>107</v>
      </c>
      <c r="BN12" s="967"/>
      <c r="BO12" s="8">
        <f t="shared" si="14"/>
        <v>6</v>
      </c>
      <c r="BP12" s="8"/>
      <c r="BQ12" s="8" t="s">
        <v>107</v>
      </c>
      <c r="BR12" s="8" t="s">
        <v>107</v>
      </c>
      <c r="BS12" s="8" t="s">
        <v>107</v>
      </c>
      <c r="BT12" s="8">
        <v>2</v>
      </c>
      <c r="BU12" s="8">
        <v>4</v>
      </c>
      <c r="BV12" s="8"/>
      <c r="BW12" s="8"/>
      <c r="BX12" s="8"/>
      <c r="BY12" s="8"/>
      <c r="BZ12" s="8"/>
      <c r="CA12" s="8" t="s">
        <v>107</v>
      </c>
      <c r="CB12" s="8" t="s">
        <v>107</v>
      </c>
      <c r="CC12" s="8" t="s">
        <v>107</v>
      </c>
      <c r="CD12" s="967"/>
      <c r="CE12" s="8">
        <f t="shared" si="15"/>
        <v>0</v>
      </c>
      <c r="CF12" s="8"/>
      <c r="CG12" s="8">
        <v>0</v>
      </c>
      <c r="CH12" s="8">
        <v>0</v>
      </c>
      <c r="CI12" s="8"/>
      <c r="CJ12" s="8"/>
      <c r="CK12" s="8"/>
      <c r="CL12" s="8"/>
      <c r="CM12" s="8"/>
      <c r="CN12" s="8" t="s">
        <v>107</v>
      </c>
      <c r="CO12" s="8" t="s">
        <v>107</v>
      </c>
      <c r="CP12" s="8" t="s">
        <v>107</v>
      </c>
      <c r="CQ12" s="967"/>
      <c r="CR12" s="8">
        <f t="shared" si="16"/>
        <v>0</v>
      </c>
      <c r="CS12" s="8"/>
      <c r="CT12" s="8">
        <v>0</v>
      </c>
      <c r="CU12" s="8">
        <v>0</v>
      </c>
      <c r="CV12" s="8"/>
      <c r="CW12" s="8"/>
      <c r="CX12" s="8"/>
      <c r="CY12" s="8"/>
      <c r="CZ12" s="8"/>
      <c r="DA12" s="8" t="s">
        <v>107</v>
      </c>
      <c r="DB12" s="8" t="s">
        <v>107</v>
      </c>
      <c r="DC12" s="8" t="s">
        <v>107</v>
      </c>
      <c r="DD12" s="967"/>
      <c r="DE12" s="8">
        <f t="shared" si="17"/>
        <v>0</v>
      </c>
      <c r="DF12" s="8"/>
      <c r="DG12" s="8">
        <v>0</v>
      </c>
      <c r="DH12" s="8">
        <v>0</v>
      </c>
      <c r="DI12" s="8"/>
      <c r="DJ12" s="8"/>
      <c r="DK12" s="8"/>
      <c r="DL12" s="8"/>
      <c r="DM12" s="8"/>
      <c r="DN12" s="8"/>
      <c r="DO12" s="8" t="s">
        <v>107</v>
      </c>
      <c r="DP12" s="8" t="s">
        <v>107</v>
      </c>
      <c r="DQ12" s="8" t="s">
        <v>107</v>
      </c>
      <c r="DR12" s="967"/>
      <c r="DS12" s="8">
        <f t="shared" si="18"/>
        <v>0</v>
      </c>
      <c r="DT12" s="8"/>
      <c r="DU12" s="8">
        <v>0</v>
      </c>
      <c r="DV12" s="8">
        <v>0</v>
      </c>
      <c r="DW12" s="8"/>
      <c r="DX12" s="8"/>
      <c r="DY12" s="8"/>
      <c r="DZ12" s="8"/>
      <c r="EA12" s="8"/>
      <c r="EB12" s="8" t="s">
        <v>107</v>
      </c>
      <c r="EC12" s="8" t="s">
        <v>107</v>
      </c>
      <c r="ED12" s="8" t="s">
        <v>107</v>
      </c>
      <c r="EE12" s="967"/>
      <c r="EF12" s="8">
        <f t="shared" si="19"/>
        <v>0</v>
      </c>
      <c r="EG12" s="8"/>
      <c r="EH12" s="8">
        <v>0</v>
      </c>
      <c r="EI12" s="8">
        <v>0</v>
      </c>
      <c r="EJ12" s="8"/>
      <c r="EK12" s="8"/>
      <c r="EL12" s="8"/>
      <c r="EM12" s="8"/>
      <c r="EN12" s="8"/>
      <c r="EO12" s="8" t="s">
        <v>107</v>
      </c>
      <c r="EP12" s="8" t="s">
        <v>107</v>
      </c>
      <c r="EQ12" s="8" t="s">
        <v>107</v>
      </c>
      <c r="ER12" s="967"/>
      <c r="ES12" s="8">
        <f t="shared" si="20"/>
        <v>0</v>
      </c>
      <c r="ET12" s="8"/>
      <c r="EU12" s="8">
        <v>0</v>
      </c>
      <c r="EV12" s="8">
        <v>0</v>
      </c>
      <c r="EW12" s="8"/>
      <c r="EX12" s="8"/>
      <c r="EY12" s="8"/>
      <c r="EZ12" s="8"/>
      <c r="FA12" s="8"/>
      <c r="FB12" s="8" t="s">
        <v>107</v>
      </c>
      <c r="FC12" s="8" t="s">
        <v>107</v>
      </c>
      <c r="FD12" s="8" t="s">
        <v>107</v>
      </c>
      <c r="FE12" s="967"/>
      <c r="FF12" s="8">
        <f t="shared" si="21"/>
        <v>0</v>
      </c>
      <c r="FG12" s="8"/>
      <c r="FH12" s="8">
        <v>0</v>
      </c>
      <c r="FI12" s="8">
        <v>0</v>
      </c>
      <c r="FJ12" s="8"/>
      <c r="FK12" s="8"/>
      <c r="FL12" s="8"/>
      <c r="FM12" s="8"/>
      <c r="FN12" s="8"/>
      <c r="FO12" s="8" t="s">
        <v>107</v>
      </c>
      <c r="FP12" s="8" t="s">
        <v>107</v>
      </c>
      <c r="FQ12" s="8" t="s">
        <v>107</v>
      </c>
      <c r="FR12" s="967"/>
      <c r="FS12" s="8">
        <f t="shared" si="22"/>
        <v>0</v>
      </c>
      <c r="FT12" s="8"/>
      <c r="FU12" s="8">
        <v>0</v>
      </c>
      <c r="FV12" s="8">
        <v>0</v>
      </c>
      <c r="FW12" s="8"/>
      <c r="FX12" s="8"/>
      <c r="FY12" s="8"/>
      <c r="FZ12" s="8"/>
      <c r="GA12" s="8"/>
      <c r="GB12" s="8" t="s">
        <v>107</v>
      </c>
      <c r="GC12" s="8" t="s">
        <v>107</v>
      </c>
      <c r="GD12" s="8" t="s">
        <v>107</v>
      </c>
      <c r="GE12" s="967"/>
      <c r="GF12" s="8">
        <f t="shared" si="23"/>
        <v>0</v>
      </c>
      <c r="GG12" s="8"/>
      <c r="GH12" s="8">
        <v>0</v>
      </c>
      <c r="GI12" s="8">
        <v>0</v>
      </c>
      <c r="GJ12" s="8"/>
      <c r="GK12" s="8"/>
      <c r="GL12" s="8"/>
      <c r="GM12" s="8"/>
      <c r="GN12" s="8"/>
      <c r="GO12" s="8" t="s">
        <v>107</v>
      </c>
      <c r="GP12" s="8" t="s">
        <v>107</v>
      </c>
      <c r="GQ12" s="8" t="s">
        <v>107</v>
      </c>
      <c r="GR12" s="967"/>
      <c r="GS12" s="8">
        <f t="shared" si="24"/>
        <v>0</v>
      </c>
      <c r="GT12" s="8"/>
      <c r="GU12" s="8">
        <v>0</v>
      </c>
      <c r="GV12" s="8">
        <v>0</v>
      </c>
      <c r="GW12" s="8"/>
      <c r="GX12" s="8"/>
      <c r="GY12" s="8"/>
      <c r="GZ12" s="8"/>
      <c r="HA12" s="8"/>
      <c r="HB12" s="8" t="s">
        <v>107</v>
      </c>
      <c r="HC12" s="8" t="s">
        <v>107</v>
      </c>
      <c r="HD12" s="8" t="s">
        <v>107</v>
      </c>
      <c r="HE12" s="967"/>
      <c r="HF12" s="8">
        <f t="shared" si="25"/>
        <v>0</v>
      </c>
      <c r="HG12" s="8"/>
      <c r="HH12" s="8">
        <v>0</v>
      </c>
      <c r="HI12" s="8">
        <v>0</v>
      </c>
      <c r="HJ12" s="8"/>
      <c r="HK12" s="8"/>
      <c r="HL12" s="8"/>
      <c r="HM12" s="8"/>
      <c r="HN12" s="8"/>
      <c r="HO12" s="8" t="s">
        <v>107</v>
      </c>
      <c r="HP12" s="8" t="s">
        <v>107</v>
      </c>
      <c r="HQ12" s="8" t="s">
        <v>107</v>
      </c>
      <c r="HR12" s="967"/>
      <c r="HS12" s="8">
        <f t="shared" si="26"/>
        <v>0</v>
      </c>
      <c r="HT12" s="8"/>
      <c r="HU12" s="8">
        <v>0</v>
      </c>
      <c r="HV12" s="8">
        <v>0</v>
      </c>
      <c r="HW12" s="8"/>
      <c r="HX12" s="8"/>
      <c r="HY12" s="8"/>
      <c r="HZ12" s="8"/>
      <c r="IA12" s="8"/>
      <c r="IB12" s="8" t="s">
        <v>107</v>
      </c>
      <c r="IC12" s="8" t="s">
        <v>107</v>
      </c>
      <c r="ID12" s="8" t="s">
        <v>107</v>
      </c>
      <c r="IE12" s="967"/>
      <c r="IF12" s="8">
        <f t="shared" si="27"/>
        <v>0</v>
      </c>
      <c r="IG12" s="8"/>
      <c r="IH12" s="8">
        <v>0</v>
      </c>
      <c r="II12" s="8">
        <v>0</v>
      </c>
      <c r="IJ12" s="8"/>
      <c r="IK12" s="8"/>
      <c r="IL12" s="8"/>
      <c r="IM12" s="8"/>
      <c r="IN12" s="8"/>
      <c r="IO12" s="8" t="s">
        <v>107</v>
      </c>
      <c r="IP12" s="8" t="s">
        <v>107</v>
      </c>
      <c r="IQ12" s="8" t="s">
        <v>107</v>
      </c>
      <c r="IR12" s="967"/>
    </row>
    <row r="13" spans="2:252" x14ac:dyDescent="0.3">
      <c r="B13" t="s">
        <v>681</v>
      </c>
      <c r="C13" t="s">
        <v>1806</v>
      </c>
      <c r="E13" s="8">
        <f t="shared" si="11"/>
        <v>81</v>
      </c>
      <c r="F13" s="8"/>
      <c r="G13" s="8" t="s">
        <v>107</v>
      </c>
      <c r="H13" s="8" t="s">
        <v>107</v>
      </c>
      <c r="I13" s="8" t="s">
        <v>107</v>
      </c>
      <c r="J13" s="8" t="s">
        <v>107</v>
      </c>
      <c r="K13" s="8">
        <v>1</v>
      </c>
      <c r="L13" s="8">
        <v>18</v>
      </c>
      <c r="M13" s="8">
        <v>2</v>
      </c>
      <c r="N13" s="8">
        <v>16</v>
      </c>
      <c r="O13" s="8">
        <v>3</v>
      </c>
      <c r="P13" s="8">
        <v>3</v>
      </c>
      <c r="Q13" s="8">
        <v>21</v>
      </c>
      <c r="R13" s="8">
        <v>17</v>
      </c>
      <c r="S13" s="8" t="s">
        <v>107</v>
      </c>
      <c r="T13" s="8"/>
      <c r="U13" s="8"/>
      <c r="V13" s="8"/>
      <c r="W13" s="8"/>
      <c r="X13" s="8"/>
      <c r="Y13" s="8"/>
      <c r="Z13" s="8"/>
      <c r="AA13" s="8" t="s">
        <v>107</v>
      </c>
      <c r="AB13" s="8" t="s">
        <v>107</v>
      </c>
      <c r="AC13" s="8" t="s">
        <v>107</v>
      </c>
      <c r="AD13" s="967"/>
      <c r="AE13" s="8">
        <f t="shared" si="12"/>
        <v>0</v>
      </c>
      <c r="AF13" s="8"/>
      <c r="AG13" s="8" t="s">
        <v>107</v>
      </c>
      <c r="AH13" s="8" t="s">
        <v>107</v>
      </c>
      <c r="AI13" s="8" t="s">
        <v>107</v>
      </c>
      <c r="AJ13" s="8"/>
      <c r="AK13" s="8"/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 t="s">
        <v>107</v>
      </c>
      <c r="AR13" s="8"/>
      <c r="AS13" s="8" t="s">
        <v>107</v>
      </c>
      <c r="AT13" s="8" t="s">
        <v>107</v>
      </c>
      <c r="AU13" s="8" t="s">
        <v>107</v>
      </c>
      <c r="AV13" s="967"/>
      <c r="AW13" s="8">
        <f t="shared" si="13"/>
        <v>0</v>
      </c>
      <c r="AX13" s="8"/>
      <c r="AY13" s="8" t="s">
        <v>107</v>
      </c>
      <c r="AZ13" s="8" t="s">
        <v>107</v>
      </c>
      <c r="BA13" s="8" t="s">
        <v>107</v>
      </c>
      <c r="BB13" s="8"/>
      <c r="BC13" s="8"/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 t="s">
        <v>107</v>
      </c>
      <c r="BJ13" s="8"/>
      <c r="BK13" s="8" t="s">
        <v>107</v>
      </c>
      <c r="BL13" s="8" t="s">
        <v>107</v>
      </c>
      <c r="BM13" s="8" t="s">
        <v>107</v>
      </c>
      <c r="BN13" s="967"/>
      <c r="BO13" s="8">
        <f t="shared" si="14"/>
        <v>0</v>
      </c>
      <c r="BP13" s="8"/>
      <c r="BQ13" s="8" t="s">
        <v>107</v>
      </c>
      <c r="BR13" s="8" t="s">
        <v>107</v>
      </c>
      <c r="BS13" s="8" t="s">
        <v>107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 t="s">
        <v>107</v>
      </c>
      <c r="BZ13" s="8"/>
      <c r="CA13" s="8" t="s">
        <v>107</v>
      </c>
      <c r="CB13" s="8" t="s">
        <v>107</v>
      </c>
      <c r="CC13" s="8" t="s">
        <v>107</v>
      </c>
      <c r="CD13" s="967"/>
      <c r="CE13" s="8">
        <f t="shared" si="15"/>
        <v>1</v>
      </c>
      <c r="CF13" s="8"/>
      <c r="CG13" s="8">
        <v>0</v>
      </c>
      <c r="CH13" s="8">
        <v>0</v>
      </c>
      <c r="CI13" s="8">
        <v>0</v>
      </c>
      <c r="CJ13" s="8">
        <v>1</v>
      </c>
      <c r="CK13" s="8">
        <v>0</v>
      </c>
      <c r="CL13" s="8" t="s">
        <v>107</v>
      </c>
      <c r="CM13" s="8"/>
      <c r="CN13" s="8" t="s">
        <v>107</v>
      </c>
      <c r="CO13" s="8" t="s">
        <v>107</v>
      </c>
      <c r="CP13" s="8" t="s">
        <v>107</v>
      </c>
      <c r="CQ13" s="967"/>
      <c r="CR13" s="8">
        <f t="shared" si="16"/>
        <v>2</v>
      </c>
      <c r="CS13" s="8"/>
      <c r="CT13" s="8">
        <v>0</v>
      </c>
      <c r="CU13" s="8">
        <v>0</v>
      </c>
      <c r="CV13" s="8">
        <v>0</v>
      </c>
      <c r="CW13" s="8">
        <v>2</v>
      </c>
      <c r="CX13" s="8">
        <v>0</v>
      </c>
      <c r="CY13" s="8" t="s">
        <v>107</v>
      </c>
      <c r="CZ13" s="8"/>
      <c r="DA13" s="8" t="s">
        <v>107</v>
      </c>
      <c r="DB13" s="8" t="s">
        <v>107</v>
      </c>
      <c r="DC13" s="8" t="s">
        <v>107</v>
      </c>
      <c r="DD13" s="967"/>
      <c r="DE13" s="8">
        <f t="shared" si="17"/>
        <v>0</v>
      </c>
      <c r="DF13" s="8"/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 t="s">
        <v>107</v>
      </c>
      <c r="DM13" s="8"/>
      <c r="DN13" s="8"/>
      <c r="DO13" s="8" t="s">
        <v>107</v>
      </c>
      <c r="DP13" s="8" t="s">
        <v>107</v>
      </c>
      <c r="DQ13" s="8" t="s">
        <v>107</v>
      </c>
      <c r="DR13" s="967"/>
      <c r="DS13" s="8">
        <f t="shared" si="18"/>
        <v>0</v>
      </c>
      <c r="DT13" s="8"/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/>
      <c r="EA13" s="8"/>
      <c r="EB13" s="8" t="s">
        <v>107</v>
      </c>
      <c r="EC13" s="8" t="s">
        <v>107</v>
      </c>
      <c r="ED13" s="8" t="s">
        <v>107</v>
      </c>
      <c r="EE13" s="967"/>
      <c r="EF13" s="8">
        <f t="shared" si="19"/>
        <v>0</v>
      </c>
      <c r="EG13" s="8"/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/>
      <c r="EN13" s="8"/>
      <c r="EO13" s="8" t="s">
        <v>107</v>
      </c>
      <c r="EP13" s="8" t="s">
        <v>107</v>
      </c>
      <c r="EQ13" s="8" t="s">
        <v>107</v>
      </c>
      <c r="ER13" s="967"/>
      <c r="ES13" s="8">
        <f t="shared" si="20"/>
        <v>0</v>
      </c>
      <c r="ET13" s="8"/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/>
      <c r="FA13" s="8"/>
      <c r="FB13" s="8" t="s">
        <v>107</v>
      </c>
      <c r="FC13" s="8" t="s">
        <v>107</v>
      </c>
      <c r="FD13" s="8" t="s">
        <v>107</v>
      </c>
      <c r="FE13" s="967"/>
      <c r="FF13" s="8">
        <f t="shared" si="21"/>
        <v>0</v>
      </c>
      <c r="FG13" s="8"/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/>
      <c r="FN13" s="8"/>
      <c r="FO13" s="8" t="s">
        <v>107</v>
      </c>
      <c r="FP13" s="8" t="s">
        <v>107</v>
      </c>
      <c r="FQ13" s="8" t="s">
        <v>107</v>
      </c>
      <c r="FR13" s="967"/>
      <c r="FS13" s="8">
        <f t="shared" si="22"/>
        <v>0</v>
      </c>
      <c r="FT13" s="8"/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/>
      <c r="GA13" s="8"/>
      <c r="GB13" s="8" t="s">
        <v>107</v>
      </c>
      <c r="GC13" s="8" t="s">
        <v>107</v>
      </c>
      <c r="GD13" s="8" t="s">
        <v>107</v>
      </c>
      <c r="GE13" s="967"/>
      <c r="GF13" s="8">
        <f t="shared" si="23"/>
        <v>0</v>
      </c>
      <c r="GG13" s="8"/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/>
      <c r="GN13" s="8"/>
      <c r="GO13" s="8" t="s">
        <v>107</v>
      </c>
      <c r="GP13" s="8" t="s">
        <v>107</v>
      </c>
      <c r="GQ13" s="8" t="s">
        <v>107</v>
      </c>
      <c r="GR13" s="967"/>
      <c r="GS13" s="8">
        <f t="shared" si="24"/>
        <v>0</v>
      </c>
      <c r="GT13" s="8"/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/>
      <c r="HA13" s="8"/>
      <c r="HB13" s="8" t="s">
        <v>107</v>
      </c>
      <c r="HC13" s="8" t="s">
        <v>107</v>
      </c>
      <c r="HD13" s="8" t="s">
        <v>107</v>
      </c>
      <c r="HE13" s="967"/>
      <c r="HF13" s="8">
        <f t="shared" si="25"/>
        <v>0</v>
      </c>
      <c r="HG13" s="8"/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/>
      <c r="HN13" s="8"/>
      <c r="HO13" s="8" t="s">
        <v>107</v>
      </c>
      <c r="HP13" s="8" t="s">
        <v>107</v>
      </c>
      <c r="HQ13" s="8" t="s">
        <v>107</v>
      </c>
      <c r="HR13" s="967"/>
      <c r="HS13" s="8">
        <f t="shared" si="26"/>
        <v>0</v>
      </c>
      <c r="HT13" s="8"/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/>
      <c r="IA13" s="8"/>
      <c r="IB13" s="8" t="s">
        <v>107</v>
      </c>
      <c r="IC13" s="8" t="s">
        <v>107</v>
      </c>
      <c r="ID13" s="8" t="s">
        <v>107</v>
      </c>
      <c r="IE13" s="967"/>
      <c r="IF13" s="8">
        <f t="shared" si="27"/>
        <v>0</v>
      </c>
      <c r="IG13" s="8"/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/>
      <c r="IN13" s="8"/>
      <c r="IO13" s="8" t="s">
        <v>107</v>
      </c>
      <c r="IP13" s="8" t="s">
        <v>107</v>
      </c>
      <c r="IQ13" s="8" t="s">
        <v>107</v>
      </c>
      <c r="IR13" s="967"/>
    </row>
    <row r="14" spans="2:252" x14ac:dyDescent="0.3">
      <c r="B14" t="s">
        <v>681</v>
      </c>
      <c r="C14" t="s">
        <v>1992</v>
      </c>
      <c r="E14" s="8">
        <f t="shared" si="11"/>
        <v>0</v>
      </c>
      <c r="F14" s="8"/>
      <c r="G14" s="8" t="s">
        <v>107</v>
      </c>
      <c r="H14" s="8" t="s">
        <v>107</v>
      </c>
      <c r="I14" s="8" t="s">
        <v>107</v>
      </c>
      <c r="J14" s="8" t="s">
        <v>107</v>
      </c>
      <c r="K14" s="8" t="s">
        <v>107</v>
      </c>
      <c r="L14" s="8" t="s">
        <v>107</v>
      </c>
      <c r="M14" s="8" t="s">
        <v>107</v>
      </c>
      <c r="N14" s="8" t="s">
        <v>107</v>
      </c>
      <c r="O14" s="8" t="s">
        <v>107</v>
      </c>
      <c r="P14" s="8" t="s">
        <v>107</v>
      </c>
      <c r="Q14" s="8" t="s">
        <v>107</v>
      </c>
      <c r="R14" s="8" t="s">
        <v>107</v>
      </c>
      <c r="S14" s="8" t="s">
        <v>107</v>
      </c>
      <c r="T14" s="8"/>
      <c r="U14" s="8"/>
      <c r="V14" s="8"/>
      <c r="W14" s="8"/>
      <c r="X14" s="8"/>
      <c r="Y14" s="8"/>
      <c r="Z14" s="8"/>
      <c r="AA14" s="8" t="s">
        <v>107</v>
      </c>
      <c r="AB14" s="8" t="s">
        <v>107</v>
      </c>
      <c r="AC14" s="8" t="s">
        <v>107</v>
      </c>
      <c r="AD14" s="967"/>
      <c r="AE14" s="8">
        <f t="shared" si="12"/>
        <v>0</v>
      </c>
      <c r="AF14" s="8"/>
      <c r="AG14" s="8" t="s">
        <v>107</v>
      </c>
      <c r="AH14" s="8" t="s">
        <v>107</v>
      </c>
      <c r="AI14" s="8" t="s">
        <v>107</v>
      </c>
      <c r="AJ14" s="8"/>
      <c r="AK14" s="8"/>
      <c r="AL14" s="8" t="s">
        <v>107</v>
      </c>
      <c r="AM14" s="8" t="s">
        <v>107</v>
      </c>
      <c r="AN14" s="8"/>
      <c r="AO14" s="8"/>
      <c r="AP14" s="8"/>
      <c r="AQ14" s="8"/>
      <c r="AR14" s="8"/>
      <c r="AS14" s="8" t="s">
        <v>107</v>
      </c>
      <c r="AT14" s="8" t="s">
        <v>107</v>
      </c>
      <c r="AU14" s="8" t="s">
        <v>107</v>
      </c>
      <c r="AV14" s="967"/>
      <c r="AW14" s="8">
        <f t="shared" si="13"/>
        <v>0</v>
      </c>
      <c r="AX14" s="8"/>
      <c r="AY14" s="8" t="s">
        <v>107</v>
      </c>
      <c r="AZ14" s="8" t="s">
        <v>107</v>
      </c>
      <c r="BA14" s="8" t="s">
        <v>107</v>
      </c>
      <c r="BB14" s="8"/>
      <c r="BC14" s="8"/>
      <c r="BD14" s="8" t="s">
        <v>107</v>
      </c>
      <c r="BE14" s="8" t="s">
        <v>107</v>
      </c>
      <c r="BF14" s="8"/>
      <c r="BG14" s="8"/>
      <c r="BH14" s="8"/>
      <c r="BI14" s="8"/>
      <c r="BJ14" s="8"/>
      <c r="BK14" s="8" t="s">
        <v>107</v>
      </c>
      <c r="BL14" s="8" t="s">
        <v>107</v>
      </c>
      <c r="BM14" s="8" t="s">
        <v>107</v>
      </c>
      <c r="BN14" s="967"/>
      <c r="BO14" s="8">
        <f t="shared" si="14"/>
        <v>0</v>
      </c>
      <c r="BP14" s="8"/>
      <c r="BQ14" s="8" t="s">
        <v>107</v>
      </c>
      <c r="BR14" s="8" t="s">
        <v>107</v>
      </c>
      <c r="BS14" s="8" t="s">
        <v>107</v>
      </c>
      <c r="BT14" s="8" t="s">
        <v>107</v>
      </c>
      <c r="BU14" s="8" t="s">
        <v>107</v>
      </c>
      <c r="BV14" s="8"/>
      <c r="BW14" s="8"/>
      <c r="BX14" s="8"/>
      <c r="BY14" s="8"/>
      <c r="BZ14" s="8"/>
      <c r="CA14" s="8" t="s">
        <v>107</v>
      </c>
      <c r="CB14" s="8" t="s">
        <v>107</v>
      </c>
      <c r="CC14" s="8" t="s">
        <v>107</v>
      </c>
      <c r="CD14" s="967"/>
      <c r="CE14" s="8">
        <f t="shared" si="15"/>
        <v>0</v>
      </c>
      <c r="CF14" s="8"/>
      <c r="CG14" s="8" t="s">
        <v>107</v>
      </c>
      <c r="CH14" s="8" t="s">
        <v>107</v>
      </c>
      <c r="CI14" s="8"/>
      <c r="CJ14" s="8"/>
      <c r="CK14" s="8"/>
      <c r="CL14" s="8"/>
      <c r="CM14" s="8"/>
      <c r="CN14" s="8" t="s">
        <v>107</v>
      </c>
      <c r="CO14" s="8" t="s">
        <v>107</v>
      </c>
      <c r="CP14" s="8" t="s">
        <v>107</v>
      </c>
      <c r="CQ14" s="967"/>
      <c r="CR14" s="8">
        <f t="shared" si="16"/>
        <v>0</v>
      </c>
      <c r="CS14" s="8"/>
      <c r="CT14" s="8" t="s">
        <v>107</v>
      </c>
      <c r="CU14" s="8" t="s">
        <v>107</v>
      </c>
      <c r="CV14" s="8"/>
      <c r="CW14" s="8"/>
      <c r="CX14" s="8"/>
      <c r="CY14" s="8"/>
      <c r="CZ14" s="8"/>
      <c r="DA14" s="8" t="s">
        <v>107</v>
      </c>
      <c r="DB14" s="8" t="s">
        <v>107</v>
      </c>
      <c r="DC14" s="8" t="s">
        <v>107</v>
      </c>
      <c r="DD14" s="967"/>
      <c r="DE14" s="8">
        <f t="shared" si="17"/>
        <v>0</v>
      </c>
      <c r="DF14" s="8"/>
      <c r="DG14" s="8" t="s">
        <v>107</v>
      </c>
      <c r="DH14" s="8" t="s">
        <v>107</v>
      </c>
      <c r="DI14" s="8"/>
      <c r="DJ14" s="8"/>
      <c r="DK14" s="8"/>
      <c r="DL14" s="8"/>
      <c r="DM14" s="8"/>
      <c r="DN14" s="8"/>
      <c r="DO14" s="8" t="s">
        <v>107</v>
      </c>
      <c r="DP14" s="8" t="s">
        <v>107</v>
      </c>
      <c r="DQ14" s="8" t="s">
        <v>107</v>
      </c>
      <c r="DR14" s="967"/>
      <c r="DS14" s="8">
        <f t="shared" si="18"/>
        <v>0</v>
      </c>
      <c r="DT14" s="8"/>
      <c r="DU14" s="8" t="s">
        <v>107</v>
      </c>
      <c r="DV14" s="8" t="s">
        <v>107</v>
      </c>
      <c r="DW14" s="8"/>
      <c r="DX14" s="8"/>
      <c r="DY14" s="8"/>
      <c r="DZ14" s="8"/>
      <c r="EA14" s="8"/>
      <c r="EB14" s="8" t="s">
        <v>107</v>
      </c>
      <c r="EC14" s="8" t="s">
        <v>107</v>
      </c>
      <c r="ED14" s="8" t="s">
        <v>107</v>
      </c>
      <c r="EE14" s="967"/>
      <c r="EF14" s="8">
        <f t="shared" si="19"/>
        <v>0</v>
      </c>
      <c r="EG14" s="8"/>
      <c r="EH14" s="8" t="s">
        <v>107</v>
      </c>
      <c r="EI14" s="8" t="s">
        <v>107</v>
      </c>
      <c r="EJ14" s="8"/>
      <c r="EK14" s="8"/>
      <c r="EL14" s="8"/>
      <c r="EM14" s="8"/>
      <c r="EN14" s="8"/>
      <c r="EO14" s="8" t="s">
        <v>107</v>
      </c>
      <c r="EP14" s="8" t="s">
        <v>107</v>
      </c>
      <c r="EQ14" s="8" t="s">
        <v>107</v>
      </c>
      <c r="ER14" s="967"/>
      <c r="ES14" s="8">
        <f t="shared" si="20"/>
        <v>0</v>
      </c>
      <c r="ET14" s="8"/>
      <c r="EU14" s="8" t="s">
        <v>107</v>
      </c>
      <c r="EV14" s="8" t="s">
        <v>107</v>
      </c>
      <c r="EW14" s="8"/>
      <c r="EX14" s="8"/>
      <c r="EY14" s="8"/>
      <c r="EZ14" s="8"/>
      <c r="FA14" s="8"/>
      <c r="FB14" s="8" t="s">
        <v>107</v>
      </c>
      <c r="FC14" s="8" t="s">
        <v>107</v>
      </c>
      <c r="FD14" s="8" t="s">
        <v>107</v>
      </c>
      <c r="FE14" s="967"/>
      <c r="FF14" s="8">
        <f t="shared" si="21"/>
        <v>0</v>
      </c>
      <c r="FG14" s="8"/>
      <c r="FH14" s="8" t="s">
        <v>107</v>
      </c>
      <c r="FI14" s="8" t="s">
        <v>107</v>
      </c>
      <c r="FJ14" s="8"/>
      <c r="FK14" s="8"/>
      <c r="FL14" s="8"/>
      <c r="FM14" s="8"/>
      <c r="FN14" s="8"/>
      <c r="FO14" s="8" t="s">
        <v>107</v>
      </c>
      <c r="FP14" s="8" t="s">
        <v>107</v>
      </c>
      <c r="FQ14" s="8" t="s">
        <v>107</v>
      </c>
      <c r="FR14" s="967"/>
      <c r="FS14" s="8">
        <f t="shared" si="22"/>
        <v>0</v>
      </c>
      <c r="FT14" s="8"/>
      <c r="FU14" s="8" t="s">
        <v>107</v>
      </c>
      <c r="FV14" s="8" t="s">
        <v>107</v>
      </c>
      <c r="FW14" s="8"/>
      <c r="FX14" s="8"/>
      <c r="FY14" s="8"/>
      <c r="FZ14" s="8"/>
      <c r="GA14" s="8"/>
      <c r="GB14" s="8" t="s">
        <v>107</v>
      </c>
      <c r="GC14" s="8" t="s">
        <v>107</v>
      </c>
      <c r="GD14" s="8" t="s">
        <v>107</v>
      </c>
      <c r="GE14" s="967"/>
      <c r="GF14" s="8">
        <f t="shared" si="23"/>
        <v>0</v>
      </c>
      <c r="GG14" s="8"/>
      <c r="GH14" s="8" t="s">
        <v>107</v>
      </c>
      <c r="GI14" s="8" t="s">
        <v>107</v>
      </c>
      <c r="GJ14" s="8"/>
      <c r="GK14" s="8"/>
      <c r="GL14" s="8"/>
      <c r="GM14" s="8"/>
      <c r="GN14" s="8"/>
      <c r="GO14" s="8" t="s">
        <v>107</v>
      </c>
      <c r="GP14" s="8" t="s">
        <v>107</v>
      </c>
      <c r="GQ14" s="8" t="s">
        <v>107</v>
      </c>
      <c r="GR14" s="967"/>
      <c r="GS14" s="8">
        <f t="shared" si="24"/>
        <v>0</v>
      </c>
      <c r="GT14" s="8"/>
      <c r="GU14" s="8" t="s">
        <v>107</v>
      </c>
      <c r="GV14" s="8" t="s">
        <v>107</v>
      </c>
      <c r="GW14" s="8"/>
      <c r="GX14" s="8"/>
      <c r="GY14" s="8"/>
      <c r="GZ14" s="8"/>
      <c r="HA14" s="8"/>
      <c r="HB14" s="8" t="s">
        <v>107</v>
      </c>
      <c r="HC14" s="8" t="s">
        <v>107</v>
      </c>
      <c r="HD14" s="8" t="s">
        <v>107</v>
      </c>
      <c r="HE14" s="967"/>
      <c r="HF14" s="8">
        <f t="shared" si="25"/>
        <v>0</v>
      </c>
      <c r="HG14" s="8"/>
      <c r="HH14" s="8" t="s">
        <v>107</v>
      </c>
      <c r="HI14" s="8" t="s">
        <v>107</v>
      </c>
      <c r="HJ14" s="8"/>
      <c r="HK14" s="8"/>
      <c r="HL14" s="8"/>
      <c r="HM14" s="8"/>
      <c r="HN14" s="8"/>
      <c r="HO14" s="8" t="s">
        <v>107</v>
      </c>
      <c r="HP14" s="8" t="s">
        <v>107</v>
      </c>
      <c r="HQ14" s="8" t="s">
        <v>107</v>
      </c>
      <c r="HR14" s="967"/>
      <c r="HS14" s="8">
        <f t="shared" si="26"/>
        <v>0</v>
      </c>
      <c r="HT14" s="8"/>
      <c r="HU14" s="8" t="s">
        <v>107</v>
      </c>
      <c r="HV14" s="8" t="s">
        <v>107</v>
      </c>
      <c r="HW14" s="8"/>
      <c r="HX14" s="8"/>
      <c r="HY14" s="8"/>
      <c r="HZ14" s="8"/>
      <c r="IA14" s="8"/>
      <c r="IB14" s="8" t="s">
        <v>107</v>
      </c>
      <c r="IC14" s="8" t="s">
        <v>107</v>
      </c>
      <c r="ID14" s="8" t="s">
        <v>107</v>
      </c>
      <c r="IE14" s="967"/>
      <c r="IF14" s="8">
        <f t="shared" si="27"/>
        <v>0</v>
      </c>
      <c r="IG14" s="8"/>
      <c r="IH14" s="8" t="s">
        <v>107</v>
      </c>
      <c r="II14" s="8" t="s">
        <v>107</v>
      </c>
      <c r="IJ14" s="8"/>
      <c r="IK14" s="8"/>
      <c r="IL14" s="8"/>
      <c r="IM14" s="8"/>
      <c r="IN14" s="8"/>
      <c r="IO14" s="8" t="s">
        <v>107</v>
      </c>
      <c r="IP14" s="8" t="s">
        <v>107</v>
      </c>
      <c r="IQ14" s="8" t="s">
        <v>107</v>
      </c>
      <c r="IR14" s="967"/>
    </row>
    <row r="15" spans="2:252" x14ac:dyDescent="0.3">
      <c r="B15" t="s">
        <v>681</v>
      </c>
      <c r="C15" t="s">
        <v>2271</v>
      </c>
      <c r="E15" s="8">
        <f t="shared" si="11"/>
        <v>0</v>
      </c>
      <c r="F15" s="8"/>
      <c r="G15" s="8" t="s">
        <v>107</v>
      </c>
      <c r="H15" s="8" t="s">
        <v>107</v>
      </c>
      <c r="I15" s="8" t="s">
        <v>107</v>
      </c>
      <c r="J15" s="8" t="s">
        <v>107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1087"/>
      <c r="AB15" s="8" t="s">
        <v>107</v>
      </c>
      <c r="AC15" s="8" t="s">
        <v>107</v>
      </c>
      <c r="AD15" s="967"/>
      <c r="AE15" s="8">
        <f t="shared" si="12"/>
        <v>0</v>
      </c>
      <c r="AF15" s="8"/>
      <c r="AG15" s="8" t="s">
        <v>107</v>
      </c>
      <c r="AH15" s="8" t="s">
        <v>107</v>
      </c>
      <c r="AI15" s="8" t="s">
        <v>107</v>
      </c>
      <c r="AJ15" s="8"/>
      <c r="AK15" s="8"/>
      <c r="AL15" s="8"/>
      <c r="AM15" s="8"/>
      <c r="AN15" s="8"/>
      <c r="AO15" s="8"/>
      <c r="AP15" s="8"/>
      <c r="AQ15" s="8"/>
      <c r="AR15" s="8"/>
      <c r="AS15" s="8">
        <v>0</v>
      </c>
      <c r="AT15" s="8" t="s">
        <v>107</v>
      </c>
      <c r="AU15" s="8" t="s">
        <v>107</v>
      </c>
      <c r="AV15" s="967"/>
      <c r="AW15" s="8">
        <f t="shared" si="13"/>
        <v>0</v>
      </c>
      <c r="AX15" s="8"/>
      <c r="AY15" s="8" t="s">
        <v>107</v>
      </c>
      <c r="AZ15" s="8" t="s">
        <v>107</v>
      </c>
      <c r="BA15" s="8" t="s">
        <v>107</v>
      </c>
      <c r="BB15" s="8"/>
      <c r="BC15" s="8"/>
      <c r="BD15" s="8"/>
      <c r="BE15" s="8"/>
      <c r="BF15" s="8"/>
      <c r="BG15" s="8"/>
      <c r="BH15" s="8"/>
      <c r="BI15" s="8"/>
      <c r="BJ15" s="8"/>
      <c r="BK15" s="8">
        <v>0</v>
      </c>
      <c r="BL15" s="8" t="s">
        <v>107</v>
      </c>
      <c r="BM15" s="8" t="s">
        <v>107</v>
      </c>
      <c r="BN15" s="967"/>
      <c r="BO15" s="8">
        <f t="shared" si="14"/>
        <v>0</v>
      </c>
      <c r="BP15" s="8"/>
      <c r="BQ15" s="8" t="s">
        <v>107</v>
      </c>
      <c r="BR15" s="8" t="s">
        <v>107</v>
      </c>
      <c r="BS15" s="8" t="s">
        <v>107</v>
      </c>
      <c r="BT15" s="8"/>
      <c r="BU15" s="8"/>
      <c r="BV15" s="8"/>
      <c r="BW15" s="8"/>
      <c r="BX15" s="8"/>
      <c r="BY15" s="8"/>
      <c r="BZ15" s="8"/>
      <c r="CA15" s="8">
        <v>0</v>
      </c>
      <c r="CB15" s="8" t="s">
        <v>107</v>
      </c>
      <c r="CC15" s="8" t="s">
        <v>107</v>
      </c>
      <c r="CD15" s="967"/>
      <c r="CE15" s="8"/>
      <c r="CF15" s="8"/>
      <c r="CG15" s="8"/>
      <c r="CH15" s="8"/>
      <c r="CI15" s="8"/>
      <c r="CJ15" s="8"/>
      <c r="CK15" s="8"/>
      <c r="CL15" s="8"/>
      <c r="CM15" s="8"/>
      <c r="CN15" s="8">
        <v>0</v>
      </c>
      <c r="CO15" s="8" t="s">
        <v>107</v>
      </c>
      <c r="CP15" s="8" t="s">
        <v>107</v>
      </c>
      <c r="CQ15" s="967"/>
      <c r="CR15" s="8"/>
      <c r="CS15" s="8"/>
      <c r="CT15" s="8"/>
      <c r="CU15" s="8"/>
      <c r="CV15" s="8"/>
      <c r="CW15" s="8"/>
      <c r="CX15" s="8"/>
      <c r="CY15" s="8"/>
      <c r="CZ15" s="8"/>
      <c r="DA15" s="8">
        <v>0</v>
      </c>
      <c r="DB15" s="8" t="s">
        <v>107</v>
      </c>
      <c r="DC15" s="8" t="s">
        <v>107</v>
      </c>
      <c r="DD15" s="967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>
        <v>0</v>
      </c>
      <c r="DP15" s="8" t="s">
        <v>107</v>
      </c>
      <c r="DQ15" s="8" t="s">
        <v>107</v>
      </c>
      <c r="DR15" s="967"/>
      <c r="DS15" s="8"/>
      <c r="DT15" s="8"/>
      <c r="DU15" s="8"/>
      <c r="DV15" s="8"/>
      <c r="DW15" s="8"/>
      <c r="DX15" s="8"/>
      <c r="DY15" s="8"/>
      <c r="DZ15" s="8"/>
      <c r="EA15" s="8"/>
      <c r="EB15" s="8">
        <v>0</v>
      </c>
      <c r="EC15" s="8" t="s">
        <v>107</v>
      </c>
      <c r="ED15" s="8" t="s">
        <v>107</v>
      </c>
      <c r="EE15" s="967"/>
      <c r="EF15" s="8"/>
      <c r="EG15" s="8"/>
      <c r="EH15" s="8"/>
      <c r="EI15" s="8"/>
      <c r="EJ15" s="8"/>
      <c r="EK15" s="8"/>
      <c r="EL15" s="8"/>
      <c r="EM15" s="8"/>
      <c r="EN15" s="8"/>
      <c r="EO15" s="8">
        <v>0</v>
      </c>
      <c r="EP15" s="8" t="s">
        <v>107</v>
      </c>
      <c r="EQ15" s="8" t="s">
        <v>107</v>
      </c>
      <c r="ER15" s="967"/>
      <c r="ES15" s="8"/>
      <c r="ET15" s="8"/>
      <c r="EU15" s="8"/>
      <c r="EV15" s="8"/>
      <c r="EW15" s="8"/>
      <c r="EX15" s="8"/>
      <c r="EY15" s="8"/>
      <c r="EZ15" s="8"/>
      <c r="FA15" s="8"/>
      <c r="FB15" s="8">
        <v>0</v>
      </c>
      <c r="FC15" s="8" t="s">
        <v>107</v>
      </c>
      <c r="FD15" s="8" t="s">
        <v>107</v>
      </c>
      <c r="FE15" s="967"/>
      <c r="FF15" s="8"/>
      <c r="FG15" s="8"/>
      <c r="FH15" s="8"/>
      <c r="FI15" s="8"/>
      <c r="FJ15" s="8"/>
      <c r="FK15" s="8"/>
      <c r="FL15" s="8"/>
      <c r="FM15" s="8"/>
      <c r="FN15" s="8"/>
      <c r="FO15" s="8">
        <v>0</v>
      </c>
      <c r="FP15" s="8" t="s">
        <v>107</v>
      </c>
      <c r="FQ15" s="8" t="s">
        <v>107</v>
      </c>
      <c r="FR15" s="967"/>
      <c r="FS15" s="8"/>
      <c r="FT15" s="8"/>
      <c r="FU15" s="8"/>
      <c r="FV15" s="8"/>
      <c r="FW15" s="8"/>
      <c r="FX15" s="8"/>
      <c r="FY15" s="8"/>
      <c r="FZ15" s="8"/>
      <c r="GA15" s="8"/>
      <c r="GB15" s="8">
        <v>0</v>
      </c>
      <c r="GC15" s="8" t="s">
        <v>107</v>
      </c>
      <c r="GD15" s="8" t="s">
        <v>107</v>
      </c>
      <c r="GE15" s="967"/>
      <c r="GF15" s="8"/>
      <c r="GG15" s="8"/>
      <c r="GH15" s="8"/>
      <c r="GI15" s="8"/>
      <c r="GJ15" s="8"/>
      <c r="GK15" s="8"/>
      <c r="GL15" s="8"/>
      <c r="GM15" s="8"/>
      <c r="GN15" s="8"/>
      <c r="GO15" s="8">
        <v>0</v>
      </c>
      <c r="GP15" s="8" t="s">
        <v>107</v>
      </c>
      <c r="GQ15" s="8" t="s">
        <v>107</v>
      </c>
      <c r="GR15" s="967"/>
      <c r="GS15" s="8"/>
      <c r="GT15" s="8"/>
      <c r="GU15" s="8"/>
      <c r="GV15" s="8"/>
      <c r="GW15" s="8"/>
      <c r="GX15" s="8"/>
      <c r="GY15" s="8"/>
      <c r="GZ15" s="8"/>
      <c r="HA15" s="8"/>
      <c r="HB15" s="8">
        <v>0</v>
      </c>
      <c r="HC15" s="8" t="s">
        <v>107</v>
      </c>
      <c r="HD15" s="8" t="s">
        <v>107</v>
      </c>
      <c r="HE15" s="967"/>
      <c r="HF15" s="8"/>
      <c r="HG15" s="8"/>
      <c r="HH15" s="8"/>
      <c r="HI15" s="8"/>
      <c r="HJ15" s="8"/>
      <c r="HK15" s="8"/>
      <c r="HL15" s="8"/>
      <c r="HM15" s="8"/>
      <c r="HN15" s="8"/>
      <c r="HO15" s="8">
        <v>0</v>
      </c>
      <c r="HP15" s="8" t="s">
        <v>107</v>
      </c>
      <c r="HQ15" s="8" t="s">
        <v>107</v>
      </c>
      <c r="HR15" s="967"/>
      <c r="HS15" s="8"/>
      <c r="HT15" s="8"/>
      <c r="HU15" s="8"/>
      <c r="HV15" s="8"/>
      <c r="HW15" s="8"/>
      <c r="HX15" s="8"/>
      <c r="HY15" s="8"/>
      <c r="HZ15" s="8"/>
      <c r="IA15" s="8"/>
      <c r="IB15" s="8">
        <v>0</v>
      </c>
      <c r="IC15" s="8" t="s">
        <v>107</v>
      </c>
      <c r="ID15" s="8" t="s">
        <v>107</v>
      </c>
      <c r="IE15" s="967"/>
      <c r="IF15" s="8"/>
      <c r="IG15" s="8"/>
      <c r="IH15" s="8"/>
      <c r="II15" s="8"/>
      <c r="IJ15" s="8"/>
      <c r="IK15" s="8"/>
      <c r="IL15" s="8"/>
      <c r="IM15" s="8"/>
      <c r="IN15" s="8"/>
      <c r="IO15" s="8">
        <v>0</v>
      </c>
      <c r="IP15" s="8" t="s">
        <v>107</v>
      </c>
      <c r="IQ15" s="8" t="s">
        <v>107</v>
      </c>
      <c r="IR15" s="967"/>
    </row>
    <row r="16" spans="2:252" x14ac:dyDescent="0.3">
      <c r="B16" t="s">
        <v>681</v>
      </c>
      <c r="C16" t="s">
        <v>2265</v>
      </c>
      <c r="E16" s="8">
        <f t="shared" si="11"/>
        <v>23</v>
      </c>
      <c r="F16" s="8"/>
      <c r="G16" s="8" t="s">
        <v>107</v>
      </c>
      <c r="H16" s="8" t="s">
        <v>107</v>
      </c>
      <c r="I16" s="8" t="s">
        <v>107</v>
      </c>
      <c r="J16" s="8" t="s">
        <v>107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 t="s">
        <v>107</v>
      </c>
      <c r="AB16" s="1087">
        <v>8</v>
      </c>
      <c r="AC16" s="8">
        <v>15</v>
      </c>
      <c r="AD16" s="967"/>
      <c r="AE16" s="8">
        <f t="shared" si="12"/>
        <v>0</v>
      </c>
      <c r="AF16" s="8"/>
      <c r="AG16" s="8" t="s">
        <v>107</v>
      </c>
      <c r="AH16" s="8" t="s">
        <v>107</v>
      </c>
      <c r="AI16" s="8" t="s">
        <v>107</v>
      </c>
      <c r="AJ16" s="8"/>
      <c r="AK16" s="8"/>
      <c r="AL16" s="8"/>
      <c r="AM16" s="8"/>
      <c r="AN16" s="8"/>
      <c r="AO16" s="8"/>
      <c r="AP16" s="8"/>
      <c r="AQ16" s="8"/>
      <c r="AR16" s="8"/>
      <c r="AS16" s="8" t="s">
        <v>107</v>
      </c>
      <c r="AT16" s="8">
        <v>0</v>
      </c>
      <c r="AU16" s="8">
        <v>0</v>
      </c>
      <c r="AV16" s="967"/>
      <c r="AW16" s="8">
        <f t="shared" si="13"/>
        <v>0</v>
      </c>
      <c r="AX16" s="8"/>
      <c r="AY16" s="8" t="s">
        <v>107</v>
      </c>
      <c r="AZ16" s="8" t="s">
        <v>107</v>
      </c>
      <c r="BA16" s="8" t="s">
        <v>107</v>
      </c>
      <c r="BB16" s="8"/>
      <c r="BC16" s="8"/>
      <c r="BD16" s="8"/>
      <c r="BE16" s="8"/>
      <c r="BF16" s="8"/>
      <c r="BG16" s="8"/>
      <c r="BH16" s="8"/>
      <c r="BI16" s="8"/>
      <c r="BJ16" s="8"/>
      <c r="BK16" s="8" t="s">
        <v>107</v>
      </c>
      <c r="BL16" s="8">
        <v>0</v>
      </c>
      <c r="BM16" s="8">
        <v>0</v>
      </c>
      <c r="BN16" s="967"/>
      <c r="BO16" s="8">
        <f t="shared" si="14"/>
        <v>0</v>
      </c>
      <c r="BP16" s="8"/>
      <c r="BQ16" s="8" t="s">
        <v>107</v>
      </c>
      <c r="BR16" s="8" t="s">
        <v>107</v>
      </c>
      <c r="BS16" s="8" t="s">
        <v>107</v>
      </c>
      <c r="BT16" s="8"/>
      <c r="BU16" s="8"/>
      <c r="BV16" s="8"/>
      <c r="BW16" s="8"/>
      <c r="BX16" s="8"/>
      <c r="BY16" s="8"/>
      <c r="BZ16" s="8"/>
      <c r="CA16" s="8" t="s">
        <v>107</v>
      </c>
      <c r="CB16" s="8">
        <v>0</v>
      </c>
      <c r="CC16" s="8">
        <v>0</v>
      </c>
      <c r="CD16" s="967"/>
      <c r="CE16" s="8"/>
      <c r="CF16" s="8"/>
      <c r="CG16" s="8"/>
      <c r="CH16" s="8"/>
      <c r="CI16" s="8"/>
      <c r="CJ16" s="8"/>
      <c r="CK16" s="8"/>
      <c r="CL16" s="8"/>
      <c r="CM16" s="8"/>
      <c r="CN16" s="8" t="s">
        <v>107</v>
      </c>
      <c r="CO16" s="8">
        <v>0</v>
      </c>
      <c r="CP16" s="8">
        <v>0</v>
      </c>
      <c r="CQ16" s="967"/>
      <c r="CR16" s="8"/>
      <c r="CS16" s="8"/>
      <c r="CT16" s="8"/>
      <c r="CU16" s="8"/>
      <c r="CV16" s="8"/>
      <c r="CW16" s="8"/>
      <c r="CX16" s="8"/>
      <c r="CY16" s="8"/>
      <c r="CZ16" s="8"/>
      <c r="DA16" s="8" t="s">
        <v>107</v>
      </c>
      <c r="DB16" s="8">
        <v>0</v>
      </c>
      <c r="DC16" s="8">
        <v>0</v>
      </c>
      <c r="DD16" s="967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 t="s">
        <v>107</v>
      </c>
      <c r="DP16" s="8">
        <v>0</v>
      </c>
      <c r="DQ16" s="8">
        <v>0</v>
      </c>
      <c r="DR16" s="967"/>
      <c r="DS16" s="8"/>
      <c r="DT16" s="8"/>
      <c r="DU16" s="8"/>
      <c r="DV16" s="8"/>
      <c r="DW16" s="8"/>
      <c r="DX16" s="8"/>
      <c r="DY16" s="8"/>
      <c r="DZ16" s="8"/>
      <c r="EA16" s="8"/>
      <c r="EB16" s="8" t="s">
        <v>107</v>
      </c>
      <c r="EC16" s="8">
        <v>0</v>
      </c>
      <c r="ED16" s="8">
        <v>0</v>
      </c>
      <c r="EE16" s="967"/>
      <c r="EF16" s="8"/>
      <c r="EG16" s="8"/>
      <c r="EH16" s="8"/>
      <c r="EI16" s="8"/>
      <c r="EJ16" s="8"/>
      <c r="EK16" s="8"/>
      <c r="EL16" s="8"/>
      <c r="EM16" s="8"/>
      <c r="EN16" s="8"/>
      <c r="EO16" s="8" t="s">
        <v>107</v>
      </c>
      <c r="EP16" s="8">
        <v>0</v>
      </c>
      <c r="EQ16" s="8">
        <v>0</v>
      </c>
      <c r="ER16" s="967"/>
      <c r="ES16" s="8"/>
      <c r="ET16" s="8"/>
      <c r="EU16" s="8"/>
      <c r="EV16" s="8"/>
      <c r="EW16" s="8"/>
      <c r="EX16" s="8"/>
      <c r="EY16" s="8"/>
      <c r="EZ16" s="8"/>
      <c r="FA16" s="8"/>
      <c r="FB16" s="8" t="s">
        <v>107</v>
      </c>
      <c r="FC16" s="8">
        <v>0</v>
      </c>
      <c r="FD16" s="8">
        <v>0</v>
      </c>
      <c r="FE16" s="967"/>
      <c r="FF16" s="8"/>
      <c r="FG16" s="8"/>
      <c r="FH16" s="8"/>
      <c r="FI16" s="8"/>
      <c r="FJ16" s="8"/>
      <c r="FK16" s="8"/>
      <c r="FL16" s="8"/>
      <c r="FM16" s="8"/>
      <c r="FN16" s="8"/>
      <c r="FO16" s="8" t="s">
        <v>107</v>
      </c>
      <c r="FP16" s="8">
        <v>0</v>
      </c>
      <c r="FQ16" s="8">
        <v>0</v>
      </c>
      <c r="FR16" s="967"/>
      <c r="FS16" s="8"/>
      <c r="FT16" s="8"/>
      <c r="FU16" s="8"/>
      <c r="FV16" s="8"/>
      <c r="FW16" s="8"/>
      <c r="FX16" s="8"/>
      <c r="FY16" s="8"/>
      <c r="FZ16" s="8"/>
      <c r="GA16" s="8"/>
      <c r="GB16" s="8" t="s">
        <v>107</v>
      </c>
      <c r="GC16" s="8">
        <v>0</v>
      </c>
      <c r="GD16" s="8">
        <v>0</v>
      </c>
      <c r="GE16" s="967"/>
      <c r="GF16" s="8"/>
      <c r="GG16" s="8"/>
      <c r="GH16" s="8"/>
      <c r="GI16" s="8"/>
      <c r="GJ16" s="8"/>
      <c r="GK16" s="8"/>
      <c r="GL16" s="8"/>
      <c r="GM16" s="8"/>
      <c r="GN16" s="8"/>
      <c r="GO16" s="8" t="s">
        <v>107</v>
      </c>
      <c r="GP16" s="8">
        <v>0</v>
      </c>
      <c r="GQ16" s="8">
        <v>0</v>
      </c>
      <c r="GR16" s="967"/>
      <c r="GS16" s="8"/>
      <c r="GT16" s="8"/>
      <c r="GU16" s="8"/>
      <c r="GV16" s="8"/>
      <c r="GW16" s="8"/>
      <c r="GX16" s="8"/>
      <c r="GY16" s="8"/>
      <c r="GZ16" s="8"/>
      <c r="HA16" s="8"/>
      <c r="HB16" s="8" t="s">
        <v>107</v>
      </c>
      <c r="HC16" s="8">
        <v>0</v>
      </c>
      <c r="HD16" s="8">
        <v>0</v>
      </c>
      <c r="HE16" s="967"/>
      <c r="HF16" s="8"/>
      <c r="HG16" s="8"/>
      <c r="HH16" s="8"/>
      <c r="HI16" s="8"/>
      <c r="HJ16" s="8"/>
      <c r="HK16" s="8"/>
      <c r="HL16" s="8"/>
      <c r="HM16" s="8"/>
      <c r="HN16" s="8"/>
      <c r="HO16" s="8" t="s">
        <v>107</v>
      </c>
      <c r="HP16" s="8">
        <v>0</v>
      </c>
      <c r="HQ16" s="8">
        <v>0</v>
      </c>
      <c r="HR16" s="967"/>
      <c r="HS16" s="8"/>
      <c r="HT16" s="8"/>
      <c r="HU16" s="8"/>
      <c r="HV16" s="8"/>
      <c r="HW16" s="8"/>
      <c r="HX16" s="8"/>
      <c r="HY16" s="8"/>
      <c r="HZ16" s="8"/>
      <c r="IA16" s="8"/>
      <c r="IB16" s="8" t="s">
        <v>107</v>
      </c>
      <c r="IC16" s="8">
        <v>0</v>
      </c>
      <c r="ID16" s="8">
        <v>0</v>
      </c>
      <c r="IE16" s="967"/>
      <c r="IF16" s="8"/>
      <c r="IG16" s="8"/>
      <c r="IH16" s="8"/>
      <c r="II16" s="8"/>
      <c r="IJ16" s="8"/>
      <c r="IK16" s="8"/>
      <c r="IL16" s="8"/>
      <c r="IM16" s="8"/>
      <c r="IN16" s="8"/>
      <c r="IO16" s="8" t="s">
        <v>107</v>
      </c>
      <c r="IP16" s="8">
        <v>0</v>
      </c>
      <c r="IQ16" s="8">
        <v>0</v>
      </c>
      <c r="IR16" s="967"/>
    </row>
    <row r="17" spans="2:252" x14ac:dyDescent="0.3">
      <c r="B17" t="s">
        <v>681</v>
      </c>
      <c r="C17" t="s">
        <v>1816</v>
      </c>
      <c r="E17" s="8">
        <f t="shared" si="11"/>
        <v>63</v>
      </c>
      <c r="F17" s="8"/>
      <c r="G17" s="8">
        <v>8</v>
      </c>
      <c r="H17" s="8">
        <v>0</v>
      </c>
      <c r="I17" s="8">
        <v>10</v>
      </c>
      <c r="J17" s="8">
        <v>12</v>
      </c>
      <c r="K17" s="8" t="s">
        <v>107</v>
      </c>
      <c r="L17" s="8" t="s">
        <v>107</v>
      </c>
      <c r="M17" s="8" t="s">
        <v>107</v>
      </c>
      <c r="N17" s="8" t="s">
        <v>107</v>
      </c>
      <c r="O17" s="8" t="s">
        <v>107</v>
      </c>
      <c r="P17" s="8" t="s">
        <v>107</v>
      </c>
      <c r="Q17" s="8" t="s">
        <v>107</v>
      </c>
      <c r="R17" s="8">
        <v>17</v>
      </c>
      <c r="S17" s="8">
        <v>16</v>
      </c>
      <c r="T17" s="8"/>
      <c r="U17" s="8"/>
      <c r="V17" s="8"/>
      <c r="W17" s="8"/>
      <c r="X17" s="8"/>
      <c r="Y17" s="8"/>
      <c r="Z17" s="8"/>
      <c r="AA17" s="8" t="s">
        <v>107</v>
      </c>
      <c r="AB17" s="8" t="s">
        <v>107</v>
      </c>
      <c r="AC17" s="8" t="s">
        <v>107</v>
      </c>
      <c r="AD17" s="967"/>
      <c r="AE17" s="8">
        <f t="shared" si="12"/>
        <v>264</v>
      </c>
      <c r="AF17" s="8"/>
      <c r="AG17" s="8">
        <v>159</v>
      </c>
      <c r="AH17" s="8">
        <v>0</v>
      </c>
      <c r="AI17" s="8">
        <v>105</v>
      </c>
      <c r="AJ17" s="8">
        <v>0</v>
      </c>
      <c r="AK17" s="8"/>
      <c r="AL17" s="8" t="s">
        <v>107</v>
      </c>
      <c r="AM17" s="8" t="s">
        <v>107</v>
      </c>
      <c r="AN17" s="8" t="s">
        <v>107</v>
      </c>
      <c r="AO17" s="8" t="s">
        <v>107</v>
      </c>
      <c r="AP17" s="8">
        <v>0</v>
      </c>
      <c r="AQ17" s="8">
        <v>0</v>
      </c>
      <c r="AR17" s="8"/>
      <c r="AS17" s="8" t="s">
        <v>107</v>
      </c>
      <c r="AT17" s="8" t="s">
        <v>107</v>
      </c>
      <c r="AU17" s="8" t="s">
        <v>107</v>
      </c>
      <c r="AV17" s="967"/>
      <c r="AW17" s="8">
        <f t="shared" si="13"/>
        <v>0</v>
      </c>
      <c r="AX17" s="8"/>
      <c r="AY17" s="8">
        <v>0</v>
      </c>
      <c r="AZ17" s="8">
        <v>0</v>
      </c>
      <c r="BA17" s="8">
        <v>0</v>
      </c>
      <c r="BB17" s="8">
        <v>0</v>
      </c>
      <c r="BC17" s="8"/>
      <c r="BD17" s="8" t="s">
        <v>107</v>
      </c>
      <c r="BE17" s="8" t="s">
        <v>107</v>
      </c>
      <c r="BF17" s="8" t="s">
        <v>107</v>
      </c>
      <c r="BG17" s="8" t="s">
        <v>107</v>
      </c>
      <c r="BH17" s="8">
        <v>0</v>
      </c>
      <c r="BI17" s="8">
        <v>0</v>
      </c>
      <c r="BJ17" s="8"/>
      <c r="BK17" s="8" t="s">
        <v>107</v>
      </c>
      <c r="BL17" s="8" t="s">
        <v>107</v>
      </c>
      <c r="BM17" s="8" t="s">
        <v>107</v>
      </c>
      <c r="BN17" s="967"/>
      <c r="BO17" s="8">
        <f t="shared" si="14"/>
        <v>74</v>
      </c>
      <c r="BP17" s="8"/>
      <c r="BQ17" s="8">
        <v>40</v>
      </c>
      <c r="BR17" s="8">
        <v>0</v>
      </c>
      <c r="BS17" s="8">
        <v>34</v>
      </c>
      <c r="BT17" s="8" t="s">
        <v>107</v>
      </c>
      <c r="BU17" s="8" t="s">
        <v>107</v>
      </c>
      <c r="BV17" s="8" t="s">
        <v>107</v>
      </c>
      <c r="BW17" s="8" t="s">
        <v>107</v>
      </c>
      <c r="BX17" s="8">
        <v>0</v>
      </c>
      <c r="BY17" s="8">
        <v>0</v>
      </c>
      <c r="BZ17" s="8"/>
      <c r="CA17" s="8" t="s">
        <v>107</v>
      </c>
      <c r="CB17" s="8" t="s">
        <v>107</v>
      </c>
      <c r="CC17" s="8" t="s">
        <v>107</v>
      </c>
      <c r="CD17" s="967"/>
      <c r="CE17" s="8">
        <f t="shared" si="15"/>
        <v>0</v>
      </c>
      <c r="CF17" s="8"/>
      <c r="CG17" s="8" t="s">
        <v>107</v>
      </c>
      <c r="CH17" s="8" t="s">
        <v>107</v>
      </c>
      <c r="CI17" s="8" t="s">
        <v>107</v>
      </c>
      <c r="CJ17" s="8" t="s">
        <v>107</v>
      </c>
      <c r="CK17" s="8">
        <v>0</v>
      </c>
      <c r="CL17" s="8"/>
      <c r="CM17" s="8"/>
      <c r="CN17" s="8" t="s">
        <v>107</v>
      </c>
      <c r="CO17" s="8" t="s">
        <v>107</v>
      </c>
      <c r="CP17" s="8" t="s">
        <v>107</v>
      </c>
      <c r="CQ17" s="967"/>
      <c r="CR17" s="8">
        <f t="shared" si="16"/>
        <v>0</v>
      </c>
      <c r="CS17" s="8"/>
      <c r="CT17" s="8" t="s">
        <v>107</v>
      </c>
      <c r="CU17" s="8" t="s">
        <v>107</v>
      </c>
      <c r="CV17" s="8" t="s">
        <v>107</v>
      </c>
      <c r="CW17" s="8" t="s">
        <v>107</v>
      </c>
      <c r="CX17" s="8">
        <v>0</v>
      </c>
      <c r="CY17" s="8"/>
      <c r="CZ17" s="8"/>
      <c r="DA17" s="8" t="s">
        <v>107</v>
      </c>
      <c r="DB17" s="8" t="s">
        <v>107</v>
      </c>
      <c r="DC17" s="8" t="s">
        <v>107</v>
      </c>
      <c r="DD17" s="967"/>
      <c r="DE17" s="8">
        <f t="shared" si="17"/>
        <v>0</v>
      </c>
      <c r="DF17" s="8"/>
      <c r="DG17" s="8" t="s">
        <v>107</v>
      </c>
      <c r="DH17" s="8" t="s">
        <v>107</v>
      </c>
      <c r="DI17" s="8" t="s">
        <v>107</v>
      </c>
      <c r="DJ17" s="8" t="s">
        <v>107</v>
      </c>
      <c r="DK17" s="8">
        <v>0</v>
      </c>
      <c r="DL17" s="8">
        <v>0</v>
      </c>
      <c r="DM17" s="8"/>
      <c r="DN17" s="8"/>
      <c r="DO17" s="8" t="s">
        <v>107</v>
      </c>
      <c r="DP17" s="8" t="s">
        <v>107</v>
      </c>
      <c r="DQ17" s="8" t="s">
        <v>107</v>
      </c>
      <c r="DR17" s="967"/>
      <c r="DS17" s="8">
        <f t="shared" si="18"/>
        <v>0</v>
      </c>
      <c r="DT17" s="8"/>
      <c r="DU17" s="8" t="s">
        <v>107</v>
      </c>
      <c r="DV17" s="8" t="s">
        <v>107</v>
      </c>
      <c r="DW17" s="8" t="s">
        <v>107</v>
      </c>
      <c r="DX17" s="8" t="s">
        <v>107</v>
      </c>
      <c r="DY17" s="8">
        <v>0</v>
      </c>
      <c r="DZ17" s="8"/>
      <c r="EA17" s="8"/>
      <c r="EB17" s="8" t="s">
        <v>107</v>
      </c>
      <c r="EC17" s="8" t="s">
        <v>107</v>
      </c>
      <c r="ED17" s="8" t="s">
        <v>107</v>
      </c>
      <c r="EE17" s="967"/>
      <c r="EF17" s="8">
        <f t="shared" si="19"/>
        <v>0</v>
      </c>
      <c r="EG17" s="8"/>
      <c r="EH17" s="8" t="s">
        <v>107</v>
      </c>
      <c r="EI17" s="8" t="s">
        <v>107</v>
      </c>
      <c r="EJ17" s="8" t="s">
        <v>107</v>
      </c>
      <c r="EK17" s="8" t="s">
        <v>107</v>
      </c>
      <c r="EL17" s="8">
        <v>0</v>
      </c>
      <c r="EM17" s="8"/>
      <c r="EN17" s="8"/>
      <c r="EO17" s="8" t="s">
        <v>107</v>
      </c>
      <c r="EP17" s="8" t="s">
        <v>107</v>
      </c>
      <c r="EQ17" s="8" t="s">
        <v>107</v>
      </c>
      <c r="ER17" s="967"/>
      <c r="ES17" s="8">
        <f t="shared" si="20"/>
        <v>0</v>
      </c>
      <c r="ET17" s="8"/>
      <c r="EU17" s="8" t="s">
        <v>107</v>
      </c>
      <c r="EV17" s="8" t="s">
        <v>107</v>
      </c>
      <c r="EW17" s="8" t="s">
        <v>107</v>
      </c>
      <c r="EX17" s="8" t="s">
        <v>107</v>
      </c>
      <c r="EY17" s="8">
        <v>0</v>
      </c>
      <c r="EZ17" s="8"/>
      <c r="FA17" s="8"/>
      <c r="FB17" s="8" t="s">
        <v>107</v>
      </c>
      <c r="FC17" s="8" t="s">
        <v>107</v>
      </c>
      <c r="FD17" s="8" t="s">
        <v>107</v>
      </c>
      <c r="FE17" s="967"/>
      <c r="FF17" s="8">
        <f t="shared" si="21"/>
        <v>0</v>
      </c>
      <c r="FG17" s="8"/>
      <c r="FH17" s="8" t="s">
        <v>107</v>
      </c>
      <c r="FI17" s="8" t="s">
        <v>107</v>
      </c>
      <c r="FJ17" s="8" t="s">
        <v>107</v>
      </c>
      <c r="FK17" s="8" t="s">
        <v>107</v>
      </c>
      <c r="FL17" s="8">
        <v>0</v>
      </c>
      <c r="FM17" s="8"/>
      <c r="FN17" s="8"/>
      <c r="FO17" s="8" t="s">
        <v>107</v>
      </c>
      <c r="FP17" s="8" t="s">
        <v>107</v>
      </c>
      <c r="FQ17" s="8" t="s">
        <v>107</v>
      </c>
      <c r="FR17" s="967"/>
      <c r="FS17" s="8">
        <f t="shared" si="22"/>
        <v>0</v>
      </c>
      <c r="FT17" s="8"/>
      <c r="FU17" s="8" t="s">
        <v>107</v>
      </c>
      <c r="FV17" s="8" t="s">
        <v>107</v>
      </c>
      <c r="FW17" s="8" t="s">
        <v>107</v>
      </c>
      <c r="FX17" s="8" t="s">
        <v>107</v>
      </c>
      <c r="FY17" s="8">
        <v>0</v>
      </c>
      <c r="FZ17" s="8"/>
      <c r="GA17" s="8"/>
      <c r="GB17" s="8" t="s">
        <v>107</v>
      </c>
      <c r="GC17" s="8" t="s">
        <v>107</v>
      </c>
      <c r="GD17" s="8" t="s">
        <v>107</v>
      </c>
      <c r="GE17" s="967"/>
      <c r="GF17" s="8">
        <f t="shared" si="23"/>
        <v>0</v>
      </c>
      <c r="GG17" s="8"/>
      <c r="GH17" s="8" t="s">
        <v>107</v>
      </c>
      <c r="GI17" s="8" t="s">
        <v>107</v>
      </c>
      <c r="GJ17" s="8" t="s">
        <v>107</v>
      </c>
      <c r="GK17" s="8" t="s">
        <v>107</v>
      </c>
      <c r="GL17" s="8">
        <v>0</v>
      </c>
      <c r="GM17" s="8"/>
      <c r="GN17" s="8"/>
      <c r="GO17" s="8" t="s">
        <v>107</v>
      </c>
      <c r="GP17" s="8" t="s">
        <v>107</v>
      </c>
      <c r="GQ17" s="8" t="s">
        <v>107</v>
      </c>
      <c r="GR17" s="967"/>
      <c r="GS17" s="8">
        <f t="shared" si="24"/>
        <v>0</v>
      </c>
      <c r="GT17" s="8"/>
      <c r="GU17" s="8" t="s">
        <v>107</v>
      </c>
      <c r="GV17" s="8" t="s">
        <v>107</v>
      </c>
      <c r="GW17" s="8" t="s">
        <v>107</v>
      </c>
      <c r="GX17" s="8" t="s">
        <v>107</v>
      </c>
      <c r="GY17" s="8">
        <v>0</v>
      </c>
      <c r="GZ17" s="8"/>
      <c r="HA17" s="8"/>
      <c r="HB17" s="8" t="s">
        <v>107</v>
      </c>
      <c r="HC17" s="8" t="s">
        <v>107</v>
      </c>
      <c r="HD17" s="8" t="s">
        <v>107</v>
      </c>
      <c r="HE17" s="967"/>
      <c r="HF17" s="8">
        <f t="shared" si="25"/>
        <v>0</v>
      </c>
      <c r="HG17" s="8"/>
      <c r="HH17" s="8" t="s">
        <v>107</v>
      </c>
      <c r="HI17" s="8" t="s">
        <v>107</v>
      </c>
      <c r="HJ17" s="8" t="s">
        <v>107</v>
      </c>
      <c r="HK17" s="8" t="s">
        <v>107</v>
      </c>
      <c r="HL17" s="8">
        <v>0</v>
      </c>
      <c r="HM17" s="8"/>
      <c r="HN17" s="8"/>
      <c r="HO17" s="8" t="s">
        <v>107</v>
      </c>
      <c r="HP17" s="8" t="s">
        <v>107</v>
      </c>
      <c r="HQ17" s="8" t="s">
        <v>107</v>
      </c>
      <c r="HR17" s="967"/>
      <c r="HS17" s="8">
        <f t="shared" si="26"/>
        <v>0</v>
      </c>
      <c r="HT17" s="8"/>
      <c r="HU17" s="8" t="s">
        <v>107</v>
      </c>
      <c r="HV17" s="8" t="s">
        <v>107</v>
      </c>
      <c r="HW17" s="8" t="s">
        <v>107</v>
      </c>
      <c r="HX17" s="8" t="s">
        <v>107</v>
      </c>
      <c r="HY17" s="8">
        <v>0</v>
      </c>
      <c r="HZ17" s="8"/>
      <c r="IA17" s="8"/>
      <c r="IB17" s="8" t="s">
        <v>107</v>
      </c>
      <c r="IC17" s="8" t="s">
        <v>107</v>
      </c>
      <c r="ID17" s="8" t="s">
        <v>107</v>
      </c>
      <c r="IE17" s="967"/>
      <c r="IF17" s="8">
        <f t="shared" si="27"/>
        <v>0</v>
      </c>
      <c r="IG17" s="8"/>
      <c r="IH17" s="8" t="s">
        <v>107</v>
      </c>
      <c r="II17" s="8" t="s">
        <v>107</v>
      </c>
      <c r="IJ17" s="8" t="s">
        <v>107</v>
      </c>
      <c r="IK17" s="8" t="s">
        <v>107</v>
      </c>
      <c r="IL17" s="8">
        <v>0</v>
      </c>
      <c r="IM17" s="8"/>
      <c r="IN17" s="8"/>
      <c r="IO17" s="8" t="s">
        <v>107</v>
      </c>
      <c r="IP17" s="8" t="s">
        <v>107</v>
      </c>
      <c r="IQ17" s="8" t="s">
        <v>107</v>
      </c>
      <c r="IR17" s="967"/>
    </row>
    <row r="18" spans="2:252" x14ac:dyDescent="0.3">
      <c r="B18" t="s">
        <v>681</v>
      </c>
      <c r="C18" t="s">
        <v>1993</v>
      </c>
      <c r="E18" s="8">
        <f t="shared" si="11"/>
        <v>21</v>
      </c>
      <c r="F18" s="8"/>
      <c r="G18" s="8" t="s">
        <v>107</v>
      </c>
      <c r="H18" s="8" t="s">
        <v>107</v>
      </c>
      <c r="I18" s="8" t="s">
        <v>107</v>
      </c>
      <c r="J18" s="8" t="s">
        <v>107</v>
      </c>
      <c r="K18" s="8" t="s">
        <v>107</v>
      </c>
      <c r="L18" s="8" t="s">
        <v>107</v>
      </c>
      <c r="M18" s="8" t="s">
        <v>107</v>
      </c>
      <c r="N18" s="8" t="s">
        <v>107</v>
      </c>
      <c r="O18" s="8" t="s">
        <v>107</v>
      </c>
      <c r="P18" s="8" t="s">
        <v>107</v>
      </c>
      <c r="Q18" s="8" t="s">
        <v>107</v>
      </c>
      <c r="R18" s="8" t="s">
        <v>107</v>
      </c>
      <c r="S18" s="8" t="s">
        <v>107</v>
      </c>
      <c r="T18" s="8"/>
      <c r="U18" s="8"/>
      <c r="V18" s="8"/>
      <c r="W18" s="8"/>
      <c r="X18" s="8"/>
      <c r="Y18" s="8"/>
      <c r="Z18" s="8"/>
      <c r="AA18" s="1087" t="s">
        <v>107</v>
      </c>
      <c r="AB18" s="1087" t="s">
        <v>107</v>
      </c>
      <c r="AC18" s="8">
        <v>21</v>
      </c>
      <c r="AD18" s="967"/>
      <c r="AE18" s="8">
        <f t="shared" si="12"/>
        <v>0</v>
      </c>
      <c r="AF18" s="8"/>
      <c r="AG18" s="8" t="s">
        <v>107</v>
      </c>
      <c r="AH18" s="8" t="s">
        <v>107</v>
      </c>
      <c r="AI18" s="8" t="s">
        <v>107</v>
      </c>
      <c r="AJ18" s="8"/>
      <c r="AK18" s="8"/>
      <c r="AL18" s="8" t="s">
        <v>107</v>
      </c>
      <c r="AM18" s="8" t="s">
        <v>107</v>
      </c>
      <c r="AN18" s="8"/>
      <c r="AO18" s="8"/>
      <c r="AP18" s="8"/>
      <c r="AQ18" s="8"/>
      <c r="AR18" s="8"/>
      <c r="AS18" s="8">
        <v>0</v>
      </c>
      <c r="AT18" s="8">
        <v>0</v>
      </c>
      <c r="AU18" s="8">
        <v>0</v>
      </c>
      <c r="AV18" s="967"/>
      <c r="AW18" s="8">
        <f t="shared" si="13"/>
        <v>0</v>
      </c>
      <c r="AX18" s="8"/>
      <c r="AY18" s="8" t="s">
        <v>107</v>
      </c>
      <c r="AZ18" s="8" t="s">
        <v>107</v>
      </c>
      <c r="BA18" s="8" t="s">
        <v>107</v>
      </c>
      <c r="BB18" s="8"/>
      <c r="BC18" s="8"/>
      <c r="BD18" s="8" t="s">
        <v>107</v>
      </c>
      <c r="BE18" s="8" t="s">
        <v>107</v>
      </c>
      <c r="BF18" s="8"/>
      <c r="BG18" s="8"/>
      <c r="BH18" s="8"/>
      <c r="BI18" s="8"/>
      <c r="BJ18" s="8"/>
      <c r="BK18" s="8">
        <v>0</v>
      </c>
      <c r="BL18" s="8">
        <v>0</v>
      </c>
      <c r="BM18" s="8">
        <v>0</v>
      </c>
      <c r="BN18" s="967"/>
      <c r="BO18" s="8">
        <f t="shared" si="14"/>
        <v>0</v>
      </c>
      <c r="BP18" s="8"/>
      <c r="BQ18" s="8" t="s">
        <v>107</v>
      </c>
      <c r="BR18" s="8" t="s">
        <v>107</v>
      </c>
      <c r="BS18" s="8" t="s">
        <v>107</v>
      </c>
      <c r="BT18" s="8" t="s">
        <v>107</v>
      </c>
      <c r="BU18" s="8" t="s">
        <v>107</v>
      </c>
      <c r="BV18" s="8"/>
      <c r="BW18" s="8"/>
      <c r="BX18" s="8"/>
      <c r="BY18" s="8"/>
      <c r="BZ18" s="8"/>
      <c r="CA18" s="8">
        <v>0</v>
      </c>
      <c r="CB18" s="8">
        <v>0</v>
      </c>
      <c r="CC18" s="8">
        <v>0</v>
      </c>
      <c r="CD18" s="967"/>
      <c r="CE18" s="8">
        <f t="shared" si="15"/>
        <v>0</v>
      </c>
      <c r="CF18" s="8"/>
      <c r="CG18" s="8" t="s">
        <v>107</v>
      </c>
      <c r="CH18" s="8" t="s">
        <v>107</v>
      </c>
      <c r="CI18" s="8"/>
      <c r="CJ18" s="8"/>
      <c r="CK18" s="8"/>
      <c r="CL18" s="8"/>
      <c r="CM18" s="8"/>
      <c r="CN18" s="8">
        <v>0</v>
      </c>
      <c r="CO18" s="8">
        <v>0</v>
      </c>
      <c r="CP18" s="8">
        <v>0</v>
      </c>
      <c r="CQ18" s="967"/>
      <c r="CR18" s="8">
        <f t="shared" si="16"/>
        <v>0</v>
      </c>
      <c r="CS18" s="8"/>
      <c r="CT18" s="8" t="s">
        <v>107</v>
      </c>
      <c r="CU18" s="8" t="s">
        <v>107</v>
      </c>
      <c r="CV18" s="8"/>
      <c r="CW18" s="8"/>
      <c r="CX18" s="8"/>
      <c r="CY18" s="8"/>
      <c r="CZ18" s="8"/>
      <c r="DA18" s="8">
        <v>0</v>
      </c>
      <c r="DB18" s="8">
        <v>0</v>
      </c>
      <c r="DC18" s="8">
        <v>0</v>
      </c>
      <c r="DD18" s="967"/>
      <c r="DE18" s="8">
        <f t="shared" si="17"/>
        <v>0</v>
      </c>
      <c r="DF18" s="8"/>
      <c r="DG18" s="8" t="s">
        <v>107</v>
      </c>
      <c r="DH18" s="8" t="s">
        <v>107</v>
      </c>
      <c r="DI18" s="8"/>
      <c r="DJ18" s="8"/>
      <c r="DK18" s="8"/>
      <c r="DL18" s="8"/>
      <c r="DM18" s="8"/>
      <c r="DN18" s="8"/>
      <c r="DO18" s="8">
        <v>0</v>
      </c>
      <c r="DP18" s="8">
        <v>0</v>
      </c>
      <c r="DQ18" s="8">
        <v>0</v>
      </c>
      <c r="DR18" s="967"/>
      <c r="DS18" s="8">
        <f t="shared" si="18"/>
        <v>0</v>
      </c>
      <c r="DT18" s="8"/>
      <c r="DU18" s="8" t="s">
        <v>107</v>
      </c>
      <c r="DV18" s="8" t="s">
        <v>107</v>
      </c>
      <c r="DW18" s="8"/>
      <c r="DX18" s="8"/>
      <c r="DY18" s="8"/>
      <c r="DZ18" s="8"/>
      <c r="EA18" s="8"/>
      <c r="EB18" s="8">
        <v>0</v>
      </c>
      <c r="EC18" s="8">
        <v>0</v>
      </c>
      <c r="ED18" s="8">
        <v>0</v>
      </c>
      <c r="EE18" s="967"/>
      <c r="EF18" s="8">
        <f t="shared" si="19"/>
        <v>0</v>
      </c>
      <c r="EG18" s="8"/>
      <c r="EH18" s="8" t="s">
        <v>107</v>
      </c>
      <c r="EI18" s="8" t="s">
        <v>107</v>
      </c>
      <c r="EJ18" s="8"/>
      <c r="EK18" s="8"/>
      <c r="EL18" s="8">
        <v>0</v>
      </c>
      <c r="EM18" s="8"/>
      <c r="EN18" s="8"/>
      <c r="EO18" s="8">
        <v>0</v>
      </c>
      <c r="EP18" s="8">
        <v>0</v>
      </c>
      <c r="EQ18" s="8">
        <v>0</v>
      </c>
      <c r="ER18" s="967"/>
      <c r="ES18" s="8">
        <f t="shared" si="20"/>
        <v>0</v>
      </c>
      <c r="ET18" s="8"/>
      <c r="EU18" s="8" t="s">
        <v>107</v>
      </c>
      <c r="EV18" s="8" t="s">
        <v>107</v>
      </c>
      <c r="EW18" s="8"/>
      <c r="EX18" s="8"/>
      <c r="EY18" s="8">
        <v>0</v>
      </c>
      <c r="EZ18" s="8"/>
      <c r="FA18" s="8"/>
      <c r="FB18" s="8">
        <v>0</v>
      </c>
      <c r="FC18" s="8">
        <v>0</v>
      </c>
      <c r="FD18" s="8">
        <v>0</v>
      </c>
      <c r="FE18" s="967"/>
      <c r="FF18" s="8">
        <f t="shared" si="21"/>
        <v>0</v>
      </c>
      <c r="FG18" s="8"/>
      <c r="FH18" s="8" t="s">
        <v>107</v>
      </c>
      <c r="FI18" s="8" t="s">
        <v>107</v>
      </c>
      <c r="FJ18" s="8"/>
      <c r="FK18" s="8"/>
      <c r="FL18" s="8">
        <v>0</v>
      </c>
      <c r="FM18" s="8"/>
      <c r="FN18" s="8"/>
      <c r="FO18" s="8">
        <v>0</v>
      </c>
      <c r="FP18" s="8">
        <v>0</v>
      </c>
      <c r="FQ18" s="8">
        <v>0</v>
      </c>
      <c r="FR18" s="967"/>
      <c r="FS18" s="8">
        <f t="shared" si="22"/>
        <v>0</v>
      </c>
      <c r="FT18" s="8"/>
      <c r="FU18" s="8" t="s">
        <v>107</v>
      </c>
      <c r="FV18" s="8" t="s">
        <v>107</v>
      </c>
      <c r="FW18" s="8"/>
      <c r="FX18" s="8"/>
      <c r="FY18" s="8">
        <v>0</v>
      </c>
      <c r="FZ18" s="8"/>
      <c r="GA18" s="8"/>
      <c r="GB18" s="8">
        <v>0</v>
      </c>
      <c r="GC18" s="8">
        <v>0</v>
      </c>
      <c r="GD18" s="8">
        <v>0</v>
      </c>
      <c r="GE18" s="967"/>
      <c r="GF18" s="8">
        <f t="shared" si="23"/>
        <v>0</v>
      </c>
      <c r="GG18" s="8"/>
      <c r="GH18" s="8" t="s">
        <v>107</v>
      </c>
      <c r="GI18" s="8" t="s">
        <v>107</v>
      </c>
      <c r="GJ18" s="8"/>
      <c r="GK18" s="8"/>
      <c r="GL18" s="8">
        <v>0</v>
      </c>
      <c r="GM18" s="8"/>
      <c r="GN18" s="8"/>
      <c r="GO18" s="8">
        <v>0</v>
      </c>
      <c r="GP18" s="8">
        <v>0</v>
      </c>
      <c r="GQ18" s="8">
        <v>0</v>
      </c>
      <c r="GR18" s="967"/>
      <c r="GS18" s="8">
        <f t="shared" si="24"/>
        <v>0</v>
      </c>
      <c r="GT18" s="8"/>
      <c r="GU18" s="8" t="s">
        <v>107</v>
      </c>
      <c r="GV18" s="8" t="s">
        <v>107</v>
      </c>
      <c r="GW18" s="8"/>
      <c r="GX18" s="8"/>
      <c r="GY18" s="8">
        <v>0</v>
      </c>
      <c r="GZ18" s="8"/>
      <c r="HA18" s="8"/>
      <c r="HB18" s="8">
        <v>0</v>
      </c>
      <c r="HC18" s="8">
        <v>0</v>
      </c>
      <c r="HD18" s="8">
        <v>0</v>
      </c>
      <c r="HE18" s="967"/>
      <c r="HF18" s="8">
        <f t="shared" si="25"/>
        <v>0</v>
      </c>
      <c r="HG18" s="8"/>
      <c r="HH18" s="8" t="s">
        <v>107</v>
      </c>
      <c r="HI18" s="8" t="s">
        <v>107</v>
      </c>
      <c r="HJ18" s="8"/>
      <c r="HK18" s="8"/>
      <c r="HL18" s="8">
        <v>0</v>
      </c>
      <c r="HM18" s="8"/>
      <c r="HN18" s="8"/>
      <c r="HO18" s="8">
        <v>0</v>
      </c>
      <c r="HP18" s="8">
        <v>0</v>
      </c>
      <c r="HQ18" s="8">
        <v>0</v>
      </c>
      <c r="HR18" s="967"/>
      <c r="HS18" s="8">
        <f t="shared" si="26"/>
        <v>0</v>
      </c>
      <c r="HT18" s="8"/>
      <c r="HU18" s="8" t="s">
        <v>107</v>
      </c>
      <c r="HV18" s="8" t="s">
        <v>107</v>
      </c>
      <c r="HW18" s="8"/>
      <c r="HX18" s="8"/>
      <c r="HY18" s="8">
        <v>0</v>
      </c>
      <c r="HZ18" s="8"/>
      <c r="IA18" s="8"/>
      <c r="IB18" s="8">
        <v>0</v>
      </c>
      <c r="IC18" s="8">
        <v>0</v>
      </c>
      <c r="ID18" s="8">
        <v>0</v>
      </c>
      <c r="IE18" s="967"/>
      <c r="IF18" s="8">
        <f t="shared" si="27"/>
        <v>0</v>
      </c>
      <c r="IG18" s="8"/>
      <c r="IH18" s="8" t="s">
        <v>107</v>
      </c>
      <c r="II18" s="8" t="s">
        <v>107</v>
      </c>
      <c r="IJ18" s="8"/>
      <c r="IK18" s="8"/>
      <c r="IL18" s="8">
        <v>0</v>
      </c>
      <c r="IM18" s="8"/>
      <c r="IN18" s="8"/>
      <c r="IO18" s="8">
        <v>0</v>
      </c>
      <c r="IP18" s="8">
        <v>0</v>
      </c>
      <c r="IQ18" s="8">
        <v>0</v>
      </c>
      <c r="IR18" s="967"/>
    </row>
    <row r="19" spans="2:252" x14ac:dyDescent="0.3">
      <c r="E19" s="8">
        <f t="shared" si="11"/>
        <v>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967"/>
      <c r="AE19" s="8">
        <f t="shared" si="12"/>
        <v>0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67"/>
      <c r="AW19" s="8">
        <f t="shared" si="13"/>
        <v>0</v>
      </c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967"/>
      <c r="BO19" s="8">
        <f t="shared" si="14"/>
        <v>0</v>
      </c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967"/>
      <c r="CE19" s="8">
        <f t="shared" si="15"/>
        <v>0</v>
      </c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967"/>
      <c r="CR19" s="8">
        <f t="shared" si="16"/>
        <v>0</v>
      </c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967"/>
      <c r="DE19" s="8">
        <f t="shared" si="17"/>
        <v>0</v>
      </c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967"/>
      <c r="DS19" s="8">
        <f t="shared" si="18"/>
        <v>0</v>
      </c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967"/>
      <c r="EF19" s="8">
        <f t="shared" si="19"/>
        <v>0</v>
      </c>
      <c r="EG19" s="8"/>
      <c r="EH19" s="8"/>
      <c r="EI19" s="8"/>
      <c r="EJ19" s="8"/>
      <c r="EK19" s="8"/>
      <c r="EL19" s="8">
        <v>0</v>
      </c>
      <c r="EM19" s="8"/>
      <c r="EN19" s="8"/>
      <c r="EO19" s="8"/>
      <c r="EP19" s="8"/>
      <c r="EQ19" s="8"/>
      <c r="ER19" s="967"/>
      <c r="ES19" s="8">
        <f t="shared" si="20"/>
        <v>0</v>
      </c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967"/>
      <c r="FF19" s="8">
        <f t="shared" si="21"/>
        <v>0</v>
      </c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967"/>
      <c r="FS19" s="8">
        <f t="shared" si="22"/>
        <v>0</v>
      </c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967"/>
      <c r="GF19" s="8">
        <f t="shared" si="23"/>
        <v>0</v>
      </c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967"/>
      <c r="GS19" s="8">
        <f t="shared" si="24"/>
        <v>0</v>
      </c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967"/>
      <c r="HF19" s="8">
        <f t="shared" si="25"/>
        <v>0</v>
      </c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967"/>
      <c r="HS19" s="8">
        <f t="shared" si="26"/>
        <v>0</v>
      </c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967"/>
      <c r="IF19" s="8">
        <f t="shared" si="27"/>
        <v>0</v>
      </c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967"/>
    </row>
    <row r="20" spans="2:252" x14ac:dyDescent="0.3">
      <c r="E20" s="8">
        <f t="shared" si="11"/>
        <v>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967"/>
      <c r="AE20" s="8">
        <f t="shared" si="12"/>
        <v>0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67"/>
      <c r="AW20" s="8">
        <f t="shared" si="13"/>
        <v>0</v>
      </c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967"/>
      <c r="BO20" s="8">
        <f t="shared" si="14"/>
        <v>0</v>
      </c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967"/>
      <c r="CE20" s="8">
        <f t="shared" si="15"/>
        <v>0</v>
      </c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967"/>
      <c r="CR20" s="8">
        <f t="shared" si="16"/>
        <v>0</v>
      </c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967"/>
      <c r="DE20" s="8">
        <f t="shared" si="17"/>
        <v>0</v>
      </c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967"/>
      <c r="DS20" s="8">
        <f t="shared" si="18"/>
        <v>0</v>
      </c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967"/>
      <c r="EF20" s="8">
        <f t="shared" si="19"/>
        <v>0</v>
      </c>
      <c r="EG20" s="8"/>
      <c r="EH20" s="8"/>
      <c r="EI20" s="8"/>
      <c r="EJ20" s="8"/>
      <c r="EK20" s="8"/>
      <c r="EL20" s="8">
        <v>0</v>
      </c>
      <c r="EM20" s="8"/>
      <c r="EN20" s="8"/>
      <c r="EO20" s="8"/>
      <c r="EP20" s="8"/>
      <c r="EQ20" s="8"/>
      <c r="ER20" s="967"/>
      <c r="ES20" s="8">
        <f t="shared" si="20"/>
        <v>0</v>
      </c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967"/>
      <c r="FF20" s="8">
        <f t="shared" si="21"/>
        <v>0</v>
      </c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967"/>
      <c r="FS20" s="8">
        <f t="shared" si="22"/>
        <v>0</v>
      </c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967"/>
      <c r="GF20" s="8">
        <f t="shared" si="23"/>
        <v>0</v>
      </c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967"/>
      <c r="GS20" s="8">
        <f t="shared" si="24"/>
        <v>0</v>
      </c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967"/>
      <c r="HF20" s="8">
        <f t="shared" si="25"/>
        <v>0</v>
      </c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967"/>
      <c r="HS20" s="8">
        <f t="shared" si="26"/>
        <v>0</v>
      </c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967"/>
      <c r="IF20" s="8">
        <f t="shared" si="27"/>
        <v>0</v>
      </c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967"/>
    </row>
    <row r="21" spans="2:252" x14ac:dyDescent="0.3">
      <c r="E21" s="8">
        <f t="shared" si="11"/>
        <v>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967"/>
      <c r="AE21" s="8">
        <f t="shared" si="12"/>
        <v>0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67"/>
      <c r="AW21" s="8">
        <f t="shared" si="13"/>
        <v>0</v>
      </c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967"/>
      <c r="BO21" s="8">
        <f t="shared" si="14"/>
        <v>0</v>
      </c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967"/>
      <c r="CE21" s="8">
        <f t="shared" si="15"/>
        <v>0</v>
      </c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967"/>
      <c r="CR21" s="8">
        <f t="shared" si="16"/>
        <v>0</v>
      </c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967"/>
      <c r="DE21" s="8">
        <f t="shared" si="17"/>
        <v>0</v>
      </c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967"/>
      <c r="DS21" s="8">
        <f t="shared" si="18"/>
        <v>0</v>
      </c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967"/>
      <c r="EF21" s="8">
        <f t="shared" si="19"/>
        <v>0</v>
      </c>
      <c r="EG21" s="8"/>
      <c r="EH21" s="8"/>
      <c r="EI21" s="8"/>
      <c r="EJ21" s="8"/>
      <c r="EK21" s="8"/>
      <c r="EL21" s="8">
        <v>0</v>
      </c>
      <c r="EM21" s="8"/>
      <c r="EN21" s="8"/>
      <c r="EO21" s="8"/>
      <c r="EP21" s="8"/>
      <c r="EQ21" s="8"/>
      <c r="ER21" s="967"/>
      <c r="ES21" s="8">
        <f t="shared" si="20"/>
        <v>0</v>
      </c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967"/>
      <c r="FF21" s="8">
        <f t="shared" si="21"/>
        <v>0</v>
      </c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967"/>
      <c r="FS21" s="8">
        <f t="shared" si="22"/>
        <v>0</v>
      </c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967"/>
      <c r="GF21" s="8">
        <f t="shared" si="23"/>
        <v>0</v>
      </c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967"/>
      <c r="GS21" s="8">
        <f t="shared" si="24"/>
        <v>0</v>
      </c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967"/>
      <c r="HF21" s="8">
        <f t="shared" si="25"/>
        <v>0</v>
      </c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967"/>
      <c r="HS21" s="8">
        <f t="shared" si="26"/>
        <v>0</v>
      </c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967"/>
      <c r="IF21" s="8">
        <f t="shared" si="27"/>
        <v>0</v>
      </c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967"/>
    </row>
    <row r="22" spans="2:252" x14ac:dyDescent="0.3">
      <c r="E22" s="8">
        <f t="shared" si="11"/>
        <v>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967"/>
      <c r="AE22" s="8">
        <f t="shared" ref="AE22:AE42" si="28">SUM(AF22:AU22)</f>
        <v>0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67"/>
      <c r="AW22" s="8">
        <f t="shared" si="13"/>
        <v>0</v>
      </c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967"/>
      <c r="BO22" s="8">
        <f t="shared" si="14"/>
        <v>0</v>
      </c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967"/>
      <c r="CE22" s="8">
        <f t="shared" si="15"/>
        <v>0</v>
      </c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967"/>
      <c r="CR22" s="8">
        <f t="shared" si="16"/>
        <v>0</v>
      </c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967"/>
      <c r="DE22" s="8">
        <f t="shared" si="17"/>
        <v>0</v>
      </c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967"/>
      <c r="DS22" s="8">
        <f t="shared" si="18"/>
        <v>0</v>
      </c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967"/>
      <c r="EF22" s="8">
        <f t="shared" si="19"/>
        <v>0</v>
      </c>
      <c r="EG22" s="8"/>
      <c r="EH22" s="8"/>
      <c r="EI22" s="8"/>
      <c r="EJ22" s="8"/>
      <c r="EK22" s="8"/>
      <c r="EL22" s="8">
        <v>0</v>
      </c>
      <c r="EM22" s="8"/>
      <c r="EN22" s="8"/>
      <c r="EO22" s="8"/>
      <c r="EP22" s="8"/>
      <c r="EQ22" s="8"/>
      <c r="ER22" s="967"/>
      <c r="ES22" s="8">
        <f t="shared" si="20"/>
        <v>0</v>
      </c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967"/>
      <c r="FF22" s="8">
        <f t="shared" si="21"/>
        <v>0</v>
      </c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967"/>
      <c r="FS22" s="8">
        <f t="shared" si="22"/>
        <v>0</v>
      </c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967"/>
      <c r="GF22" s="8">
        <f t="shared" si="23"/>
        <v>0</v>
      </c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967"/>
      <c r="GS22" s="8">
        <f t="shared" si="24"/>
        <v>0</v>
      </c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967"/>
      <c r="HF22" s="8">
        <f t="shared" si="25"/>
        <v>0</v>
      </c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967"/>
      <c r="HS22" s="8">
        <f t="shared" si="26"/>
        <v>0</v>
      </c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967"/>
      <c r="IF22" s="8">
        <f t="shared" si="27"/>
        <v>0</v>
      </c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967"/>
    </row>
    <row r="23" spans="2:252" x14ac:dyDescent="0.3">
      <c r="E23" s="8">
        <f t="shared" ref="E23:E42" si="29">SUM(F23:AC23)</f>
        <v>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967"/>
      <c r="AE23" s="8">
        <f t="shared" si="28"/>
        <v>0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67"/>
      <c r="AW23" s="8">
        <f t="shared" si="13"/>
        <v>0</v>
      </c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967"/>
      <c r="BO23" s="8">
        <f t="shared" si="14"/>
        <v>0</v>
      </c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67"/>
      <c r="CE23" s="8">
        <f t="shared" si="15"/>
        <v>0</v>
      </c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967"/>
      <c r="CR23" s="8">
        <f t="shared" si="16"/>
        <v>0</v>
      </c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967"/>
      <c r="DE23" s="8">
        <f t="shared" si="17"/>
        <v>0</v>
      </c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967"/>
      <c r="DS23" s="8">
        <f t="shared" si="18"/>
        <v>0</v>
      </c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967"/>
      <c r="EF23" s="8">
        <f t="shared" si="19"/>
        <v>0</v>
      </c>
      <c r="EG23" s="8"/>
      <c r="EH23" s="8"/>
      <c r="EI23" s="8"/>
      <c r="EJ23" s="8"/>
      <c r="EK23" s="8"/>
      <c r="EL23" s="8">
        <v>0</v>
      </c>
      <c r="EM23" s="8"/>
      <c r="EN23" s="8"/>
      <c r="EO23" s="8"/>
      <c r="EP23" s="8"/>
      <c r="EQ23" s="8"/>
      <c r="ER23" s="967"/>
      <c r="ES23" s="8">
        <f t="shared" si="20"/>
        <v>0</v>
      </c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967"/>
      <c r="FF23" s="8">
        <f t="shared" si="21"/>
        <v>0</v>
      </c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967"/>
      <c r="FS23" s="8">
        <f t="shared" si="22"/>
        <v>0</v>
      </c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967"/>
      <c r="GF23" s="8">
        <f t="shared" si="23"/>
        <v>0</v>
      </c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967"/>
      <c r="GS23" s="8">
        <f t="shared" si="24"/>
        <v>0</v>
      </c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967"/>
      <c r="HF23" s="8">
        <f t="shared" si="25"/>
        <v>0</v>
      </c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967"/>
      <c r="HS23" s="8">
        <f t="shared" si="26"/>
        <v>0</v>
      </c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967"/>
      <c r="IF23" s="8">
        <f t="shared" si="27"/>
        <v>0</v>
      </c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967"/>
    </row>
    <row r="24" spans="2:252" x14ac:dyDescent="0.3">
      <c r="E24" s="8">
        <f t="shared" si="29"/>
        <v>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967"/>
      <c r="AE24" s="8">
        <f t="shared" si="28"/>
        <v>0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67"/>
      <c r="AW24" s="8">
        <f t="shared" ref="AW24:AW42" si="30">SUM(AX24:BM24)</f>
        <v>0</v>
      </c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967"/>
      <c r="BO24" s="8">
        <f t="shared" ref="BO24:BO42" si="31">SUM(BP24:CC24)</f>
        <v>0</v>
      </c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967"/>
      <c r="CE24" s="8">
        <f t="shared" ref="CE24:CE42" si="32">SUM(CF24:CP24)</f>
        <v>0</v>
      </c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967"/>
      <c r="CR24" s="8">
        <f t="shared" ref="CR24:CR42" si="33">SUM(CS24:DC24)</f>
        <v>0</v>
      </c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967"/>
      <c r="DE24" s="8">
        <f t="shared" ref="DE24:DE42" si="34">SUM(DF24:DQ24)</f>
        <v>0</v>
      </c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967"/>
      <c r="DS24" s="8">
        <f t="shared" ref="DS24:DS42" si="35">SUM(DT24:ED24)</f>
        <v>0</v>
      </c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967"/>
      <c r="EF24" s="8">
        <f t="shared" ref="EF24:EF42" si="36">SUM(EG24:EQ24)</f>
        <v>0</v>
      </c>
      <c r="EG24" s="8"/>
      <c r="EH24" s="8"/>
      <c r="EI24" s="8"/>
      <c r="EJ24" s="8"/>
      <c r="EK24" s="8"/>
      <c r="EL24" s="8">
        <v>0</v>
      </c>
      <c r="EM24" s="8"/>
      <c r="EN24" s="8"/>
      <c r="EO24" s="8"/>
      <c r="EP24" s="8"/>
      <c r="EQ24" s="8"/>
      <c r="ER24" s="967"/>
      <c r="ES24" s="8">
        <f t="shared" ref="ES24:ES42" si="37">SUM(ET24:FD24)</f>
        <v>0</v>
      </c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967"/>
      <c r="FF24" s="8">
        <f t="shared" ref="FF24:FF42" si="38">SUM(FG24:FQ24)</f>
        <v>0</v>
      </c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967"/>
      <c r="FS24" s="8">
        <f t="shared" ref="FS24:FS42" si="39">SUM(FT24:GD24)</f>
        <v>0</v>
      </c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967"/>
      <c r="GF24" s="8">
        <f t="shared" ref="GF24:GF42" si="40">SUM(GG24:GQ24)</f>
        <v>0</v>
      </c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967"/>
      <c r="GS24" s="8">
        <f t="shared" si="24"/>
        <v>0</v>
      </c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967"/>
      <c r="HF24" s="8">
        <f t="shared" ref="HF24:HF42" si="41">SUM(HG24:HQ24)</f>
        <v>0</v>
      </c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967"/>
      <c r="HS24" s="8">
        <f t="shared" ref="HS24:HS42" si="42">SUM(HT24:ID24)</f>
        <v>0</v>
      </c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967"/>
      <c r="IF24" s="8">
        <f t="shared" si="27"/>
        <v>0</v>
      </c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967"/>
    </row>
    <row r="25" spans="2:252" x14ac:dyDescent="0.3">
      <c r="E25" s="8">
        <f t="shared" si="29"/>
        <v>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967"/>
      <c r="AE25" s="8">
        <f t="shared" si="28"/>
        <v>0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67"/>
      <c r="AW25" s="8">
        <f t="shared" si="30"/>
        <v>0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967"/>
      <c r="BO25" s="8">
        <f t="shared" si="31"/>
        <v>0</v>
      </c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967"/>
      <c r="CE25" s="8">
        <f t="shared" si="32"/>
        <v>0</v>
      </c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967"/>
      <c r="CR25" s="8">
        <f t="shared" si="33"/>
        <v>0</v>
      </c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967"/>
      <c r="DE25" s="8">
        <f t="shared" si="34"/>
        <v>0</v>
      </c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967"/>
      <c r="DS25" s="8">
        <f t="shared" si="35"/>
        <v>0</v>
      </c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967"/>
      <c r="EF25" s="8">
        <f t="shared" si="36"/>
        <v>0</v>
      </c>
      <c r="EG25" s="8"/>
      <c r="EH25" s="8"/>
      <c r="EI25" s="8"/>
      <c r="EJ25" s="8"/>
      <c r="EK25" s="8"/>
      <c r="EL25" s="8">
        <v>0</v>
      </c>
      <c r="EM25" s="8"/>
      <c r="EN25" s="8"/>
      <c r="EO25" s="8"/>
      <c r="EP25" s="8"/>
      <c r="EQ25" s="8"/>
      <c r="ER25" s="967"/>
      <c r="ES25" s="8">
        <f t="shared" si="37"/>
        <v>0</v>
      </c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967"/>
      <c r="FF25" s="8">
        <f t="shared" si="38"/>
        <v>0</v>
      </c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967"/>
      <c r="FS25" s="8">
        <f t="shared" si="39"/>
        <v>0</v>
      </c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967"/>
      <c r="GF25" s="8">
        <f t="shared" si="40"/>
        <v>0</v>
      </c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967"/>
      <c r="GS25" s="8">
        <f t="shared" ref="GS25:GS42" si="43">SUM(GT25:HD25)</f>
        <v>0</v>
      </c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967"/>
      <c r="HF25" s="8">
        <f t="shared" si="41"/>
        <v>0</v>
      </c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967"/>
      <c r="HS25" s="8">
        <f t="shared" si="42"/>
        <v>0</v>
      </c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967"/>
      <c r="IF25" s="8">
        <f t="shared" si="27"/>
        <v>0</v>
      </c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967"/>
    </row>
    <row r="26" spans="2:252" x14ac:dyDescent="0.3">
      <c r="E26" s="8">
        <f t="shared" si="29"/>
        <v>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967"/>
      <c r="AE26" s="8">
        <f t="shared" si="28"/>
        <v>0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67"/>
      <c r="AW26" s="8">
        <f t="shared" si="30"/>
        <v>0</v>
      </c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967"/>
      <c r="BO26" s="8">
        <f t="shared" si="31"/>
        <v>0</v>
      </c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967"/>
      <c r="CE26" s="8">
        <f t="shared" si="32"/>
        <v>0</v>
      </c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967"/>
      <c r="CR26" s="8">
        <f t="shared" si="33"/>
        <v>0</v>
      </c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967"/>
      <c r="DE26" s="8">
        <f t="shared" si="34"/>
        <v>0</v>
      </c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967"/>
      <c r="DS26" s="8">
        <f t="shared" si="35"/>
        <v>0</v>
      </c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967"/>
      <c r="EF26" s="8">
        <f t="shared" si="36"/>
        <v>0</v>
      </c>
      <c r="EG26" s="8"/>
      <c r="EH26" s="8"/>
      <c r="EI26" s="8"/>
      <c r="EJ26" s="8"/>
      <c r="EK26" s="8"/>
      <c r="EL26" s="8">
        <v>0</v>
      </c>
      <c r="EM26" s="8"/>
      <c r="EN26" s="8"/>
      <c r="EO26" s="8"/>
      <c r="EP26" s="8"/>
      <c r="EQ26" s="8"/>
      <c r="ER26" s="967"/>
      <c r="ES26" s="8">
        <f t="shared" si="37"/>
        <v>0</v>
      </c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967"/>
      <c r="FF26" s="8">
        <f t="shared" si="38"/>
        <v>0</v>
      </c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967"/>
      <c r="FS26" s="8">
        <f t="shared" si="39"/>
        <v>0</v>
      </c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967"/>
      <c r="GF26" s="8">
        <f t="shared" si="40"/>
        <v>0</v>
      </c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967"/>
      <c r="GS26" s="8">
        <f t="shared" si="43"/>
        <v>0</v>
      </c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967"/>
      <c r="HF26" s="8">
        <f t="shared" si="41"/>
        <v>0</v>
      </c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967"/>
      <c r="HS26" s="8">
        <f t="shared" si="42"/>
        <v>0</v>
      </c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967"/>
      <c r="IF26" s="8">
        <f t="shared" si="27"/>
        <v>0</v>
      </c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967"/>
    </row>
    <row r="27" spans="2:252" x14ac:dyDescent="0.3">
      <c r="E27" s="8">
        <f t="shared" si="29"/>
        <v>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967"/>
      <c r="AE27" s="8">
        <f t="shared" si="28"/>
        <v>0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67"/>
      <c r="AW27" s="8">
        <f t="shared" si="30"/>
        <v>0</v>
      </c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967"/>
      <c r="BO27" s="8">
        <f t="shared" si="31"/>
        <v>0</v>
      </c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67"/>
      <c r="CE27" s="8">
        <f t="shared" si="32"/>
        <v>0</v>
      </c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967"/>
      <c r="CR27" s="8">
        <f t="shared" si="33"/>
        <v>0</v>
      </c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967"/>
      <c r="DE27" s="8">
        <f t="shared" si="34"/>
        <v>0</v>
      </c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967"/>
      <c r="DS27" s="8">
        <f t="shared" si="35"/>
        <v>0</v>
      </c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967"/>
      <c r="EF27" s="8">
        <f t="shared" si="36"/>
        <v>0</v>
      </c>
      <c r="EG27" s="8"/>
      <c r="EH27" s="8"/>
      <c r="EI27" s="8"/>
      <c r="EJ27" s="8"/>
      <c r="EK27" s="8"/>
      <c r="EL27" s="8">
        <v>0</v>
      </c>
      <c r="EM27" s="8"/>
      <c r="EN27" s="8"/>
      <c r="EO27" s="8"/>
      <c r="EP27" s="8"/>
      <c r="EQ27" s="8"/>
      <c r="ER27" s="967"/>
      <c r="ES27" s="8">
        <f t="shared" si="37"/>
        <v>0</v>
      </c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967"/>
      <c r="FF27" s="8">
        <f t="shared" si="38"/>
        <v>0</v>
      </c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967"/>
      <c r="FS27" s="8">
        <f t="shared" si="39"/>
        <v>0</v>
      </c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967"/>
      <c r="GF27" s="8">
        <f t="shared" si="40"/>
        <v>0</v>
      </c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967"/>
      <c r="GS27" s="8">
        <f t="shared" si="43"/>
        <v>0</v>
      </c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967"/>
      <c r="HF27" s="8">
        <f t="shared" si="41"/>
        <v>0</v>
      </c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967"/>
      <c r="HS27" s="8">
        <f t="shared" si="42"/>
        <v>0</v>
      </c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967"/>
      <c r="IF27" s="8">
        <f t="shared" si="27"/>
        <v>0</v>
      </c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967"/>
    </row>
    <row r="28" spans="2:252" x14ac:dyDescent="0.3">
      <c r="E28" s="8">
        <f t="shared" si="29"/>
        <v>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967"/>
      <c r="AE28" s="8">
        <f t="shared" si="28"/>
        <v>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67"/>
      <c r="AW28" s="8">
        <f t="shared" si="30"/>
        <v>0</v>
      </c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967"/>
      <c r="BO28" s="8">
        <f t="shared" si="31"/>
        <v>0</v>
      </c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967"/>
      <c r="CE28" s="8">
        <f t="shared" si="32"/>
        <v>0</v>
      </c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967"/>
      <c r="CR28" s="8">
        <f t="shared" si="33"/>
        <v>0</v>
      </c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967"/>
      <c r="DE28" s="8">
        <f t="shared" si="34"/>
        <v>0</v>
      </c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967"/>
      <c r="DS28" s="8">
        <f t="shared" si="35"/>
        <v>0</v>
      </c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967"/>
      <c r="EF28" s="8">
        <f t="shared" si="36"/>
        <v>0</v>
      </c>
      <c r="EG28" s="8"/>
      <c r="EH28" s="8"/>
      <c r="EI28" s="8"/>
      <c r="EJ28" s="8"/>
      <c r="EK28" s="8"/>
      <c r="EL28" s="8">
        <v>0</v>
      </c>
      <c r="EM28" s="8"/>
      <c r="EN28" s="8"/>
      <c r="EO28" s="8"/>
      <c r="EP28" s="8"/>
      <c r="EQ28" s="8"/>
      <c r="ER28" s="967"/>
      <c r="ES28" s="8">
        <f t="shared" si="37"/>
        <v>0</v>
      </c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967"/>
      <c r="FF28" s="8">
        <f t="shared" si="38"/>
        <v>0</v>
      </c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967"/>
      <c r="FS28" s="8">
        <f t="shared" si="39"/>
        <v>0</v>
      </c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967"/>
      <c r="GF28" s="8">
        <f t="shared" si="40"/>
        <v>0</v>
      </c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967"/>
      <c r="GS28" s="8">
        <f t="shared" si="43"/>
        <v>0</v>
      </c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967"/>
      <c r="HF28" s="8">
        <f t="shared" si="41"/>
        <v>0</v>
      </c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967"/>
      <c r="HS28" s="8">
        <f t="shared" si="42"/>
        <v>0</v>
      </c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967"/>
      <c r="IF28" s="8">
        <f t="shared" si="27"/>
        <v>0</v>
      </c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967"/>
    </row>
    <row r="29" spans="2:252" x14ac:dyDescent="0.3">
      <c r="E29" s="8">
        <f t="shared" si="29"/>
        <v>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967"/>
      <c r="AE29" s="8">
        <f t="shared" si="28"/>
        <v>0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67"/>
      <c r="AW29" s="8">
        <f t="shared" si="30"/>
        <v>0</v>
      </c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967"/>
      <c r="BO29" s="8">
        <f t="shared" si="31"/>
        <v>0</v>
      </c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967"/>
      <c r="CE29" s="8">
        <f t="shared" si="32"/>
        <v>0</v>
      </c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967"/>
      <c r="CR29" s="8">
        <f t="shared" si="33"/>
        <v>0</v>
      </c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967"/>
      <c r="DE29" s="8">
        <f t="shared" si="34"/>
        <v>0</v>
      </c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967"/>
      <c r="DS29" s="8">
        <f t="shared" si="35"/>
        <v>0</v>
      </c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967"/>
      <c r="EF29" s="8">
        <f t="shared" si="36"/>
        <v>0</v>
      </c>
      <c r="EG29" s="8"/>
      <c r="EH29" s="8"/>
      <c r="EI29" s="8"/>
      <c r="EJ29" s="8"/>
      <c r="EK29" s="8"/>
      <c r="EL29" s="8">
        <v>0</v>
      </c>
      <c r="EM29" s="8"/>
      <c r="EN29" s="8"/>
      <c r="EO29" s="8"/>
      <c r="EP29" s="8"/>
      <c r="EQ29" s="8"/>
      <c r="ER29" s="967"/>
      <c r="ES29" s="8">
        <f t="shared" si="37"/>
        <v>0</v>
      </c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967"/>
      <c r="FF29" s="8">
        <f t="shared" si="38"/>
        <v>0</v>
      </c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967"/>
      <c r="FS29" s="8">
        <f t="shared" si="39"/>
        <v>0</v>
      </c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967"/>
      <c r="GF29" s="8">
        <f t="shared" si="40"/>
        <v>0</v>
      </c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967"/>
      <c r="GS29" s="8">
        <f t="shared" si="43"/>
        <v>0</v>
      </c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967"/>
      <c r="HF29" s="8">
        <f t="shared" si="41"/>
        <v>0</v>
      </c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967"/>
      <c r="HS29" s="8">
        <f t="shared" si="42"/>
        <v>0</v>
      </c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967"/>
      <c r="IF29" s="8">
        <f t="shared" si="27"/>
        <v>0</v>
      </c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967"/>
    </row>
    <row r="30" spans="2:252" x14ac:dyDescent="0.3">
      <c r="E30" s="8">
        <f t="shared" si="29"/>
        <v>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967"/>
      <c r="AE30" s="8">
        <f t="shared" si="28"/>
        <v>0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67"/>
      <c r="AW30" s="8">
        <f t="shared" si="30"/>
        <v>0</v>
      </c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967"/>
      <c r="BO30" s="8">
        <f t="shared" si="31"/>
        <v>0</v>
      </c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967"/>
      <c r="CE30" s="8">
        <f t="shared" si="32"/>
        <v>0</v>
      </c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967"/>
      <c r="CR30" s="8">
        <f t="shared" si="33"/>
        <v>0</v>
      </c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967"/>
      <c r="DE30" s="8">
        <f t="shared" si="34"/>
        <v>0</v>
      </c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967"/>
      <c r="DS30" s="8">
        <f t="shared" si="35"/>
        <v>0</v>
      </c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967"/>
      <c r="EF30" s="8">
        <f t="shared" si="36"/>
        <v>0</v>
      </c>
      <c r="EG30" s="8"/>
      <c r="EH30" s="8"/>
      <c r="EI30" s="8"/>
      <c r="EJ30" s="8"/>
      <c r="EK30" s="8"/>
      <c r="EL30" s="8">
        <v>0</v>
      </c>
      <c r="EM30" s="8"/>
      <c r="EN30" s="8"/>
      <c r="EO30" s="8"/>
      <c r="EP30" s="8"/>
      <c r="EQ30" s="8"/>
      <c r="ER30" s="967"/>
      <c r="ES30" s="8">
        <f t="shared" si="37"/>
        <v>0</v>
      </c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967"/>
      <c r="FF30" s="8">
        <f t="shared" si="38"/>
        <v>0</v>
      </c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967"/>
      <c r="FS30" s="8">
        <f t="shared" si="39"/>
        <v>0</v>
      </c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967"/>
      <c r="GF30" s="8">
        <f t="shared" si="40"/>
        <v>0</v>
      </c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967"/>
      <c r="GS30" s="8">
        <f t="shared" si="43"/>
        <v>0</v>
      </c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967"/>
      <c r="HF30" s="8">
        <f t="shared" si="41"/>
        <v>0</v>
      </c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967"/>
      <c r="HS30" s="8">
        <f t="shared" si="42"/>
        <v>0</v>
      </c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967"/>
      <c r="IF30" s="8">
        <f t="shared" si="27"/>
        <v>0</v>
      </c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967"/>
    </row>
    <row r="31" spans="2:252" x14ac:dyDescent="0.3">
      <c r="E31" s="8">
        <f t="shared" si="29"/>
        <v>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967"/>
      <c r="AE31" s="8">
        <f t="shared" si="28"/>
        <v>0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67"/>
      <c r="AW31" s="8">
        <f t="shared" si="30"/>
        <v>0</v>
      </c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967"/>
      <c r="BO31" s="8">
        <f t="shared" si="31"/>
        <v>0</v>
      </c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967"/>
      <c r="CE31" s="8">
        <f t="shared" si="32"/>
        <v>0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967"/>
      <c r="CR31" s="8">
        <f t="shared" si="33"/>
        <v>0</v>
      </c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967"/>
      <c r="DE31" s="8">
        <f t="shared" si="34"/>
        <v>0</v>
      </c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967"/>
      <c r="DS31" s="8">
        <f t="shared" si="35"/>
        <v>0</v>
      </c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967"/>
      <c r="EF31" s="8">
        <f t="shared" si="36"/>
        <v>0</v>
      </c>
      <c r="EG31" s="8"/>
      <c r="EH31" s="8"/>
      <c r="EI31" s="8"/>
      <c r="EJ31" s="8"/>
      <c r="EK31" s="8"/>
      <c r="EL31" s="8">
        <v>0</v>
      </c>
      <c r="EM31" s="8"/>
      <c r="EN31" s="8"/>
      <c r="EO31" s="8"/>
      <c r="EP31" s="8"/>
      <c r="EQ31" s="8"/>
      <c r="ER31" s="967"/>
      <c r="ES31" s="8">
        <f t="shared" si="37"/>
        <v>0</v>
      </c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967"/>
      <c r="FF31" s="8">
        <f t="shared" si="38"/>
        <v>0</v>
      </c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967"/>
      <c r="FS31" s="8">
        <f t="shared" si="39"/>
        <v>0</v>
      </c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967"/>
      <c r="GF31" s="8">
        <f t="shared" si="40"/>
        <v>0</v>
      </c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967"/>
      <c r="GS31" s="8">
        <f t="shared" si="43"/>
        <v>0</v>
      </c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967"/>
      <c r="HF31" s="8">
        <f t="shared" si="41"/>
        <v>0</v>
      </c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967"/>
      <c r="HS31" s="8">
        <f t="shared" si="42"/>
        <v>0</v>
      </c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967"/>
      <c r="IF31" s="8">
        <f t="shared" si="27"/>
        <v>0</v>
      </c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967"/>
    </row>
    <row r="32" spans="2:252" x14ac:dyDescent="0.3">
      <c r="E32" s="8">
        <f t="shared" si="29"/>
        <v>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967"/>
      <c r="AE32" s="8">
        <f t="shared" si="28"/>
        <v>0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67"/>
      <c r="AW32" s="8">
        <f t="shared" si="30"/>
        <v>0</v>
      </c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967"/>
      <c r="BO32" s="8">
        <f t="shared" si="31"/>
        <v>0</v>
      </c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967"/>
      <c r="CE32" s="8">
        <f t="shared" si="32"/>
        <v>0</v>
      </c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967"/>
      <c r="CR32" s="8">
        <f t="shared" si="33"/>
        <v>0</v>
      </c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967"/>
      <c r="DE32" s="8">
        <f t="shared" si="34"/>
        <v>0</v>
      </c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967"/>
      <c r="DS32" s="8">
        <f t="shared" si="35"/>
        <v>0</v>
      </c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967"/>
      <c r="EF32" s="8">
        <f t="shared" si="36"/>
        <v>0</v>
      </c>
      <c r="EG32" s="8"/>
      <c r="EH32" s="8"/>
      <c r="EI32" s="8"/>
      <c r="EJ32" s="8"/>
      <c r="EK32" s="8"/>
      <c r="EL32" s="8">
        <v>0</v>
      </c>
      <c r="EM32" s="8"/>
      <c r="EN32" s="8"/>
      <c r="EO32" s="8"/>
      <c r="EP32" s="8"/>
      <c r="EQ32" s="8"/>
      <c r="ER32" s="967"/>
      <c r="ES32" s="8">
        <f t="shared" si="37"/>
        <v>0</v>
      </c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967"/>
      <c r="FF32" s="8">
        <f t="shared" si="38"/>
        <v>0</v>
      </c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967"/>
      <c r="FS32" s="8">
        <f t="shared" si="39"/>
        <v>0</v>
      </c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967"/>
      <c r="GF32" s="8">
        <f t="shared" si="40"/>
        <v>0</v>
      </c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967"/>
      <c r="GS32" s="8">
        <f t="shared" si="43"/>
        <v>0</v>
      </c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967"/>
      <c r="HF32" s="8">
        <f t="shared" si="41"/>
        <v>0</v>
      </c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967"/>
      <c r="HS32" s="8">
        <f t="shared" si="42"/>
        <v>0</v>
      </c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967"/>
      <c r="IF32" s="8">
        <f t="shared" si="27"/>
        <v>0</v>
      </c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967"/>
    </row>
    <row r="33" spans="5:252" x14ac:dyDescent="0.3">
      <c r="E33" s="8">
        <f t="shared" si="29"/>
        <v>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967"/>
      <c r="AE33" s="8">
        <f t="shared" si="28"/>
        <v>0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67"/>
      <c r="AW33" s="8">
        <f t="shared" si="30"/>
        <v>0</v>
      </c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967"/>
      <c r="BO33" s="8">
        <f t="shared" si="31"/>
        <v>0</v>
      </c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967"/>
      <c r="CE33" s="8">
        <f t="shared" si="32"/>
        <v>0</v>
      </c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967"/>
      <c r="CR33" s="8">
        <f t="shared" si="33"/>
        <v>0</v>
      </c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967"/>
      <c r="DE33" s="8">
        <f t="shared" si="34"/>
        <v>0</v>
      </c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967"/>
      <c r="DS33" s="8">
        <f t="shared" si="35"/>
        <v>0</v>
      </c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967"/>
      <c r="EF33" s="8">
        <f t="shared" si="36"/>
        <v>0</v>
      </c>
      <c r="EG33" s="8"/>
      <c r="EH33" s="8"/>
      <c r="EI33" s="8"/>
      <c r="EJ33" s="8"/>
      <c r="EK33" s="8"/>
      <c r="EL33" s="8">
        <v>0</v>
      </c>
      <c r="EM33" s="8"/>
      <c r="EN33" s="8"/>
      <c r="EO33" s="8"/>
      <c r="EP33" s="8"/>
      <c r="EQ33" s="8"/>
      <c r="ER33" s="967"/>
      <c r="ES33" s="8">
        <f t="shared" si="37"/>
        <v>0</v>
      </c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967"/>
      <c r="FF33" s="8">
        <f t="shared" si="38"/>
        <v>0</v>
      </c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967"/>
      <c r="FS33" s="8">
        <f t="shared" si="39"/>
        <v>0</v>
      </c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967"/>
      <c r="GF33" s="8">
        <f t="shared" si="40"/>
        <v>0</v>
      </c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967"/>
      <c r="GS33" s="8">
        <f t="shared" si="43"/>
        <v>0</v>
      </c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967"/>
      <c r="HF33" s="8">
        <f t="shared" si="41"/>
        <v>0</v>
      </c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967"/>
      <c r="HS33" s="8">
        <f t="shared" si="42"/>
        <v>0</v>
      </c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967"/>
      <c r="IF33" s="8">
        <f t="shared" si="27"/>
        <v>0</v>
      </c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967"/>
    </row>
    <row r="34" spans="5:252" x14ac:dyDescent="0.3">
      <c r="E34" s="8">
        <f t="shared" si="29"/>
        <v>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967"/>
      <c r="AE34" s="8">
        <f t="shared" si="28"/>
        <v>0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967"/>
      <c r="AW34" s="8">
        <f t="shared" si="30"/>
        <v>0</v>
      </c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967"/>
      <c r="BO34" s="8">
        <f t="shared" si="31"/>
        <v>0</v>
      </c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967"/>
      <c r="CE34" s="8">
        <f t="shared" si="32"/>
        <v>0</v>
      </c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967"/>
      <c r="CR34" s="8">
        <f t="shared" si="33"/>
        <v>0</v>
      </c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967"/>
      <c r="DE34" s="8">
        <f t="shared" si="34"/>
        <v>0</v>
      </c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967"/>
      <c r="DS34" s="8">
        <f t="shared" si="35"/>
        <v>0</v>
      </c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967"/>
      <c r="EF34" s="8">
        <f t="shared" si="36"/>
        <v>0</v>
      </c>
      <c r="EG34" s="8"/>
      <c r="EH34" s="8"/>
      <c r="EI34" s="8"/>
      <c r="EJ34" s="8"/>
      <c r="EK34" s="8"/>
      <c r="EL34" s="8">
        <v>0</v>
      </c>
      <c r="EM34" s="8"/>
      <c r="EN34" s="8"/>
      <c r="EO34" s="8"/>
      <c r="EP34" s="8"/>
      <c r="EQ34" s="8"/>
      <c r="ER34" s="967"/>
      <c r="ES34" s="8">
        <f t="shared" si="37"/>
        <v>0</v>
      </c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967"/>
      <c r="FF34" s="8">
        <f t="shared" si="38"/>
        <v>0</v>
      </c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967"/>
      <c r="FS34" s="8">
        <f t="shared" si="39"/>
        <v>0</v>
      </c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967"/>
      <c r="GF34" s="8">
        <f t="shared" si="40"/>
        <v>0</v>
      </c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967"/>
      <c r="GS34" s="8">
        <f t="shared" si="43"/>
        <v>0</v>
      </c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967"/>
      <c r="HF34" s="8">
        <f t="shared" si="41"/>
        <v>0</v>
      </c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967"/>
      <c r="HS34" s="8">
        <f t="shared" si="42"/>
        <v>0</v>
      </c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967"/>
      <c r="IF34" s="8">
        <f t="shared" si="27"/>
        <v>0</v>
      </c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967"/>
    </row>
    <row r="35" spans="5:252" x14ac:dyDescent="0.3">
      <c r="E35" s="8">
        <f t="shared" si="29"/>
        <v>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967"/>
      <c r="AE35" s="8">
        <f t="shared" si="28"/>
        <v>0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967"/>
      <c r="AW35" s="8">
        <f t="shared" si="30"/>
        <v>0</v>
      </c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967"/>
      <c r="BO35" s="8">
        <f t="shared" si="31"/>
        <v>0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967"/>
      <c r="CE35" s="8">
        <f t="shared" si="32"/>
        <v>0</v>
      </c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967"/>
      <c r="CR35" s="8">
        <f t="shared" si="33"/>
        <v>0</v>
      </c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967"/>
      <c r="DE35" s="8">
        <f t="shared" si="34"/>
        <v>0</v>
      </c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967"/>
      <c r="DS35" s="8">
        <f t="shared" si="35"/>
        <v>0</v>
      </c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967"/>
      <c r="EF35" s="8">
        <f t="shared" si="36"/>
        <v>0</v>
      </c>
      <c r="EG35" s="8"/>
      <c r="EH35" s="8"/>
      <c r="EI35" s="8"/>
      <c r="EJ35" s="8"/>
      <c r="EK35" s="8"/>
      <c r="EL35" s="8">
        <v>0</v>
      </c>
      <c r="EM35" s="8"/>
      <c r="EN35" s="8"/>
      <c r="EO35" s="8"/>
      <c r="EP35" s="8"/>
      <c r="EQ35" s="8"/>
      <c r="ER35" s="967"/>
      <c r="ES35" s="8">
        <f t="shared" si="37"/>
        <v>0</v>
      </c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967"/>
      <c r="FF35" s="8">
        <f t="shared" si="38"/>
        <v>0</v>
      </c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967"/>
      <c r="FS35" s="8">
        <f t="shared" si="39"/>
        <v>0</v>
      </c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967"/>
      <c r="GF35" s="8">
        <f t="shared" si="40"/>
        <v>0</v>
      </c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967"/>
      <c r="GS35" s="8">
        <f t="shared" si="43"/>
        <v>0</v>
      </c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967"/>
      <c r="HF35" s="8">
        <f t="shared" si="41"/>
        <v>0</v>
      </c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967"/>
      <c r="HS35" s="8">
        <f t="shared" si="42"/>
        <v>0</v>
      </c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967"/>
      <c r="IF35" s="8">
        <f t="shared" si="27"/>
        <v>0</v>
      </c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967"/>
    </row>
    <row r="36" spans="5:252" x14ac:dyDescent="0.3">
      <c r="E36" s="8">
        <f t="shared" si="29"/>
        <v>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967"/>
      <c r="AE36" s="8">
        <f t="shared" si="28"/>
        <v>0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967"/>
      <c r="AW36" s="8">
        <f t="shared" si="30"/>
        <v>0</v>
      </c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967"/>
      <c r="BO36" s="8">
        <f t="shared" si="31"/>
        <v>0</v>
      </c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967"/>
      <c r="CE36" s="8">
        <f t="shared" si="32"/>
        <v>0</v>
      </c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967"/>
      <c r="CR36" s="8">
        <f t="shared" si="33"/>
        <v>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967"/>
      <c r="DE36" s="8">
        <f t="shared" si="34"/>
        <v>0</v>
      </c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967"/>
      <c r="DS36" s="8">
        <f t="shared" si="35"/>
        <v>0</v>
      </c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967"/>
      <c r="EF36" s="8">
        <f t="shared" si="36"/>
        <v>0</v>
      </c>
      <c r="EG36" s="8"/>
      <c r="EH36" s="8"/>
      <c r="EI36" s="8"/>
      <c r="EJ36" s="8"/>
      <c r="EK36" s="8"/>
      <c r="EL36" s="8">
        <v>0</v>
      </c>
      <c r="EM36" s="8"/>
      <c r="EN36" s="8"/>
      <c r="EO36" s="8"/>
      <c r="EP36" s="8"/>
      <c r="EQ36" s="8"/>
      <c r="ER36" s="967"/>
      <c r="ES36" s="8">
        <f t="shared" si="37"/>
        <v>0</v>
      </c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967"/>
      <c r="FF36" s="8">
        <f t="shared" si="38"/>
        <v>0</v>
      </c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967"/>
      <c r="FS36" s="8">
        <f t="shared" si="39"/>
        <v>0</v>
      </c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967"/>
      <c r="GF36" s="8">
        <f t="shared" si="40"/>
        <v>0</v>
      </c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967"/>
      <c r="GS36" s="8">
        <f t="shared" si="43"/>
        <v>0</v>
      </c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967"/>
      <c r="HF36" s="8">
        <f t="shared" si="41"/>
        <v>0</v>
      </c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967"/>
      <c r="HS36" s="8">
        <f t="shared" si="42"/>
        <v>0</v>
      </c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967"/>
      <c r="IF36" s="8">
        <f t="shared" si="27"/>
        <v>0</v>
      </c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967"/>
    </row>
    <row r="37" spans="5:252" x14ac:dyDescent="0.3">
      <c r="E37" s="8">
        <f t="shared" si="29"/>
        <v>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967"/>
      <c r="AE37" s="8">
        <f t="shared" si="28"/>
        <v>0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967"/>
      <c r="AW37" s="8">
        <f t="shared" si="30"/>
        <v>0</v>
      </c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967"/>
      <c r="BO37" s="8">
        <f t="shared" si="31"/>
        <v>0</v>
      </c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967"/>
      <c r="CE37" s="8">
        <f t="shared" si="32"/>
        <v>0</v>
      </c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967"/>
      <c r="CR37" s="8">
        <f t="shared" si="33"/>
        <v>0</v>
      </c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967"/>
      <c r="DE37" s="8">
        <f t="shared" si="34"/>
        <v>0</v>
      </c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967"/>
      <c r="DS37" s="8">
        <f t="shared" si="35"/>
        <v>0</v>
      </c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967"/>
      <c r="EF37" s="8">
        <f t="shared" si="36"/>
        <v>0</v>
      </c>
      <c r="EG37" s="8"/>
      <c r="EH37" s="8"/>
      <c r="EI37" s="8"/>
      <c r="EJ37" s="8"/>
      <c r="EK37" s="8"/>
      <c r="EL37" s="8">
        <v>0</v>
      </c>
      <c r="EM37" s="8"/>
      <c r="EN37" s="8"/>
      <c r="EO37" s="8"/>
      <c r="EP37" s="8"/>
      <c r="EQ37" s="8"/>
      <c r="ER37" s="967"/>
      <c r="ES37" s="8">
        <f t="shared" si="37"/>
        <v>0</v>
      </c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967"/>
      <c r="FF37" s="8">
        <f t="shared" si="38"/>
        <v>0</v>
      </c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967"/>
      <c r="FS37" s="8">
        <f t="shared" si="39"/>
        <v>0</v>
      </c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967"/>
      <c r="GF37" s="8">
        <f t="shared" si="40"/>
        <v>0</v>
      </c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967"/>
      <c r="GS37" s="8">
        <f t="shared" si="43"/>
        <v>0</v>
      </c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967"/>
      <c r="HF37" s="8">
        <f t="shared" si="41"/>
        <v>0</v>
      </c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967"/>
      <c r="HS37" s="8">
        <f t="shared" si="42"/>
        <v>0</v>
      </c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967"/>
      <c r="IF37" s="8">
        <f t="shared" si="27"/>
        <v>0</v>
      </c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967"/>
    </row>
    <row r="38" spans="5:252" x14ac:dyDescent="0.3">
      <c r="E38" s="8">
        <f t="shared" si="29"/>
        <v>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967"/>
      <c r="AE38" s="8">
        <f t="shared" si="28"/>
        <v>0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967"/>
      <c r="AW38" s="8">
        <f t="shared" si="30"/>
        <v>0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967"/>
      <c r="BO38" s="8">
        <f t="shared" si="31"/>
        <v>0</v>
      </c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967"/>
      <c r="CE38" s="8">
        <f t="shared" si="32"/>
        <v>0</v>
      </c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967"/>
      <c r="CR38" s="8">
        <f t="shared" si="33"/>
        <v>0</v>
      </c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967"/>
      <c r="DE38" s="8">
        <f t="shared" si="34"/>
        <v>0</v>
      </c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967"/>
      <c r="DS38" s="8">
        <f t="shared" si="35"/>
        <v>0</v>
      </c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967"/>
      <c r="EF38" s="8">
        <f t="shared" si="36"/>
        <v>0</v>
      </c>
      <c r="EG38" s="8"/>
      <c r="EH38" s="8"/>
      <c r="EI38" s="8"/>
      <c r="EJ38" s="8"/>
      <c r="EK38" s="8"/>
      <c r="EL38" s="8">
        <v>0</v>
      </c>
      <c r="EM38" s="8"/>
      <c r="EN38" s="8"/>
      <c r="EO38" s="8"/>
      <c r="EP38" s="8"/>
      <c r="EQ38" s="8"/>
      <c r="ER38" s="967"/>
      <c r="ES38" s="8">
        <f t="shared" si="37"/>
        <v>0</v>
      </c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967"/>
      <c r="FF38" s="8">
        <f t="shared" si="38"/>
        <v>0</v>
      </c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967"/>
      <c r="FS38" s="8">
        <f t="shared" si="39"/>
        <v>0</v>
      </c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967"/>
      <c r="GF38" s="8">
        <f t="shared" si="40"/>
        <v>0</v>
      </c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967"/>
      <c r="GS38" s="8">
        <f t="shared" si="43"/>
        <v>0</v>
      </c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967"/>
      <c r="HF38" s="8">
        <f t="shared" si="41"/>
        <v>0</v>
      </c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967"/>
      <c r="HS38" s="8">
        <f t="shared" si="42"/>
        <v>0</v>
      </c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967"/>
      <c r="IF38" s="8">
        <f t="shared" si="27"/>
        <v>0</v>
      </c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967"/>
    </row>
    <row r="39" spans="5:252" x14ac:dyDescent="0.3">
      <c r="E39" s="8">
        <f t="shared" si="29"/>
        <v>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967"/>
      <c r="AE39" s="8">
        <f t="shared" si="28"/>
        <v>0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967"/>
      <c r="AW39" s="8">
        <f t="shared" si="30"/>
        <v>0</v>
      </c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967"/>
      <c r="BO39" s="8">
        <f t="shared" si="31"/>
        <v>0</v>
      </c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967"/>
      <c r="CE39" s="8">
        <f t="shared" si="32"/>
        <v>0</v>
      </c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967"/>
      <c r="CR39" s="8">
        <f t="shared" si="33"/>
        <v>0</v>
      </c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967"/>
      <c r="DE39" s="8">
        <f t="shared" si="34"/>
        <v>0</v>
      </c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967"/>
      <c r="DS39" s="8">
        <f t="shared" si="35"/>
        <v>0</v>
      </c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967"/>
      <c r="EF39" s="8">
        <f t="shared" si="36"/>
        <v>0</v>
      </c>
      <c r="EG39" s="8"/>
      <c r="EH39" s="8"/>
      <c r="EI39" s="8"/>
      <c r="EJ39" s="8"/>
      <c r="EK39" s="8"/>
      <c r="EL39" s="8">
        <v>0</v>
      </c>
      <c r="EM39" s="8"/>
      <c r="EN39" s="8"/>
      <c r="EO39" s="8"/>
      <c r="EP39" s="8"/>
      <c r="EQ39" s="8"/>
      <c r="ER39" s="967"/>
      <c r="ES39" s="8">
        <f t="shared" si="37"/>
        <v>0</v>
      </c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967"/>
      <c r="FF39" s="8">
        <f t="shared" si="38"/>
        <v>0</v>
      </c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967"/>
      <c r="FS39" s="8">
        <f t="shared" si="39"/>
        <v>0</v>
      </c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967"/>
      <c r="GF39" s="8">
        <f t="shared" si="40"/>
        <v>0</v>
      </c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967"/>
      <c r="GS39" s="8">
        <f t="shared" si="43"/>
        <v>0</v>
      </c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967"/>
      <c r="HF39" s="8">
        <f t="shared" si="41"/>
        <v>0</v>
      </c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967"/>
      <c r="HS39" s="8">
        <f t="shared" si="42"/>
        <v>0</v>
      </c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967"/>
      <c r="IF39" s="8">
        <f t="shared" si="27"/>
        <v>0</v>
      </c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967"/>
    </row>
    <row r="40" spans="5:252" x14ac:dyDescent="0.3">
      <c r="E40" s="8">
        <f t="shared" si="29"/>
        <v>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967"/>
      <c r="AE40" s="8">
        <f t="shared" si="28"/>
        <v>0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967"/>
      <c r="AW40" s="8">
        <f t="shared" si="30"/>
        <v>0</v>
      </c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967"/>
      <c r="BO40" s="8">
        <f t="shared" si="31"/>
        <v>0</v>
      </c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967"/>
      <c r="CE40" s="8">
        <f t="shared" si="32"/>
        <v>0</v>
      </c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967"/>
      <c r="CR40" s="8">
        <f t="shared" si="33"/>
        <v>0</v>
      </c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967"/>
      <c r="DE40" s="8">
        <f t="shared" si="34"/>
        <v>0</v>
      </c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967"/>
      <c r="DS40" s="8">
        <f t="shared" si="35"/>
        <v>0</v>
      </c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967"/>
      <c r="EF40" s="8">
        <f t="shared" si="36"/>
        <v>0</v>
      </c>
      <c r="EG40" s="8"/>
      <c r="EH40" s="8"/>
      <c r="EI40" s="8"/>
      <c r="EJ40" s="8"/>
      <c r="EK40" s="8"/>
      <c r="EL40" s="8">
        <v>0</v>
      </c>
      <c r="EM40" s="8"/>
      <c r="EN40" s="8"/>
      <c r="EO40" s="8"/>
      <c r="EP40" s="8"/>
      <c r="EQ40" s="8"/>
      <c r="ER40" s="967"/>
      <c r="ES40" s="8">
        <f t="shared" si="37"/>
        <v>0</v>
      </c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967"/>
      <c r="FF40" s="8">
        <f t="shared" si="38"/>
        <v>0</v>
      </c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967"/>
      <c r="FS40" s="8">
        <f t="shared" si="39"/>
        <v>0</v>
      </c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967"/>
      <c r="GF40" s="8">
        <f t="shared" si="40"/>
        <v>0</v>
      </c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967"/>
      <c r="GS40" s="8">
        <f t="shared" si="43"/>
        <v>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967"/>
      <c r="HF40" s="8">
        <f t="shared" si="41"/>
        <v>0</v>
      </c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967"/>
      <c r="HS40" s="8">
        <f t="shared" si="42"/>
        <v>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967"/>
      <c r="IF40" s="8">
        <f t="shared" si="27"/>
        <v>0</v>
      </c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967"/>
    </row>
    <row r="41" spans="5:252" x14ac:dyDescent="0.3">
      <c r="E41" s="8">
        <f t="shared" si="29"/>
        <v>0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967"/>
      <c r="AE41" s="8">
        <f t="shared" si="28"/>
        <v>0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967"/>
      <c r="AW41" s="8">
        <f t="shared" si="30"/>
        <v>0</v>
      </c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967"/>
      <c r="BO41" s="8">
        <f t="shared" si="31"/>
        <v>0</v>
      </c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967"/>
      <c r="CE41" s="8">
        <f t="shared" si="32"/>
        <v>0</v>
      </c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967"/>
      <c r="CR41" s="8">
        <f t="shared" si="33"/>
        <v>0</v>
      </c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967"/>
      <c r="DE41" s="8">
        <f t="shared" si="34"/>
        <v>0</v>
      </c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967"/>
      <c r="DS41" s="8">
        <f t="shared" si="35"/>
        <v>0</v>
      </c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967"/>
      <c r="EF41" s="8">
        <f t="shared" si="36"/>
        <v>0</v>
      </c>
      <c r="EG41" s="8"/>
      <c r="EH41" s="8"/>
      <c r="EI41" s="8"/>
      <c r="EJ41" s="8"/>
      <c r="EK41" s="8"/>
      <c r="EL41" s="8">
        <v>0</v>
      </c>
      <c r="EM41" s="8"/>
      <c r="EN41" s="8"/>
      <c r="EO41" s="8"/>
      <c r="EP41" s="8"/>
      <c r="EQ41" s="8"/>
      <c r="ER41" s="967"/>
      <c r="ES41" s="8">
        <f t="shared" si="37"/>
        <v>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967"/>
      <c r="FF41" s="8">
        <f t="shared" si="38"/>
        <v>0</v>
      </c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967"/>
      <c r="FS41" s="8">
        <f t="shared" si="39"/>
        <v>0</v>
      </c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967"/>
      <c r="GF41" s="8">
        <f t="shared" si="40"/>
        <v>0</v>
      </c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967"/>
      <c r="GS41" s="8">
        <f t="shared" si="43"/>
        <v>0</v>
      </c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967"/>
      <c r="HF41" s="8">
        <f t="shared" si="41"/>
        <v>0</v>
      </c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967"/>
      <c r="HS41" s="8">
        <f t="shared" si="42"/>
        <v>0</v>
      </c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967"/>
      <c r="IF41" s="8">
        <f t="shared" si="27"/>
        <v>0</v>
      </c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967"/>
    </row>
    <row r="42" spans="5:252" x14ac:dyDescent="0.3">
      <c r="E42" s="8">
        <f t="shared" si="29"/>
        <v>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967"/>
      <c r="AE42" s="8">
        <f t="shared" si="28"/>
        <v>0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967"/>
      <c r="AW42" s="8">
        <f t="shared" si="30"/>
        <v>0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967"/>
      <c r="BO42" s="8">
        <f t="shared" si="31"/>
        <v>0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967"/>
      <c r="CE42" s="8">
        <f t="shared" si="32"/>
        <v>0</v>
      </c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967"/>
      <c r="CR42" s="8">
        <f t="shared" si="33"/>
        <v>0</v>
      </c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967"/>
      <c r="DE42" s="8">
        <f t="shared" si="34"/>
        <v>0</v>
      </c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967"/>
      <c r="DS42" s="8">
        <f t="shared" si="35"/>
        <v>0</v>
      </c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967"/>
      <c r="EF42" s="8">
        <f t="shared" si="36"/>
        <v>0</v>
      </c>
      <c r="EG42" s="8"/>
      <c r="EH42" s="8"/>
      <c r="EI42" s="8"/>
      <c r="EJ42" s="8"/>
      <c r="EK42" s="8"/>
      <c r="EL42" s="8">
        <v>0</v>
      </c>
      <c r="EM42" s="8"/>
      <c r="EN42" s="8"/>
      <c r="EO42" s="8"/>
      <c r="EP42" s="8"/>
      <c r="EQ42" s="8"/>
      <c r="ER42" s="967"/>
      <c r="ES42" s="8">
        <f t="shared" si="37"/>
        <v>0</v>
      </c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967"/>
      <c r="FF42" s="8">
        <f t="shared" si="38"/>
        <v>0</v>
      </c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967"/>
      <c r="FS42" s="8">
        <f t="shared" si="39"/>
        <v>0</v>
      </c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967"/>
      <c r="GF42" s="8">
        <f t="shared" si="40"/>
        <v>0</v>
      </c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967"/>
      <c r="GS42" s="8">
        <f t="shared" si="43"/>
        <v>0</v>
      </c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967"/>
      <c r="HF42" s="8">
        <f t="shared" si="41"/>
        <v>0</v>
      </c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967"/>
      <c r="HS42" s="8">
        <f t="shared" si="42"/>
        <v>0</v>
      </c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967"/>
      <c r="IF42" s="8">
        <f t="shared" si="27"/>
        <v>0</v>
      </c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967"/>
    </row>
    <row r="43" spans="5:252" x14ac:dyDescent="0.3">
      <c r="AD43" s="967"/>
      <c r="AV43" s="967"/>
      <c r="BN43" s="967"/>
      <c r="CD43" s="967"/>
      <c r="CQ43" s="967"/>
      <c r="DD43" s="967"/>
      <c r="DR43" s="967"/>
      <c r="EE43" s="967"/>
      <c r="ER43" s="967"/>
      <c r="FE43" s="967"/>
      <c r="FR43" s="967"/>
      <c r="GE43" s="967"/>
      <c r="GR43" s="967"/>
      <c r="HE43" s="967"/>
      <c r="HR43" s="967"/>
      <c r="IE43" s="967"/>
      <c r="IR43" s="967"/>
    </row>
    <row r="44" spans="5:252" x14ac:dyDescent="0.3">
      <c r="AD44" s="967"/>
      <c r="AV44" s="967"/>
      <c r="BN44" s="967"/>
      <c r="CD44" s="967"/>
      <c r="CQ44" s="967"/>
      <c r="DD44" s="967"/>
      <c r="DR44" s="967"/>
      <c r="EE44" s="967"/>
      <c r="ER44" s="967"/>
      <c r="FE44" s="967"/>
      <c r="FR44" s="967"/>
      <c r="GE44" s="967"/>
      <c r="GR44" s="967"/>
      <c r="HE44" s="967"/>
      <c r="HR44" s="967"/>
      <c r="IE44" s="967"/>
      <c r="IR44" s="967"/>
    </row>
    <row r="45" spans="5:252" x14ac:dyDescent="0.3">
      <c r="AD45" s="967"/>
      <c r="AV45" s="967"/>
      <c r="BN45" s="967"/>
      <c r="CD45" s="967"/>
      <c r="CQ45" s="967"/>
      <c r="DD45" s="967"/>
      <c r="DR45" s="967"/>
      <c r="EE45" s="967"/>
      <c r="ER45" s="967"/>
      <c r="FE45" s="967"/>
      <c r="FR45" s="967"/>
      <c r="GE45" s="967"/>
      <c r="GR45" s="967"/>
      <c r="HE45" s="967"/>
      <c r="HR45" s="967"/>
      <c r="IE45" s="967"/>
      <c r="IR45" s="967"/>
    </row>
    <row r="46" spans="5:252" x14ac:dyDescent="0.3">
      <c r="AD46" s="967"/>
      <c r="AV46" s="967"/>
      <c r="BN46" s="967"/>
      <c r="CD46" s="967"/>
      <c r="CQ46" s="967"/>
      <c r="DD46" s="967"/>
      <c r="DR46" s="967"/>
      <c r="EE46" s="967"/>
      <c r="ER46" s="967"/>
      <c r="FE46" s="967"/>
      <c r="FR46" s="967"/>
      <c r="GE46" s="967"/>
      <c r="GR46" s="967"/>
      <c r="HE46" s="967"/>
      <c r="HR46" s="967"/>
      <c r="IE46" s="967"/>
      <c r="IR46" s="967"/>
    </row>
    <row r="47" spans="5:252" x14ac:dyDescent="0.3">
      <c r="AD47" s="967"/>
      <c r="AV47" s="967"/>
      <c r="BN47" s="967"/>
      <c r="CD47" s="967"/>
      <c r="CQ47" s="967"/>
      <c r="DD47" s="967"/>
      <c r="DR47" s="967"/>
      <c r="EE47" s="967"/>
      <c r="ER47" s="967"/>
      <c r="FE47" s="967"/>
      <c r="FR47" s="967"/>
      <c r="GE47" s="967"/>
      <c r="GR47" s="967"/>
      <c r="HE47" s="967"/>
      <c r="HR47" s="967"/>
      <c r="IE47" s="967"/>
      <c r="IR47" s="967"/>
    </row>
    <row r="48" spans="5:252" x14ac:dyDescent="0.3">
      <c r="AD48" s="967"/>
      <c r="AV48" s="967"/>
      <c r="BN48" s="967"/>
      <c r="CD48" s="967"/>
      <c r="CQ48" s="967"/>
      <c r="DD48" s="967"/>
      <c r="DR48" s="967"/>
      <c r="EE48" s="967"/>
      <c r="ER48" s="967"/>
      <c r="FE48" s="967"/>
      <c r="FR48" s="967"/>
      <c r="GE48" s="967"/>
      <c r="GR48" s="967"/>
      <c r="HE48" s="967"/>
      <c r="HR48" s="967"/>
      <c r="IE48" s="967"/>
      <c r="IR48" s="967"/>
    </row>
    <row r="49" spans="10:252" x14ac:dyDescent="0.3">
      <c r="AD49" s="967"/>
      <c r="AV49" s="967"/>
      <c r="BN49" s="967"/>
      <c r="CD49" s="967"/>
      <c r="CQ49" s="967"/>
      <c r="DD49" s="967"/>
      <c r="DR49" s="967"/>
      <c r="EE49" s="967"/>
      <c r="ER49" s="967"/>
      <c r="FE49" s="967"/>
      <c r="FR49" s="967"/>
      <c r="GE49" s="967"/>
      <c r="GR49" s="967"/>
      <c r="HE49" s="967"/>
      <c r="HR49" s="967"/>
      <c r="IE49" s="967"/>
      <c r="IR49" s="967"/>
    </row>
    <row r="50" spans="10:252" x14ac:dyDescent="0.3">
      <c r="J50" t="s">
        <v>2571</v>
      </c>
      <c r="AD50" s="967"/>
      <c r="AV50" s="967"/>
      <c r="BN50" s="967"/>
      <c r="CD50" s="967"/>
      <c r="CQ50" s="967"/>
      <c r="DD50" s="967"/>
      <c r="DR50" s="967"/>
      <c r="EE50" s="967"/>
      <c r="ER50" s="967"/>
      <c r="FE50" s="967"/>
      <c r="FR50" s="967"/>
      <c r="GE50" s="967"/>
      <c r="GR50" s="967"/>
      <c r="HE50" s="967"/>
      <c r="HR50" s="967"/>
      <c r="IE50" s="967"/>
      <c r="IR50" s="967"/>
    </row>
    <row r="51" spans="10:252" x14ac:dyDescent="0.3">
      <c r="AD51" s="967"/>
      <c r="AV51" s="967"/>
      <c r="BN51" s="967"/>
      <c r="CD51" s="967"/>
      <c r="CQ51" s="967"/>
      <c r="DD51" s="967"/>
      <c r="DR51" s="967"/>
      <c r="EE51" s="967"/>
      <c r="ER51" s="967"/>
      <c r="FE51" s="967"/>
      <c r="FR51" s="967"/>
      <c r="GE51" s="967"/>
      <c r="GR51" s="967"/>
      <c r="HE51" s="967"/>
      <c r="HR51" s="967"/>
      <c r="IE51" s="967"/>
      <c r="IR51" s="967"/>
    </row>
    <row r="52" spans="10:252" x14ac:dyDescent="0.3">
      <c r="AD52" s="967"/>
      <c r="AV52" s="967"/>
      <c r="BN52" s="967"/>
      <c r="CD52" s="967"/>
      <c r="CQ52" s="967"/>
      <c r="DD52" s="967"/>
      <c r="DR52" s="967"/>
      <c r="EE52" s="967"/>
      <c r="ER52" s="967"/>
      <c r="FE52" s="967"/>
      <c r="FR52" s="967"/>
      <c r="GE52" s="967"/>
      <c r="GR52" s="967"/>
      <c r="HE52" s="967"/>
      <c r="HR52" s="967"/>
      <c r="IE52" s="967"/>
      <c r="IR52" s="967"/>
    </row>
    <row r="53" spans="10:252" x14ac:dyDescent="0.3">
      <c r="AD53" s="967"/>
      <c r="AV53" s="967"/>
      <c r="BN53" s="967"/>
      <c r="CD53" s="967"/>
      <c r="CQ53" s="967"/>
      <c r="DD53" s="967"/>
      <c r="DR53" s="967"/>
      <c r="EE53" s="967"/>
      <c r="ER53" s="967"/>
      <c r="FE53" s="967"/>
      <c r="FR53" s="967"/>
      <c r="GE53" s="967"/>
      <c r="GR53" s="967"/>
      <c r="HE53" s="967"/>
      <c r="HR53" s="967"/>
      <c r="IE53" s="967"/>
      <c r="IR53" s="967"/>
    </row>
    <row r="54" spans="10:252" x14ac:dyDescent="0.3">
      <c r="AD54" s="967"/>
      <c r="AV54" s="967"/>
      <c r="BN54" s="967"/>
      <c r="CD54" s="967"/>
      <c r="CQ54" s="967"/>
      <c r="DD54" s="967"/>
      <c r="DR54" s="967"/>
      <c r="EE54" s="967"/>
      <c r="ER54" s="967"/>
      <c r="FE54" s="967"/>
      <c r="FR54" s="967"/>
      <c r="GE54" s="967"/>
      <c r="GR54" s="967"/>
      <c r="HE54" s="967"/>
      <c r="HR54" s="967"/>
      <c r="IE54" s="967"/>
      <c r="IR54" s="967"/>
    </row>
    <row r="55" spans="10:252" x14ac:dyDescent="0.3">
      <c r="AD55" s="967"/>
      <c r="AV55" s="967"/>
      <c r="BN55" s="967"/>
      <c r="CD55" s="967"/>
      <c r="CQ55" s="967"/>
      <c r="DD55" s="967"/>
      <c r="DR55" s="967"/>
      <c r="EE55" s="967"/>
      <c r="ER55" s="967"/>
      <c r="FE55" s="967"/>
      <c r="FR55" s="967"/>
      <c r="GE55" s="967"/>
      <c r="GR55" s="967"/>
      <c r="HE55" s="967"/>
      <c r="HR55" s="967"/>
      <c r="IE55" s="967"/>
      <c r="IR55" s="967"/>
    </row>
    <row r="56" spans="10:252" x14ac:dyDescent="0.3">
      <c r="AD56" s="967"/>
      <c r="AV56" s="967"/>
      <c r="BN56" s="967"/>
      <c r="CD56" s="967"/>
      <c r="CQ56" s="967"/>
      <c r="DD56" s="967"/>
      <c r="DR56" s="967"/>
      <c r="EE56" s="967"/>
      <c r="ER56" s="967"/>
      <c r="FE56" s="967"/>
      <c r="FR56" s="967"/>
      <c r="GE56" s="967"/>
      <c r="GR56" s="967"/>
      <c r="HE56" s="967"/>
      <c r="HR56" s="967"/>
      <c r="IE56" s="967"/>
      <c r="IR56" s="967"/>
    </row>
    <row r="57" spans="10:252" x14ac:dyDescent="0.3">
      <c r="AD57" s="967"/>
      <c r="AV57" s="967"/>
      <c r="BN57" s="967"/>
      <c r="CD57" s="967"/>
      <c r="CQ57" s="967"/>
      <c r="DD57" s="967"/>
      <c r="DR57" s="967"/>
      <c r="EE57" s="967"/>
      <c r="ER57" s="967"/>
      <c r="FE57" s="967"/>
      <c r="FR57" s="967"/>
      <c r="GE57" s="967"/>
      <c r="GR57" s="967"/>
      <c r="HE57" s="967"/>
      <c r="HR57" s="967"/>
      <c r="IE57" s="967"/>
      <c r="IR57" s="967"/>
    </row>
    <row r="58" spans="10:252" x14ac:dyDescent="0.3">
      <c r="AD58" s="967"/>
      <c r="AV58" s="967"/>
      <c r="BN58" s="967"/>
      <c r="CD58" s="967"/>
      <c r="CQ58" s="967"/>
      <c r="DD58" s="967"/>
      <c r="DR58" s="967"/>
      <c r="EE58" s="967"/>
      <c r="ER58" s="967"/>
      <c r="FE58" s="967"/>
      <c r="FR58" s="967"/>
      <c r="GE58" s="967"/>
      <c r="GR58" s="967"/>
      <c r="HE58" s="967"/>
      <c r="HR58" s="967"/>
      <c r="IE58" s="967"/>
      <c r="IR58" s="967"/>
    </row>
    <row r="59" spans="10:252" x14ac:dyDescent="0.3">
      <c r="AD59" s="967"/>
      <c r="AV59" s="967"/>
      <c r="BN59" s="967"/>
      <c r="CD59" s="967"/>
      <c r="CQ59" s="967"/>
      <c r="DD59" s="967"/>
      <c r="DR59" s="967"/>
      <c r="EE59" s="967"/>
      <c r="ER59" s="967"/>
      <c r="FE59" s="967"/>
      <c r="FR59" s="967"/>
      <c r="GE59" s="967"/>
      <c r="GR59" s="967"/>
      <c r="HE59" s="967"/>
      <c r="HR59" s="967"/>
      <c r="IE59" s="967"/>
      <c r="IR59" s="967"/>
    </row>
    <row r="60" spans="10:252" x14ac:dyDescent="0.3">
      <c r="AD60" s="967"/>
      <c r="AV60" s="967"/>
      <c r="BN60" s="967"/>
      <c r="CD60" s="967"/>
      <c r="CQ60" s="967"/>
      <c r="DD60" s="967"/>
      <c r="DR60" s="967"/>
      <c r="EE60" s="967"/>
      <c r="ER60" s="967"/>
      <c r="FE60" s="967"/>
      <c r="FR60" s="967"/>
      <c r="GE60" s="967"/>
      <c r="GR60" s="967"/>
      <c r="HE60" s="967"/>
      <c r="HR60" s="967"/>
      <c r="IE60" s="967"/>
      <c r="IR60" s="967"/>
    </row>
    <row r="61" spans="10:252" x14ac:dyDescent="0.3">
      <c r="AD61" s="967"/>
      <c r="AV61" s="967"/>
      <c r="BN61" s="967"/>
      <c r="CD61" s="967"/>
      <c r="CQ61" s="967"/>
      <c r="DD61" s="967"/>
      <c r="DR61" s="967"/>
      <c r="EE61" s="967"/>
      <c r="ER61" s="967"/>
      <c r="FE61" s="967"/>
      <c r="FR61" s="967"/>
      <c r="GE61" s="967"/>
      <c r="GR61" s="967"/>
      <c r="HE61" s="967"/>
      <c r="HR61" s="967"/>
      <c r="IE61" s="967"/>
      <c r="IR61" s="967"/>
    </row>
    <row r="62" spans="10:252" x14ac:dyDescent="0.3">
      <c r="AD62" s="967"/>
      <c r="AV62" s="967"/>
      <c r="BN62" s="967"/>
      <c r="CD62" s="967"/>
      <c r="CQ62" s="967"/>
      <c r="DD62" s="967"/>
      <c r="DR62" s="967"/>
      <c r="EE62" s="967"/>
      <c r="ER62" s="967"/>
      <c r="FE62" s="967"/>
      <c r="FR62" s="967"/>
      <c r="GE62" s="967"/>
      <c r="GR62" s="967"/>
      <c r="HE62" s="967"/>
      <c r="HR62" s="967"/>
      <c r="IE62" s="967"/>
      <c r="IR62" s="967"/>
    </row>
    <row r="63" spans="10:252" x14ac:dyDescent="0.3">
      <c r="AD63" s="967"/>
      <c r="AV63" s="967"/>
      <c r="BN63" s="967"/>
      <c r="CD63" s="967"/>
      <c r="CQ63" s="967"/>
      <c r="DD63" s="967"/>
      <c r="DR63" s="967"/>
      <c r="EE63" s="967"/>
      <c r="ER63" s="967"/>
      <c r="FE63" s="967"/>
      <c r="FR63" s="967"/>
      <c r="GE63" s="967"/>
      <c r="GR63" s="967"/>
      <c r="HE63" s="967"/>
      <c r="HR63" s="967"/>
      <c r="IE63" s="967"/>
      <c r="IR63" s="967"/>
    </row>
    <row r="64" spans="10:252" x14ac:dyDescent="0.3">
      <c r="AD64" s="967"/>
      <c r="AV64" s="967"/>
      <c r="BN64" s="967"/>
      <c r="CD64" s="967"/>
      <c r="CQ64" s="967"/>
      <c r="DD64" s="967"/>
      <c r="DR64" s="967"/>
      <c r="EE64" s="967"/>
      <c r="ER64" s="967"/>
      <c r="FE64" s="967"/>
      <c r="FR64" s="967"/>
      <c r="GE64" s="967"/>
      <c r="GR64" s="967"/>
      <c r="HE64" s="967"/>
      <c r="HR64" s="967"/>
      <c r="IE64" s="967"/>
      <c r="IR64" s="967"/>
    </row>
    <row r="65" spans="30:252" x14ac:dyDescent="0.3">
      <c r="AD65" s="967"/>
      <c r="AV65" s="967"/>
      <c r="BN65" s="967"/>
      <c r="CD65" s="967"/>
      <c r="CQ65" s="967"/>
      <c r="DD65" s="967"/>
      <c r="DR65" s="967"/>
      <c r="EE65" s="967"/>
      <c r="ER65" s="967"/>
      <c r="FE65" s="967"/>
      <c r="FR65" s="967"/>
      <c r="GE65" s="967"/>
      <c r="GR65" s="967"/>
      <c r="HE65" s="967"/>
      <c r="HR65" s="967"/>
      <c r="IE65" s="967"/>
      <c r="IR65" s="967"/>
    </row>
    <row r="66" spans="30:252" x14ac:dyDescent="0.3">
      <c r="AD66" s="967"/>
      <c r="AV66" s="967"/>
      <c r="BN66" s="967"/>
      <c r="CD66" s="967"/>
      <c r="CQ66" s="967"/>
      <c r="DD66" s="967"/>
      <c r="DR66" s="967"/>
      <c r="EE66" s="967"/>
      <c r="ER66" s="967"/>
      <c r="FE66" s="967"/>
      <c r="FR66" s="967"/>
      <c r="GE66" s="967"/>
      <c r="GR66" s="967"/>
      <c r="HE66" s="967"/>
      <c r="HR66" s="967"/>
      <c r="IE66" s="967"/>
      <c r="IR66" s="967"/>
    </row>
    <row r="67" spans="30:252" x14ac:dyDescent="0.3">
      <c r="AD67" s="967"/>
      <c r="AV67" s="967"/>
      <c r="BN67" s="967"/>
      <c r="CD67" s="967"/>
      <c r="CQ67" s="967"/>
      <c r="DD67" s="967"/>
      <c r="DR67" s="967"/>
      <c r="EE67" s="967"/>
      <c r="ER67" s="967"/>
      <c r="FE67" s="967"/>
      <c r="FR67" s="967"/>
      <c r="GE67" s="967"/>
      <c r="GR67" s="967"/>
      <c r="HE67" s="967"/>
      <c r="HR67" s="967"/>
      <c r="IE67" s="967"/>
      <c r="IR67" s="967"/>
    </row>
    <row r="68" spans="30:252" x14ac:dyDescent="0.3">
      <c r="AD68" s="967"/>
      <c r="AV68" s="967"/>
      <c r="BN68" s="967"/>
      <c r="CD68" s="967"/>
      <c r="CQ68" s="967"/>
      <c r="DD68" s="967"/>
      <c r="DR68" s="967"/>
      <c r="EE68" s="967"/>
      <c r="ER68" s="967"/>
      <c r="FE68" s="967"/>
      <c r="FR68" s="967"/>
      <c r="GE68" s="967"/>
      <c r="GR68" s="967"/>
      <c r="HE68" s="967"/>
      <c r="HR68" s="967"/>
      <c r="IE68" s="967"/>
      <c r="IR68" s="967"/>
    </row>
    <row r="69" spans="30:252" x14ac:dyDescent="0.3">
      <c r="AD69" s="967"/>
      <c r="AV69" s="967"/>
      <c r="BN69" s="967"/>
      <c r="CD69" s="967"/>
      <c r="CQ69" s="967"/>
      <c r="DD69" s="967"/>
      <c r="DR69" s="967"/>
      <c r="EE69" s="967"/>
      <c r="ER69" s="967"/>
      <c r="FE69" s="967"/>
      <c r="FR69" s="967"/>
      <c r="GE69" s="967"/>
      <c r="GR69" s="967"/>
      <c r="HE69" s="967"/>
      <c r="HR69" s="967"/>
      <c r="IE69" s="967"/>
      <c r="IR69" s="967"/>
    </row>
    <row r="70" spans="30:252" x14ac:dyDescent="0.3">
      <c r="AD70" s="967"/>
      <c r="AV70" s="967"/>
      <c r="BN70" s="967"/>
      <c r="CD70" s="967"/>
      <c r="CQ70" s="967"/>
      <c r="DD70" s="967"/>
      <c r="DR70" s="967"/>
      <c r="EE70" s="967"/>
      <c r="ER70" s="967"/>
      <c r="FE70" s="967"/>
      <c r="FR70" s="967"/>
      <c r="GE70" s="967"/>
      <c r="GR70" s="967"/>
      <c r="HE70" s="967"/>
      <c r="HR70" s="967"/>
      <c r="IE70" s="967"/>
      <c r="IR70" s="967"/>
    </row>
    <row r="71" spans="30:252" x14ac:dyDescent="0.3">
      <c r="AD71" s="967"/>
      <c r="AV71" s="967"/>
      <c r="BN71" s="967"/>
      <c r="CD71" s="967"/>
      <c r="CQ71" s="967"/>
      <c r="DD71" s="967"/>
      <c r="DR71" s="967"/>
      <c r="EE71" s="967"/>
      <c r="ER71" s="967"/>
      <c r="FE71" s="967"/>
      <c r="FR71" s="967"/>
      <c r="GE71" s="967"/>
      <c r="GR71" s="967"/>
      <c r="HE71" s="967"/>
      <c r="HR71" s="967"/>
      <c r="IE71" s="967"/>
      <c r="IR71" s="967"/>
    </row>
    <row r="72" spans="30:252" x14ac:dyDescent="0.3">
      <c r="AD72" s="967"/>
      <c r="AV72" s="967"/>
      <c r="BN72" s="967"/>
      <c r="CD72" s="967"/>
      <c r="CQ72" s="967"/>
      <c r="DD72" s="967"/>
      <c r="DR72" s="967"/>
      <c r="EE72" s="967"/>
      <c r="ER72" s="967"/>
      <c r="FE72" s="967"/>
      <c r="FR72" s="967"/>
      <c r="GE72" s="967"/>
      <c r="GR72" s="967"/>
      <c r="HE72" s="967"/>
      <c r="HR72" s="967"/>
      <c r="IE72" s="967"/>
      <c r="IR72" s="967"/>
    </row>
    <row r="73" spans="30:252" x14ac:dyDescent="0.3">
      <c r="AD73" s="967"/>
      <c r="AV73" s="967"/>
      <c r="BN73" s="967"/>
      <c r="CD73" s="967"/>
      <c r="CQ73" s="967"/>
      <c r="DD73" s="967"/>
      <c r="DR73" s="967"/>
      <c r="EE73" s="967"/>
      <c r="ER73" s="967"/>
      <c r="FE73" s="967"/>
      <c r="FR73" s="967"/>
      <c r="GE73" s="967"/>
      <c r="GR73" s="967"/>
      <c r="HE73" s="967"/>
      <c r="HR73" s="967"/>
      <c r="IE73" s="967"/>
      <c r="IR73" s="967"/>
    </row>
    <row r="74" spans="30:252" x14ac:dyDescent="0.3">
      <c r="AD74" s="967"/>
      <c r="AV74" s="967"/>
      <c r="BN74" s="967"/>
      <c r="CD74" s="967"/>
      <c r="CQ74" s="967"/>
      <c r="DD74" s="967"/>
      <c r="DR74" s="967"/>
      <c r="EE74" s="967"/>
      <c r="ER74" s="967"/>
      <c r="FE74" s="967"/>
      <c r="FR74" s="967"/>
      <c r="GE74" s="967"/>
      <c r="GR74" s="967"/>
      <c r="HE74" s="967"/>
      <c r="HR74" s="967"/>
      <c r="IE74" s="967"/>
      <c r="IR74" s="967"/>
    </row>
    <row r="75" spans="30:252" x14ac:dyDescent="0.3">
      <c r="AD75" s="967"/>
      <c r="AV75" s="967"/>
      <c r="BN75" s="967"/>
      <c r="CD75" s="967"/>
      <c r="CQ75" s="967"/>
      <c r="DD75" s="967"/>
      <c r="DR75" s="967"/>
      <c r="EE75" s="967"/>
      <c r="ER75" s="967"/>
      <c r="FE75" s="967"/>
      <c r="FR75" s="967"/>
      <c r="GE75" s="967"/>
      <c r="GR75" s="967"/>
      <c r="HE75" s="967"/>
      <c r="HR75" s="967"/>
      <c r="IE75" s="967"/>
      <c r="IR75" s="967"/>
    </row>
    <row r="76" spans="30:252" x14ac:dyDescent="0.3">
      <c r="AD76" s="967"/>
      <c r="AV76" s="967"/>
      <c r="BN76" s="967"/>
      <c r="CD76" s="967"/>
      <c r="CQ76" s="967"/>
      <c r="DD76" s="967"/>
      <c r="DR76" s="967"/>
      <c r="EE76" s="967"/>
      <c r="ER76" s="967"/>
      <c r="FE76" s="967"/>
      <c r="FR76" s="967"/>
      <c r="GE76" s="967"/>
      <c r="GR76" s="967"/>
      <c r="HE76" s="967"/>
      <c r="HR76" s="967"/>
      <c r="IE76" s="967"/>
      <c r="IR76" s="967"/>
    </row>
    <row r="77" spans="30:252" x14ac:dyDescent="0.3">
      <c r="AD77" s="967"/>
      <c r="AV77" s="967"/>
      <c r="BN77" s="967"/>
      <c r="CD77" s="967"/>
      <c r="CQ77" s="967"/>
      <c r="DD77" s="967"/>
      <c r="DR77" s="967"/>
      <c r="EE77" s="967"/>
      <c r="ER77" s="967"/>
      <c r="FE77" s="967"/>
      <c r="FR77" s="967"/>
      <c r="GE77" s="967"/>
      <c r="GR77" s="967"/>
      <c r="HE77" s="967"/>
      <c r="HR77" s="967"/>
      <c r="IE77" s="967"/>
      <c r="IR77" s="967"/>
    </row>
    <row r="78" spans="30:252" x14ac:dyDescent="0.3">
      <c r="AD78" s="967"/>
      <c r="AV78" s="967"/>
      <c r="BN78" s="967"/>
      <c r="CD78" s="967"/>
      <c r="CQ78" s="967"/>
      <c r="DD78" s="967"/>
      <c r="DR78" s="967"/>
      <c r="EE78" s="967"/>
      <c r="ER78" s="967"/>
      <c r="FE78" s="967"/>
      <c r="FR78" s="967"/>
      <c r="GE78" s="967"/>
      <c r="GR78" s="967"/>
      <c r="HE78" s="967"/>
      <c r="HR78" s="967"/>
      <c r="IE78" s="967"/>
      <c r="IR78" s="967"/>
    </row>
    <row r="79" spans="30:252" x14ac:dyDescent="0.3">
      <c r="AD79" s="967"/>
      <c r="AV79" s="967"/>
      <c r="BN79" s="967"/>
      <c r="CD79" s="967"/>
      <c r="CQ79" s="967"/>
      <c r="DD79" s="967"/>
      <c r="DR79" s="967"/>
      <c r="EE79" s="967"/>
      <c r="ER79" s="967"/>
      <c r="FE79" s="967"/>
      <c r="FR79" s="967"/>
      <c r="GE79" s="967"/>
      <c r="GR79" s="967"/>
      <c r="HE79" s="967"/>
      <c r="HR79" s="967"/>
      <c r="IE79" s="967"/>
      <c r="IR79" s="967"/>
    </row>
    <row r="80" spans="30:252" x14ac:dyDescent="0.3">
      <c r="AD80" s="967"/>
      <c r="AV80" s="967"/>
      <c r="BN80" s="967"/>
      <c r="CD80" s="967"/>
      <c r="CQ80" s="967"/>
      <c r="DD80" s="967"/>
      <c r="DR80" s="967"/>
      <c r="EE80" s="967"/>
      <c r="ER80" s="967"/>
      <c r="FE80" s="967"/>
      <c r="FR80" s="967"/>
      <c r="GE80" s="967"/>
      <c r="GR80" s="967"/>
      <c r="HE80" s="967"/>
      <c r="HR80" s="967"/>
      <c r="IE80" s="967"/>
      <c r="IR80" s="967"/>
    </row>
    <row r="81" spans="2:252" x14ac:dyDescent="0.3">
      <c r="AD81" s="967"/>
      <c r="AV81" s="967"/>
      <c r="BN81" s="967"/>
      <c r="CD81" s="967"/>
      <c r="CQ81" s="967"/>
      <c r="DD81" s="967"/>
      <c r="DR81" s="967"/>
      <c r="EE81" s="967"/>
      <c r="ER81" s="967"/>
      <c r="FE81" s="967"/>
      <c r="FR81" s="967"/>
      <c r="GE81" s="967"/>
      <c r="GR81" s="967"/>
      <c r="HE81" s="967"/>
      <c r="HR81" s="967"/>
      <c r="IE81" s="967"/>
      <c r="IR81" s="967"/>
    </row>
    <row r="82" spans="2:252" x14ac:dyDescent="0.3">
      <c r="AD82" s="967"/>
      <c r="AV82" s="967"/>
      <c r="BN82" s="967"/>
      <c r="CD82" s="967"/>
      <c r="CQ82" s="967"/>
      <c r="DD82" s="967"/>
      <c r="DR82" s="967"/>
      <c r="EE82" s="967"/>
      <c r="ER82" s="967"/>
      <c r="FE82" s="967"/>
      <c r="FR82" s="967"/>
      <c r="GE82" s="967"/>
      <c r="GR82" s="967"/>
      <c r="HE82" s="967"/>
      <c r="HR82" s="967"/>
      <c r="IE82" s="967"/>
      <c r="IR82" s="967"/>
    </row>
    <row r="83" spans="2:252" x14ac:dyDescent="0.3">
      <c r="AD83" s="967"/>
      <c r="AV83" s="967"/>
      <c r="BN83" s="967"/>
      <c r="CD83" s="967"/>
      <c r="CQ83" s="967"/>
      <c r="DD83" s="967"/>
      <c r="DR83" s="967"/>
      <c r="EE83" s="967"/>
      <c r="ER83" s="967"/>
      <c r="FE83" s="967"/>
      <c r="FR83" s="967"/>
      <c r="GE83" s="967"/>
      <c r="GR83" s="967"/>
      <c r="HE83" s="967"/>
      <c r="HR83" s="967"/>
      <c r="IE83" s="967"/>
      <c r="IR83" s="967"/>
    </row>
    <row r="84" spans="2:252" x14ac:dyDescent="0.3">
      <c r="AD84" s="967"/>
      <c r="AV84" s="967"/>
      <c r="BN84" s="967"/>
      <c r="CD84" s="967"/>
      <c r="CQ84" s="967"/>
      <c r="DD84" s="967"/>
      <c r="DR84" s="967"/>
      <c r="EE84" s="967"/>
      <c r="ER84" s="967"/>
      <c r="FE84" s="967"/>
      <c r="FR84" s="967"/>
      <c r="GE84" s="967"/>
      <c r="GR84" s="967"/>
      <c r="HE84" s="967"/>
      <c r="HR84" s="967"/>
      <c r="IE84" s="967"/>
      <c r="IR84" s="967"/>
    </row>
    <row r="85" spans="2:252" x14ac:dyDescent="0.3">
      <c r="AD85" s="967"/>
      <c r="AV85" s="967"/>
      <c r="BN85" s="967"/>
      <c r="CD85" s="967"/>
      <c r="CQ85" s="967"/>
      <c r="DD85" s="967"/>
      <c r="DR85" s="967"/>
      <c r="EE85" s="967"/>
      <c r="ER85" s="967"/>
      <c r="FE85" s="967"/>
      <c r="FR85" s="967"/>
      <c r="GE85" s="967"/>
      <c r="GR85" s="967"/>
      <c r="HE85" s="967"/>
      <c r="HR85" s="967"/>
      <c r="IE85" s="967"/>
      <c r="IR85" s="967"/>
    </row>
    <row r="86" spans="2:252" x14ac:dyDescent="0.3">
      <c r="AD86" s="967"/>
      <c r="AV86" s="967"/>
      <c r="BN86" s="967"/>
      <c r="CD86" s="967"/>
      <c r="CQ86" s="967"/>
      <c r="DD86" s="967"/>
      <c r="DR86" s="967"/>
      <c r="EE86" s="967"/>
      <c r="ER86" s="967"/>
      <c r="FE86" s="967"/>
      <c r="FR86" s="967"/>
      <c r="GE86" s="967"/>
      <c r="GR86" s="967"/>
      <c r="HE86" s="967"/>
      <c r="HR86" s="967"/>
      <c r="IE86" s="967"/>
      <c r="IR86" s="967"/>
    </row>
    <row r="87" spans="2:252" x14ac:dyDescent="0.3">
      <c r="AD87" s="967"/>
      <c r="AV87" s="967"/>
      <c r="BN87" s="967"/>
      <c r="CD87" s="967"/>
      <c r="CQ87" s="967"/>
      <c r="DD87" s="967"/>
      <c r="DR87" s="967"/>
      <c r="EE87" s="967"/>
      <c r="ER87" s="967"/>
      <c r="FE87" s="967"/>
      <c r="FR87" s="967"/>
      <c r="GE87" s="967"/>
      <c r="GR87" s="967"/>
      <c r="HE87" s="967"/>
      <c r="HR87" s="967"/>
      <c r="IE87" s="967"/>
      <c r="IR87" s="967"/>
    </row>
    <row r="88" spans="2:252" x14ac:dyDescent="0.3">
      <c r="AD88" s="967"/>
      <c r="AV88" s="967"/>
      <c r="BN88" s="967"/>
      <c r="CD88" s="967"/>
      <c r="CQ88" s="967"/>
      <c r="DD88" s="967"/>
      <c r="DR88" s="967"/>
      <c r="EE88" s="967"/>
      <c r="ER88" s="967"/>
      <c r="FE88" s="967"/>
      <c r="FR88" s="967"/>
      <c r="GE88" s="967"/>
      <c r="GR88" s="967"/>
      <c r="HE88" s="967"/>
      <c r="HR88" s="967"/>
      <c r="IE88" s="967"/>
      <c r="IR88" s="967"/>
    </row>
    <row r="89" spans="2:252" x14ac:dyDescent="0.3">
      <c r="AD89" s="967"/>
      <c r="AV89" s="967"/>
      <c r="BN89" s="967"/>
      <c r="CD89" s="967"/>
      <c r="CQ89" s="967"/>
      <c r="DD89" s="967"/>
      <c r="DR89" s="967"/>
      <c r="EE89" s="967"/>
      <c r="ER89" s="967"/>
      <c r="FE89" s="967"/>
      <c r="FR89" s="967"/>
      <c r="GE89" s="967"/>
      <c r="GR89" s="967"/>
      <c r="HE89" s="967"/>
      <c r="HR89" s="967"/>
      <c r="IE89" s="967"/>
      <c r="IR89" s="967"/>
    </row>
    <row r="90" spans="2:252" x14ac:dyDescent="0.3">
      <c r="AD90" s="967"/>
      <c r="AV90" s="967"/>
      <c r="BN90" s="967"/>
      <c r="CD90" s="967"/>
      <c r="CQ90" s="967"/>
      <c r="DD90" s="967"/>
      <c r="DR90" s="967"/>
      <c r="EE90" s="967"/>
      <c r="ER90" s="967"/>
      <c r="FE90" s="967"/>
      <c r="FR90" s="967"/>
      <c r="GE90" s="967"/>
      <c r="GR90" s="967"/>
      <c r="HE90" s="967"/>
      <c r="HR90" s="967"/>
      <c r="IE90" s="967"/>
      <c r="IR90" s="967"/>
    </row>
    <row r="91" spans="2:252" x14ac:dyDescent="0.3">
      <c r="AD91" s="967"/>
      <c r="AV91" s="967"/>
      <c r="BN91" s="967"/>
      <c r="CD91" s="967"/>
      <c r="CQ91" s="967"/>
      <c r="DD91" s="967"/>
      <c r="DR91" s="967"/>
      <c r="EE91" s="967"/>
      <c r="ER91" s="967"/>
      <c r="FE91" s="967"/>
      <c r="FR91" s="967"/>
      <c r="GE91" s="967"/>
      <c r="GR91" s="967"/>
      <c r="HE91" s="967"/>
      <c r="HR91" s="967"/>
      <c r="IE91" s="967"/>
      <c r="IR91" s="967"/>
    </row>
    <row r="92" spans="2:252" x14ac:dyDescent="0.3">
      <c r="B92" s="969"/>
      <c r="C92" s="969"/>
      <c r="D92" s="969"/>
      <c r="E92" s="969"/>
      <c r="F92" s="969"/>
      <c r="G92" s="969"/>
      <c r="H92" s="969"/>
      <c r="I92" s="969"/>
      <c r="J92" s="969"/>
      <c r="K92" s="969"/>
      <c r="L92" s="969"/>
      <c r="M92" s="969"/>
      <c r="N92" s="969"/>
      <c r="O92" s="969"/>
      <c r="P92" s="969"/>
      <c r="Q92" s="969"/>
      <c r="R92" s="969"/>
      <c r="S92" s="969"/>
      <c r="T92" s="969"/>
      <c r="U92" s="969"/>
      <c r="V92" s="969"/>
      <c r="W92" s="969"/>
      <c r="X92" s="969"/>
      <c r="Y92" s="969"/>
      <c r="Z92" s="969"/>
      <c r="AA92" s="969"/>
      <c r="AB92" s="969"/>
      <c r="AC92" s="969"/>
      <c r="AD92" s="969"/>
      <c r="AE92" s="969"/>
      <c r="AF92" s="969"/>
      <c r="AG92" s="969"/>
      <c r="AH92" s="969"/>
      <c r="AI92" s="969"/>
      <c r="AJ92" s="969"/>
      <c r="AK92" s="969"/>
      <c r="AL92" s="969"/>
      <c r="AM92" s="969"/>
      <c r="AN92" s="969"/>
      <c r="AO92" s="969"/>
      <c r="AP92" s="969"/>
      <c r="AQ92" s="969"/>
      <c r="AR92" s="969"/>
      <c r="AS92" s="969"/>
      <c r="AT92" s="969"/>
      <c r="AU92" s="969"/>
      <c r="AV92" s="969"/>
      <c r="AW92" s="969"/>
      <c r="AX92" s="969"/>
      <c r="AY92" s="969"/>
      <c r="AZ92" s="969"/>
      <c r="BA92" s="969"/>
      <c r="BB92" s="969"/>
      <c r="BC92" s="969"/>
      <c r="BD92" s="969"/>
      <c r="BE92" s="969"/>
      <c r="BF92" s="969"/>
      <c r="BG92" s="969"/>
      <c r="BH92" s="969"/>
      <c r="BI92" s="969"/>
      <c r="BJ92" s="969"/>
      <c r="BK92" s="969"/>
      <c r="BL92" s="969"/>
      <c r="BM92" s="969"/>
      <c r="BN92" s="969"/>
      <c r="BO92" s="969"/>
      <c r="BP92" s="969"/>
      <c r="BQ92" s="969"/>
      <c r="BR92" s="969"/>
      <c r="BS92" s="969"/>
      <c r="BT92" s="969"/>
      <c r="BU92" s="969"/>
      <c r="BV92" s="969"/>
      <c r="BW92" s="969"/>
      <c r="BX92" s="969"/>
      <c r="BY92" s="969"/>
      <c r="BZ92" s="969"/>
      <c r="CA92" s="969"/>
      <c r="CB92" s="969"/>
      <c r="CC92" s="969"/>
      <c r="CD92" s="969"/>
      <c r="CE92" s="969"/>
      <c r="CF92" s="969"/>
      <c r="CG92" s="969"/>
      <c r="CH92" s="969"/>
      <c r="CI92" s="969"/>
      <c r="CJ92" s="969"/>
      <c r="CK92" s="969"/>
      <c r="CL92" s="969"/>
      <c r="CM92" s="969"/>
      <c r="CN92" s="969"/>
      <c r="CO92" s="969"/>
      <c r="CP92" s="969"/>
      <c r="CQ92" s="969"/>
      <c r="CR92" s="969"/>
      <c r="CS92" s="969"/>
      <c r="CT92" s="969"/>
      <c r="CU92" s="969"/>
      <c r="CV92" s="969"/>
      <c r="CW92" s="969"/>
      <c r="CX92" s="969"/>
      <c r="CY92" s="969"/>
      <c r="CZ92" s="969"/>
      <c r="DA92" s="969"/>
      <c r="DB92" s="969"/>
      <c r="DC92" s="969"/>
      <c r="DD92" s="969"/>
      <c r="DE92" s="969"/>
      <c r="DF92" s="969"/>
      <c r="DG92" s="969"/>
      <c r="DH92" s="969"/>
      <c r="DI92" s="969"/>
      <c r="DJ92" s="969"/>
      <c r="DK92" s="969"/>
      <c r="DL92" s="969"/>
      <c r="DM92" s="969"/>
      <c r="DN92" s="969"/>
      <c r="DO92" s="969"/>
      <c r="DP92" s="969"/>
      <c r="DQ92" s="969"/>
      <c r="DR92" s="969"/>
      <c r="DS92" s="969"/>
      <c r="DT92" s="969"/>
      <c r="DU92" s="969"/>
      <c r="DV92" s="969"/>
      <c r="DW92" s="969"/>
      <c r="DX92" s="969"/>
      <c r="DY92" s="969"/>
      <c r="DZ92" s="969"/>
      <c r="EA92" s="969"/>
      <c r="EB92" s="969"/>
      <c r="EC92" s="969"/>
      <c r="ED92" s="969"/>
      <c r="EE92" s="969"/>
      <c r="EF92" s="969"/>
      <c r="EG92" s="969"/>
      <c r="EH92" s="969"/>
      <c r="EI92" s="969"/>
      <c r="EJ92" s="969"/>
      <c r="EK92" s="969"/>
      <c r="EL92" s="969"/>
      <c r="EM92" s="969"/>
      <c r="EN92" s="969"/>
      <c r="EO92" s="969"/>
      <c r="EP92" s="969"/>
      <c r="EQ92" s="969"/>
      <c r="ER92" s="969"/>
      <c r="ES92" s="969"/>
      <c r="ET92" s="969"/>
      <c r="EU92" s="969"/>
      <c r="EV92" s="969"/>
      <c r="EW92" s="969"/>
      <c r="EX92" s="969"/>
      <c r="EY92" s="969"/>
      <c r="EZ92" s="969"/>
      <c r="FA92" s="969"/>
      <c r="FB92" s="969"/>
      <c r="FC92" s="969"/>
      <c r="FD92" s="969"/>
      <c r="FE92" s="969"/>
      <c r="FF92" s="969"/>
      <c r="FG92" s="969"/>
      <c r="FH92" s="969"/>
      <c r="FI92" s="969"/>
      <c r="FJ92" s="969"/>
      <c r="FK92" s="969"/>
      <c r="FL92" s="969"/>
      <c r="FM92" s="969"/>
      <c r="FN92" s="969"/>
      <c r="FO92" s="969"/>
      <c r="FP92" s="969"/>
      <c r="FQ92" s="969"/>
      <c r="FR92" s="969"/>
      <c r="FS92" s="969"/>
      <c r="FT92" s="969"/>
      <c r="FU92" s="969"/>
      <c r="FV92" s="969"/>
      <c r="FW92" s="969"/>
      <c r="FX92" s="969"/>
      <c r="FY92" s="969"/>
      <c r="FZ92" s="969"/>
      <c r="GA92" s="969"/>
      <c r="GB92" s="969"/>
      <c r="GC92" s="969"/>
      <c r="GD92" s="969"/>
      <c r="GE92" s="969"/>
      <c r="GF92" s="969"/>
      <c r="GG92" s="969"/>
      <c r="GH92" s="969"/>
      <c r="GI92" s="969"/>
      <c r="GJ92" s="969"/>
      <c r="GK92" s="969"/>
      <c r="GL92" s="969"/>
      <c r="GM92" s="969"/>
      <c r="GN92" s="969"/>
      <c r="GO92" s="969"/>
      <c r="GP92" s="969"/>
      <c r="GQ92" s="969"/>
      <c r="GR92" s="969"/>
      <c r="GS92" s="969"/>
      <c r="GT92" s="969"/>
      <c r="GU92" s="969"/>
      <c r="GV92" s="969"/>
      <c r="GW92" s="969"/>
      <c r="GX92" s="969"/>
      <c r="GY92" s="969"/>
      <c r="GZ92" s="969"/>
      <c r="HA92" s="969"/>
      <c r="HB92" s="969"/>
      <c r="HC92" s="969"/>
      <c r="HD92" s="969"/>
      <c r="HE92" s="969"/>
      <c r="HF92" s="969"/>
      <c r="HG92" s="969"/>
      <c r="HH92" s="969"/>
      <c r="HI92" s="969"/>
      <c r="HJ92" s="969"/>
      <c r="HK92" s="969"/>
      <c r="HL92" s="969"/>
      <c r="HM92" s="969"/>
      <c r="HN92" s="969"/>
      <c r="HO92" s="969"/>
      <c r="HP92" s="969"/>
      <c r="HQ92" s="969"/>
      <c r="HR92" s="969"/>
      <c r="HS92" s="969"/>
      <c r="HT92" s="969"/>
      <c r="HU92" s="969"/>
      <c r="HV92" s="969"/>
      <c r="HW92" s="969"/>
      <c r="HX92" s="969"/>
      <c r="HY92" s="969"/>
      <c r="HZ92" s="969"/>
      <c r="IA92" s="969"/>
      <c r="IB92" s="969"/>
      <c r="IC92" s="969"/>
      <c r="ID92" s="969"/>
      <c r="IE92" s="969"/>
      <c r="IF92" s="969"/>
      <c r="IG92" s="969"/>
      <c r="IH92" s="969"/>
      <c r="II92" s="969"/>
      <c r="IJ92" s="969"/>
      <c r="IK92" s="969"/>
      <c r="IL92" s="969"/>
      <c r="IM92" s="969"/>
      <c r="IN92" s="969"/>
      <c r="IO92" s="969"/>
      <c r="IP92" s="969"/>
      <c r="IQ92" s="969"/>
      <c r="IR92" s="969"/>
    </row>
  </sheetData>
  <mergeCells count="17">
    <mergeCell ref="FS6:GD6"/>
    <mergeCell ref="E6:AC6"/>
    <mergeCell ref="AE6:AU6"/>
    <mergeCell ref="AW6:BM6"/>
    <mergeCell ref="BO6:CC6"/>
    <mergeCell ref="CE6:CP6"/>
    <mergeCell ref="CR6:DC6"/>
    <mergeCell ref="DE6:DQ6"/>
    <mergeCell ref="DS6:ED6"/>
    <mergeCell ref="EF6:EQ6"/>
    <mergeCell ref="ES6:FD6"/>
    <mergeCell ref="FF6:FQ6"/>
    <mergeCell ref="GF6:GQ6"/>
    <mergeCell ref="GS6:HD6"/>
    <mergeCell ref="HF6:HQ6"/>
    <mergeCell ref="HS6:ID6"/>
    <mergeCell ref="IF6:IQ6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/>
  </sheetPr>
  <dimension ref="B4:QE155"/>
  <sheetViews>
    <sheetView zoomScale="80" zoomScaleNormal="8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Q17" sqref="Q17"/>
    </sheetView>
  </sheetViews>
  <sheetFormatPr defaultColWidth="9.109375" defaultRowHeight="14.4" x14ac:dyDescent="0.3"/>
  <cols>
    <col min="1" max="1" width="2.88671875" customWidth="1"/>
    <col min="2" max="2" width="3.44140625" bestFit="1" customWidth="1"/>
    <col min="3" max="3" width="4.33203125" bestFit="1" customWidth="1"/>
    <col min="4" max="4" width="24.5546875" bestFit="1" customWidth="1"/>
    <col min="5" max="5" width="2.88671875" customWidth="1"/>
    <col min="6" max="18" width="6.44140625" customWidth="1"/>
    <col min="19" max="19" width="6.44140625" bestFit="1" customWidth="1"/>
    <col min="20" max="30" width="6.44140625" customWidth="1"/>
    <col min="31" max="31" width="2.6640625" customWidth="1"/>
    <col min="32" max="44" width="6.44140625" customWidth="1"/>
    <col min="45" max="45" width="6.44140625" bestFit="1" customWidth="1"/>
    <col min="46" max="56" width="6.44140625" customWidth="1"/>
    <col min="57" max="57" width="2.6640625" customWidth="1"/>
    <col min="58" max="70" width="6.44140625" customWidth="1"/>
    <col min="71" max="71" width="6.44140625" bestFit="1" customWidth="1"/>
    <col min="72" max="82" width="6.44140625" customWidth="1"/>
    <col min="83" max="83" width="2.6640625" customWidth="1"/>
    <col min="84" max="96" width="6.44140625" customWidth="1"/>
    <col min="97" max="97" width="6.44140625" bestFit="1" customWidth="1"/>
    <col min="98" max="108" width="6.44140625" customWidth="1"/>
    <col min="109" max="109" width="2.6640625" customWidth="1"/>
    <col min="110" max="122" width="6.44140625" customWidth="1"/>
    <col min="123" max="123" width="6.44140625" bestFit="1" customWidth="1"/>
    <col min="124" max="134" width="6.44140625" customWidth="1"/>
    <col min="135" max="135" width="2.6640625" customWidth="1"/>
    <col min="136" max="148" width="6.44140625" customWidth="1"/>
    <col min="149" max="149" width="7" bestFit="1" customWidth="1"/>
    <col min="150" max="160" width="7" customWidth="1"/>
    <col min="161" max="161" width="2.88671875" customWidth="1"/>
    <col min="162" max="174" width="7" customWidth="1"/>
    <col min="175" max="175" width="6.44140625" bestFit="1" customWidth="1"/>
    <col min="176" max="186" width="6.44140625" customWidth="1"/>
    <col min="187" max="187" width="2.6640625" customWidth="1"/>
    <col min="188" max="200" width="6.44140625" customWidth="1"/>
    <col min="201" max="201" width="6.44140625" bestFit="1" customWidth="1"/>
    <col min="202" max="212" width="6.44140625" customWidth="1"/>
    <col min="213" max="213" width="2.6640625" customWidth="1"/>
    <col min="214" max="226" width="6.44140625" customWidth="1"/>
    <col min="227" max="227" width="6.44140625" bestFit="1" customWidth="1"/>
    <col min="228" max="238" width="6.44140625" customWidth="1"/>
    <col min="239" max="239" width="2.6640625" customWidth="1"/>
    <col min="240" max="252" width="6.44140625" customWidth="1"/>
    <col min="253" max="253" width="6.44140625" bestFit="1" customWidth="1"/>
    <col min="254" max="264" width="6.44140625" customWidth="1"/>
    <col min="265" max="265" width="2.6640625" customWidth="1"/>
    <col min="266" max="278" width="6.44140625" customWidth="1"/>
    <col min="279" max="279" width="6.44140625" bestFit="1" customWidth="1"/>
    <col min="280" max="290" width="6.44140625" customWidth="1"/>
    <col min="291" max="291" width="2.6640625" customWidth="1"/>
    <col min="292" max="304" width="6.44140625" customWidth="1"/>
    <col min="305" max="305" width="6.44140625" bestFit="1" customWidth="1"/>
    <col min="306" max="316" width="6.44140625" customWidth="1"/>
    <col min="317" max="317" width="2.6640625" customWidth="1"/>
    <col min="318" max="330" width="6.44140625" customWidth="1"/>
    <col min="331" max="331" width="6.44140625" bestFit="1" customWidth="1"/>
    <col min="332" max="342" width="6.44140625" customWidth="1"/>
    <col min="343" max="343" width="2.6640625" customWidth="1"/>
    <col min="344" max="356" width="6.44140625" customWidth="1"/>
    <col min="357" max="357" width="6.44140625" bestFit="1" customWidth="1"/>
    <col min="358" max="368" width="6.44140625" customWidth="1"/>
    <col min="369" max="369" width="2.6640625" customWidth="1"/>
    <col min="370" max="382" width="6.44140625" customWidth="1"/>
    <col min="383" max="383" width="6.44140625" bestFit="1" customWidth="1"/>
    <col min="384" max="394" width="6.44140625" customWidth="1"/>
    <col min="395" max="395" width="2.6640625" customWidth="1"/>
    <col min="396" max="408" width="6.44140625" customWidth="1"/>
    <col min="409" max="409" width="6.44140625" bestFit="1" customWidth="1"/>
    <col min="410" max="419" width="6.44140625" customWidth="1"/>
    <col min="420" max="420" width="6.5546875" customWidth="1"/>
    <col min="421" max="421" width="2.6640625" customWidth="1"/>
    <col min="422" max="434" width="6.44140625" customWidth="1"/>
    <col min="435" max="435" width="6.44140625" bestFit="1" customWidth="1"/>
    <col min="436" max="445" width="6.44140625" customWidth="1"/>
    <col min="446" max="446" width="6.5546875" customWidth="1"/>
    <col min="447" max="447" width="2.6640625" customWidth="1"/>
  </cols>
  <sheetData>
    <row r="4" spans="2:447" s="8" customFormat="1" x14ac:dyDescent="0.3">
      <c r="H4" s="8" t="s">
        <v>2080</v>
      </c>
      <c r="I4" s="8" t="s">
        <v>2514</v>
      </c>
      <c r="J4" s="8" t="s">
        <v>702</v>
      </c>
      <c r="K4" s="8" t="s">
        <v>702</v>
      </c>
      <c r="L4" s="8" t="s">
        <v>1984</v>
      </c>
      <c r="M4" s="8" t="s">
        <v>2080</v>
      </c>
      <c r="N4" s="8" t="s">
        <v>2080</v>
      </c>
      <c r="O4" s="8" t="s">
        <v>702</v>
      </c>
      <c r="P4" s="8" t="s">
        <v>2109</v>
      </c>
      <c r="Q4" s="8" t="s">
        <v>1984</v>
      </c>
      <c r="R4" s="8" t="str">
        <f>VLOOKUP(R5,tbl_KausiDivari[],2,FALSE)</f>
        <v>IV-Div+Kars</v>
      </c>
      <c r="S4" s="8" t="str">
        <f>VLOOKUP(S5,tbl_KausiDivari[],2,FALSE)</f>
        <v>IV-Div</v>
      </c>
      <c r="T4" s="8" t="str">
        <f>VLOOKUP(T5,tbl_KausiDivari[],2,FALSE)</f>
        <v>IV-Div</v>
      </c>
      <c r="U4" s="8" t="s">
        <v>702</v>
      </c>
      <c r="V4" s="8" t="s">
        <v>702</v>
      </c>
      <c r="W4" s="8" t="s">
        <v>702</v>
      </c>
      <c r="X4" s="8" t="s">
        <v>703</v>
      </c>
      <c r="Y4" s="8" t="s">
        <v>702</v>
      </c>
      <c r="Z4" s="8" t="s">
        <v>702</v>
      </c>
      <c r="AA4" s="8" t="s">
        <v>702</v>
      </c>
      <c r="AB4" s="8" t="s">
        <v>703</v>
      </c>
      <c r="AC4" s="8" t="s">
        <v>702</v>
      </c>
      <c r="AD4" s="8" t="str">
        <f>VLOOKUP(AD5,tbl_KausiDivari[],2,FALSE)</f>
        <v>V-Div</v>
      </c>
      <c r="AE4" s="1088"/>
      <c r="AH4" s="8" t="s">
        <v>2080</v>
      </c>
      <c r="AI4" s="8" t="s">
        <v>2514</v>
      </c>
      <c r="AJ4" s="8" t="s">
        <v>702</v>
      </c>
      <c r="AK4" s="8" t="s">
        <v>702</v>
      </c>
      <c r="AL4" s="8" t="s">
        <v>1984</v>
      </c>
      <c r="AM4" s="8" t="s">
        <v>2080</v>
      </c>
      <c r="AN4" s="8" t="s">
        <v>2080</v>
      </c>
      <c r="AO4" s="8" t="s">
        <v>702</v>
      </c>
      <c r="AP4" s="8" t="s">
        <v>2109</v>
      </c>
      <c r="AQ4" s="8" t="s">
        <v>1984</v>
      </c>
      <c r="AR4" s="8" t="str">
        <f>VLOOKUP(AR5,tbl_KausiDivari[],2,FALSE)</f>
        <v>IV-Div+Kars</v>
      </c>
      <c r="AS4" s="8" t="str">
        <f>VLOOKUP(AS5,tbl_KausiDivari[],2,FALSE)</f>
        <v>IV-Div</v>
      </c>
      <c r="AT4" s="8" t="str">
        <f>VLOOKUP(AT5,tbl_KausiDivari[],2,FALSE)</f>
        <v>IV-Div</v>
      </c>
      <c r="AU4" s="8" t="s">
        <v>702</v>
      </c>
      <c r="AV4" s="8" t="s">
        <v>702</v>
      </c>
      <c r="AW4" s="8" t="s">
        <v>702</v>
      </c>
      <c r="AX4" s="8" t="s">
        <v>703</v>
      </c>
      <c r="AY4" s="8" t="s">
        <v>702</v>
      </c>
      <c r="AZ4" s="8" t="s">
        <v>702</v>
      </c>
      <c r="BA4" s="8" t="s">
        <v>702</v>
      </c>
      <c r="BB4" s="8" t="str">
        <f>VLOOKUP(BB5,tbl_KausiDivari[],2,FALSE)</f>
        <v>V-Div</v>
      </c>
      <c r="BC4" s="8" t="str">
        <f>VLOOKUP(BC5,tbl_KausiDivari[],2,FALSE)</f>
        <v>IV-Div</v>
      </c>
      <c r="BD4" s="8" t="str">
        <f>VLOOKUP(BD5,tbl_KausiDivari[],2,FALSE)</f>
        <v>V-Div</v>
      </c>
      <c r="BE4" s="1088"/>
      <c r="BH4" s="8" t="s">
        <v>2080</v>
      </c>
      <c r="BI4" s="8" t="s">
        <v>2514</v>
      </c>
      <c r="BJ4" s="8" t="s">
        <v>702</v>
      </c>
      <c r="BK4" s="8" t="s">
        <v>702</v>
      </c>
      <c r="BL4" s="8" t="s">
        <v>1984</v>
      </c>
      <c r="BM4" s="8" t="s">
        <v>2080</v>
      </c>
      <c r="BN4" s="8" t="s">
        <v>2080</v>
      </c>
      <c r="BO4" s="8" t="s">
        <v>702</v>
      </c>
      <c r="BP4" s="8" t="s">
        <v>2109</v>
      </c>
      <c r="BQ4" s="8" t="s">
        <v>1984</v>
      </c>
      <c r="BR4" s="8" t="str">
        <f>VLOOKUP(BR5,tbl_KausiDivari[],2,FALSE)</f>
        <v>IV-Div+Kars</v>
      </c>
      <c r="BS4" s="8" t="str">
        <f>VLOOKUP(BS5,tbl_KausiDivari[],2,FALSE)</f>
        <v>IV-Div</v>
      </c>
      <c r="BT4" s="8" t="str">
        <f>VLOOKUP(BT5,tbl_KausiDivari[],2,FALSE)</f>
        <v>IV-Div</v>
      </c>
      <c r="BU4" s="8" t="s">
        <v>702</v>
      </c>
      <c r="BV4" s="8" t="s">
        <v>702</v>
      </c>
      <c r="BW4" s="8" t="s">
        <v>702</v>
      </c>
      <c r="BX4" s="8" t="s">
        <v>703</v>
      </c>
      <c r="BY4" s="8" t="s">
        <v>702</v>
      </c>
      <c r="BZ4" s="8" t="s">
        <v>702</v>
      </c>
      <c r="CA4" s="8" t="s">
        <v>702</v>
      </c>
      <c r="CB4" s="8" t="str">
        <f>VLOOKUP(CB5,tbl_KausiDivari[],2,FALSE)</f>
        <v>V-Div</v>
      </c>
      <c r="CC4" s="8" t="str">
        <f>VLOOKUP(CC5,tbl_KausiDivari[],2,FALSE)</f>
        <v>IV-Div</v>
      </c>
      <c r="CD4" s="8" t="str">
        <f>VLOOKUP(CD5,tbl_KausiDivari[],2,FALSE)</f>
        <v>V-Div</v>
      </c>
      <c r="CE4" s="1088"/>
      <c r="CH4" s="8" t="s">
        <v>2080</v>
      </c>
      <c r="CI4" s="8" t="s">
        <v>2514</v>
      </c>
      <c r="CJ4" s="8" t="s">
        <v>702</v>
      </c>
      <c r="CK4" s="8" t="s">
        <v>702</v>
      </c>
      <c r="CL4" s="8" t="s">
        <v>1984</v>
      </c>
      <c r="CM4" s="8" t="s">
        <v>2080</v>
      </c>
      <c r="CN4" s="8" t="s">
        <v>2080</v>
      </c>
      <c r="CO4" s="8" t="s">
        <v>702</v>
      </c>
      <c r="CP4" s="8" t="s">
        <v>2109</v>
      </c>
      <c r="CQ4" s="8" t="s">
        <v>1984</v>
      </c>
      <c r="CR4" s="8" t="str">
        <f>VLOOKUP(CR5,tbl_KausiDivari[],2,FALSE)</f>
        <v>IV-Div+Kars</v>
      </c>
      <c r="CS4" s="8" t="str">
        <f>VLOOKUP(CS5,tbl_KausiDivari[],2,FALSE)</f>
        <v>IV-Div</v>
      </c>
      <c r="CT4" s="8" t="str">
        <f>VLOOKUP(CT5,tbl_KausiDivari[],2,FALSE)</f>
        <v>IV-Div</v>
      </c>
      <c r="CU4" s="8" t="s">
        <v>702</v>
      </c>
      <c r="CV4" s="8" t="s">
        <v>702</v>
      </c>
      <c r="CW4" s="8" t="s">
        <v>702</v>
      </c>
      <c r="CX4" s="8" t="s">
        <v>703</v>
      </c>
      <c r="CY4" s="8" t="s">
        <v>702</v>
      </c>
      <c r="CZ4" s="8" t="s">
        <v>702</v>
      </c>
      <c r="DA4" s="8" t="s">
        <v>702</v>
      </c>
      <c r="DB4" s="8" t="str">
        <f>VLOOKUP(DB5,tbl_KausiDivari[],2,FALSE)</f>
        <v>V-Div</v>
      </c>
      <c r="DC4" s="8" t="str">
        <f>VLOOKUP(DC5,tbl_KausiDivari[],2,FALSE)</f>
        <v>IV-Div</v>
      </c>
      <c r="DD4" s="8" t="str">
        <f>VLOOKUP(DD5,tbl_KausiDivari[],2,FALSE)</f>
        <v>V-Div</v>
      </c>
      <c r="DE4" s="1088"/>
      <c r="DH4" s="8" t="s">
        <v>2080</v>
      </c>
      <c r="DI4" s="8" t="s">
        <v>2514</v>
      </c>
      <c r="DJ4" s="8" t="s">
        <v>702</v>
      </c>
      <c r="DK4" s="8" t="s">
        <v>702</v>
      </c>
      <c r="DL4" s="8" t="s">
        <v>1984</v>
      </c>
      <c r="DM4" s="8" t="s">
        <v>2080</v>
      </c>
      <c r="DN4" s="8" t="s">
        <v>2080</v>
      </c>
      <c r="DO4" s="8" t="s">
        <v>702</v>
      </c>
      <c r="DP4" s="8" t="s">
        <v>2109</v>
      </c>
      <c r="DQ4" s="8" t="s">
        <v>1984</v>
      </c>
      <c r="DR4" s="8" t="str">
        <f>VLOOKUP(DR5,tbl_KausiDivari[],2,FALSE)</f>
        <v>IV-Div+Kars</v>
      </c>
      <c r="DS4" s="8" t="str">
        <f>VLOOKUP(DS5,tbl_KausiDivari[],2,FALSE)</f>
        <v>IV-Div</v>
      </c>
      <c r="DT4" s="8" t="str">
        <f>VLOOKUP(DT5,tbl_KausiDivari[],2,FALSE)</f>
        <v>IV-Div</v>
      </c>
      <c r="DU4" s="8" t="s">
        <v>702</v>
      </c>
      <c r="DV4" s="8" t="s">
        <v>702</v>
      </c>
      <c r="DW4" s="8" t="s">
        <v>702</v>
      </c>
      <c r="DX4" s="8" t="s">
        <v>703</v>
      </c>
      <c r="DY4" s="8" t="s">
        <v>702</v>
      </c>
      <c r="DZ4" s="8" t="s">
        <v>702</v>
      </c>
      <c r="EA4" s="8" t="s">
        <v>702</v>
      </c>
      <c r="EB4" s="8" t="str">
        <f>VLOOKUP(EB5,tbl_KausiDivari[],2,FALSE)</f>
        <v>V-Div</v>
      </c>
      <c r="EC4" s="8" t="str">
        <f>VLOOKUP(EC5,tbl_KausiDivari[],2,FALSE)</f>
        <v>IV-Div</v>
      </c>
      <c r="ED4" s="8" t="str">
        <f>VLOOKUP(ED5,tbl_KausiDivari[],2,FALSE)</f>
        <v>V-Div</v>
      </c>
      <c r="EE4" s="1088"/>
      <c r="EH4" s="8" t="s">
        <v>2080</v>
      </c>
      <c r="EI4" s="8" t="s">
        <v>2514</v>
      </c>
      <c r="EJ4" s="8" t="s">
        <v>702</v>
      </c>
      <c r="EK4" s="8" t="s">
        <v>702</v>
      </c>
      <c r="EL4" s="8" t="s">
        <v>1984</v>
      </c>
      <c r="EM4" s="8" t="s">
        <v>2080</v>
      </c>
      <c r="EN4" s="8" t="s">
        <v>2080</v>
      </c>
      <c r="EO4" s="8" t="s">
        <v>702</v>
      </c>
      <c r="EP4" s="8" t="s">
        <v>2109</v>
      </c>
      <c r="EQ4" s="8" t="s">
        <v>1984</v>
      </c>
      <c r="ER4" s="8" t="str">
        <f>VLOOKUP(ER5,tbl_KausiDivari[],2,FALSE)</f>
        <v>IV-Div+Kars</v>
      </c>
      <c r="ES4" s="8" t="str">
        <f>VLOOKUP(ES5,tbl_KausiDivari[],2,FALSE)</f>
        <v>IV-Div</v>
      </c>
      <c r="ET4" s="8" t="str">
        <f>VLOOKUP(ET5,tbl_KausiDivari[],2,FALSE)</f>
        <v>IV-Div</v>
      </c>
      <c r="EU4" s="8" t="s">
        <v>702</v>
      </c>
      <c r="EV4" s="8" t="s">
        <v>702</v>
      </c>
      <c r="EW4" s="8" t="s">
        <v>702</v>
      </c>
      <c r="EX4" s="8" t="s">
        <v>703</v>
      </c>
      <c r="EY4" s="8" t="s">
        <v>702</v>
      </c>
      <c r="EZ4" s="8" t="s">
        <v>702</v>
      </c>
      <c r="FA4" s="8" t="s">
        <v>702</v>
      </c>
      <c r="FB4" s="8" t="str">
        <f>VLOOKUP(FB5,tbl_KausiDivari[],2,FALSE)</f>
        <v>V-Div</v>
      </c>
      <c r="FC4" s="8" t="str">
        <f>VLOOKUP(FC5,tbl_KausiDivari[],2,FALSE)</f>
        <v>IV-Div</v>
      </c>
      <c r="FD4" s="8" t="str">
        <f>VLOOKUP(FD5,tbl_KausiDivari[],2,FALSE)</f>
        <v>V-Div</v>
      </c>
      <c r="FE4" s="1088"/>
      <c r="FH4" s="8" t="s">
        <v>2080</v>
      </c>
      <c r="FI4" s="8" t="s">
        <v>2514</v>
      </c>
      <c r="FJ4" s="8" t="s">
        <v>702</v>
      </c>
      <c r="FK4" s="8" t="s">
        <v>702</v>
      </c>
      <c r="FL4" s="8" t="s">
        <v>1984</v>
      </c>
      <c r="FM4" s="8" t="s">
        <v>2080</v>
      </c>
      <c r="FN4" s="8" t="s">
        <v>2080</v>
      </c>
      <c r="FO4" s="8" t="s">
        <v>702</v>
      </c>
      <c r="FP4" s="8" t="s">
        <v>2109</v>
      </c>
      <c r="FQ4" s="8" t="s">
        <v>1984</v>
      </c>
      <c r="FR4" s="8" t="str">
        <f>VLOOKUP(FR5,tbl_KausiDivari[],2,FALSE)</f>
        <v>IV-Div+Kars</v>
      </c>
      <c r="FS4" s="8" t="str">
        <f>VLOOKUP(FS5,tbl_KausiDivari[],2,FALSE)</f>
        <v>IV-Div</v>
      </c>
      <c r="FT4" s="8" t="str">
        <f>VLOOKUP(FT5,tbl_KausiDivari[],2,FALSE)</f>
        <v>IV-Div</v>
      </c>
      <c r="FU4" s="8" t="s">
        <v>702</v>
      </c>
      <c r="FV4" s="8" t="s">
        <v>702</v>
      </c>
      <c r="FW4" s="8" t="s">
        <v>702</v>
      </c>
      <c r="FX4" s="8" t="s">
        <v>703</v>
      </c>
      <c r="FY4" s="8" t="s">
        <v>702</v>
      </c>
      <c r="FZ4" s="8" t="s">
        <v>702</v>
      </c>
      <c r="GA4" s="8" t="s">
        <v>702</v>
      </c>
      <c r="GB4" s="8" t="str">
        <f>VLOOKUP(GB5,tbl_KausiDivari[],2,FALSE)</f>
        <v>V-Div</v>
      </c>
      <c r="GC4" s="8" t="str">
        <f>VLOOKUP(GC5,tbl_KausiDivari[],2,FALSE)</f>
        <v>IV-Div</v>
      </c>
      <c r="GD4" s="8" t="str">
        <f>VLOOKUP(GD5,tbl_KausiDivari[],2,FALSE)</f>
        <v>V-Div</v>
      </c>
      <c r="GE4" s="1088"/>
      <c r="GH4" s="8" t="s">
        <v>2080</v>
      </c>
      <c r="GI4" s="8" t="s">
        <v>2514</v>
      </c>
      <c r="GJ4" s="8" t="s">
        <v>702</v>
      </c>
      <c r="GK4" s="8" t="s">
        <v>702</v>
      </c>
      <c r="GL4" s="8" t="s">
        <v>1984</v>
      </c>
      <c r="GM4" s="8" t="s">
        <v>2080</v>
      </c>
      <c r="GN4" s="8" t="s">
        <v>2080</v>
      </c>
      <c r="GO4" s="8" t="s">
        <v>702</v>
      </c>
      <c r="GP4" s="8" t="s">
        <v>2109</v>
      </c>
      <c r="GQ4" s="8" t="s">
        <v>1984</v>
      </c>
      <c r="GR4" s="8" t="str">
        <f>VLOOKUP(GR5,tbl_KausiDivari[],2,FALSE)</f>
        <v>IV-Div+Kars</v>
      </c>
      <c r="GS4" s="8" t="str">
        <f>VLOOKUP(GS5,tbl_KausiDivari[],2,FALSE)</f>
        <v>IV-Div</v>
      </c>
      <c r="GT4" s="8" t="s">
        <v>702</v>
      </c>
      <c r="GU4" s="8" t="s">
        <v>702</v>
      </c>
      <c r="GV4" s="8" t="s">
        <v>702</v>
      </c>
      <c r="GW4" s="8" t="s">
        <v>702</v>
      </c>
      <c r="GX4" s="8" t="s">
        <v>703</v>
      </c>
      <c r="GY4" s="8" t="s">
        <v>702</v>
      </c>
      <c r="GZ4" s="8" t="s">
        <v>702</v>
      </c>
      <c r="HA4" s="8" t="s">
        <v>702</v>
      </c>
      <c r="HB4" s="8" t="str">
        <f>VLOOKUP(HB5,tbl_KausiDivari[],2,FALSE)</f>
        <v>V-Div</v>
      </c>
      <c r="HC4" s="8" t="str">
        <f>VLOOKUP(HC5,tbl_KausiDivari[],2,FALSE)</f>
        <v>IV-Div</v>
      </c>
      <c r="HD4" s="8" t="str">
        <f>VLOOKUP(HD5,tbl_KausiDivari[],2,FALSE)</f>
        <v>V-Div</v>
      </c>
      <c r="HE4" s="1088"/>
      <c r="HH4" s="8" t="s">
        <v>2080</v>
      </c>
      <c r="HI4" s="8" t="s">
        <v>2514</v>
      </c>
      <c r="HJ4" s="8" t="s">
        <v>702</v>
      </c>
      <c r="HK4" s="8" t="s">
        <v>702</v>
      </c>
      <c r="HL4" s="8" t="s">
        <v>1984</v>
      </c>
      <c r="HM4" s="8" t="s">
        <v>2080</v>
      </c>
      <c r="HN4" s="8" t="s">
        <v>2080</v>
      </c>
      <c r="HO4" s="8" t="s">
        <v>702</v>
      </c>
      <c r="HP4" s="8" t="s">
        <v>2109</v>
      </c>
      <c r="HQ4" s="8" t="s">
        <v>1984</v>
      </c>
      <c r="HR4" s="8" t="str">
        <f>VLOOKUP(HR5,tbl_KausiDivari[],2,FALSE)</f>
        <v>IV-Div+Kars</v>
      </c>
      <c r="HS4" s="8" t="str">
        <f>VLOOKUP(HS5,tbl_KausiDivari[],2,FALSE)</f>
        <v>IV-Div</v>
      </c>
      <c r="HT4" s="8" t="s">
        <v>702</v>
      </c>
      <c r="HU4" s="8" t="s">
        <v>702</v>
      </c>
      <c r="HV4" s="8" t="s">
        <v>702</v>
      </c>
      <c r="HW4" s="8" t="s">
        <v>702</v>
      </c>
      <c r="HX4" s="8" t="s">
        <v>703</v>
      </c>
      <c r="HY4" s="8" t="s">
        <v>702</v>
      </c>
      <c r="HZ4" s="8" t="s">
        <v>702</v>
      </c>
      <c r="IA4" s="8" t="s">
        <v>702</v>
      </c>
      <c r="IB4" s="8" t="str">
        <f>VLOOKUP(IB5,tbl_KausiDivari[],2,FALSE)</f>
        <v>V-Div</v>
      </c>
      <c r="IC4" s="8" t="str">
        <f>VLOOKUP(IC5,tbl_KausiDivari[],2,FALSE)</f>
        <v>IV-Div</v>
      </c>
      <c r="ID4" s="8" t="str">
        <f>VLOOKUP(ID5,tbl_KausiDivari[],2,FALSE)</f>
        <v>V-Div</v>
      </c>
      <c r="IE4" s="1088"/>
      <c r="IH4" s="8" t="s">
        <v>2080</v>
      </c>
      <c r="II4" s="8" t="s">
        <v>2514</v>
      </c>
      <c r="IJ4" s="8" t="s">
        <v>702</v>
      </c>
      <c r="IK4" s="8" t="s">
        <v>702</v>
      </c>
      <c r="IL4" s="8" t="s">
        <v>1984</v>
      </c>
      <c r="IM4" s="8" t="s">
        <v>2080</v>
      </c>
      <c r="IN4" s="8" t="s">
        <v>2080</v>
      </c>
      <c r="IO4" s="8" t="s">
        <v>702</v>
      </c>
      <c r="IP4" s="8" t="s">
        <v>2109</v>
      </c>
      <c r="IQ4" s="8" t="s">
        <v>1984</v>
      </c>
      <c r="IR4" s="8" t="str">
        <f>VLOOKUP(IR5,tbl_KausiDivari[],2,FALSE)</f>
        <v>IV-Div+Kars</v>
      </c>
      <c r="IS4" s="8" t="str">
        <f>VLOOKUP(IS5,tbl_KausiDivari[],2,FALSE)</f>
        <v>IV-Div</v>
      </c>
      <c r="IT4" s="8" t="s">
        <v>702</v>
      </c>
      <c r="IU4" s="8" t="s">
        <v>702</v>
      </c>
      <c r="IV4" s="8" t="s">
        <v>702</v>
      </c>
      <c r="IW4" s="8" t="s">
        <v>702</v>
      </c>
      <c r="IX4" s="8" t="s">
        <v>703</v>
      </c>
      <c r="IY4" s="8" t="s">
        <v>702</v>
      </c>
      <c r="IZ4" s="8" t="s">
        <v>702</v>
      </c>
      <c r="JA4" s="8" t="s">
        <v>702</v>
      </c>
      <c r="JB4" s="8" t="str">
        <f>VLOOKUP(JB5,tbl_KausiDivari[],2,FALSE)</f>
        <v>V-Div</v>
      </c>
      <c r="JC4" s="8" t="str">
        <f>VLOOKUP(JC5,tbl_KausiDivari[],2,FALSE)</f>
        <v>IV-Div</v>
      </c>
      <c r="JD4" s="8" t="str">
        <f>VLOOKUP(JD5,tbl_KausiDivari[],2,FALSE)</f>
        <v>V-Div</v>
      </c>
      <c r="JE4" s="1088"/>
      <c r="JH4" s="8" t="s">
        <v>2080</v>
      </c>
      <c r="JI4" s="8" t="s">
        <v>2514</v>
      </c>
      <c r="JJ4" s="8" t="s">
        <v>702</v>
      </c>
      <c r="JK4" s="8" t="s">
        <v>702</v>
      </c>
      <c r="JL4" s="8" t="s">
        <v>1984</v>
      </c>
      <c r="JM4" s="8" t="s">
        <v>2080</v>
      </c>
      <c r="JN4" s="8" t="s">
        <v>2080</v>
      </c>
      <c r="JO4" s="8" t="s">
        <v>702</v>
      </c>
      <c r="JP4" s="8" t="s">
        <v>2109</v>
      </c>
      <c r="JQ4" s="8" t="s">
        <v>1984</v>
      </c>
      <c r="JR4" s="8" t="str">
        <f>VLOOKUP(JR5,tbl_KausiDivari[],2,FALSE)</f>
        <v>IV-Div+Kars</v>
      </c>
      <c r="JS4" s="8" t="str">
        <f>VLOOKUP(JS5,tbl_KausiDivari[],2,FALSE)</f>
        <v>IV-Div</v>
      </c>
      <c r="JT4" s="8" t="s">
        <v>702</v>
      </c>
      <c r="JU4" s="8" t="s">
        <v>702</v>
      </c>
      <c r="JV4" s="8" t="s">
        <v>702</v>
      </c>
      <c r="JW4" s="8" t="s">
        <v>702</v>
      </c>
      <c r="JX4" s="8" t="s">
        <v>703</v>
      </c>
      <c r="JY4" s="8" t="s">
        <v>702</v>
      </c>
      <c r="JZ4" s="8" t="s">
        <v>702</v>
      </c>
      <c r="KA4" s="8" t="s">
        <v>702</v>
      </c>
      <c r="KB4" s="8" t="str">
        <f>VLOOKUP(KB5,tbl_KausiDivari[],2,FALSE)</f>
        <v>V-Div</v>
      </c>
      <c r="KC4" s="8" t="str">
        <f>VLOOKUP(KC5,tbl_KausiDivari[],2,FALSE)</f>
        <v>IV-Div</v>
      </c>
      <c r="KD4" s="8" t="str">
        <f>VLOOKUP(KD5,tbl_KausiDivari[],2,FALSE)</f>
        <v>V-Div</v>
      </c>
      <c r="KE4" s="1088"/>
      <c r="KH4" s="8" t="s">
        <v>2080</v>
      </c>
      <c r="KI4" s="8" t="s">
        <v>2514</v>
      </c>
      <c r="KJ4" s="8" t="s">
        <v>702</v>
      </c>
      <c r="KK4" s="8" t="s">
        <v>702</v>
      </c>
      <c r="KL4" s="8" t="s">
        <v>1984</v>
      </c>
      <c r="KM4" s="8" t="s">
        <v>2080</v>
      </c>
      <c r="KN4" s="8" t="s">
        <v>2080</v>
      </c>
      <c r="KO4" s="8" t="s">
        <v>702</v>
      </c>
      <c r="KP4" s="8" t="s">
        <v>2109</v>
      </c>
      <c r="KQ4" s="8" t="s">
        <v>1984</v>
      </c>
      <c r="KR4" s="8" t="str">
        <f>VLOOKUP(KR5,tbl_KausiDivari[],2,FALSE)</f>
        <v>IV-Div+Kars</v>
      </c>
      <c r="KS4" s="8" t="str">
        <f>VLOOKUP(KS5,tbl_KausiDivari[],2,FALSE)</f>
        <v>IV-Div</v>
      </c>
      <c r="KT4" s="8" t="s">
        <v>702</v>
      </c>
      <c r="KU4" s="8" t="s">
        <v>702</v>
      </c>
      <c r="KV4" s="8" t="s">
        <v>702</v>
      </c>
      <c r="KW4" s="8" t="s">
        <v>702</v>
      </c>
      <c r="KX4" s="8" t="s">
        <v>703</v>
      </c>
      <c r="KY4" s="8" t="s">
        <v>702</v>
      </c>
      <c r="KZ4" s="8" t="s">
        <v>702</v>
      </c>
      <c r="LA4" s="8" t="s">
        <v>702</v>
      </c>
      <c r="LB4" s="8" t="str">
        <f>VLOOKUP(LB5,tbl_KausiDivari[],2,FALSE)</f>
        <v>V-Div</v>
      </c>
      <c r="LC4" s="8" t="str">
        <f>VLOOKUP(LC5,tbl_KausiDivari[],2,FALSE)</f>
        <v>IV-Div</v>
      </c>
      <c r="LD4" s="8" t="str">
        <f>VLOOKUP(LD5,tbl_KausiDivari[],2,FALSE)</f>
        <v>V-Div</v>
      </c>
      <c r="LE4" s="1088"/>
      <c r="LH4" s="8" t="s">
        <v>2080</v>
      </c>
      <c r="LI4" s="8" t="s">
        <v>2514</v>
      </c>
      <c r="LJ4" s="8" t="s">
        <v>702</v>
      </c>
      <c r="LK4" s="8" t="s">
        <v>702</v>
      </c>
      <c r="LL4" s="8" t="s">
        <v>1984</v>
      </c>
      <c r="LM4" s="8" t="s">
        <v>2080</v>
      </c>
      <c r="LN4" s="8" t="s">
        <v>2080</v>
      </c>
      <c r="LO4" s="8" t="s">
        <v>702</v>
      </c>
      <c r="LP4" s="8" t="s">
        <v>2109</v>
      </c>
      <c r="LQ4" s="8" t="s">
        <v>1984</v>
      </c>
      <c r="LR4" s="8" t="str">
        <f>VLOOKUP(LR5,tbl_KausiDivari[],2,FALSE)</f>
        <v>IV-Div+Kars</v>
      </c>
      <c r="LS4" s="8" t="str">
        <f>VLOOKUP(LS5,tbl_KausiDivari[],2,FALSE)</f>
        <v>IV-Div</v>
      </c>
      <c r="LT4" s="8" t="s">
        <v>702</v>
      </c>
      <c r="LU4" s="8" t="s">
        <v>702</v>
      </c>
      <c r="LV4" s="8" t="s">
        <v>702</v>
      </c>
      <c r="LW4" s="8" t="s">
        <v>702</v>
      </c>
      <c r="LX4" s="8" t="s">
        <v>703</v>
      </c>
      <c r="LY4" s="8" t="s">
        <v>702</v>
      </c>
      <c r="LZ4" s="8" t="s">
        <v>702</v>
      </c>
      <c r="MA4" s="8" t="s">
        <v>702</v>
      </c>
      <c r="MB4" s="8" t="str">
        <f>VLOOKUP(MB5,tbl_KausiDivari[],2,FALSE)</f>
        <v>V-Div</v>
      </c>
      <c r="MC4" s="8" t="str">
        <f>VLOOKUP(MC5,tbl_KausiDivari[],2,FALSE)</f>
        <v>IV-Div</v>
      </c>
      <c r="MD4" s="8" t="str">
        <f>VLOOKUP(MD5,tbl_KausiDivari[],2,FALSE)</f>
        <v>V-Div</v>
      </c>
      <c r="ME4" s="1088"/>
      <c r="MH4" s="8" t="s">
        <v>2080</v>
      </c>
      <c r="MI4" s="8" t="s">
        <v>2514</v>
      </c>
      <c r="MJ4" s="8" t="s">
        <v>702</v>
      </c>
      <c r="MK4" s="8" t="s">
        <v>702</v>
      </c>
      <c r="ML4" s="8" t="s">
        <v>1984</v>
      </c>
      <c r="MM4" s="8" t="s">
        <v>2080</v>
      </c>
      <c r="MN4" s="8" t="s">
        <v>2080</v>
      </c>
      <c r="MO4" s="8" t="s">
        <v>702</v>
      </c>
      <c r="MP4" s="8" t="s">
        <v>2109</v>
      </c>
      <c r="MQ4" s="8" t="s">
        <v>1984</v>
      </c>
      <c r="MR4" s="8" t="str">
        <f>VLOOKUP(MR5,tbl_KausiDivari[],2,FALSE)</f>
        <v>IV-Div+Kars</v>
      </c>
      <c r="MS4" s="8" t="str">
        <f>VLOOKUP(MS5,tbl_KausiDivari[],2,FALSE)</f>
        <v>IV-Div</v>
      </c>
      <c r="MT4" s="8" t="s">
        <v>702</v>
      </c>
      <c r="MU4" s="8" t="s">
        <v>702</v>
      </c>
      <c r="MV4" s="8" t="s">
        <v>702</v>
      </c>
      <c r="MW4" s="8" t="s">
        <v>702</v>
      </c>
      <c r="MX4" s="8" t="s">
        <v>703</v>
      </c>
      <c r="MY4" s="8" t="s">
        <v>702</v>
      </c>
      <c r="MZ4" s="8" t="s">
        <v>702</v>
      </c>
      <c r="NA4" s="8" t="s">
        <v>702</v>
      </c>
      <c r="NB4" s="8" t="str">
        <f>VLOOKUP(NB5,tbl_KausiDivari[],2,FALSE)</f>
        <v>V-Div</v>
      </c>
      <c r="NC4" s="8" t="str">
        <f>VLOOKUP(NC5,tbl_KausiDivari[],2,FALSE)</f>
        <v>IV-Div</v>
      </c>
      <c r="ND4" s="8" t="str">
        <f>VLOOKUP(ND5,tbl_KausiDivari[],2,FALSE)</f>
        <v>V-Div</v>
      </c>
      <c r="NE4" s="1088"/>
      <c r="NH4" s="8" t="s">
        <v>2080</v>
      </c>
      <c r="NI4" s="8" t="s">
        <v>2514</v>
      </c>
      <c r="NJ4" s="8" t="s">
        <v>702</v>
      </c>
      <c r="NK4" s="8" t="s">
        <v>702</v>
      </c>
      <c r="NL4" s="8" t="s">
        <v>1984</v>
      </c>
      <c r="NM4" s="8" t="s">
        <v>2080</v>
      </c>
      <c r="NN4" s="8" t="s">
        <v>2080</v>
      </c>
      <c r="NO4" s="8" t="s">
        <v>702</v>
      </c>
      <c r="NP4" s="8" t="s">
        <v>2109</v>
      </c>
      <c r="NQ4" s="8" t="s">
        <v>1984</v>
      </c>
      <c r="NR4" s="8" t="str">
        <f>VLOOKUP(NR5,tbl_KausiDivari[],2,FALSE)</f>
        <v>IV-Div+Kars</v>
      </c>
      <c r="NS4" s="8" t="str">
        <f>VLOOKUP(NS5,tbl_KausiDivari[],2,FALSE)</f>
        <v>IV-Div</v>
      </c>
      <c r="NT4" s="8" t="s">
        <v>702</v>
      </c>
      <c r="NU4" s="8" t="s">
        <v>702</v>
      </c>
      <c r="NV4" s="8" t="s">
        <v>702</v>
      </c>
      <c r="NW4" s="8" t="s">
        <v>702</v>
      </c>
      <c r="NX4" s="8" t="s">
        <v>703</v>
      </c>
      <c r="NY4" s="8" t="s">
        <v>702</v>
      </c>
      <c r="NZ4" s="8" t="s">
        <v>702</v>
      </c>
      <c r="OA4" s="8" t="s">
        <v>702</v>
      </c>
      <c r="OB4" s="8" t="str">
        <f>VLOOKUP(OB5,tbl_KausiDivari[],2,FALSE)</f>
        <v>V-Div</v>
      </c>
      <c r="OC4" s="8" t="str">
        <f>VLOOKUP(OC5,tbl_KausiDivari[],2,FALSE)</f>
        <v>IV-Div</v>
      </c>
      <c r="OD4" s="8" t="str">
        <f>VLOOKUP(OD5,tbl_KausiDivari[],2,FALSE)</f>
        <v>V-Div</v>
      </c>
      <c r="OE4" s="1088"/>
      <c r="OH4" s="8" t="s">
        <v>2080</v>
      </c>
      <c r="OI4" s="8" t="s">
        <v>2514</v>
      </c>
      <c r="OJ4" s="8" t="s">
        <v>702</v>
      </c>
      <c r="OK4" s="8" t="s">
        <v>702</v>
      </c>
      <c r="OL4" s="8" t="s">
        <v>1984</v>
      </c>
      <c r="OM4" s="8" t="s">
        <v>2080</v>
      </c>
      <c r="ON4" s="8" t="s">
        <v>2080</v>
      </c>
      <c r="OO4" s="8" t="s">
        <v>702</v>
      </c>
      <c r="OP4" s="8" t="s">
        <v>2109</v>
      </c>
      <c r="OQ4" s="8" t="s">
        <v>1984</v>
      </c>
      <c r="OR4" s="8" t="str">
        <f>VLOOKUP(OR5,tbl_KausiDivari[],2,FALSE)</f>
        <v>IV-Div+Kars</v>
      </c>
      <c r="OS4" s="8" t="str">
        <f>VLOOKUP(OS5,tbl_KausiDivari[],2,FALSE)</f>
        <v>IV-Div</v>
      </c>
      <c r="OT4" s="8" t="s">
        <v>702</v>
      </c>
      <c r="OU4" s="8" t="s">
        <v>702</v>
      </c>
      <c r="OV4" s="8" t="s">
        <v>702</v>
      </c>
      <c r="OW4" s="8" t="s">
        <v>702</v>
      </c>
      <c r="OX4" s="8" t="s">
        <v>703</v>
      </c>
      <c r="OY4" s="8" t="s">
        <v>702</v>
      </c>
      <c r="OZ4" s="8" t="s">
        <v>702</v>
      </c>
      <c r="PA4" s="8" t="s">
        <v>702</v>
      </c>
      <c r="PB4" s="8" t="str">
        <f>VLOOKUP(PB5,tbl_KausiDivari[],2,FALSE)</f>
        <v>V-Div</v>
      </c>
      <c r="PC4" s="8" t="str">
        <f>VLOOKUP(PC5,tbl_KausiDivari[],2,FALSE)</f>
        <v>IV-Div</v>
      </c>
      <c r="PD4" s="8" t="str">
        <f>VLOOKUP(PD5,tbl_KausiDivari[],2,FALSE)</f>
        <v>V-Div</v>
      </c>
      <c r="PE4" s="1088"/>
      <c r="PH4" s="8" t="s">
        <v>2080</v>
      </c>
      <c r="PI4" s="8" t="s">
        <v>2514</v>
      </c>
      <c r="PJ4" s="8" t="s">
        <v>702</v>
      </c>
      <c r="PK4" s="8" t="s">
        <v>702</v>
      </c>
      <c r="PL4" s="8" t="s">
        <v>1984</v>
      </c>
      <c r="PM4" s="8" t="s">
        <v>2080</v>
      </c>
      <c r="PN4" s="8" t="s">
        <v>2080</v>
      </c>
      <c r="PO4" s="8" t="s">
        <v>702</v>
      </c>
      <c r="PP4" s="8" t="s">
        <v>2109</v>
      </c>
      <c r="PQ4" s="8" t="s">
        <v>1984</v>
      </c>
      <c r="PR4" s="8" t="str">
        <f>VLOOKUP(PR5,tbl_KausiDivari[],2,FALSE)</f>
        <v>IV-Div+Kars</v>
      </c>
      <c r="PS4" s="8" t="str">
        <f>VLOOKUP(PS5,tbl_KausiDivari[],2,FALSE)</f>
        <v>IV-Div</v>
      </c>
      <c r="PT4" s="8" t="s">
        <v>702</v>
      </c>
      <c r="PU4" s="8" t="s">
        <v>702</v>
      </c>
      <c r="PV4" s="8" t="s">
        <v>702</v>
      </c>
      <c r="PW4" s="8" t="s">
        <v>702</v>
      </c>
      <c r="PX4" s="8" t="s">
        <v>703</v>
      </c>
      <c r="PY4" s="8" t="s">
        <v>702</v>
      </c>
      <c r="PZ4" s="8" t="s">
        <v>702</v>
      </c>
      <c r="QA4" s="8" t="s">
        <v>702</v>
      </c>
      <c r="QB4" s="8" t="str">
        <f>VLOOKUP(QB5,tbl_KausiDivari[],2,FALSE)</f>
        <v>V-Div</v>
      </c>
      <c r="QC4" s="8" t="str">
        <f>VLOOKUP(QC5,tbl_KausiDivari[],2,FALSE)</f>
        <v>IV-Div</v>
      </c>
      <c r="QD4" s="8" t="str">
        <f>VLOOKUP(QD5,tbl_KausiDivari[],2,FALSE)</f>
        <v>V-Div</v>
      </c>
      <c r="QE4" s="1088"/>
    </row>
    <row r="5" spans="2:447" s="8" customFormat="1" x14ac:dyDescent="0.3">
      <c r="F5" s="8" t="s">
        <v>1802</v>
      </c>
      <c r="H5" s="8" t="s">
        <v>2437</v>
      </c>
      <c r="I5" s="8" t="s">
        <v>2409</v>
      </c>
      <c r="J5" s="8" t="s">
        <v>2409</v>
      </c>
      <c r="K5" s="8" t="s">
        <v>2230</v>
      </c>
      <c r="L5" s="8" t="s">
        <v>2187</v>
      </c>
      <c r="M5" s="8" t="s">
        <v>2187</v>
      </c>
      <c r="N5" s="8" t="s">
        <v>2079</v>
      </c>
      <c r="O5" s="8" t="s">
        <v>2047</v>
      </c>
      <c r="P5" s="8" t="s">
        <v>2047</v>
      </c>
      <c r="Q5" s="8" t="s">
        <v>1817</v>
      </c>
      <c r="R5" s="8" t="s">
        <v>1817</v>
      </c>
      <c r="S5" s="8" t="s">
        <v>1662</v>
      </c>
      <c r="T5" s="8" t="s">
        <v>1589</v>
      </c>
      <c r="U5" s="8" t="s">
        <v>1406</v>
      </c>
      <c r="V5" s="8" t="s">
        <v>1146</v>
      </c>
      <c r="W5" s="8" t="s">
        <v>1079</v>
      </c>
      <c r="X5" s="1089" t="s">
        <v>884</v>
      </c>
      <c r="Y5" s="1089" t="s">
        <v>844</v>
      </c>
      <c r="Z5" s="1089" t="s">
        <v>701</v>
      </c>
      <c r="AA5" s="1089" t="s">
        <v>580</v>
      </c>
      <c r="AB5" s="1089" t="s">
        <v>261</v>
      </c>
      <c r="AC5" s="1089" t="s">
        <v>177</v>
      </c>
      <c r="AD5" s="899" t="s">
        <v>178</v>
      </c>
      <c r="AE5" s="1088"/>
      <c r="AF5" s="8" t="s">
        <v>1802</v>
      </c>
      <c r="AH5" s="8" t="s">
        <v>2437</v>
      </c>
      <c r="AI5" s="8" t="s">
        <v>2409</v>
      </c>
      <c r="AJ5" s="8" t="s">
        <v>2409</v>
      </c>
      <c r="AK5" s="8" t="s">
        <v>2230</v>
      </c>
      <c r="AL5" s="8" t="s">
        <v>2187</v>
      </c>
      <c r="AM5" s="8" t="s">
        <v>2187</v>
      </c>
      <c r="AN5" s="8" t="s">
        <v>2079</v>
      </c>
      <c r="AO5" s="8" t="s">
        <v>2047</v>
      </c>
      <c r="AP5" s="8" t="s">
        <v>2047</v>
      </c>
      <c r="AQ5" s="8" t="s">
        <v>1817</v>
      </c>
      <c r="AR5" s="8" t="s">
        <v>1817</v>
      </c>
      <c r="AS5" s="8" t="s">
        <v>1662</v>
      </c>
      <c r="AT5" s="8" t="s">
        <v>1589</v>
      </c>
      <c r="AU5" s="8" t="s">
        <v>1406</v>
      </c>
      <c r="AV5" s="8" t="s">
        <v>1146</v>
      </c>
      <c r="AW5" s="8" t="s">
        <v>1079</v>
      </c>
      <c r="AX5" s="1089" t="s">
        <v>884</v>
      </c>
      <c r="AY5" s="1089" t="s">
        <v>844</v>
      </c>
      <c r="AZ5" s="1089" t="s">
        <v>701</v>
      </c>
      <c r="BA5" s="1089" t="s">
        <v>580</v>
      </c>
      <c r="BB5" s="899" t="s">
        <v>261</v>
      </c>
      <c r="BC5" s="899" t="s">
        <v>177</v>
      </c>
      <c r="BD5" s="899" t="s">
        <v>178</v>
      </c>
      <c r="BE5" s="1088"/>
      <c r="BF5" s="8" t="s">
        <v>1802</v>
      </c>
      <c r="BH5" s="8" t="s">
        <v>2437</v>
      </c>
      <c r="BI5" s="8" t="s">
        <v>2409</v>
      </c>
      <c r="BJ5" s="8" t="s">
        <v>2409</v>
      </c>
      <c r="BK5" s="8" t="s">
        <v>2230</v>
      </c>
      <c r="BL5" s="8" t="s">
        <v>2187</v>
      </c>
      <c r="BM5" s="8" t="s">
        <v>2187</v>
      </c>
      <c r="BN5" s="8" t="s">
        <v>2079</v>
      </c>
      <c r="BO5" s="8" t="s">
        <v>2047</v>
      </c>
      <c r="BP5" s="8" t="s">
        <v>2047</v>
      </c>
      <c r="BQ5" s="8" t="s">
        <v>1817</v>
      </c>
      <c r="BR5" s="8" t="s">
        <v>1817</v>
      </c>
      <c r="BS5" s="8" t="s">
        <v>1662</v>
      </c>
      <c r="BT5" s="8" t="s">
        <v>1589</v>
      </c>
      <c r="BU5" s="8" t="s">
        <v>1406</v>
      </c>
      <c r="BV5" s="8" t="s">
        <v>1146</v>
      </c>
      <c r="BW5" s="8" t="s">
        <v>1079</v>
      </c>
      <c r="BX5" s="1089" t="s">
        <v>884</v>
      </c>
      <c r="BY5" s="1089" t="s">
        <v>844</v>
      </c>
      <c r="BZ5" s="1089" t="s">
        <v>701</v>
      </c>
      <c r="CA5" s="1089" t="s">
        <v>580</v>
      </c>
      <c r="CB5" s="899" t="s">
        <v>261</v>
      </c>
      <c r="CC5" s="899" t="s">
        <v>177</v>
      </c>
      <c r="CD5" s="899" t="s">
        <v>178</v>
      </c>
      <c r="CE5" s="1088"/>
      <c r="CF5" s="8" t="s">
        <v>1802</v>
      </c>
      <c r="CH5" s="8" t="s">
        <v>2437</v>
      </c>
      <c r="CI5" s="8" t="s">
        <v>2409</v>
      </c>
      <c r="CJ5" s="8" t="s">
        <v>2409</v>
      </c>
      <c r="CK5" s="8" t="s">
        <v>2230</v>
      </c>
      <c r="CL5" s="8" t="s">
        <v>2187</v>
      </c>
      <c r="CM5" s="8" t="s">
        <v>2187</v>
      </c>
      <c r="CN5" s="8" t="s">
        <v>2079</v>
      </c>
      <c r="CO5" s="8" t="s">
        <v>2047</v>
      </c>
      <c r="CP5" s="8" t="s">
        <v>2047</v>
      </c>
      <c r="CQ5" s="8" t="s">
        <v>1817</v>
      </c>
      <c r="CR5" s="8" t="s">
        <v>1817</v>
      </c>
      <c r="CS5" s="8" t="s">
        <v>1662</v>
      </c>
      <c r="CT5" s="8" t="s">
        <v>1589</v>
      </c>
      <c r="CU5" s="8" t="s">
        <v>1406</v>
      </c>
      <c r="CV5" s="8" t="s">
        <v>1146</v>
      </c>
      <c r="CW5" s="8" t="s">
        <v>1079</v>
      </c>
      <c r="CX5" s="1089" t="s">
        <v>884</v>
      </c>
      <c r="CY5" s="1089" t="s">
        <v>844</v>
      </c>
      <c r="CZ5" s="1089" t="s">
        <v>701</v>
      </c>
      <c r="DA5" s="1089" t="s">
        <v>580</v>
      </c>
      <c r="DB5" s="899" t="s">
        <v>261</v>
      </c>
      <c r="DC5" s="899" t="s">
        <v>177</v>
      </c>
      <c r="DD5" s="899" t="s">
        <v>178</v>
      </c>
      <c r="DE5" s="1088"/>
      <c r="DF5" s="8" t="s">
        <v>1802</v>
      </c>
      <c r="DH5" s="8" t="s">
        <v>2437</v>
      </c>
      <c r="DI5" s="8" t="s">
        <v>2409</v>
      </c>
      <c r="DJ5" s="8" t="s">
        <v>2409</v>
      </c>
      <c r="DK5" s="8" t="s">
        <v>2230</v>
      </c>
      <c r="DL5" s="8" t="s">
        <v>2187</v>
      </c>
      <c r="DM5" s="8" t="s">
        <v>2187</v>
      </c>
      <c r="DN5" s="8" t="s">
        <v>2079</v>
      </c>
      <c r="DO5" s="8" t="s">
        <v>2047</v>
      </c>
      <c r="DP5" s="8" t="s">
        <v>2047</v>
      </c>
      <c r="DQ5" s="8" t="s">
        <v>1817</v>
      </c>
      <c r="DR5" s="8" t="s">
        <v>1817</v>
      </c>
      <c r="DS5" s="8" t="s">
        <v>1662</v>
      </c>
      <c r="DT5" s="8" t="s">
        <v>1589</v>
      </c>
      <c r="DU5" s="8" t="s">
        <v>1406</v>
      </c>
      <c r="DV5" s="8" t="s">
        <v>1146</v>
      </c>
      <c r="DW5" s="8" t="s">
        <v>1079</v>
      </c>
      <c r="DX5" s="1089" t="s">
        <v>884</v>
      </c>
      <c r="DY5" s="1089" t="s">
        <v>844</v>
      </c>
      <c r="DZ5" s="1089" t="s">
        <v>701</v>
      </c>
      <c r="EA5" s="1089" t="s">
        <v>580</v>
      </c>
      <c r="EB5" s="899" t="s">
        <v>261</v>
      </c>
      <c r="EC5" s="899" t="s">
        <v>177</v>
      </c>
      <c r="ED5" s="899" t="s">
        <v>178</v>
      </c>
      <c r="EE5" s="1088"/>
      <c r="EF5" s="8" t="s">
        <v>1802</v>
      </c>
      <c r="EH5" s="8" t="s">
        <v>2437</v>
      </c>
      <c r="EI5" s="8" t="s">
        <v>2409</v>
      </c>
      <c r="EJ5" s="8" t="s">
        <v>2409</v>
      </c>
      <c r="EK5" s="8" t="s">
        <v>2230</v>
      </c>
      <c r="EL5" s="8" t="s">
        <v>2187</v>
      </c>
      <c r="EM5" s="8" t="s">
        <v>2187</v>
      </c>
      <c r="EN5" s="8" t="s">
        <v>2079</v>
      </c>
      <c r="EO5" s="8" t="s">
        <v>2047</v>
      </c>
      <c r="EP5" s="8" t="s">
        <v>2047</v>
      </c>
      <c r="EQ5" s="8" t="s">
        <v>1817</v>
      </c>
      <c r="ER5" s="8" t="s">
        <v>1817</v>
      </c>
      <c r="ES5" s="8" t="s">
        <v>1662</v>
      </c>
      <c r="ET5" s="8" t="s">
        <v>1589</v>
      </c>
      <c r="EU5" s="8" t="s">
        <v>1406</v>
      </c>
      <c r="EV5" s="8" t="s">
        <v>1146</v>
      </c>
      <c r="EW5" s="8" t="s">
        <v>1079</v>
      </c>
      <c r="EX5" s="1089" t="s">
        <v>884</v>
      </c>
      <c r="EY5" s="1089" t="s">
        <v>844</v>
      </c>
      <c r="EZ5" s="1089" t="s">
        <v>701</v>
      </c>
      <c r="FA5" s="1089" t="s">
        <v>580</v>
      </c>
      <c r="FB5" s="899" t="s">
        <v>261</v>
      </c>
      <c r="FC5" s="899" t="s">
        <v>177</v>
      </c>
      <c r="FD5" s="899" t="s">
        <v>178</v>
      </c>
      <c r="FE5" s="1088"/>
      <c r="FF5" s="8" t="s">
        <v>1802</v>
      </c>
      <c r="FH5" s="8" t="s">
        <v>2437</v>
      </c>
      <c r="FI5" s="8" t="s">
        <v>2409</v>
      </c>
      <c r="FJ5" s="8" t="s">
        <v>2409</v>
      </c>
      <c r="FK5" s="8" t="s">
        <v>2230</v>
      </c>
      <c r="FL5" s="8" t="s">
        <v>2187</v>
      </c>
      <c r="FM5" s="8" t="s">
        <v>2187</v>
      </c>
      <c r="FN5" s="8" t="s">
        <v>2079</v>
      </c>
      <c r="FO5" s="8" t="s">
        <v>2047</v>
      </c>
      <c r="FP5" s="8" t="s">
        <v>2047</v>
      </c>
      <c r="FQ5" s="8" t="s">
        <v>1817</v>
      </c>
      <c r="FR5" s="8" t="s">
        <v>1817</v>
      </c>
      <c r="FS5" s="8" t="s">
        <v>1662</v>
      </c>
      <c r="FT5" s="8" t="s">
        <v>1589</v>
      </c>
      <c r="FU5" s="8" t="s">
        <v>1406</v>
      </c>
      <c r="FV5" s="8" t="s">
        <v>1146</v>
      </c>
      <c r="FW5" s="8" t="s">
        <v>1079</v>
      </c>
      <c r="FX5" s="1089" t="s">
        <v>884</v>
      </c>
      <c r="FY5" s="1089" t="s">
        <v>844</v>
      </c>
      <c r="FZ5" s="1089" t="s">
        <v>701</v>
      </c>
      <c r="GA5" s="1089" t="s">
        <v>580</v>
      </c>
      <c r="GB5" s="899" t="s">
        <v>261</v>
      </c>
      <c r="GC5" s="899" t="s">
        <v>177</v>
      </c>
      <c r="GD5" s="899" t="s">
        <v>178</v>
      </c>
      <c r="GE5" s="1088"/>
      <c r="GF5" s="8" t="s">
        <v>1802</v>
      </c>
      <c r="GH5" s="8" t="s">
        <v>2437</v>
      </c>
      <c r="GI5" s="8" t="s">
        <v>2409</v>
      </c>
      <c r="GJ5" s="8" t="s">
        <v>2409</v>
      </c>
      <c r="GK5" s="8" t="s">
        <v>2230</v>
      </c>
      <c r="GL5" s="8" t="s">
        <v>2187</v>
      </c>
      <c r="GM5" s="8" t="s">
        <v>2187</v>
      </c>
      <c r="GN5" s="8" t="s">
        <v>2079</v>
      </c>
      <c r="GO5" s="8" t="s">
        <v>2047</v>
      </c>
      <c r="GP5" s="8" t="s">
        <v>2047</v>
      </c>
      <c r="GQ5" s="8" t="s">
        <v>1817</v>
      </c>
      <c r="GR5" s="8" t="s">
        <v>1817</v>
      </c>
      <c r="GS5" s="8" t="s">
        <v>1662</v>
      </c>
      <c r="GT5" s="8" t="s">
        <v>1589</v>
      </c>
      <c r="GU5" s="8" t="s">
        <v>1406</v>
      </c>
      <c r="GV5" s="8" t="s">
        <v>1146</v>
      </c>
      <c r="GW5" s="8" t="s">
        <v>1079</v>
      </c>
      <c r="GX5" s="1089" t="s">
        <v>884</v>
      </c>
      <c r="GY5" s="1089" t="s">
        <v>844</v>
      </c>
      <c r="GZ5" s="1089" t="s">
        <v>701</v>
      </c>
      <c r="HA5" s="1089" t="s">
        <v>580</v>
      </c>
      <c r="HB5" s="899" t="s">
        <v>261</v>
      </c>
      <c r="HC5" s="899" t="s">
        <v>177</v>
      </c>
      <c r="HD5" s="899" t="s">
        <v>178</v>
      </c>
      <c r="HE5" s="1088"/>
      <c r="HF5" s="8" t="s">
        <v>1802</v>
      </c>
      <c r="HH5" s="8" t="s">
        <v>2437</v>
      </c>
      <c r="HI5" s="8" t="s">
        <v>2409</v>
      </c>
      <c r="HJ5" s="8" t="s">
        <v>2409</v>
      </c>
      <c r="HK5" s="8" t="s">
        <v>2230</v>
      </c>
      <c r="HL5" s="8" t="s">
        <v>2187</v>
      </c>
      <c r="HM5" s="8" t="s">
        <v>2187</v>
      </c>
      <c r="HN5" s="8" t="s">
        <v>2079</v>
      </c>
      <c r="HO5" s="8" t="s">
        <v>2047</v>
      </c>
      <c r="HP5" s="8" t="s">
        <v>2047</v>
      </c>
      <c r="HQ5" s="8" t="s">
        <v>1817</v>
      </c>
      <c r="HR5" s="8" t="s">
        <v>1817</v>
      </c>
      <c r="HS5" s="8" t="s">
        <v>1662</v>
      </c>
      <c r="HT5" s="8" t="s">
        <v>1589</v>
      </c>
      <c r="HU5" s="8" t="s">
        <v>1406</v>
      </c>
      <c r="HV5" s="8" t="s">
        <v>1146</v>
      </c>
      <c r="HW5" s="8" t="s">
        <v>1079</v>
      </c>
      <c r="HX5" s="1089" t="s">
        <v>884</v>
      </c>
      <c r="HY5" s="1089" t="s">
        <v>844</v>
      </c>
      <c r="HZ5" s="1089" t="s">
        <v>701</v>
      </c>
      <c r="IA5" s="1089" t="s">
        <v>580</v>
      </c>
      <c r="IB5" s="1089" t="s">
        <v>261</v>
      </c>
      <c r="IC5" s="1089" t="s">
        <v>177</v>
      </c>
      <c r="ID5" s="899" t="s">
        <v>178</v>
      </c>
      <c r="IE5" s="1088"/>
      <c r="IF5" s="8" t="s">
        <v>1802</v>
      </c>
      <c r="IH5" s="8" t="s">
        <v>2437</v>
      </c>
      <c r="II5" s="8" t="s">
        <v>2409</v>
      </c>
      <c r="IJ5" s="8" t="s">
        <v>2409</v>
      </c>
      <c r="IK5" s="8" t="s">
        <v>2230</v>
      </c>
      <c r="IL5" s="8" t="s">
        <v>2187</v>
      </c>
      <c r="IM5" s="8" t="s">
        <v>2187</v>
      </c>
      <c r="IN5" s="8" t="s">
        <v>2079</v>
      </c>
      <c r="IO5" s="8" t="s">
        <v>2047</v>
      </c>
      <c r="IP5" s="8" t="s">
        <v>2047</v>
      </c>
      <c r="IQ5" s="8" t="s">
        <v>1817</v>
      </c>
      <c r="IR5" s="8" t="s">
        <v>1817</v>
      </c>
      <c r="IS5" s="8" t="s">
        <v>1662</v>
      </c>
      <c r="IT5" s="8" t="s">
        <v>1589</v>
      </c>
      <c r="IU5" s="8" t="s">
        <v>1406</v>
      </c>
      <c r="IV5" s="8" t="s">
        <v>1146</v>
      </c>
      <c r="IW5" s="8" t="s">
        <v>1079</v>
      </c>
      <c r="IX5" s="1089" t="s">
        <v>884</v>
      </c>
      <c r="IY5" s="1089" t="s">
        <v>844</v>
      </c>
      <c r="IZ5" s="1089" t="s">
        <v>701</v>
      </c>
      <c r="JA5" s="1089" t="s">
        <v>580</v>
      </c>
      <c r="JB5" s="1089" t="s">
        <v>261</v>
      </c>
      <c r="JC5" s="1089" t="s">
        <v>177</v>
      </c>
      <c r="JD5" s="899" t="s">
        <v>178</v>
      </c>
      <c r="JE5" s="1088"/>
      <c r="JF5" s="8" t="s">
        <v>1802</v>
      </c>
      <c r="JH5" s="8" t="s">
        <v>2437</v>
      </c>
      <c r="JI5" s="8" t="s">
        <v>2409</v>
      </c>
      <c r="JJ5" s="8" t="s">
        <v>2409</v>
      </c>
      <c r="JK5" s="8" t="s">
        <v>2230</v>
      </c>
      <c r="JL5" s="8" t="s">
        <v>2187</v>
      </c>
      <c r="JM5" s="8" t="s">
        <v>2187</v>
      </c>
      <c r="JN5" s="8" t="s">
        <v>2079</v>
      </c>
      <c r="JO5" s="8" t="s">
        <v>2047</v>
      </c>
      <c r="JP5" s="8" t="s">
        <v>2047</v>
      </c>
      <c r="JQ5" s="8" t="s">
        <v>1817</v>
      </c>
      <c r="JR5" s="8" t="s">
        <v>1817</v>
      </c>
      <c r="JS5" s="8" t="s">
        <v>1662</v>
      </c>
      <c r="JT5" s="8" t="s">
        <v>1589</v>
      </c>
      <c r="JU5" s="8" t="s">
        <v>1406</v>
      </c>
      <c r="JV5" s="8" t="s">
        <v>1146</v>
      </c>
      <c r="JW5" s="8" t="s">
        <v>1079</v>
      </c>
      <c r="JX5" s="1089" t="s">
        <v>884</v>
      </c>
      <c r="JY5" s="1089" t="s">
        <v>844</v>
      </c>
      <c r="JZ5" s="1089" t="s">
        <v>701</v>
      </c>
      <c r="KA5" s="1089" t="s">
        <v>580</v>
      </c>
      <c r="KB5" s="1089" t="s">
        <v>261</v>
      </c>
      <c r="KC5" s="1089" t="s">
        <v>177</v>
      </c>
      <c r="KD5" s="899" t="s">
        <v>178</v>
      </c>
      <c r="KE5" s="1088"/>
      <c r="KF5" s="8" t="s">
        <v>1802</v>
      </c>
      <c r="KH5" s="8" t="s">
        <v>2437</v>
      </c>
      <c r="KI5" s="8" t="s">
        <v>2409</v>
      </c>
      <c r="KJ5" s="8" t="s">
        <v>2409</v>
      </c>
      <c r="KK5" s="8" t="s">
        <v>2230</v>
      </c>
      <c r="KL5" s="8" t="s">
        <v>2187</v>
      </c>
      <c r="KM5" s="8" t="s">
        <v>2187</v>
      </c>
      <c r="KN5" s="8" t="s">
        <v>2079</v>
      </c>
      <c r="KO5" s="8" t="s">
        <v>2047</v>
      </c>
      <c r="KP5" s="8" t="s">
        <v>2047</v>
      </c>
      <c r="KQ5" s="8" t="s">
        <v>1817</v>
      </c>
      <c r="KR5" s="8" t="s">
        <v>1817</v>
      </c>
      <c r="KS5" s="8" t="s">
        <v>1662</v>
      </c>
      <c r="KT5" s="8" t="s">
        <v>1589</v>
      </c>
      <c r="KU5" s="8" t="s">
        <v>1406</v>
      </c>
      <c r="KV5" s="8" t="s">
        <v>1146</v>
      </c>
      <c r="KW5" s="8" t="s">
        <v>1079</v>
      </c>
      <c r="KX5" s="1089" t="s">
        <v>884</v>
      </c>
      <c r="KY5" s="1089" t="s">
        <v>844</v>
      </c>
      <c r="KZ5" s="1089" t="s">
        <v>701</v>
      </c>
      <c r="LA5" s="1089" t="s">
        <v>580</v>
      </c>
      <c r="LB5" s="1089" t="s">
        <v>261</v>
      </c>
      <c r="LC5" s="1089" t="s">
        <v>177</v>
      </c>
      <c r="LD5" s="899" t="s">
        <v>178</v>
      </c>
      <c r="LE5" s="1088"/>
      <c r="LF5" s="8" t="s">
        <v>1802</v>
      </c>
      <c r="LH5" s="8" t="s">
        <v>2437</v>
      </c>
      <c r="LI5" s="8" t="s">
        <v>2409</v>
      </c>
      <c r="LJ5" s="8" t="s">
        <v>2409</v>
      </c>
      <c r="LK5" s="8" t="s">
        <v>2230</v>
      </c>
      <c r="LL5" s="8" t="s">
        <v>2187</v>
      </c>
      <c r="LM5" s="8" t="s">
        <v>2187</v>
      </c>
      <c r="LN5" s="8" t="s">
        <v>2079</v>
      </c>
      <c r="LO5" s="8" t="s">
        <v>2047</v>
      </c>
      <c r="LP5" s="8" t="s">
        <v>2047</v>
      </c>
      <c r="LQ5" s="8" t="s">
        <v>1817</v>
      </c>
      <c r="LR5" s="8" t="s">
        <v>1817</v>
      </c>
      <c r="LS5" s="8" t="s">
        <v>1662</v>
      </c>
      <c r="LT5" s="8" t="s">
        <v>1589</v>
      </c>
      <c r="LU5" s="8" t="s">
        <v>1406</v>
      </c>
      <c r="LV5" s="8" t="s">
        <v>1146</v>
      </c>
      <c r="LW5" s="8" t="s">
        <v>1079</v>
      </c>
      <c r="LX5" s="1089" t="s">
        <v>884</v>
      </c>
      <c r="LY5" s="1089" t="s">
        <v>844</v>
      </c>
      <c r="LZ5" s="1089" t="s">
        <v>701</v>
      </c>
      <c r="MA5" s="1089" t="s">
        <v>580</v>
      </c>
      <c r="MB5" s="1089" t="s">
        <v>261</v>
      </c>
      <c r="MC5" s="1089" t="s">
        <v>177</v>
      </c>
      <c r="MD5" s="899" t="s">
        <v>178</v>
      </c>
      <c r="ME5" s="1088"/>
      <c r="MF5" s="8" t="s">
        <v>1802</v>
      </c>
      <c r="MH5" s="8" t="s">
        <v>2437</v>
      </c>
      <c r="MI5" s="8" t="s">
        <v>2409</v>
      </c>
      <c r="MJ5" s="8" t="s">
        <v>2409</v>
      </c>
      <c r="MK5" s="8" t="s">
        <v>2230</v>
      </c>
      <c r="ML5" s="8" t="s">
        <v>2187</v>
      </c>
      <c r="MM5" s="8" t="s">
        <v>2187</v>
      </c>
      <c r="MN5" s="8" t="s">
        <v>2079</v>
      </c>
      <c r="MO5" s="8" t="s">
        <v>2047</v>
      </c>
      <c r="MP5" s="8" t="s">
        <v>2047</v>
      </c>
      <c r="MQ5" s="8" t="s">
        <v>1817</v>
      </c>
      <c r="MR5" s="8" t="s">
        <v>1817</v>
      </c>
      <c r="MS5" s="8" t="s">
        <v>1662</v>
      </c>
      <c r="MT5" s="8" t="s">
        <v>1589</v>
      </c>
      <c r="MU5" s="8" t="s">
        <v>1406</v>
      </c>
      <c r="MV5" s="8" t="s">
        <v>1146</v>
      </c>
      <c r="MW5" s="8" t="s">
        <v>1079</v>
      </c>
      <c r="MX5" s="1089" t="s">
        <v>884</v>
      </c>
      <c r="MY5" s="1089" t="s">
        <v>844</v>
      </c>
      <c r="MZ5" s="1089" t="s">
        <v>701</v>
      </c>
      <c r="NA5" s="1089" t="s">
        <v>580</v>
      </c>
      <c r="NB5" s="1089" t="s">
        <v>261</v>
      </c>
      <c r="NC5" s="1089" t="s">
        <v>177</v>
      </c>
      <c r="ND5" s="899" t="s">
        <v>178</v>
      </c>
      <c r="NE5" s="1088"/>
      <c r="NF5" s="8" t="s">
        <v>1802</v>
      </c>
      <c r="NH5" s="8" t="s">
        <v>2437</v>
      </c>
      <c r="NI5" s="8" t="s">
        <v>2409</v>
      </c>
      <c r="NJ5" s="8" t="s">
        <v>2409</v>
      </c>
      <c r="NK5" s="8" t="s">
        <v>2230</v>
      </c>
      <c r="NL5" s="8" t="s">
        <v>2187</v>
      </c>
      <c r="NM5" s="8" t="s">
        <v>2187</v>
      </c>
      <c r="NN5" s="8" t="s">
        <v>2079</v>
      </c>
      <c r="NO5" s="8" t="s">
        <v>2047</v>
      </c>
      <c r="NP5" s="8" t="s">
        <v>2047</v>
      </c>
      <c r="NQ5" s="8" t="s">
        <v>1817</v>
      </c>
      <c r="NR5" s="8" t="s">
        <v>1817</v>
      </c>
      <c r="NS5" s="8" t="s">
        <v>1662</v>
      </c>
      <c r="NT5" s="8" t="s">
        <v>1589</v>
      </c>
      <c r="NU5" s="8" t="s">
        <v>1406</v>
      </c>
      <c r="NV5" s="8" t="s">
        <v>1146</v>
      </c>
      <c r="NW5" s="8" t="s">
        <v>1079</v>
      </c>
      <c r="NX5" s="1089" t="s">
        <v>884</v>
      </c>
      <c r="NY5" s="1089" t="s">
        <v>844</v>
      </c>
      <c r="NZ5" s="1089" t="s">
        <v>701</v>
      </c>
      <c r="OA5" s="1089" t="s">
        <v>580</v>
      </c>
      <c r="OB5" s="1089" t="s">
        <v>261</v>
      </c>
      <c r="OC5" s="1089" t="s">
        <v>177</v>
      </c>
      <c r="OD5" s="899" t="s">
        <v>178</v>
      </c>
      <c r="OE5" s="1088"/>
      <c r="OF5" s="8" t="s">
        <v>1802</v>
      </c>
      <c r="OH5" s="8" t="s">
        <v>2437</v>
      </c>
      <c r="OI5" s="8" t="s">
        <v>2409</v>
      </c>
      <c r="OJ5" s="8" t="s">
        <v>2409</v>
      </c>
      <c r="OK5" s="8" t="s">
        <v>2230</v>
      </c>
      <c r="OL5" s="8" t="s">
        <v>2187</v>
      </c>
      <c r="OM5" s="8" t="s">
        <v>2187</v>
      </c>
      <c r="ON5" s="8" t="s">
        <v>2079</v>
      </c>
      <c r="OO5" s="8" t="s">
        <v>2047</v>
      </c>
      <c r="OP5" s="8" t="s">
        <v>2047</v>
      </c>
      <c r="OQ5" s="8" t="s">
        <v>1817</v>
      </c>
      <c r="OR5" s="8" t="s">
        <v>1817</v>
      </c>
      <c r="OS5" s="8" t="s">
        <v>1662</v>
      </c>
      <c r="OT5" s="8" t="s">
        <v>1589</v>
      </c>
      <c r="OU5" s="8" t="s">
        <v>1406</v>
      </c>
      <c r="OV5" s="8" t="s">
        <v>1146</v>
      </c>
      <c r="OW5" s="8" t="s">
        <v>1079</v>
      </c>
      <c r="OX5" s="1089" t="s">
        <v>884</v>
      </c>
      <c r="OY5" s="1089" t="s">
        <v>844</v>
      </c>
      <c r="OZ5" s="1089" t="s">
        <v>701</v>
      </c>
      <c r="PA5" s="1089" t="s">
        <v>580</v>
      </c>
      <c r="PB5" s="1089" t="s">
        <v>261</v>
      </c>
      <c r="PC5" s="1089" t="s">
        <v>177</v>
      </c>
      <c r="PD5" s="899" t="s">
        <v>178</v>
      </c>
      <c r="PE5" s="1088"/>
      <c r="PF5" s="8" t="s">
        <v>1802</v>
      </c>
      <c r="PH5" s="8" t="s">
        <v>2437</v>
      </c>
      <c r="PI5" s="8" t="s">
        <v>2409</v>
      </c>
      <c r="PJ5" s="8" t="s">
        <v>2409</v>
      </c>
      <c r="PK5" s="8" t="s">
        <v>2230</v>
      </c>
      <c r="PL5" s="8" t="s">
        <v>2187</v>
      </c>
      <c r="PM5" s="8" t="s">
        <v>2187</v>
      </c>
      <c r="PN5" s="8" t="s">
        <v>2079</v>
      </c>
      <c r="PO5" s="8" t="s">
        <v>2047</v>
      </c>
      <c r="PP5" s="8" t="s">
        <v>2047</v>
      </c>
      <c r="PQ5" s="8" t="s">
        <v>1817</v>
      </c>
      <c r="PR5" s="8" t="s">
        <v>1817</v>
      </c>
      <c r="PS5" s="8" t="s">
        <v>1662</v>
      </c>
      <c r="PT5" s="8" t="s">
        <v>1589</v>
      </c>
      <c r="PU5" s="8" t="s">
        <v>1406</v>
      </c>
      <c r="PV5" s="8" t="s">
        <v>1146</v>
      </c>
      <c r="PW5" s="8" t="s">
        <v>1079</v>
      </c>
      <c r="PX5" s="1089" t="s">
        <v>884</v>
      </c>
      <c r="PY5" s="1089" t="s">
        <v>844</v>
      </c>
      <c r="PZ5" s="1089" t="s">
        <v>701</v>
      </c>
      <c r="QA5" s="1089" t="s">
        <v>580</v>
      </c>
      <c r="QB5" s="1089" t="s">
        <v>261</v>
      </c>
      <c r="QC5" s="1089" t="s">
        <v>177</v>
      </c>
      <c r="QD5" s="899" t="s">
        <v>178</v>
      </c>
      <c r="QE5" s="1088"/>
    </row>
    <row r="6" spans="2:447" s="205" customFormat="1" x14ac:dyDescent="0.3">
      <c r="F6" s="1322" t="s">
        <v>516</v>
      </c>
      <c r="G6" s="1322"/>
      <c r="H6" s="1322"/>
      <c r="I6" s="1322"/>
      <c r="J6" s="1322"/>
      <c r="K6" s="1322"/>
      <c r="L6" s="1322"/>
      <c r="M6" s="1322"/>
      <c r="N6" s="1322"/>
      <c r="O6" s="1322"/>
      <c r="P6" s="1322"/>
      <c r="Q6" s="1322"/>
      <c r="R6" s="1322"/>
      <c r="S6" s="1322"/>
      <c r="T6" s="1322"/>
      <c r="U6" s="1322"/>
      <c r="V6" s="1322"/>
      <c r="W6" s="1322"/>
      <c r="X6" s="1322"/>
      <c r="Y6" s="1322"/>
      <c r="Z6" s="1322"/>
      <c r="AA6" s="1322"/>
      <c r="AB6" s="1322"/>
      <c r="AC6" s="1322"/>
      <c r="AD6" s="1322"/>
      <c r="AE6" s="968"/>
      <c r="AF6" s="1322" t="s">
        <v>741</v>
      </c>
      <c r="AG6" s="1322"/>
      <c r="AH6" s="1322"/>
      <c r="AI6" s="1322"/>
      <c r="AJ6" s="1322"/>
      <c r="AK6" s="1322"/>
      <c r="AL6" s="1322"/>
      <c r="AM6" s="1322"/>
      <c r="AN6" s="1322"/>
      <c r="AO6" s="1322"/>
      <c r="AP6" s="1322"/>
      <c r="AQ6" s="1322"/>
      <c r="AR6" s="1322"/>
      <c r="AS6" s="1322"/>
      <c r="AT6" s="1322"/>
      <c r="AU6" s="1322"/>
      <c r="AV6" s="1322"/>
      <c r="AW6" s="1322"/>
      <c r="AX6" s="1322"/>
      <c r="AY6" s="1322"/>
      <c r="AZ6" s="1322"/>
      <c r="BA6" s="1322"/>
      <c r="BB6" s="1322"/>
      <c r="BC6" s="1322"/>
      <c r="BD6" s="1322"/>
      <c r="BE6" s="968"/>
      <c r="BF6" s="1321" t="s">
        <v>742</v>
      </c>
      <c r="BG6" s="1322"/>
      <c r="BH6" s="1322"/>
      <c r="BI6" s="1322"/>
      <c r="BJ6" s="1322"/>
      <c r="BK6" s="1322"/>
      <c r="BL6" s="1322"/>
      <c r="BM6" s="1322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  <c r="BX6" s="1322"/>
      <c r="BY6" s="1322"/>
      <c r="BZ6" s="1322"/>
      <c r="CA6" s="1322"/>
      <c r="CB6" s="1322"/>
      <c r="CC6" s="1322"/>
      <c r="CD6" s="1323"/>
      <c r="CE6" s="968"/>
      <c r="CF6" s="1321" t="s">
        <v>743</v>
      </c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322"/>
      <c r="CT6" s="1322"/>
      <c r="CU6" s="1322"/>
      <c r="CV6" s="1322"/>
      <c r="CW6" s="1322"/>
      <c r="CX6" s="1322"/>
      <c r="CY6" s="1322"/>
      <c r="CZ6" s="1322"/>
      <c r="DA6" s="1322"/>
      <c r="DB6" s="1322"/>
      <c r="DC6" s="1322"/>
      <c r="DD6" s="1323"/>
      <c r="DE6" s="968"/>
      <c r="DF6" s="1318" t="s">
        <v>1867</v>
      </c>
      <c r="DG6" s="1319"/>
      <c r="DH6" s="1319"/>
      <c r="DI6" s="1319"/>
      <c r="DJ6" s="1319"/>
      <c r="DK6" s="1319"/>
      <c r="DL6" s="1319"/>
      <c r="DM6" s="1319"/>
      <c r="DN6" s="1319"/>
      <c r="DO6" s="1319"/>
      <c r="DP6" s="1319"/>
      <c r="DQ6" s="1319"/>
      <c r="DR6" s="1319"/>
      <c r="DS6" s="1319"/>
      <c r="DT6" s="1319"/>
      <c r="DU6" s="1319"/>
      <c r="DV6" s="1319"/>
      <c r="DW6" s="1319"/>
      <c r="DX6" s="1319"/>
      <c r="DY6" s="1319"/>
      <c r="DZ6" s="1319"/>
      <c r="EA6" s="1319"/>
      <c r="EB6" s="1319"/>
      <c r="EC6" s="1319"/>
      <c r="ED6" s="1320"/>
      <c r="EE6" s="968"/>
      <c r="EF6" s="1321" t="s">
        <v>1868</v>
      </c>
      <c r="EG6" s="1322"/>
      <c r="EH6" s="1322"/>
      <c r="EI6" s="1322"/>
      <c r="EJ6" s="1322"/>
      <c r="EK6" s="1322"/>
      <c r="EL6" s="1322"/>
      <c r="EM6" s="1322"/>
      <c r="EN6" s="1322"/>
      <c r="EO6" s="1322"/>
      <c r="EP6" s="1322"/>
      <c r="EQ6" s="1322"/>
      <c r="ER6" s="1322"/>
      <c r="ES6" s="1322"/>
      <c r="ET6" s="1322"/>
      <c r="EU6" s="1322"/>
      <c r="EV6" s="1322"/>
      <c r="EW6" s="1322"/>
      <c r="EX6" s="1322"/>
      <c r="EY6" s="1322"/>
      <c r="EZ6" s="1322"/>
      <c r="FA6" s="1322"/>
      <c r="FB6" s="1322"/>
      <c r="FC6" s="1322"/>
      <c r="FD6" s="1323"/>
      <c r="FE6" s="968"/>
      <c r="FF6" s="1321" t="s">
        <v>2270</v>
      </c>
      <c r="FG6" s="1322"/>
      <c r="FH6" s="1322"/>
      <c r="FI6" s="1322"/>
      <c r="FJ6" s="1322"/>
      <c r="FK6" s="1322"/>
      <c r="FL6" s="1322"/>
      <c r="FM6" s="1322"/>
      <c r="FN6" s="1322"/>
      <c r="FO6" s="1322"/>
      <c r="FP6" s="1322"/>
      <c r="FQ6" s="1322"/>
      <c r="FR6" s="1322"/>
      <c r="FS6" s="1322"/>
      <c r="FT6" s="1322"/>
      <c r="FU6" s="1322"/>
      <c r="FV6" s="1322"/>
      <c r="FW6" s="1322"/>
      <c r="FX6" s="1322"/>
      <c r="FY6" s="1322"/>
      <c r="FZ6" s="1322"/>
      <c r="GA6" s="1322"/>
      <c r="GB6" s="1322"/>
      <c r="GC6" s="1322"/>
      <c r="GD6" s="1323"/>
      <c r="GE6" s="968"/>
      <c r="GF6" s="1321" t="s">
        <v>540</v>
      </c>
      <c r="GG6" s="1322"/>
      <c r="GH6" s="1322"/>
      <c r="GI6" s="1322"/>
      <c r="GJ6" s="1322"/>
      <c r="GK6" s="1322"/>
      <c r="GL6" s="1322"/>
      <c r="GM6" s="1322"/>
      <c r="GN6" s="1322"/>
      <c r="GO6" s="1322"/>
      <c r="GP6" s="1322"/>
      <c r="GQ6" s="1322"/>
      <c r="GR6" s="1322"/>
      <c r="GS6" s="1322"/>
      <c r="GT6" s="1322"/>
      <c r="GU6" s="1322"/>
      <c r="GV6" s="1322"/>
      <c r="GW6" s="1322"/>
      <c r="GX6" s="1322"/>
      <c r="GY6" s="1322"/>
      <c r="GZ6" s="1322"/>
      <c r="HA6" s="1322"/>
      <c r="HB6" s="1322"/>
      <c r="HC6" s="1322"/>
      <c r="HD6" s="1323"/>
      <c r="HE6" s="968"/>
      <c r="HF6" s="1321" t="s">
        <v>545</v>
      </c>
      <c r="HG6" s="1322"/>
      <c r="HH6" s="1322"/>
      <c r="HI6" s="1322"/>
      <c r="HJ6" s="1322"/>
      <c r="HK6" s="1322"/>
      <c r="HL6" s="1322"/>
      <c r="HM6" s="1322"/>
      <c r="HN6" s="1322"/>
      <c r="HO6" s="1322"/>
      <c r="HP6" s="1322"/>
      <c r="HQ6" s="1322"/>
      <c r="HR6" s="1322"/>
      <c r="HS6" s="1322"/>
      <c r="HT6" s="1322"/>
      <c r="HU6" s="1322"/>
      <c r="HV6" s="1322"/>
      <c r="HW6" s="1322"/>
      <c r="HX6" s="1322"/>
      <c r="HY6" s="1322"/>
      <c r="HZ6" s="1322"/>
      <c r="IA6" s="1322"/>
      <c r="IB6" s="1322"/>
      <c r="IC6" s="1322"/>
      <c r="ID6" s="1323"/>
      <c r="IE6" s="968"/>
      <c r="IF6" s="1321" t="s">
        <v>556</v>
      </c>
      <c r="IG6" s="1322"/>
      <c r="IH6" s="1322"/>
      <c r="II6" s="1322"/>
      <c r="IJ6" s="1322"/>
      <c r="IK6" s="1322"/>
      <c r="IL6" s="1322"/>
      <c r="IM6" s="1322"/>
      <c r="IN6" s="1322"/>
      <c r="IO6" s="1322"/>
      <c r="IP6" s="1322"/>
      <c r="IQ6" s="1322"/>
      <c r="IR6" s="1322"/>
      <c r="IS6" s="1322"/>
      <c r="IT6" s="1322"/>
      <c r="IU6" s="1322"/>
      <c r="IV6" s="1322"/>
      <c r="IW6" s="1322"/>
      <c r="IX6" s="1322"/>
      <c r="IY6" s="1322"/>
      <c r="IZ6" s="1322"/>
      <c r="JA6" s="1322"/>
      <c r="JB6" s="1322"/>
      <c r="JC6" s="1322"/>
      <c r="JD6" s="1323"/>
      <c r="JE6" s="968"/>
      <c r="JF6" s="1321" t="s">
        <v>611</v>
      </c>
      <c r="JG6" s="1322"/>
      <c r="JH6" s="1322"/>
      <c r="JI6" s="1322"/>
      <c r="JJ6" s="1322"/>
      <c r="JK6" s="1322"/>
      <c r="JL6" s="1322"/>
      <c r="JM6" s="1322"/>
      <c r="JN6" s="1322"/>
      <c r="JO6" s="1322"/>
      <c r="JP6" s="1322"/>
      <c r="JQ6" s="1322"/>
      <c r="JR6" s="1322"/>
      <c r="JS6" s="1322"/>
      <c r="JT6" s="1322"/>
      <c r="JU6" s="1322"/>
      <c r="JV6" s="1322"/>
      <c r="JW6" s="1322"/>
      <c r="JX6" s="1322"/>
      <c r="JY6" s="1322"/>
      <c r="JZ6" s="1322"/>
      <c r="KA6" s="1322"/>
      <c r="KB6" s="1322"/>
      <c r="KC6" s="1322"/>
      <c r="KD6" s="1323"/>
      <c r="KE6" s="968"/>
      <c r="KF6" s="1321" t="s">
        <v>1797</v>
      </c>
      <c r="KG6" s="1322"/>
      <c r="KH6" s="1322"/>
      <c r="KI6" s="1322"/>
      <c r="KJ6" s="1322"/>
      <c r="KK6" s="1322"/>
      <c r="KL6" s="1322"/>
      <c r="KM6" s="1322"/>
      <c r="KN6" s="1322"/>
      <c r="KO6" s="1322"/>
      <c r="KP6" s="1322"/>
      <c r="KQ6" s="1322"/>
      <c r="KR6" s="1322"/>
      <c r="KS6" s="1322"/>
      <c r="KT6" s="1322"/>
      <c r="KU6" s="1322"/>
      <c r="KV6" s="1322"/>
      <c r="KW6" s="1322"/>
      <c r="KX6" s="1322"/>
      <c r="KY6" s="1322"/>
      <c r="KZ6" s="1322"/>
      <c r="LA6" s="1322"/>
      <c r="LB6" s="1322"/>
      <c r="LC6" s="1322"/>
      <c r="LD6" s="1323"/>
      <c r="LE6" s="968"/>
      <c r="LF6" s="1321" t="s">
        <v>637</v>
      </c>
      <c r="LG6" s="1322"/>
      <c r="LH6" s="1322"/>
      <c r="LI6" s="1322"/>
      <c r="LJ6" s="1322"/>
      <c r="LK6" s="1322"/>
      <c r="LL6" s="1322"/>
      <c r="LM6" s="1322"/>
      <c r="LN6" s="1322"/>
      <c r="LO6" s="1322"/>
      <c r="LP6" s="1322"/>
      <c r="LQ6" s="1322"/>
      <c r="LR6" s="1322"/>
      <c r="LS6" s="1322"/>
      <c r="LT6" s="1322"/>
      <c r="LU6" s="1322"/>
      <c r="LV6" s="1322"/>
      <c r="LW6" s="1322"/>
      <c r="LX6" s="1322"/>
      <c r="LY6" s="1322"/>
      <c r="LZ6" s="1322"/>
      <c r="MA6" s="1322"/>
      <c r="MB6" s="1322"/>
      <c r="MC6" s="1322"/>
      <c r="MD6" s="1323"/>
      <c r="ME6" s="968"/>
      <c r="MF6" s="1321" t="s">
        <v>693</v>
      </c>
      <c r="MG6" s="1322"/>
      <c r="MH6" s="1322"/>
      <c r="MI6" s="1322"/>
      <c r="MJ6" s="1322"/>
      <c r="MK6" s="1322"/>
      <c r="ML6" s="1322"/>
      <c r="MM6" s="1322"/>
      <c r="MN6" s="1322"/>
      <c r="MO6" s="1322"/>
      <c r="MP6" s="1322"/>
      <c r="MQ6" s="1322"/>
      <c r="MR6" s="1322"/>
      <c r="MS6" s="1322"/>
      <c r="MT6" s="1322"/>
      <c r="MU6" s="1322"/>
      <c r="MV6" s="1322"/>
      <c r="MW6" s="1322"/>
      <c r="MX6" s="1322"/>
      <c r="MY6" s="1322"/>
      <c r="MZ6" s="1322"/>
      <c r="NA6" s="1322"/>
      <c r="NB6" s="1322"/>
      <c r="NC6" s="1322"/>
      <c r="ND6" s="1323"/>
      <c r="NE6" s="968"/>
      <c r="NF6" s="1321" t="s">
        <v>746</v>
      </c>
      <c r="NG6" s="1322"/>
      <c r="NH6" s="1322"/>
      <c r="NI6" s="1322"/>
      <c r="NJ6" s="1322"/>
      <c r="NK6" s="1322"/>
      <c r="NL6" s="1322"/>
      <c r="NM6" s="1322"/>
      <c r="NN6" s="1322"/>
      <c r="NO6" s="1322"/>
      <c r="NP6" s="1322"/>
      <c r="NQ6" s="1322"/>
      <c r="NR6" s="1322"/>
      <c r="NS6" s="1322"/>
      <c r="NT6" s="1322"/>
      <c r="NU6" s="1322"/>
      <c r="NV6" s="1322"/>
      <c r="NW6" s="1322"/>
      <c r="NX6" s="1322"/>
      <c r="NY6" s="1322"/>
      <c r="NZ6" s="1322"/>
      <c r="OA6" s="1322"/>
      <c r="OB6" s="1322"/>
      <c r="OC6" s="1322"/>
      <c r="OD6" s="1323"/>
      <c r="OE6" s="968"/>
      <c r="OF6" s="1321" t="s">
        <v>139</v>
      </c>
      <c r="OG6" s="1322"/>
      <c r="OH6" s="1322"/>
      <c r="OI6" s="1322"/>
      <c r="OJ6" s="1322"/>
      <c r="OK6" s="1322"/>
      <c r="OL6" s="1322"/>
      <c r="OM6" s="1322"/>
      <c r="ON6" s="1322"/>
      <c r="OO6" s="1322"/>
      <c r="OP6" s="1322"/>
      <c r="OQ6" s="1322"/>
      <c r="OR6" s="1322"/>
      <c r="OS6" s="1322"/>
      <c r="OT6" s="1322"/>
      <c r="OU6" s="1322"/>
      <c r="OV6" s="1322"/>
      <c r="OW6" s="1322"/>
      <c r="OX6" s="1322"/>
      <c r="OY6" s="1322"/>
      <c r="OZ6" s="1322"/>
      <c r="PA6" s="1322"/>
      <c r="PB6" s="1322"/>
      <c r="PC6" s="1322"/>
      <c r="PD6" s="1322"/>
      <c r="PE6" s="968"/>
      <c r="PF6" s="1321" t="s">
        <v>669</v>
      </c>
      <c r="PG6" s="1322"/>
      <c r="PH6" s="1322"/>
      <c r="PI6" s="1322"/>
      <c r="PJ6" s="1322"/>
      <c r="PK6" s="1322"/>
      <c r="PL6" s="1322"/>
      <c r="PM6" s="1322"/>
      <c r="PN6" s="1322"/>
      <c r="PO6" s="1322"/>
      <c r="PP6" s="1322"/>
      <c r="PQ6" s="1322"/>
      <c r="PR6" s="1322"/>
      <c r="PS6" s="1322"/>
      <c r="PT6" s="1322"/>
      <c r="PU6" s="1322"/>
      <c r="PV6" s="1322"/>
      <c r="PW6" s="1322"/>
      <c r="PX6" s="1322"/>
      <c r="PY6" s="1322"/>
      <c r="PZ6" s="1322"/>
      <c r="QA6" s="1322"/>
      <c r="QB6" s="1322"/>
      <c r="QC6" s="1322"/>
      <c r="QD6" s="1322"/>
      <c r="QE6" s="968"/>
    </row>
    <row r="7" spans="2:447" s="205" customFormat="1" x14ac:dyDescent="0.3">
      <c r="B7" s="205" t="s">
        <v>1393</v>
      </c>
      <c r="D7" s="205" t="s">
        <v>1796</v>
      </c>
      <c r="F7" s="265">
        <f>SUM(G7:AD7)</f>
        <v>3584</v>
      </c>
      <c r="G7" s="265"/>
      <c r="H7" s="1279">
        <f t="shared" ref="H7:AD7" si="0">SUM(H8:H154)</f>
        <v>355</v>
      </c>
      <c r="I7" s="1279">
        <f t="shared" si="0"/>
        <v>64</v>
      </c>
      <c r="J7" s="1279">
        <f t="shared" si="0"/>
        <v>307</v>
      </c>
      <c r="K7" s="1279">
        <f t="shared" si="0"/>
        <v>295</v>
      </c>
      <c r="L7" s="265">
        <f t="shared" si="0"/>
        <v>14</v>
      </c>
      <c r="M7" s="265">
        <f t="shared" si="0"/>
        <v>211</v>
      </c>
      <c r="N7" s="265">
        <f t="shared" si="0"/>
        <v>26</v>
      </c>
      <c r="O7" s="265">
        <f t="shared" si="0"/>
        <v>190</v>
      </c>
      <c r="P7" s="265">
        <f t="shared" si="0"/>
        <v>30</v>
      </c>
      <c r="Q7" s="265">
        <f t="shared" si="0"/>
        <v>42</v>
      </c>
      <c r="R7" s="265">
        <f t="shared" si="0"/>
        <v>251</v>
      </c>
      <c r="S7" s="265">
        <f t="shared" si="0"/>
        <v>274</v>
      </c>
      <c r="T7" s="265">
        <f t="shared" si="0"/>
        <v>240</v>
      </c>
      <c r="U7" s="265">
        <f t="shared" si="0"/>
        <v>60</v>
      </c>
      <c r="V7" s="265">
        <f t="shared" si="0"/>
        <v>52</v>
      </c>
      <c r="W7" s="265">
        <f t="shared" si="0"/>
        <v>47</v>
      </c>
      <c r="X7" s="1279">
        <f t="shared" si="0"/>
        <v>221</v>
      </c>
      <c r="Y7" s="1279">
        <f t="shared" si="0"/>
        <v>229</v>
      </c>
      <c r="Z7" s="265">
        <f t="shared" si="0"/>
        <v>0</v>
      </c>
      <c r="AA7" s="265">
        <f t="shared" si="0"/>
        <v>0</v>
      </c>
      <c r="AB7" s="265">
        <f t="shared" si="0"/>
        <v>188</v>
      </c>
      <c r="AC7" s="265">
        <f t="shared" si="0"/>
        <v>211</v>
      </c>
      <c r="AD7" s="265">
        <f t="shared" si="0"/>
        <v>277</v>
      </c>
      <c r="AE7" s="968"/>
      <c r="AF7" s="265">
        <f>SUM(AG7:BD7)</f>
        <v>1190</v>
      </c>
      <c r="AG7" s="265"/>
      <c r="AH7" s="1279">
        <f t="shared" ref="AH7:AZ7" si="1">SUM(AH8:AH154)</f>
        <v>91</v>
      </c>
      <c r="AI7" s="1279">
        <f t="shared" si="1"/>
        <v>25</v>
      </c>
      <c r="AJ7" s="1279">
        <f t="shared" si="1"/>
        <v>109</v>
      </c>
      <c r="AK7" s="1279">
        <f t="shared" si="1"/>
        <v>108</v>
      </c>
      <c r="AL7" s="265">
        <f t="shared" si="1"/>
        <v>0</v>
      </c>
      <c r="AM7" s="265">
        <f t="shared" si="1"/>
        <v>0</v>
      </c>
      <c r="AN7" s="265">
        <f t="shared" si="1"/>
        <v>0</v>
      </c>
      <c r="AO7" s="265">
        <f t="shared" si="1"/>
        <v>96</v>
      </c>
      <c r="AP7" s="265">
        <f t="shared" si="1"/>
        <v>19</v>
      </c>
      <c r="AQ7" s="265">
        <f t="shared" si="1"/>
        <v>12</v>
      </c>
      <c r="AR7" s="265">
        <f t="shared" si="1"/>
        <v>125</v>
      </c>
      <c r="AS7" s="265">
        <f t="shared" si="1"/>
        <v>67</v>
      </c>
      <c r="AT7" s="265">
        <f t="shared" si="1"/>
        <v>69</v>
      </c>
      <c r="AU7" s="265">
        <f t="shared" si="1"/>
        <v>0</v>
      </c>
      <c r="AV7" s="265">
        <f t="shared" si="1"/>
        <v>0</v>
      </c>
      <c r="AW7" s="265">
        <f t="shared" si="1"/>
        <v>0</v>
      </c>
      <c r="AX7" s="1279">
        <f t="shared" si="1"/>
        <v>101</v>
      </c>
      <c r="AY7" s="1279">
        <f t="shared" si="1"/>
        <v>70</v>
      </c>
      <c r="AZ7" s="265">
        <f t="shared" si="1"/>
        <v>0</v>
      </c>
      <c r="BA7" s="265">
        <f t="shared" ref="BA7:BD7" si="2">SUM(BA8:BA154)</f>
        <v>0</v>
      </c>
      <c r="BB7" s="265">
        <f t="shared" si="2"/>
        <v>115</v>
      </c>
      <c r="BC7" s="265">
        <f t="shared" si="2"/>
        <v>72</v>
      </c>
      <c r="BD7" s="265">
        <f t="shared" si="2"/>
        <v>111</v>
      </c>
      <c r="BE7" s="968"/>
      <c r="BF7" s="265">
        <f>SUM(BG7:CD7)</f>
        <v>1044</v>
      </c>
      <c r="BG7" s="265"/>
      <c r="BH7" s="1279">
        <f t="shared" ref="BH7:CD7" si="3">SUM(BH8:BH154)</f>
        <v>79</v>
      </c>
      <c r="BI7" s="1279">
        <f t="shared" si="3"/>
        <v>20</v>
      </c>
      <c r="BJ7" s="1279">
        <f t="shared" si="3"/>
        <v>96</v>
      </c>
      <c r="BK7" s="1279">
        <f t="shared" si="3"/>
        <v>98</v>
      </c>
      <c r="BL7" s="265">
        <f t="shared" si="3"/>
        <v>0</v>
      </c>
      <c r="BM7" s="265">
        <f t="shared" si="3"/>
        <v>0</v>
      </c>
      <c r="BN7" s="265">
        <f t="shared" si="3"/>
        <v>0</v>
      </c>
      <c r="BO7" s="265">
        <f t="shared" si="3"/>
        <v>86</v>
      </c>
      <c r="BP7" s="265">
        <f t="shared" si="3"/>
        <v>16</v>
      </c>
      <c r="BQ7" s="265">
        <f t="shared" si="3"/>
        <v>12</v>
      </c>
      <c r="BR7" s="265">
        <f t="shared" si="3"/>
        <v>115</v>
      </c>
      <c r="BS7" s="265">
        <f t="shared" si="3"/>
        <v>62</v>
      </c>
      <c r="BT7" s="265">
        <f t="shared" si="3"/>
        <v>60</v>
      </c>
      <c r="BU7" s="265">
        <f t="shared" si="3"/>
        <v>0</v>
      </c>
      <c r="BV7" s="265">
        <f t="shared" si="3"/>
        <v>0</v>
      </c>
      <c r="BW7" s="265">
        <f t="shared" si="3"/>
        <v>0</v>
      </c>
      <c r="BX7" s="1279">
        <f t="shared" si="3"/>
        <v>83</v>
      </c>
      <c r="BY7" s="1279">
        <f t="shared" si="3"/>
        <v>61</v>
      </c>
      <c r="BZ7" s="265">
        <f t="shared" si="3"/>
        <v>0</v>
      </c>
      <c r="CA7" s="265">
        <f t="shared" si="3"/>
        <v>0</v>
      </c>
      <c r="CB7" s="265">
        <f t="shared" si="3"/>
        <v>99</v>
      </c>
      <c r="CC7" s="265">
        <f t="shared" si="3"/>
        <v>62</v>
      </c>
      <c r="CD7" s="265">
        <f t="shared" si="3"/>
        <v>95</v>
      </c>
      <c r="CE7" s="968"/>
      <c r="CF7" s="265">
        <f>SUM(CG7:DE7)</f>
        <v>2226</v>
      </c>
      <c r="CG7" s="265"/>
      <c r="CH7" s="1279">
        <f t="shared" ref="CH7:CZ7" si="4">SUM(CH8:CH154)</f>
        <v>170</v>
      </c>
      <c r="CI7" s="1279">
        <f t="shared" si="4"/>
        <v>44</v>
      </c>
      <c r="CJ7" s="1279">
        <f t="shared" si="4"/>
        <v>205</v>
      </c>
      <c r="CK7" s="1279">
        <f t="shared" si="4"/>
        <v>206</v>
      </c>
      <c r="CL7" s="265">
        <f t="shared" si="4"/>
        <v>0</v>
      </c>
      <c r="CM7" s="265">
        <f t="shared" si="4"/>
        <v>0</v>
      </c>
      <c r="CN7" s="265">
        <f t="shared" si="4"/>
        <v>0</v>
      </c>
      <c r="CO7" s="265">
        <f t="shared" si="4"/>
        <v>182</v>
      </c>
      <c r="CP7" s="265">
        <f t="shared" si="4"/>
        <v>35</v>
      </c>
      <c r="CQ7" s="265">
        <f t="shared" si="4"/>
        <v>24</v>
      </c>
      <c r="CR7" s="265">
        <f t="shared" si="4"/>
        <v>240</v>
      </c>
      <c r="CS7" s="265">
        <f t="shared" si="4"/>
        <v>129</v>
      </c>
      <c r="CT7" s="265">
        <f t="shared" si="4"/>
        <v>129</v>
      </c>
      <c r="CU7" s="265">
        <f t="shared" si="4"/>
        <v>0</v>
      </c>
      <c r="CV7" s="265">
        <f t="shared" si="4"/>
        <v>0</v>
      </c>
      <c r="CW7" s="265">
        <f t="shared" si="4"/>
        <v>0</v>
      </c>
      <c r="CX7" s="1279">
        <f t="shared" si="4"/>
        <v>177</v>
      </c>
      <c r="CY7" s="1279">
        <f t="shared" si="4"/>
        <v>131</v>
      </c>
      <c r="CZ7" s="265">
        <f t="shared" si="4"/>
        <v>0</v>
      </c>
      <c r="DA7" s="265">
        <f t="shared" ref="DA7:DD7" si="5">SUM(DA8:DA154)</f>
        <v>0</v>
      </c>
      <c r="DB7" s="265">
        <f t="shared" si="5"/>
        <v>214</v>
      </c>
      <c r="DC7" s="265">
        <f t="shared" si="5"/>
        <v>134</v>
      </c>
      <c r="DD7" s="265">
        <f t="shared" si="5"/>
        <v>206</v>
      </c>
      <c r="DE7" s="968"/>
      <c r="DF7" s="265">
        <f>SUM(DG7:EE7)</f>
        <v>132</v>
      </c>
      <c r="DG7" s="265"/>
      <c r="DH7" s="1279">
        <f t="shared" ref="DH7:DN7" si="6">SUM(DH8:DH154)</f>
        <v>26</v>
      </c>
      <c r="DI7" s="1279">
        <f t="shared" si="6"/>
        <v>4</v>
      </c>
      <c r="DJ7" s="1279">
        <f t="shared" si="6"/>
        <v>25</v>
      </c>
      <c r="DK7" s="1279">
        <f t="shared" si="6"/>
        <v>26</v>
      </c>
      <c r="DL7" s="265"/>
      <c r="DM7" s="265"/>
      <c r="DN7" s="265">
        <f t="shared" si="6"/>
        <v>0</v>
      </c>
      <c r="DO7" s="265">
        <f t="shared" ref="DO7:EC7" si="7">SUM(DO8:DO154)</f>
        <v>3</v>
      </c>
      <c r="DP7" s="265">
        <f t="shared" si="7"/>
        <v>1</v>
      </c>
      <c r="DQ7" s="265">
        <f t="shared" si="7"/>
        <v>7</v>
      </c>
      <c r="DR7" s="265">
        <f t="shared" si="7"/>
        <v>22</v>
      </c>
      <c r="DS7" s="265">
        <f t="shared" si="7"/>
        <v>18</v>
      </c>
      <c r="DT7" s="265">
        <f t="shared" si="7"/>
        <v>0</v>
      </c>
      <c r="DU7" s="265">
        <f t="shared" si="7"/>
        <v>0</v>
      </c>
      <c r="DV7" s="265">
        <f t="shared" si="7"/>
        <v>0</v>
      </c>
      <c r="DW7" s="265">
        <f t="shared" si="7"/>
        <v>0</v>
      </c>
      <c r="DX7" s="265">
        <f t="shared" si="7"/>
        <v>0</v>
      </c>
      <c r="DY7" s="265">
        <f t="shared" si="7"/>
        <v>0</v>
      </c>
      <c r="DZ7" s="265">
        <f t="shared" si="7"/>
        <v>0</v>
      </c>
      <c r="EA7" s="265">
        <f t="shared" si="7"/>
        <v>0</v>
      </c>
      <c r="EB7" s="265">
        <f t="shared" si="7"/>
        <v>0</v>
      </c>
      <c r="EC7" s="265">
        <f t="shared" si="7"/>
        <v>0</v>
      </c>
      <c r="ED7" s="265">
        <f>SUM(ED8:ED154)</f>
        <v>0</v>
      </c>
      <c r="EE7" s="968"/>
      <c r="EF7" s="265">
        <f>SUM(EG7:FE7)</f>
        <v>720</v>
      </c>
      <c r="EG7" s="265"/>
      <c r="EH7" s="1279">
        <f t="shared" ref="EH7:EZ7" si="8">SUM(EH8:EH154)</f>
        <v>56</v>
      </c>
      <c r="EI7" s="1279">
        <f t="shared" si="8"/>
        <v>8</v>
      </c>
      <c r="EJ7" s="1279">
        <f t="shared" si="8"/>
        <v>68</v>
      </c>
      <c r="EK7" s="1279">
        <f t="shared" si="8"/>
        <v>52</v>
      </c>
      <c r="EL7" s="265">
        <f t="shared" si="8"/>
        <v>0</v>
      </c>
      <c r="EM7" s="265">
        <f t="shared" si="8"/>
        <v>0</v>
      </c>
      <c r="EN7" s="265">
        <f t="shared" si="8"/>
        <v>0</v>
      </c>
      <c r="EO7" s="265">
        <f t="shared" si="8"/>
        <v>6</v>
      </c>
      <c r="EP7" s="265">
        <f t="shared" si="8"/>
        <v>5</v>
      </c>
      <c r="EQ7" s="265">
        <f t="shared" si="8"/>
        <v>22</v>
      </c>
      <c r="ER7" s="265">
        <f t="shared" si="8"/>
        <v>47</v>
      </c>
      <c r="ES7" s="265">
        <f t="shared" si="8"/>
        <v>44</v>
      </c>
      <c r="ET7" s="265">
        <f t="shared" si="8"/>
        <v>0</v>
      </c>
      <c r="EU7" s="265">
        <f t="shared" si="8"/>
        <v>0</v>
      </c>
      <c r="EV7" s="265">
        <f t="shared" si="8"/>
        <v>0</v>
      </c>
      <c r="EW7" s="265">
        <f t="shared" si="8"/>
        <v>0</v>
      </c>
      <c r="EX7" s="1279">
        <f t="shared" si="8"/>
        <v>89</v>
      </c>
      <c r="EY7" s="1279">
        <f t="shared" si="8"/>
        <v>160</v>
      </c>
      <c r="EZ7" s="265">
        <f t="shared" si="8"/>
        <v>0</v>
      </c>
      <c r="FA7" s="265">
        <f t="shared" ref="FA7:FD7" si="9">SUM(FA8:FA154)</f>
        <v>0</v>
      </c>
      <c r="FB7" s="265">
        <f t="shared" si="9"/>
        <v>63</v>
      </c>
      <c r="FC7" s="265">
        <f t="shared" si="9"/>
        <v>46</v>
      </c>
      <c r="FD7" s="265">
        <f t="shared" si="9"/>
        <v>54</v>
      </c>
      <c r="FE7" s="968"/>
      <c r="FF7" s="265">
        <f>SUM(FG7:GE7)</f>
        <v>133</v>
      </c>
      <c r="FG7" s="265"/>
      <c r="FH7" s="1279">
        <f t="shared" ref="FH7:GA7" si="10">SUM(FH8:FH154)</f>
        <v>9</v>
      </c>
      <c r="FI7" s="1279">
        <f t="shared" si="10"/>
        <v>3</v>
      </c>
      <c r="FJ7" s="1279">
        <f t="shared" si="10"/>
        <v>14</v>
      </c>
      <c r="FK7" s="1279">
        <f t="shared" si="10"/>
        <v>10</v>
      </c>
      <c r="FL7" s="265">
        <f t="shared" si="10"/>
        <v>0</v>
      </c>
      <c r="FM7" s="265">
        <f t="shared" si="10"/>
        <v>0</v>
      </c>
      <c r="FN7" s="265">
        <f t="shared" si="10"/>
        <v>0</v>
      </c>
      <c r="FO7" s="265">
        <f t="shared" si="10"/>
        <v>12</v>
      </c>
      <c r="FP7" s="265">
        <f t="shared" si="10"/>
        <v>1</v>
      </c>
      <c r="FQ7" s="265">
        <f t="shared" si="10"/>
        <v>1</v>
      </c>
      <c r="FR7" s="265">
        <f t="shared" si="10"/>
        <v>18</v>
      </c>
      <c r="FS7" s="265">
        <f t="shared" si="10"/>
        <v>6</v>
      </c>
      <c r="FT7" s="265">
        <f t="shared" si="10"/>
        <v>6</v>
      </c>
      <c r="FU7" s="265">
        <f t="shared" si="10"/>
        <v>0</v>
      </c>
      <c r="FV7" s="265">
        <f t="shared" si="10"/>
        <v>0</v>
      </c>
      <c r="FW7" s="265">
        <f t="shared" si="10"/>
        <v>0</v>
      </c>
      <c r="FX7" s="1279">
        <f t="shared" si="10"/>
        <v>13</v>
      </c>
      <c r="FY7" s="1279">
        <f t="shared" si="10"/>
        <v>7</v>
      </c>
      <c r="FZ7" s="265">
        <f t="shared" si="10"/>
        <v>0</v>
      </c>
      <c r="GA7" s="265">
        <f t="shared" si="10"/>
        <v>0</v>
      </c>
      <c r="GB7" s="265">
        <f t="shared" ref="GB7:GD7" si="11">SUM(GB8:GB154)</f>
        <v>14</v>
      </c>
      <c r="GC7" s="265">
        <f t="shared" si="11"/>
        <v>5</v>
      </c>
      <c r="GD7" s="265">
        <f t="shared" si="11"/>
        <v>14</v>
      </c>
      <c r="GE7" s="968"/>
      <c r="GF7" s="265">
        <f>SUM(GG7:HE7)</f>
        <v>81</v>
      </c>
      <c r="GG7" s="265"/>
      <c r="GH7" s="1279">
        <f t="shared" ref="GH7:GZ7" si="12">SUM(GH8:GH154)</f>
        <v>4</v>
      </c>
      <c r="GI7" s="1279">
        <f t="shared" si="12"/>
        <v>1</v>
      </c>
      <c r="GJ7" s="1279">
        <f t="shared" si="12"/>
        <v>1</v>
      </c>
      <c r="GK7" s="1279">
        <f t="shared" si="12"/>
        <v>8</v>
      </c>
      <c r="GL7" s="265">
        <f t="shared" si="12"/>
        <v>0</v>
      </c>
      <c r="GM7" s="265">
        <f t="shared" si="12"/>
        <v>0</v>
      </c>
      <c r="GN7" s="265">
        <f t="shared" si="12"/>
        <v>0</v>
      </c>
      <c r="GO7" s="265">
        <f t="shared" si="12"/>
        <v>7</v>
      </c>
      <c r="GP7" s="265">
        <f t="shared" si="12"/>
        <v>1</v>
      </c>
      <c r="GQ7" s="265">
        <f t="shared" si="12"/>
        <v>4</v>
      </c>
      <c r="GR7" s="265">
        <f t="shared" si="12"/>
        <v>9</v>
      </c>
      <c r="GS7" s="265">
        <f t="shared" si="12"/>
        <v>6</v>
      </c>
      <c r="GT7" s="265">
        <f t="shared" si="12"/>
        <v>0</v>
      </c>
      <c r="GU7" s="265">
        <f t="shared" si="12"/>
        <v>0</v>
      </c>
      <c r="GV7" s="265">
        <f t="shared" si="12"/>
        <v>0</v>
      </c>
      <c r="GW7" s="265">
        <f t="shared" si="12"/>
        <v>0</v>
      </c>
      <c r="GX7" s="1279">
        <f t="shared" si="12"/>
        <v>4</v>
      </c>
      <c r="GY7" s="1279">
        <f t="shared" si="12"/>
        <v>5</v>
      </c>
      <c r="GZ7" s="265">
        <f t="shared" si="12"/>
        <v>0</v>
      </c>
      <c r="HA7" s="265">
        <f t="shared" ref="HA7:HD7" si="13">SUM(HA8:HA154)</f>
        <v>0</v>
      </c>
      <c r="HB7" s="265">
        <f t="shared" si="13"/>
        <v>13</v>
      </c>
      <c r="HC7" s="265">
        <f t="shared" si="13"/>
        <v>7</v>
      </c>
      <c r="HD7" s="265">
        <f t="shared" si="13"/>
        <v>11</v>
      </c>
      <c r="HE7" s="968"/>
      <c r="HF7" s="265">
        <f>SUM(HG7:IE7)</f>
        <v>12</v>
      </c>
      <c r="HG7" s="265"/>
      <c r="HH7" s="1279">
        <f t="shared" ref="HH7:HZ7" si="14">SUM(HH8:HH154)</f>
        <v>1</v>
      </c>
      <c r="HI7" s="1279">
        <f t="shared" si="14"/>
        <v>1</v>
      </c>
      <c r="HJ7" s="1279">
        <f t="shared" si="14"/>
        <v>1</v>
      </c>
      <c r="HK7" s="1279">
        <f t="shared" si="14"/>
        <v>0</v>
      </c>
      <c r="HL7" s="265">
        <f t="shared" si="14"/>
        <v>0</v>
      </c>
      <c r="HM7" s="265">
        <f t="shared" si="14"/>
        <v>0</v>
      </c>
      <c r="HN7" s="265">
        <f t="shared" si="14"/>
        <v>0</v>
      </c>
      <c r="HO7" s="265">
        <f t="shared" si="14"/>
        <v>0</v>
      </c>
      <c r="HP7" s="265">
        <f t="shared" si="14"/>
        <v>1</v>
      </c>
      <c r="HQ7" s="265">
        <f t="shared" si="14"/>
        <v>0</v>
      </c>
      <c r="HR7" s="265">
        <f t="shared" si="14"/>
        <v>0</v>
      </c>
      <c r="HS7" s="265">
        <f t="shared" si="14"/>
        <v>0</v>
      </c>
      <c r="HT7" s="265">
        <f t="shared" si="14"/>
        <v>0</v>
      </c>
      <c r="HU7" s="265">
        <f t="shared" si="14"/>
        <v>0</v>
      </c>
      <c r="HV7" s="265">
        <f t="shared" si="14"/>
        <v>0</v>
      </c>
      <c r="HW7" s="265">
        <f t="shared" si="14"/>
        <v>0</v>
      </c>
      <c r="HX7" s="1279">
        <f t="shared" si="14"/>
        <v>2</v>
      </c>
      <c r="HY7" s="1279">
        <f t="shared" si="14"/>
        <v>2</v>
      </c>
      <c r="HZ7" s="265">
        <f t="shared" si="14"/>
        <v>0</v>
      </c>
      <c r="IA7" s="265">
        <f t="shared" ref="IA7:ID7" si="15">SUM(IA8:IA154)</f>
        <v>0</v>
      </c>
      <c r="IB7" s="265">
        <f t="shared" si="15"/>
        <v>0</v>
      </c>
      <c r="IC7" s="265">
        <f t="shared" si="15"/>
        <v>2</v>
      </c>
      <c r="ID7" s="265">
        <f t="shared" si="15"/>
        <v>2</v>
      </c>
      <c r="IE7" s="968"/>
      <c r="IF7" s="265">
        <f>SUM(IG7:JE7)</f>
        <v>8</v>
      </c>
      <c r="IG7" s="265"/>
      <c r="IH7" s="1279">
        <f t="shared" ref="IH7:IZ7" si="16">SUM(IH8:IH154)</f>
        <v>0</v>
      </c>
      <c r="II7" s="1279">
        <f t="shared" si="16"/>
        <v>1</v>
      </c>
      <c r="IJ7" s="1279">
        <f t="shared" si="16"/>
        <v>0</v>
      </c>
      <c r="IK7" s="1279">
        <f t="shared" si="16"/>
        <v>0</v>
      </c>
      <c r="IL7" s="265">
        <f t="shared" si="16"/>
        <v>0</v>
      </c>
      <c r="IM7" s="265">
        <f t="shared" si="16"/>
        <v>0</v>
      </c>
      <c r="IN7" s="265">
        <f t="shared" si="16"/>
        <v>0</v>
      </c>
      <c r="IO7" s="265">
        <f t="shared" si="16"/>
        <v>2</v>
      </c>
      <c r="IP7" s="265">
        <f t="shared" si="16"/>
        <v>1</v>
      </c>
      <c r="IQ7" s="265">
        <f t="shared" si="16"/>
        <v>0</v>
      </c>
      <c r="IR7" s="265">
        <f t="shared" si="16"/>
        <v>0</v>
      </c>
      <c r="IS7" s="265">
        <f t="shared" si="16"/>
        <v>0</v>
      </c>
      <c r="IT7" s="265">
        <f t="shared" si="16"/>
        <v>0</v>
      </c>
      <c r="IU7" s="265">
        <f t="shared" si="16"/>
        <v>0</v>
      </c>
      <c r="IV7" s="265">
        <f t="shared" si="16"/>
        <v>0</v>
      </c>
      <c r="IW7" s="265">
        <f t="shared" si="16"/>
        <v>0</v>
      </c>
      <c r="IX7" s="1279">
        <f t="shared" si="16"/>
        <v>1</v>
      </c>
      <c r="IY7" s="1279">
        <f t="shared" si="16"/>
        <v>1</v>
      </c>
      <c r="IZ7" s="265">
        <f t="shared" si="16"/>
        <v>0</v>
      </c>
      <c r="JA7" s="265">
        <f t="shared" ref="JA7:JD7" si="17">SUM(JA8:JA154)</f>
        <v>0</v>
      </c>
      <c r="JB7" s="265">
        <f t="shared" si="17"/>
        <v>1</v>
      </c>
      <c r="JC7" s="265">
        <f t="shared" si="17"/>
        <v>0</v>
      </c>
      <c r="JD7" s="265">
        <f t="shared" si="17"/>
        <v>1</v>
      </c>
      <c r="JE7" s="968"/>
      <c r="JF7" s="265">
        <f>SUM(JG7:KE7)</f>
        <v>21</v>
      </c>
      <c r="JG7" s="265"/>
      <c r="JH7" s="1279">
        <f t="shared" ref="JH7:JZ7" si="18">SUM(JH8:JH154)</f>
        <v>2</v>
      </c>
      <c r="JI7" s="1279">
        <f t="shared" si="18"/>
        <v>1</v>
      </c>
      <c r="JJ7" s="1279">
        <f t="shared" si="18"/>
        <v>0</v>
      </c>
      <c r="JK7" s="1279">
        <f t="shared" si="18"/>
        <v>4</v>
      </c>
      <c r="JL7" s="265">
        <f t="shared" si="18"/>
        <v>0</v>
      </c>
      <c r="JM7" s="265">
        <f t="shared" si="18"/>
        <v>0</v>
      </c>
      <c r="JN7" s="265">
        <f t="shared" si="18"/>
        <v>0</v>
      </c>
      <c r="JO7" s="265">
        <f t="shared" si="18"/>
        <v>2</v>
      </c>
      <c r="JP7" s="265">
        <f t="shared" si="18"/>
        <v>1</v>
      </c>
      <c r="JQ7" s="265">
        <f t="shared" si="18"/>
        <v>0</v>
      </c>
      <c r="JR7" s="265">
        <f t="shared" si="18"/>
        <v>1</v>
      </c>
      <c r="JS7" s="265">
        <f t="shared" si="18"/>
        <v>0</v>
      </c>
      <c r="JT7" s="265">
        <f t="shared" si="18"/>
        <v>0</v>
      </c>
      <c r="JU7" s="265">
        <f t="shared" si="18"/>
        <v>0</v>
      </c>
      <c r="JV7" s="265">
        <f t="shared" si="18"/>
        <v>0</v>
      </c>
      <c r="JW7" s="265">
        <f t="shared" si="18"/>
        <v>0</v>
      </c>
      <c r="JX7" s="1279">
        <f t="shared" si="18"/>
        <v>2</v>
      </c>
      <c r="JY7" s="1279">
        <f t="shared" si="18"/>
        <v>2</v>
      </c>
      <c r="JZ7" s="265">
        <f t="shared" si="18"/>
        <v>0</v>
      </c>
      <c r="KA7" s="265">
        <f t="shared" ref="KA7:KD7" si="19">SUM(KA8:KA154)</f>
        <v>0</v>
      </c>
      <c r="KB7" s="265">
        <f t="shared" si="19"/>
        <v>2</v>
      </c>
      <c r="KC7" s="265">
        <f t="shared" si="19"/>
        <v>1</v>
      </c>
      <c r="KD7" s="265">
        <f t="shared" si="19"/>
        <v>3</v>
      </c>
      <c r="KE7" s="968"/>
      <c r="KF7" s="265">
        <f>SUM(KG7:LE7)</f>
        <v>8</v>
      </c>
      <c r="KG7" s="265"/>
      <c r="KH7" s="1279">
        <f t="shared" ref="KH7:KZ7" si="20">SUM(KH8:KH154)</f>
        <v>0</v>
      </c>
      <c r="KI7" s="1279">
        <f t="shared" si="20"/>
        <v>0</v>
      </c>
      <c r="KJ7" s="1279">
        <f t="shared" si="20"/>
        <v>3</v>
      </c>
      <c r="KK7" s="1279">
        <f t="shared" si="20"/>
        <v>1</v>
      </c>
      <c r="KL7" s="265">
        <f t="shared" si="20"/>
        <v>0</v>
      </c>
      <c r="KM7" s="265">
        <f t="shared" si="20"/>
        <v>0</v>
      </c>
      <c r="KN7" s="265">
        <f t="shared" si="20"/>
        <v>0</v>
      </c>
      <c r="KO7" s="265">
        <f t="shared" si="20"/>
        <v>0</v>
      </c>
      <c r="KP7" s="265">
        <f t="shared" si="20"/>
        <v>0</v>
      </c>
      <c r="KQ7" s="265">
        <f t="shared" si="20"/>
        <v>0</v>
      </c>
      <c r="KR7" s="265">
        <f t="shared" si="20"/>
        <v>0</v>
      </c>
      <c r="KS7" s="265">
        <f t="shared" si="20"/>
        <v>0</v>
      </c>
      <c r="KT7" s="265">
        <f t="shared" si="20"/>
        <v>0</v>
      </c>
      <c r="KU7" s="265">
        <f t="shared" si="20"/>
        <v>0</v>
      </c>
      <c r="KV7" s="265">
        <f t="shared" si="20"/>
        <v>0</v>
      </c>
      <c r="KW7" s="265">
        <f t="shared" si="20"/>
        <v>0</v>
      </c>
      <c r="KX7" s="1279">
        <f t="shared" si="20"/>
        <v>2</v>
      </c>
      <c r="KY7" s="1279">
        <f t="shared" si="20"/>
        <v>1</v>
      </c>
      <c r="KZ7" s="265">
        <f t="shared" si="20"/>
        <v>0</v>
      </c>
      <c r="LA7" s="265">
        <f t="shared" ref="LA7:LD7" si="21">SUM(LA8:LA154)</f>
        <v>0</v>
      </c>
      <c r="LB7" s="265">
        <f t="shared" si="21"/>
        <v>0</v>
      </c>
      <c r="LC7" s="265">
        <f t="shared" si="21"/>
        <v>0</v>
      </c>
      <c r="LD7" s="265">
        <f t="shared" si="21"/>
        <v>1</v>
      </c>
      <c r="LE7" s="968"/>
      <c r="LF7" s="265">
        <f>SUM(LG7:ME7)</f>
        <v>14</v>
      </c>
      <c r="LG7" s="265"/>
      <c r="LH7" s="1279">
        <f t="shared" ref="LH7:LZ7" si="22">SUM(LH8:LH154)</f>
        <v>2</v>
      </c>
      <c r="LI7" s="1279">
        <f t="shared" si="22"/>
        <v>0</v>
      </c>
      <c r="LJ7" s="1279">
        <f t="shared" si="22"/>
        <v>1</v>
      </c>
      <c r="LK7" s="1279">
        <f t="shared" si="22"/>
        <v>1</v>
      </c>
      <c r="LL7" s="265">
        <f t="shared" si="22"/>
        <v>0</v>
      </c>
      <c r="LM7" s="265">
        <f t="shared" si="22"/>
        <v>0</v>
      </c>
      <c r="LN7" s="265">
        <f t="shared" si="22"/>
        <v>0</v>
      </c>
      <c r="LO7" s="265">
        <f t="shared" si="22"/>
        <v>0</v>
      </c>
      <c r="LP7" s="265">
        <f t="shared" si="22"/>
        <v>0</v>
      </c>
      <c r="LQ7" s="265">
        <f t="shared" si="22"/>
        <v>0</v>
      </c>
      <c r="LR7" s="265">
        <f t="shared" si="22"/>
        <v>0</v>
      </c>
      <c r="LS7" s="265">
        <f t="shared" si="22"/>
        <v>1</v>
      </c>
      <c r="LT7" s="265">
        <f t="shared" si="22"/>
        <v>0</v>
      </c>
      <c r="LU7" s="265">
        <f t="shared" si="22"/>
        <v>0</v>
      </c>
      <c r="LV7" s="265">
        <f t="shared" si="22"/>
        <v>0</v>
      </c>
      <c r="LW7" s="265">
        <f t="shared" si="22"/>
        <v>0</v>
      </c>
      <c r="LX7" s="1279">
        <f t="shared" si="22"/>
        <v>1</v>
      </c>
      <c r="LY7" s="1279">
        <f t="shared" si="22"/>
        <v>2</v>
      </c>
      <c r="LZ7" s="265">
        <f t="shared" si="22"/>
        <v>0</v>
      </c>
      <c r="MA7" s="265">
        <f t="shared" ref="MA7:MD7" si="23">SUM(MA8:MA154)</f>
        <v>0</v>
      </c>
      <c r="MB7" s="265">
        <f t="shared" si="23"/>
        <v>0</v>
      </c>
      <c r="MC7" s="265">
        <f t="shared" si="23"/>
        <v>2</v>
      </c>
      <c r="MD7" s="265">
        <f t="shared" si="23"/>
        <v>4</v>
      </c>
      <c r="ME7" s="968"/>
      <c r="MF7" s="265">
        <f>SUM(MG7:NE7)</f>
        <v>5</v>
      </c>
      <c r="MG7" s="265"/>
      <c r="MH7" s="1279">
        <f t="shared" ref="MH7:NC7" si="24">SUM(MH8:MH154)</f>
        <v>0</v>
      </c>
      <c r="MI7" s="1279">
        <f t="shared" si="24"/>
        <v>0</v>
      </c>
      <c r="MJ7" s="1279">
        <f t="shared" si="24"/>
        <v>1</v>
      </c>
      <c r="MK7" s="1279">
        <f t="shared" si="24"/>
        <v>0</v>
      </c>
      <c r="ML7" s="265">
        <f t="shared" si="24"/>
        <v>0</v>
      </c>
      <c r="MM7" s="265">
        <f t="shared" si="24"/>
        <v>0</v>
      </c>
      <c r="MN7" s="265">
        <f t="shared" si="24"/>
        <v>0</v>
      </c>
      <c r="MO7" s="265">
        <f t="shared" si="24"/>
        <v>0</v>
      </c>
      <c r="MP7" s="265">
        <f t="shared" si="24"/>
        <v>0</v>
      </c>
      <c r="MQ7" s="265">
        <f t="shared" si="24"/>
        <v>0</v>
      </c>
      <c r="MR7" s="265">
        <f t="shared" si="24"/>
        <v>1</v>
      </c>
      <c r="MS7" s="265">
        <f t="shared" si="24"/>
        <v>0</v>
      </c>
      <c r="MT7" s="265">
        <f t="shared" si="24"/>
        <v>0</v>
      </c>
      <c r="MU7" s="265">
        <f t="shared" si="24"/>
        <v>0</v>
      </c>
      <c r="MV7" s="265">
        <f t="shared" si="24"/>
        <v>0</v>
      </c>
      <c r="MW7" s="265">
        <f t="shared" si="24"/>
        <v>0</v>
      </c>
      <c r="MX7" s="1279">
        <f t="shared" si="24"/>
        <v>1</v>
      </c>
      <c r="MY7" s="1279">
        <f t="shared" si="24"/>
        <v>2</v>
      </c>
      <c r="MZ7" s="265">
        <f t="shared" si="24"/>
        <v>0</v>
      </c>
      <c r="NA7" s="265">
        <f t="shared" si="24"/>
        <v>0</v>
      </c>
      <c r="NB7" s="265">
        <f t="shared" si="24"/>
        <v>0</v>
      </c>
      <c r="NC7" s="265">
        <f t="shared" si="24"/>
        <v>0</v>
      </c>
      <c r="ND7" s="265">
        <f>SUM(ND8:ND154)</f>
        <v>0</v>
      </c>
      <c r="NE7" s="968"/>
      <c r="NF7" s="265">
        <f>SUM(NG7:OE7)</f>
        <v>61</v>
      </c>
      <c r="NG7" s="265"/>
      <c r="NH7" s="1279">
        <f t="shared" ref="NH7:NZ7" si="25">SUM(NH8:NH154)</f>
        <v>5</v>
      </c>
      <c r="NI7" s="1279">
        <f t="shared" si="25"/>
        <v>2</v>
      </c>
      <c r="NJ7" s="1279">
        <f t="shared" si="25"/>
        <v>6</v>
      </c>
      <c r="NK7" s="1279">
        <f t="shared" si="25"/>
        <v>5</v>
      </c>
      <c r="NL7" s="265">
        <f t="shared" si="25"/>
        <v>0</v>
      </c>
      <c r="NM7" s="265">
        <f t="shared" si="25"/>
        <v>0</v>
      </c>
      <c r="NN7" s="265">
        <f t="shared" si="25"/>
        <v>0</v>
      </c>
      <c r="NO7" s="265">
        <f t="shared" si="25"/>
        <v>7</v>
      </c>
      <c r="NP7" s="265">
        <f t="shared" si="25"/>
        <v>0</v>
      </c>
      <c r="NQ7" s="265">
        <f t="shared" si="25"/>
        <v>1</v>
      </c>
      <c r="NR7" s="265">
        <f t="shared" si="25"/>
        <v>8</v>
      </c>
      <c r="NS7" s="265">
        <f t="shared" si="25"/>
        <v>2</v>
      </c>
      <c r="NT7" s="265">
        <f t="shared" si="25"/>
        <v>0</v>
      </c>
      <c r="NU7" s="265">
        <f t="shared" si="25"/>
        <v>0</v>
      </c>
      <c r="NV7" s="265">
        <f t="shared" si="25"/>
        <v>0</v>
      </c>
      <c r="NW7" s="265">
        <f t="shared" si="25"/>
        <v>0</v>
      </c>
      <c r="NX7" s="1279">
        <f t="shared" si="25"/>
        <v>9</v>
      </c>
      <c r="NY7" s="1279">
        <f t="shared" si="25"/>
        <v>1</v>
      </c>
      <c r="NZ7" s="265">
        <f t="shared" si="25"/>
        <v>0</v>
      </c>
      <c r="OA7" s="265">
        <f t="shared" ref="OA7:OD7" si="26">SUM(OA8:OA154)</f>
        <v>0</v>
      </c>
      <c r="OB7" s="265">
        <f t="shared" si="26"/>
        <v>6</v>
      </c>
      <c r="OC7" s="265">
        <f t="shared" si="26"/>
        <v>1</v>
      </c>
      <c r="OD7" s="265">
        <f t="shared" si="26"/>
        <v>8</v>
      </c>
      <c r="OE7" s="968"/>
      <c r="OF7" s="265">
        <f>SUM(OG7:PE7)</f>
        <v>12</v>
      </c>
      <c r="OG7" s="265"/>
      <c r="OH7" s="1279">
        <f t="shared" ref="OH7:OJ7" si="27">SUM(OH8:OH154)</f>
        <v>2</v>
      </c>
      <c r="OI7" s="1279">
        <f t="shared" si="27"/>
        <v>0</v>
      </c>
      <c r="OJ7" s="1279">
        <f t="shared" si="27"/>
        <v>2</v>
      </c>
      <c r="OK7" s="1279">
        <f>SUM(OK8:OK154)</f>
        <v>1</v>
      </c>
      <c r="OL7" s="265">
        <f t="shared" ref="OL7:OZ7" si="28">SUM(OL8:OL154)</f>
        <v>0</v>
      </c>
      <c r="OM7" s="265">
        <f t="shared" si="28"/>
        <v>0</v>
      </c>
      <c r="ON7" s="265">
        <f t="shared" si="28"/>
        <v>0</v>
      </c>
      <c r="OO7" s="265">
        <f t="shared" si="28"/>
        <v>1</v>
      </c>
      <c r="OP7" s="265">
        <f t="shared" si="28"/>
        <v>0</v>
      </c>
      <c r="OQ7" s="265">
        <f t="shared" si="28"/>
        <v>0</v>
      </c>
      <c r="OR7" s="265">
        <f t="shared" si="28"/>
        <v>1</v>
      </c>
      <c r="OS7" s="265">
        <f t="shared" si="28"/>
        <v>2</v>
      </c>
      <c r="OT7" s="265">
        <f t="shared" si="28"/>
        <v>0</v>
      </c>
      <c r="OU7" s="265">
        <f t="shared" si="28"/>
        <v>0</v>
      </c>
      <c r="OV7" s="265">
        <f t="shared" si="28"/>
        <v>0</v>
      </c>
      <c r="OW7" s="265">
        <f t="shared" si="28"/>
        <v>0</v>
      </c>
      <c r="OX7" s="1279">
        <f t="shared" si="28"/>
        <v>0</v>
      </c>
      <c r="OY7" s="1279">
        <f t="shared" si="28"/>
        <v>0</v>
      </c>
      <c r="OZ7" s="265">
        <f t="shared" si="28"/>
        <v>0</v>
      </c>
      <c r="PA7" s="265">
        <f t="shared" ref="PA7:PD7" si="29">SUM(PA8:PA154)</f>
        <v>0</v>
      </c>
      <c r="PB7" s="265">
        <f t="shared" si="29"/>
        <v>2</v>
      </c>
      <c r="PC7" s="265">
        <f t="shared" si="29"/>
        <v>1</v>
      </c>
      <c r="PD7" s="265">
        <f t="shared" si="29"/>
        <v>0</v>
      </c>
      <c r="PE7" s="968"/>
      <c r="PF7" s="265">
        <f>SUM(PG7:QE7)</f>
        <v>2</v>
      </c>
      <c r="PG7" s="265"/>
      <c r="PH7" s="1279">
        <f t="shared" ref="PH7:PZ7" si="30">SUM(PH8:PH154)</f>
        <v>1</v>
      </c>
      <c r="PI7" s="1279">
        <f t="shared" si="30"/>
        <v>0</v>
      </c>
      <c r="PJ7" s="1279">
        <f t="shared" si="30"/>
        <v>0</v>
      </c>
      <c r="PK7" s="1279">
        <f t="shared" si="30"/>
        <v>0</v>
      </c>
      <c r="PL7" s="265">
        <f t="shared" si="30"/>
        <v>0</v>
      </c>
      <c r="PM7" s="265">
        <f t="shared" si="30"/>
        <v>0</v>
      </c>
      <c r="PN7" s="265">
        <f t="shared" si="30"/>
        <v>0</v>
      </c>
      <c r="PO7" s="265">
        <f t="shared" si="30"/>
        <v>0</v>
      </c>
      <c r="PP7" s="265">
        <f t="shared" si="30"/>
        <v>1</v>
      </c>
      <c r="PQ7" s="265">
        <f t="shared" si="30"/>
        <v>0</v>
      </c>
      <c r="PR7" s="265">
        <f t="shared" si="30"/>
        <v>0</v>
      </c>
      <c r="PS7" s="265">
        <f t="shared" si="30"/>
        <v>0</v>
      </c>
      <c r="PT7" s="265">
        <f t="shared" si="30"/>
        <v>0</v>
      </c>
      <c r="PU7" s="265">
        <f t="shared" si="30"/>
        <v>0</v>
      </c>
      <c r="PV7" s="265">
        <f t="shared" si="30"/>
        <v>0</v>
      </c>
      <c r="PW7" s="265">
        <f t="shared" si="30"/>
        <v>0</v>
      </c>
      <c r="PX7" s="1279">
        <f t="shared" si="30"/>
        <v>0</v>
      </c>
      <c r="PY7" s="1279">
        <f t="shared" si="30"/>
        <v>0</v>
      </c>
      <c r="PZ7" s="265">
        <f t="shared" si="30"/>
        <v>0</v>
      </c>
      <c r="QA7" s="265">
        <f t="shared" ref="QA7:QD7" si="31">SUM(QA8:QA154)</f>
        <v>0</v>
      </c>
      <c r="QB7" s="265">
        <f t="shared" si="31"/>
        <v>0</v>
      </c>
      <c r="QC7" s="265">
        <f t="shared" si="31"/>
        <v>0</v>
      </c>
      <c r="QD7" s="265">
        <f t="shared" si="31"/>
        <v>0</v>
      </c>
      <c r="QE7" s="968"/>
    </row>
    <row r="8" spans="2:447" x14ac:dyDescent="0.3">
      <c r="B8">
        <v>0</v>
      </c>
      <c r="D8" t="s">
        <v>1866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967"/>
      <c r="AF8" s="8"/>
      <c r="AG8" s="8"/>
      <c r="AH8" s="8"/>
      <c r="AI8" s="8">
        <v>1</v>
      </c>
      <c r="AJ8" s="8"/>
      <c r="AK8" s="8"/>
      <c r="AL8" s="8"/>
      <c r="AM8" s="8"/>
      <c r="AN8" s="8"/>
      <c r="AO8" s="8" t="s">
        <v>107</v>
      </c>
      <c r="AP8" s="8" t="s">
        <v>107</v>
      </c>
      <c r="AQ8" s="8"/>
      <c r="AR8" s="8"/>
      <c r="AS8" s="8"/>
      <c r="AT8" s="8">
        <v>1</v>
      </c>
      <c r="AU8" s="8"/>
      <c r="AV8" s="8"/>
      <c r="AW8" s="8"/>
      <c r="AX8" s="8">
        <v>7</v>
      </c>
      <c r="AY8" s="8"/>
      <c r="AZ8" s="8"/>
      <c r="BA8" s="8"/>
      <c r="BB8" s="8"/>
      <c r="BC8" s="8"/>
      <c r="BD8" s="8">
        <v>1</v>
      </c>
      <c r="BE8" s="967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967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>
        <v>1</v>
      </c>
      <c r="CU8" s="8"/>
      <c r="CV8" s="8"/>
      <c r="CW8" s="8"/>
      <c r="CX8" s="8"/>
      <c r="CY8" s="8"/>
      <c r="CZ8" s="8"/>
      <c r="DA8" s="8"/>
      <c r="DB8" s="8">
        <f t="shared" ref="DB8:DD9" si="32">BB8+CB8</f>
        <v>0</v>
      </c>
      <c r="DC8" s="8">
        <f t="shared" si="32"/>
        <v>0</v>
      </c>
      <c r="DD8" s="8">
        <f t="shared" si="32"/>
        <v>1</v>
      </c>
      <c r="DE8" s="967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967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>
        <v>2</v>
      </c>
      <c r="FE8" s="967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>
        <v>2</v>
      </c>
      <c r="FY8" s="8"/>
      <c r="FZ8" s="8"/>
      <c r="GA8" s="8"/>
      <c r="GB8" s="8">
        <v>1</v>
      </c>
      <c r="GC8" s="8" t="s">
        <v>107</v>
      </c>
      <c r="GD8" s="8" t="s">
        <v>107</v>
      </c>
      <c r="GE8" s="967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>
        <v>1</v>
      </c>
      <c r="HC8" s="8" t="s">
        <v>107</v>
      </c>
      <c r="HD8" s="8" t="s">
        <v>107</v>
      </c>
      <c r="HE8" s="967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967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967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967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967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967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967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967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967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967"/>
    </row>
    <row r="9" spans="2:447" x14ac:dyDescent="0.3">
      <c r="B9">
        <v>1</v>
      </c>
      <c r="D9" t="s">
        <v>1798</v>
      </c>
      <c r="F9" s="8">
        <f t="shared" ref="F9:F49" si="33">SUM(G9:AD9)</f>
        <v>290</v>
      </c>
      <c r="G9" s="8"/>
      <c r="H9" s="8">
        <v>21</v>
      </c>
      <c r="I9" s="8">
        <v>4</v>
      </c>
      <c r="J9" s="8">
        <v>20</v>
      </c>
      <c r="K9" s="8">
        <v>22</v>
      </c>
      <c r="L9" s="8">
        <v>1</v>
      </c>
      <c r="M9" s="8">
        <v>18</v>
      </c>
      <c r="N9" s="8">
        <v>2</v>
      </c>
      <c r="O9" s="8">
        <v>16</v>
      </c>
      <c r="P9" s="8">
        <v>3</v>
      </c>
      <c r="Q9" s="8">
        <v>3</v>
      </c>
      <c r="R9" s="8">
        <v>18</v>
      </c>
      <c r="S9" s="8">
        <v>17</v>
      </c>
      <c r="T9" s="8">
        <v>16</v>
      </c>
      <c r="U9" s="8">
        <v>20</v>
      </c>
      <c r="V9" s="8">
        <v>16</v>
      </c>
      <c r="W9" s="8">
        <v>13</v>
      </c>
      <c r="X9" s="8">
        <v>12</v>
      </c>
      <c r="Y9" s="8">
        <v>16</v>
      </c>
      <c r="Z9" s="8"/>
      <c r="AA9" s="8"/>
      <c r="AB9" s="8">
        <v>17</v>
      </c>
      <c r="AC9" s="8">
        <v>17</v>
      </c>
      <c r="AD9" s="8">
        <v>18</v>
      </c>
      <c r="AE9" s="967"/>
      <c r="AF9" s="8">
        <f>SUM(AG9:BD9)</f>
        <v>178</v>
      </c>
      <c r="AG9" s="8"/>
      <c r="AH9" s="8">
        <v>14</v>
      </c>
      <c r="AI9" s="8">
        <v>5</v>
      </c>
      <c r="AJ9" s="8">
        <v>22</v>
      </c>
      <c r="AK9" s="8">
        <v>20</v>
      </c>
      <c r="AL9" s="8"/>
      <c r="AM9" s="8"/>
      <c r="AN9" s="8"/>
      <c r="AO9" s="8">
        <v>23</v>
      </c>
      <c r="AP9" s="8">
        <v>2</v>
      </c>
      <c r="AQ9" s="8">
        <v>3</v>
      </c>
      <c r="AR9" s="8">
        <v>14</v>
      </c>
      <c r="AS9" s="8">
        <v>12</v>
      </c>
      <c r="AT9" s="8">
        <v>9</v>
      </c>
      <c r="AU9" s="8"/>
      <c r="AV9" s="8"/>
      <c r="AW9" s="8"/>
      <c r="AX9" s="8">
        <v>12</v>
      </c>
      <c r="AY9" s="8">
        <v>11</v>
      </c>
      <c r="AZ9" s="8"/>
      <c r="BA9" s="8"/>
      <c r="BB9" s="8">
        <v>9</v>
      </c>
      <c r="BC9" s="8">
        <v>12</v>
      </c>
      <c r="BD9" s="8">
        <v>10</v>
      </c>
      <c r="BE9" s="967"/>
      <c r="BF9" s="8">
        <f>SUM(BG9:CD9)</f>
        <v>91</v>
      </c>
      <c r="BG9" s="8"/>
      <c r="BH9" s="8">
        <v>4</v>
      </c>
      <c r="BI9" s="8">
        <v>2</v>
      </c>
      <c r="BJ9" s="8">
        <v>8</v>
      </c>
      <c r="BK9" s="8">
        <v>14</v>
      </c>
      <c r="BL9" s="8"/>
      <c r="BM9" s="8"/>
      <c r="BN9" s="8"/>
      <c r="BO9" s="8">
        <v>4</v>
      </c>
      <c r="BP9" s="8">
        <v>2</v>
      </c>
      <c r="BQ9" s="8">
        <v>2</v>
      </c>
      <c r="BR9" s="8">
        <v>10</v>
      </c>
      <c r="BS9" s="8">
        <v>8</v>
      </c>
      <c r="BT9" s="8">
        <v>4</v>
      </c>
      <c r="BU9" s="8"/>
      <c r="BV9" s="8"/>
      <c r="BW9" s="8"/>
      <c r="BX9" s="8">
        <v>3</v>
      </c>
      <c r="BY9" s="8">
        <v>7</v>
      </c>
      <c r="BZ9" s="8"/>
      <c r="CA9" s="8"/>
      <c r="CB9" s="8">
        <v>8</v>
      </c>
      <c r="CC9" s="8">
        <v>9</v>
      </c>
      <c r="CD9" s="8">
        <v>6</v>
      </c>
      <c r="CE9" s="967"/>
      <c r="CF9" s="8">
        <f>SUM(CG9:DD9)</f>
        <v>269</v>
      </c>
      <c r="CG9" s="8"/>
      <c r="CH9" s="8">
        <v>18</v>
      </c>
      <c r="CI9" s="8">
        <v>7</v>
      </c>
      <c r="CJ9" s="8">
        <v>30</v>
      </c>
      <c r="CK9" s="8">
        <v>34</v>
      </c>
      <c r="CL9" s="8"/>
      <c r="CM9" s="8"/>
      <c r="CN9" s="8"/>
      <c r="CO9" s="8">
        <v>27</v>
      </c>
      <c r="CP9" s="8">
        <v>4</v>
      </c>
      <c r="CQ9" s="8">
        <v>5</v>
      </c>
      <c r="CR9" s="8">
        <v>24</v>
      </c>
      <c r="CS9" s="8">
        <v>20</v>
      </c>
      <c r="CT9" s="8">
        <v>13</v>
      </c>
      <c r="CU9" s="8"/>
      <c r="CV9" s="8"/>
      <c r="CW9" s="8"/>
      <c r="CX9" s="8">
        <v>15</v>
      </c>
      <c r="CY9" s="8">
        <v>18</v>
      </c>
      <c r="CZ9" s="8"/>
      <c r="DA9" s="8"/>
      <c r="DB9" s="8">
        <f t="shared" si="32"/>
        <v>17</v>
      </c>
      <c r="DC9" s="8">
        <f t="shared" si="32"/>
        <v>21</v>
      </c>
      <c r="DD9" s="8">
        <f t="shared" si="32"/>
        <v>16</v>
      </c>
      <c r="DE9" s="967"/>
      <c r="DF9" s="8">
        <f>SUM(DG9:ED9)</f>
        <v>5</v>
      </c>
      <c r="DG9" s="8"/>
      <c r="DH9" s="8">
        <v>1</v>
      </c>
      <c r="DI9" s="8">
        <v>0</v>
      </c>
      <c r="DJ9" s="8">
        <v>0</v>
      </c>
      <c r="DK9" s="8">
        <v>2</v>
      </c>
      <c r="DL9" s="8"/>
      <c r="DM9" s="8"/>
      <c r="DN9" s="8"/>
      <c r="DO9" s="8">
        <v>1</v>
      </c>
      <c r="DP9" s="8">
        <v>0</v>
      </c>
      <c r="DQ9" s="8">
        <v>0</v>
      </c>
      <c r="DR9" s="8">
        <v>0</v>
      </c>
      <c r="DS9" s="8">
        <v>1</v>
      </c>
      <c r="DT9" s="8"/>
      <c r="DU9" s="8"/>
      <c r="DV9" s="8"/>
      <c r="DW9" s="8"/>
      <c r="DX9" s="8">
        <v>0</v>
      </c>
      <c r="DY9" s="8">
        <v>0</v>
      </c>
      <c r="DZ9" s="8"/>
      <c r="EA9" s="8"/>
      <c r="EB9" s="8">
        <v>0</v>
      </c>
      <c r="EC9" s="8">
        <v>0</v>
      </c>
      <c r="ED9" s="8">
        <v>0</v>
      </c>
      <c r="EE9" s="967"/>
      <c r="EF9" s="8">
        <f>SUM(EG9:FD9)</f>
        <v>24</v>
      </c>
      <c r="EG9" s="8"/>
      <c r="EH9" s="8">
        <v>2</v>
      </c>
      <c r="EI9" s="8">
        <v>0</v>
      </c>
      <c r="EJ9" s="8">
        <v>0</v>
      </c>
      <c r="EK9" s="8">
        <v>4</v>
      </c>
      <c r="EL9" s="8"/>
      <c r="EM9" s="8"/>
      <c r="EN9" s="8"/>
      <c r="EO9" s="8">
        <v>2</v>
      </c>
      <c r="EP9" s="8">
        <v>0</v>
      </c>
      <c r="EQ9" s="8">
        <v>0</v>
      </c>
      <c r="ER9" s="8">
        <v>0</v>
      </c>
      <c r="ES9" s="8">
        <v>2</v>
      </c>
      <c r="ET9" s="8"/>
      <c r="EU9" s="8"/>
      <c r="EV9" s="8"/>
      <c r="EW9" s="8"/>
      <c r="EX9" s="8">
        <v>0</v>
      </c>
      <c r="EY9" s="8">
        <v>2</v>
      </c>
      <c r="EZ9" s="8"/>
      <c r="FA9" s="8"/>
      <c r="FB9" s="8">
        <v>6</v>
      </c>
      <c r="FC9" s="8">
        <v>6</v>
      </c>
      <c r="FD9" s="8">
        <v>0</v>
      </c>
      <c r="FE9" s="967"/>
      <c r="FF9" s="8">
        <f t="shared" ref="FF9:FF72" si="34">SUM(FG9:GD9)</f>
        <v>19</v>
      </c>
      <c r="FG9" s="8"/>
      <c r="FH9" s="8">
        <v>1</v>
      </c>
      <c r="FI9" s="8">
        <v>0</v>
      </c>
      <c r="FJ9" s="8">
        <v>3</v>
      </c>
      <c r="FK9" s="8">
        <v>3</v>
      </c>
      <c r="FL9" s="8"/>
      <c r="FM9" s="8"/>
      <c r="FN9" s="8"/>
      <c r="FO9" s="8">
        <v>4</v>
      </c>
      <c r="FP9" s="8">
        <v>0</v>
      </c>
      <c r="FQ9" s="8">
        <v>0</v>
      </c>
      <c r="FR9" s="8">
        <v>2</v>
      </c>
      <c r="FS9" s="8">
        <v>2</v>
      </c>
      <c r="FT9" s="8">
        <v>0</v>
      </c>
      <c r="FU9" s="8"/>
      <c r="FV9" s="8"/>
      <c r="FW9" s="8"/>
      <c r="FX9" s="8">
        <v>2</v>
      </c>
      <c r="FY9" s="8">
        <v>1</v>
      </c>
      <c r="FZ9" s="8"/>
      <c r="GA9" s="8"/>
      <c r="GB9" s="8">
        <v>0</v>
      </c>
      <c r="GC9" s="8">
        <v>1</v>
      </c>
      <c r="GD9" s="8">
        <v>0</v>
      </c>
      <c r="GE9" s="967"/>
      <c r="GF9" s="8">
        <f>SUM(GG9:HD9)</f>
        <v>21</v>
      </c>
      <c r="GG9" s="8"/>
      <c r="GH9" s="8">
        <v>2</v>
      </c>
      <c r="GI9" s="8">
        <v>0</v>
      </c>
      <c r="GJ9" s="8">
        <v>0</v>
      </c>
      <c r="GK9" s="8">
        <v>4</v>
      </c>
      <c r="GL9" s="8"/>
      <c r="GM9" s="8"/>
      <c r="GN9" s="8"/>
      <c r="GO9" s="8">
        <v>4</v>
      </c>
      <c r="GP9" s="8">
        <v>0</v>
      </c>
      <c r="GQ9" s="8">
        <v>2</v>
      </c>
      <c r="GR9" s="8">
        <v>2</v>
      </c>
      <c r="GS9" s="8">
        <v>0</v>
      </c>
      <c r="GT9" s="8"/>
      <c r="GU9" s="8"/>
      <c r="GV9" s="8"/>
      <c r="GW9" s="8"/>
      <c r="GX9" s="8">
        <v>1</v>
      </c>
      <c r="GY9" s="8">
        <v>0</v>
      </c>
      <c r="GZ9" s="8"/>
      <c r="HA9" s="8"/>
      <c r="HB9" s="8">
        <v>1</v>
      </c>
      <c r="HC9" s="8">
        <v>1</v>
      </c>
      <c r="HD9" s="8">
        <v>4</v>
      </c>
      <c r="HE9" s="967"/>
      <c r="HF9" s="8">
        <f>SUM(HG9:ID9)</f>
        <v>1</v>
      </c>
      <c r="HG9" s="8"/>
      <c r="HH9" s="8">
        <v>0</v>
      </c>
      <c r="HI9" s="8">
        <v>0</v>
      </c>
      <c r="HJ9" s="8">
        <v>0</v>
      </c>
      <c r="HK9" s="8">
        <v>0</v>
      </c>
      <c r="HL9" s="8"/>
      <c r="HM9" s="8"/>
      <c r="HN9" s="8"/>
      <c r="HO9" s="8">
        <v>0</v>
      </c>
      <c r="HP9" s="8">
        <v>0</v>
      </c>
      <c r="HQ9" s="8">
        <v>0</v>
      </c>
      <c r="HR9" s="8">
        <v>0</v>
      </c>
      <c r="HS9" s="8">
        <v>0</v>
      </c>
      <c r="HT9" s="8"/>
      <c r="HU9" s="8"/>
      <c r="HV9" s="8"/>
      <c r="HW9" s="8"/>
      <c r="HX9" s="8">
        <v>1</v>
      </c>
      <c r="HY9" s="8">
        <v>0</v>
      </c>
      <c r="HZ9" s="8"/>
      <c r="IA9" s="8"/>
      <c r="IB9" s="8">
        <v>0</v>
      </c>
      <c r="IC9" s="8">
        <v>0</v>
      </c>
      <c r="ID9" s="8">
        <v>0</v>
      </c>
      <c r="IE9" s="967"/>
      <c r="IF9" s="8">
        <f>SUM(IG9:JD9)</f>
        <v>1</v>
      </c>
      <c r="IG9" s="8"/>
      <c r="IH9" s="8">
        <v>0</v>
      </c>
      <c r="II9" s="8">
        <v>0</v>
      </c>
      <c r="IJ9" s="8">
        <v>0</v>
      </c>
      <c r="IK9" s="8">
        <v>0</v>
      </c>
      <c r="IL9" s="8"/>
      <c r="IM9" s="8"/>
      <c r="IN9" s="8"/>
      <c r="IO9" s="8">
        <v>0</v>
      </c>
      <c r="IP9" s="8">
        <v>0</v>
      </c>
      <c r="IQ9" s="8">
        <v>0</v>
      </c>
      <c r="IR9" s="8">
        <v>0</v>
      </c>
      <c r="IS9" s="8">
        <v>0</v>
      </c>
      <c r="IT9" s="8"/>
      <c r="IU9" s="8"/>
      <c r="IV9" s="8"/>
      <c r="IW9" s="8"/>
      <c r="IX9" s="8">
        <v>0</v>
      </c>
      <c r="IY9" s="8">
        <v>0</v>
      </c>
      <c r="IZ9" s="8"/>
      <c r="JA9" s="8"/>
      <c r="JB9" s="8">
        <v>0</v>
      </c>
      <c r="JC9" s="8">
        <v>0</v>
      </c>
      <c r="JD9" s="8">
        <v>1</v>
      </c>
      <c r="JE9" s="967"/>
      <c r="JF9" s="8">
        <f>SUM(JG9:KD9)</f>
        <v>2</v>
      </c>
      <c r="JG9" s="8"/>
      <c r="JH9" s="8">
        <v>0</v>
      </c>
      <c r="JI9" s="8">
        <v>0</v>
      </c>
      <c r="JJ9" s="8">
        <v>0</v>
      </c>
      <c r="JK9" s="8">
        <v>1</v>
      </c>
      <c r="JL9" s="8"/>
      <c r="JM9" s="8"/>
      <c r="JN9" s="8"/>
      <c r="JO9" s="8">
        <v>0</v>
      </c>
      <c r="JP9" s="8">
        <v>0</v>
      </c>
      <c r="JQ9" s="8">
        <v>0</v>
      </c>
      <c r="JR9" s="8">
        <v>0</v>
      </c>
      <c r="JS9" s="8">
        <v>0</v>
      </c>
      <c r="JT9" s="8"/>
      <c r="JU9" s="8"/>
      <c r="JV9" s="8"/>
      <c r="JW9" s="8"/>
      <c r="JX9" s="8">
        <v>0</v>
      </c>
      <c r="JY9" s="8">
        <v>0</v>
      </c>
      <c r="JZ9" s="8"/>
      <c r="KA9" s="8"/>
      <c r="KB9" s="8">
        <v>0</v>
      </c>
      <c r="KC9" s="8">
        <v>0</v>
      </c>
      <c r="KD9" s="8">
        <v>1</v>
      </c>
      <c r="KE9" s="967"/>
      <c r="KF9" s="8">
        <f>SUM(KG9:LD9)</f>
        <v>0</v>
      </c>
      <c r="KG9" s="8"/>
      <c r="KH9" s="8">
        <v>0</v>
      </c>
      <c r="KI9" s="8">
        <v>0</v>
      </c>
      <c r="KJ9" s="8">
        <v>0</v>
      </c>
      <c r="KK9" s="8">
        <v>0</v>
      </c>
      <c r="KL9" s="8"/>
      <c r="KM9" s="8"/>
      <c r="KN9" s="8"/>
      <c r="KO9" s="8">
        <v>0</v>
      </c>
      <c r="KP9" s="8">
        <v>0</v>
      </c>
      <c r="KQ9" s="8">
        <v>0</v>
      </c>
      <c r="KR9" s="8">
        <v>0</v>
      </c>
      <c r="KS9" s="8">
        <v>0</v>
      </c>
      <c r="KT9" s="8"/>
      <c r="KU9" s="8"/>
      <c r="KV9" s="8"/>
      <c r="KW9" s="8"/>
      <c r="KX9" s="8">
        <v>0</v>
      </c>
      <c r="KY9" s="8">
        <v>0</v>
      </c>
      <c r="KZ9" s="8"/>
      <c r="LA9" s="8"/>
      <c r="LB9" s="8">
        <v>0</v>
      </c>
      <c r="LC9" s="8">
        <v>0</v>
      </c>
      <c r="LD9" s="8">
        <v>0</v>
      </c>
      <c r="LE9" s="967"/>
      <c r="LF9" s="8">
        <f>SUM(LG9:MD9)</f>
        <v>1</v>
      </c>
      <c r="LG9" s="8"/>
      <c r="LH9" s="8">
        <v>0</v>
      </c>
      <c r="LI9" s="8">
        <v>0</v>
      </c>
      <c r="LJ9" s="8">
        <v>0</v>
      </c>
      <c r="LK9" s="8">
        <v>0</v>
      </c>
      <c r="LL9" s="8"/>
      <c r="LM9" s="8"/>
      <c r="LN9" s="8"/>
      <c r="LO9" s="8">
        <v>0</v>
      </c>
      <c r="LP9" s="8">
        <v>0</v>
      </c>
      <c r="LQ9" s="8">
        <v>0</v>
      </c>
      <c r="LR9" s="8">
        <v>0</v>
      </c>
      <c r="LS9" s="8">
        <v>0</v>
      </c>
      <c r="LT9" s="8"/>
      <c r="LU9" s="8"/>
      <c r="LV9" s="8"/>
      <c r="LW9" s="8"/>
      <c r="LX9" s="8">
        <v>0</v>
      </c>
      <c r="LY9" s="8">
        <v>0</v>
      </c>
      <c r="LZ9" s="8"/>
      <c r="MA9" s="8"/>
      <c r="MB9" s="8">
        <v>0</v>
      </c>
      <c r="MC9" s="8">
        <v>1</v>
      </c>
      <c r="MD9" s="8">
        <v>0</v>
      </c>
      <c r="ME9" s="967"/>
      <c r="MF9" s="8">
        <f>SUM(MG9:ND9)</f>
        <v>1</v>
      </c>
      <c r="MG9" s="8"/>
      <c r="MH9" s="8">
        <v>0</v>
      </c>
      <c r="MI9" s="8">
        <v>0</v>
      </c>
      <c r="MJ9" s="8">
        <v>0</v>
      </c>
      <c r="MK9" s="8">
        <v>0</v>
      </c>
      <c r="ML9" s="8"/>
      <c r="MM9" s="8"/>
      <c r="MN9" s="8"/>
      <c r="MO9" s="8">
        <v>0</v>
      </c>
      <c r="MP9" s="8">
        <v>0</v>
      </c>
      <c r="MQ9" s="8">
        <v>0</v>
      </c>
      <c r="MR9" s="8">
        <v>1</v>
      </c>
      <c r="MS9" s="8">
        <v>0</v>
      </c>
      <c r="MT9" s="8"/>
      <c r="MU9" s="8"/>
      <c r="MV9" s="8"/>
      <c r="MW9" s="8"/>
      <c r="MX9" s="8">
        <v>0</v>
      </c>
      <c r="MY9" s="8">
        <v>0</v>
      </c>
      <c r="MZ9" s="8"/>
      <c r="NA9" s="8"/>
      <c r="NB9" s="8">
        <v>0</v>
      </c>
      <c r="NC9" s="8">
        <v>0</v>
      </c>
      <c r="ND9" s="8">
        <v>0</v>
      </c>
      <c r="NE9" s="967"/>
      <c r="NF9" s="8">
        <f>SUM(NG9:OD9)</f>
        <v>12</v>
      </c>
      <c r="NG9" s="8"/>
      <c r="NH9" s="8">
        <v>1</v>
      </c>
      <c r="NI9" s="8">
        <v>1</v>
      </c>
      <c r="NJ9" s="8">
        <v>3</v>
      </c>
      <c r="NK9" s="8">
        <v>1</v>
      </c>
      <c r="NL9" s="8"/>
      <c r="NM9" s="8"/>
      <c r="NN9" s="8"/>
      <c r="NO9" s="8">
        <v>2</v>
      </c>
      <c r="NP9" s="8">
        <v>0</v>
      </c>
      <c r="NQ9" s="8">
        <v>0</v>
      </c>
      <c r="NR9" s="8">
        <v>1</v>
      </c>
      <c r="NS9" s="8">
        <v>1</v>
      </c>
      <c r="NT9" s="8"/>
      <c r="NU9" s="8"/>
      <c r="NV9" s="8"/>
      <c r="NW9" s="8"/>
      <c r="NX9" s="8">
        <v>2</v>
      </c>
      <c r="NY9" s="8">
        <v>0</v>
      </c>
      <c r="NZ9" s="8"/>
      <c r="OA9" s="8"/>
      <c r="OB9" s="8">
        <v>0</v>
      </c>
      <c r="OC9" s="8">
        <v>0</v>
      </c>
      <c r="OD9" s="8">
        <v>0</v>
      </c>
      <c r="OE9" s="967"/>
      <c r="OF9" s="8">
        <f>SUM(OG9:PD9)</f>
        <v>1</v>
      </c>
      <c r="OG9" s="8"/>
      <c r="OH9" s="8">
        <v>1</v>
      </c>
      <c r="OI9" s="8">
        <v>0</v>
      </c>
      <c r="OJ9" s="8">
        <v>0</v>
      </c>
      <c r="OK9" s="8">
        <v>0</v>
      </c>
      <c r="OL9" s="8"/>
      <c r="OM9" s="8"/>
      <c r="ON9" s="8"/>
      <c r="OO9" s="8">
        <v>0</v>
      </c>
      <c r="OP9" s="8">
        <v>0</v>
      </c>
      <c r="OQ9" s="8">
        <v>0</v>
      </c>
      <c r="OR9" s="8">
        <v>0</v>
      </c>
      <c r="OS9" s="8">
        <v>0</v>
      </c>
      <c r="OT9" s="8"/>
      <c r="OU9" s="8"/>
      <c r="OV9" s="8"/>
      <c r="OW9" s="8"/>
      <c r="OX9" s="8">
        <v>0</v>
      </c>
      <c r="OY9" s="8">
        <v>0</v>
      </c>
      <c r="OZ9" s="8"/>
      <c r="PA9" s="8"/>
      <c r="PB9" s="8">
        <v>0</v>
      </c>
      <c r="PC9" s="8">
        <v>0</v>
      </c>
      <c r="PD9" s="8">
        <v>0</v>
      </c>
      <c r="PE9" s="967"/>
      <c r="PF9" s="8">
        <f>SUM(PG9:QD9)</f>
        <v>0</v>
      </c>
      <c r="PG9" s="8"/>
      <c r="PH9" s="8">
        <v>0</v>
      </c>
      <c r="PI9" s="8">
        <v>0</v>
      </c>
      <c r="PJ9" s="8">
        <v>0</v>
      </c>
      <c r="PK9" s="8">
        <v>0</v>
      </c>
      <c r="PL9" s="8"/>
      <c r="PM9" s="8"/>
      <c r="PN9" s="8"/>
      <c r="PO9" s="8">
        <v>0</v>
      </c>
      <c r="PP9" s="8">
        <v>0</v>
      </c>
      <c r="PQ9" s="8">
        <v>0</v>
      </c>
      <c r="PR9" s="8">
        <v>0</v>
      </c>
      <c r="PS9" s="8">
        <v>0</v>
      </c>
      <c r="PT9" s="8"/>
      <c r="PU9" s="8"/>
      <c r="PV9" s="8"/>
      <c r="PW9" s="8"/>
      <c r="PX9" s="8">
        <v>0</v>
      </c>
      <c r="PY9" s="8">
        <v>0</v>
      </c>
      <c r="PZ9" s="8"/>
      <c r="QA9" s="8"/>
      <c r="QB9" s="8">
        <v>0</v>
      </c>
      <c r="QC9" s="8">
        <v>0</v>
      </c>
      <c r="QD9" s="8">
        <v>0</v>
      </c>
      <c r="QE9" s="967"/>
    </row>
    <row r="10" spans="2:447" x14ac:dyDescent="0.3">
      <c r="B10">
        <v>2</v>
      </c>
      <c r="C10" t="s">
        <v>681</v>
      </c>
      <c r="D10" t="s">
        <v>2364</v>
      </c>
      <c r="F10" s="8">
        <f t="shared" si="33"/>
        <v>68</v>
      </c>
      <c r="G10" s="8"/>
      <c r="H10" s="8">
        <v>22</v>
      </c>
      <c r="I10" s="8">
        <v>4</v>
      </c>
      <c r="J10" s="8">
        <v>20</v>
      </c>
      <c r="K10" s="8">
        <v>22</v>
      </c>
      <c r="L10" s="8" t="s">
        <v>107</v>
      </c>
      <c r="M10" s="8" t="s">
        <v>107</v>
      </c>
      <c r="N10" s="8" t="s">
        <v>107</v>
      </c>
      <c r="O10" s="8" t="s">
        <v>107</v>
      </c>
      <c r="P10" s="8" t="s">
        <v>107</v>
      </c>
      <c r="Q10" s="8" t="s">
        <v>107</v>
      </c>
      <c r="R10" s="8" t="s">
        <v>107</v>
      </c>
      <c r="S10" s="8" t="s">
        <v>107</v>
      </c>
      <c r="T10" s="8" t="s">
        <v>107</v>
      </c>
      <c r="U10" s="8" t="s">
        <v>107</v>
      </c>
      <c r="V10" s="8" t="s">
        <v>107</v>
      </c>
      <c r="W10" s="8" t="s">
        <v>107</v>
      </c>
      <c r="X10" s="8" t="s">
        <v>107</v>
      </c>
      <c r="Y10" s="8" t="s">
        <v>107</v>
      </c>
      <c r="Z10" s="8" t="s">
        <v>107</v>
      </c>
      <c r="AA10" s="8" t="s">
        <v>107</v>
      </c>
      <c r="AB10" s="8" t="s">
        <v>107</v>
      </c>
      <c r="AC10" s="8" t="s">
        <v>107</v>
      </c>
      <c r="AD10" s="8" t="s">
        <v>107</v>
      </c>
      <c r="AE10" s="967"/>
      <c r="AF10" s="8">
        <f t="shared" ref="AF10:AF81" si="35">SUM(AG10:BD10)</f>
        <v>2</v>
      </c>
      <c r="AG10" s="8"/>
      <c r="AH10" s="8">
        <v>0</v>
      </c>
      <c r="AI10" s="8">
        <v>0</v>
      </c>
      <c r="AJ10" s="8">
        <v>0</v>
      </c>
      <c r="AK10" s="8">
        <v>2</v>
      </c>
      <c r="AL10" s="8" t="s">
        <v>107</v>
      </c>
      <c r="AM10" s="8" t="s">
        <v>107</v>
      </c>
      <c r="AN10" s="8" t="s">
        <v>107</v>
      </c>
      <c r="AO10" s="8" t="s">
        <v>107</v>
      </c>
      <c r="AP10" s="8" t="s">
        <v>107</v>
      </c>
      <c r="AQ10" s="8" t="s">
        <v>107</v>
      </c>
      <c r="AR10" s="8" t="s">
        <v>107</v>
      </c>
      <c r="AS10" s="8" t="s">
        <v>107</v>
      </c>
      <c r="AT10" s="8" t="s">
        <v>107</v>
      </c>
      <c r="AU10" s="8" t="s">
        <v>107</v>
      </c>
      <c r="AV10" s="8" t="s">
        <v>107</v>
      </c>
      <c r="AW10" s="8" t="s">
        <v>107</v>
      </c>
      <c r="AX10" s="8" t="s">
        <v>107</v>
      </c>
      <c r="AY10" s="8" t="s">
        <v>107</v>
      </c>
      <c r="AZ10" s="8" t="s">
        <v>107</v>
      </c>
      <c r="BA10" s="8" t="s">
        <v>107</v>
      </c>
      <c r="BB10" s="8" t="s">
        <v>107</v>
      </c>
      <c r="BC10" s="8" t="s">
        <v>107</v>
      </c>
      <c r="BD10" s="8" t="s">
        <v>107</v>
      </c>
      <c r="BE10" s="967"/>
      <c r="BF10" s="8">
        <f t="shared" ref="BF10:BF81" si="36">SUM(BG10:CD10)</f>
        <v>9</v>
      </c>
      <c r="BG10" s="8"/>
      <c r="BH10" s="8">
        <v>0</v>
      </c>
      <c r="BI10" s="8">
        <v>0</v>
      </c>
      <c r="BJ10" s="8">
        <v>2</v>
      </c>
      <c r="BK10" s="8">
        <v>7</v>
      </c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 t="s">
        <v>107</v>
      </c>
      <c r="BY10" s="8" t="s">
        <v>107</v>
      </c>
      <c r="BZ10" s="8"/>
      <c r="CA10" s="8"/>
      <c r="CB10" s="8"/>
      <c r="CC10" s="8"/>
      <c r="CD10" s="8"/>
      <c r="CE10" s="967"/>
      <c r="CF10" s="8">
        <f t="shared" ref="CF10:CF81" si="37">SUM(CG10:DD10)</f>
        <v>11</v>
      </c>
      <c r="CG10" s="8"/>
      <c r="CH10" s="8">
        <v>0</v>
      </c>
      <c r="CI10" s="8">
        <v>0</v>
      </c>
      <c r="CJ10" s="8">
        <v>2</v>
      </c>
      <c r="CK10" s="8">
        <v>9</v>
      </c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 t="s">
        <v>107</v>
      </c>
      <c r="CY10" s="8" t="s">
        <v>107</v>
      </c>
      <c r="CZ10" s="8"/>
      <c r="DA10" s="8"/>
      <c r="DB10" s="8"/>
      <c r="DC10" s="8"/>
      <c r="DD10" s="8"/>
      <c r="DE10" s="967"/>
      <c r="DF10" s="8">
        <f t="shared" ref="DF10:DF81" si="38">SUM(DG10:ED10)</f>
        <v>1</v>
      </c>
      <c r="DG10" s="8"/>
      <c r="DH10" s="8">
        <v>0</v>
      </c>
      <c r="DI10" s="8">
        <v>0</v>
      </c>
      <c r="DJ10" s="8">
        <v>1</v>
      </c>
      <c r="DK10" s="8">
        <v>0</v>
      </c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 t="s">
        <v>107</v>
      </c>
      <c r="DY10" s="8" t="s">
        <v>107</v>
      </c>
      <c r="DZ10" s="8"/>
      <c r="EA10" s="8"/>
      <c r="EB10" s="8"/>
      <c r="EC10" s="8"/>
      <c r="ED10" s="8"/>
      <c r="EE10" s="967"/>
      <c r="EF10" s="8">
        <f t="shared" ref="EF10:EF81" si="39">SUM(EG10:FD10)</f>
        <v>2</v>
      </c>
      <c r="EG10" s="8"/>
      <c r="EH10" s="8">
        <v>0</v>
      </c>
      <c r="EI10" s="8">
        <v>0</v>
      </c>
      <c r="EJ10" s="8">
        <v>2</v>
      </c>
      <c r="EK10" s="8">
        <v>0</v>
      </c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 t="s">
        <v>107</v>
      </c>
      <c r="EY10" s="8" t="s">
        <v>107</v>
      </c>
      <c r="EZ10" s="8"/>
      <c r="FA10" s="8"/>
      <c r="FB10" s="8"/>
      <c r="FC10" s="8"/>
      <c r="FD10" s="8"/>
      <c r="FE10" s="967"/>
      <c r="FF10" s="8">
        <f t="shared" si="34"/>
        <v>1</v>
      </c>
      <c r="FG10" s="8"/>
      <c r="FH10" s="8">
        <v>0</v>
      </c>
      <c r="FI10" s="8">
        <v>0</v>
      </c>
      <c r="FJ10" s="8">
        <v>0</v>
      </c>
      <c r="FK10" s="8">
        <v>1</v>
      </c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 t="s">
        <v>107</v>
      </c>
      <c r="FY10" s="8" t="s">
        <v>107</v>
      </c>
      <c r="FZ10" s="8"/>
      <c r="GA10" s="8"/>
      <c r="GB10" s="8"/>
      <c r="GC10" s="8"/>
      <c r="GD10" s="8"/>
      <c r="GE10" s="967"/>
      <c r="GF10" s="8">
        <f t="shared" ref="GF10:GF81" si="40">SUM(GG10:HD10)</f>
        <v>0</v>
      </c>
      <c r="GG10" s="8"/>
      <c r="GH10" s="8">
        <v>0</v>
      </c>
      <c r="GI10" s="8">
        <v>0</v>
      </c>
      <c r="GJ10" s="8">
        <v>0</v>
      </c>
      <c r="GK10" s="8">
        <v>0</v>
      </c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 t="s">
        <v>107</v>
      </c>
      <c r="GY10" s="8" t="s">
        <v>107</v>
      </c>
      <c r="GZ10" s="8"/>
      <c r="HA10" s="8"/>
      <c r="HB10" s="8"/>
      <c r="HC10" s="8"/>
      <c r="HD10" s="8"/>
      <c r="HE10" s="967"/>
      <c r="HF10" s="8">
        <f t="shared" ref="HF10:HF81" si="41">SUM(HG10:ID10)</f>
        <v>0</v>
      </c>
      <c r="HG10" s="8"/>
      <c r="HH10" s="8">
        <v>0</v>
      </c>
      <c r="HI10" s="8">
        <v>0</v>
      </c>
      <c r="HJ10" s="8">
        <v>0</v>
      </c>
      <c r="HK10" s="8">
        <v>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 t="s">
        <v>107</v>
      </c>
      <c r="HY10" s="8" t="s">
        <v>107</v>
      </c>
      <c r="HZ10" s="8"/>
      <c r="IA10" s="8"/>
      <c r="IB10" s="8"/>
      <c r="IC10" s="8"/>
      <c r="ID10" s="8"/>
      <c r="IE10" s="967"/>
      <c r="IF10" s="8">
        <f t="shared" ref="IF10:IF81" si="42">SUM(IG10:JD10)</f>
        <v>0</v>
      </c>
      <c r="IG10" s="8"/>
      <c r="IH10" s="8">
        <v>0</v>
      </c>
      <c r="II10" s="8">
        <v>0</v>
      </c>
      <c r="IJ10" s="8">
        <v>0</v>
      </c>
      <c r="IK10" s="8">
        <v>0</v>
      </c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 t="s">
        <v>107</v>
      </c>
      <c r="IY10" s="8" t="s">
        <v>107</v>
      </c>
      <c r="IZ10" s="8"/>
      <c r="JA10" s="8"/>
      <c r="JB10" s="8"/>
      <c r="JC10" s="8"/>
      <c r="JD10" s="8"/>
      <c r="JE10" s="967"/>
      <c r="JF10" s="8">
        <f t="shared" ref="JF10:JF81" si="43">SUM(JG10:KD10)</f>
        <v>0</v>
      </c>
      <c r="JG10" s="8"/>
      <c r="JH10" s="8">
        <v>0</v>
      </c>
      <c r="JI10" s="8">
        <v>0</v>
      </c>
      <c r="JJ10" s="8">
        <v>0</v>
      </c>
      <c r="JK10" s="8">
        <v>0</v>
      </c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 t="s">
        <v>107</v>
      </c>
      <c r="JY10" s="8" t="s">
        <v>107</v>
      </c>
      <c r="JZ10" s="8"/>
      <c r="KA10" s="8"/>
      <c r="KB10" s="8"/>
      <c r="KC10" s="8"/>
      <c r="KD10" s="8"/>
      <c r="KE10" s="967"/>
      <c r="KF10" s="8">
        <f t="shared" ref="KF10:KF81" si="44">SUM(KG10:LD10)</f>
        <v>4</v>
      </c>
      <c r="KG10" s="8"/>
      <c r="KH10" s="8">
        <v>0</v>
      </c>
      <c r="KI10" s="8">
        <v>0</v>
      </c>
      <c r="KJ10" s="8">
        <v>3</v>
      </c>
      <c r="KK10" s="8">
        <v>1</v>
      </c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 t="s">
        <v>107</v>
      </c>
      <c r="KY10" s="8" t="s">
        <v>107</v>
      </c>
      <c r="KZ10" s="8"/>
      <c r="LA10" s="8"/>
      <c r="LB10" s="8"/>
      <c r="LC10" s="8"/>
      <c r="LD10" s="8"/>
      <c r="LE10" s="967"/>
      <c r="LF10" s="8">
        <f t="shared" ref="LF10:LF81" si="45">SUM(LG10:MD10)</f>
        <v>0</v>
      </c>
      <c r="LG10" s="8"/>
      <c r="LH10" s="8">
        <v>0</v>
      </c>
      <c r="LI10" s="8">
        <v>0</v>
      </c>
      <c r="LJ10" s="8">
        <v>0</v>
      </c>
      <c r="LK10" s="8">
        <v>0</v>
      </c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 t="s">
        <v>107</v>
      </c>
      <c r="LY10" s="8" t="s">
        <v>107</v>
      </c>
      <c r="LZ10" s="8"/>
      <c r="MA10" s="8"/>
      <c r="MB10" s="8"/>
      <c r="MC10" s="8"/>
      <c r="MD10" s="8"/>
      <c r="ME10" s="967"/>
      <c r="MF10" s="8">
        <f t="shared" ref="MF10:MF81" si="46">SUM(MG10:ND10)</f>
        <v>0</v>
      </c>
      <c r="MG10" s="8"/>
      <c r="MH10" s="8">
        <v>0</v>
      </c>
      <c r="MI10" s="8">
        <v>0</v>
      </c>
      <c r="MJ10" s="8">
        <v>0</v>
      </c>
      <c r="MK10" s="8">
        <v>0</v>
      </c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 t="s">
        <v>107</v>
      </c>
      <c r="MY10" s="8" t="s">
        <v>107</v>
      </c>
      <c r="MZ10" s="8"/>
      <c r="NA10" s="8"/>
      <c r="NB10" s="8"/>
      <c r="NC10" s="8"/>
      <c r="ND10" s="8"/>
      <c r="NE10" s="967"/>
      <c r="NF10" s="8">
        <f t="shared" ref="NF10:NF81" si="47">SUM(NG10:OD10)</f>
        <v>0</v>
      </c>
      <c r="NG10" s="8"/>
      <c r="NH10" s="8">
        <v>0</v>
      </c>
      <c r="NI10" s="8">
        <v>0</v>
      </c>
      <c r="NJ10" s="8">
        <v>0</v>
      </c>
      <c r="NK10" s="8">
        <v>0</v>
      </c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 t="s">
        <v>107</v>
      </c>
      <c r="NY10" s="8" t="s">
        <v>107</v>
      </c>
      <c r="NZ10" s="8"/>
      <c r="OA10" s="8"/>
      <c r="OB10" s="8"/>
      <c r="OC10" s="8"/>
      <c r="OD10" s="8"/>
      <c r="OE10" s="967"/>
      <c r="OF10" s="8">
        <f t="shared" ref="OF10:OF81" si="48">SUM(OG10:PD10)</f>
        <v>0</v>
      </c>
      <c r="OG10" s="8"/>
      <c r="OH10" s="8">
        <v>0</v>
      </c>
      <c r="OI10" s="8">
        <v>0</v>
      </c>
      <c r="OJ10" s="8">
        <v>0</v>
      </c>
      <c r="OK10" s="8">
        <v>0</v>
      </c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 t="s">
        <v>107</v>
      </c>
      <c r="OY10" s="8" t="s">
        <v>107</v>
      </c>
      <c r="OZ10" s="8"/>
      <c r="PA10" s="8"/>
      <c r="PB10" s="8"/>
      <c r="PC10" s="8"/>
      <c r="PD10" s="8"/>
      <c r="PE10" s="967"/>
      <c r="PF10" s="8">
        <f t="shared" ref="PF10:PF81" si="49">SUM(PG10:QD10)</f>
        <v>0</v>
      </c>
      <c r="PG10" s="8"/>
      <c r="PH10" s="8">
        <v>0</v>
      </c>
      <c r="PI10" s="8">
        <v>0</v>
      </c>
      <c r="PJ10" s="8">
        <v>0</v>
      </c>
      <c r="PK10" s="8">
        <v>0</v>
      </c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 t="s">
        <v>107</v>
      </c>
      <c r="PY10" s="8" t="s">
        <v>107</v>
      </c>
      <c r="PZ10" s="8"/>
      <c r="QA10" s="8"/>
      <c r="QB10" s="8"/>
      <c r="QC10" s="8"/>
      <c r="QD10" s="8"/>
      <c r="QE10" s="967"/>
    </row>
    <row r="11" spans="2:447" x14ac:dyDescent="0.3">
      <c r="B11">
        <v>3</v>
      </c>
      <c r="D11" t="s">
        <v>2111</v>
      </c>
      <c r="F11" s="8">
        <f t="shared" si="33"/>
        <v>9</v>
      </c>
      <c r="G11" s="8"/>
      <c r="H11" s="8" t="s">
        <v>107</v>
      </c>
      <c r="I11" s="8" t="s">
        <v>107</v>
      </c>
      <c r="J11" s="8" t="s">
        <v>107</v>
      </c>
      <c r="K11" s="8" t="s">
        <v>107</v>
      </c>
      <c r="L11" s="8" t="s">
        <v>107</v>
      </c>
      <c r="M11" s="8" t="s">
        <v>107</v>
      </c>
      <c r="N11" s="8" t="s">
        <v>107</v>
      </c>
      <c r="O11" s="8">
        <v>6</v>
      </c>
      <c r="P11" s="8">
        <v>3</v>
      </c>
      <c r="Q11" s="8" t="s">
        <v>107</v>
      </c>
      <c r="R11" s="8" t="s">
        <v>107</v>
      </c>
      <c r="S11" s="8" t="s">
        <v>107</v>
      </c>
      <c r="T11" s="8" t="s">
        <v>107</v>
      </c>
      <c r="U11" s="8" t="s">
        <v>107</v>
      </c>
      <c r="V11" s="8" t="s">
        <v>107</v>
      </c>
      <c r="W11" s="8" t="s">
        <v>107</v>
      </c>
      <c r="X11" s="8" t="s">
        <v>107</v>
      </c>
      <c r="Y11" s="8" t="s">
        <v>107</v>
      </c>
      <c r="Z11" s="8" t="s">
        <v>107</v>
      </c>
      <c r="AA11" s="8" t="s">
        <v>107</v>
      </c>
      <c r="AB11" s="8" t="s">
        <v>107</v>
      </c>
      <c r="AC11" s="8" t="s">
        <v>107</v>
      </c>
      <c r="AD11" s="8" t="s">
        <v>107</v>
      </c>
      <c r="AE11" s="967"/>
      <c r="AF11" s="8">
        <f t="shared" si="35"/>
        <v>1</v>
      </c>
      <c r="AG11" s="8"/>
      <c r="AH11" s="8" t="s">
        <v>107</v>
      </c>
      <c r="AI11" s="8" t="s">
        <v>107</v>
      </c>
      <c r="AJ11" s="8" t="s">
        <v>107</v>
      </c>
      <c r="AK11" s="8" t="s">
        <v>107</v>
      </c>
      <c r="AL11" s="8"/>
      <c r="AM11" s="8"/>
      <c r="AN11" s="8"/>
      <c r="AO11" s="8">
        <v>1</v>
      </c>
      <c r="AP11" s="8">
        <v>0</v>
      </c>
      <c r="AQ11" s="8"/>
      <c r="AR11" s="8"/>
      <c r="AS11" s="8"/>
      <c r="AT11" s="8"/>
      <c r="AU11" s="8"/>
      <c r="AV11" s="8"/>
      <c r="AW11" s="8"/>
      <c r="AX11" s="8" t="s">
        <v>107</v>
      </c>
      <c r="AY11" s="8" t="s">
        <v>107</v>
      </c>
      <c r="AZ11" s="8"/>
      <c r="BA11" s="8"/>
      <c r="BB11" s="8" t="s">
        <v>107</v>
      </c>
      <c r="BC11" s="8" t="s">
        <v>107</v>
      </c>
      <c r="BD11" s="8" t="s">
        <v>107</v>
      </c>
      <c r="BE11" s="967"/>
      <c r="BF11" s="8">
        <f t="shared" si="36"/>
        <v>1</v>
      </c>
      <c r="BG11" s="8"/>
      <c r="BH11" s="8" t="s">
        <v>107</v>
      </c>
      <c r="BI11" s="8"/>
      <c r="BJ11" s="8"/>
      <c r="BK11" s="8" t="s">
        <v>107</v>
      </c>
      <c r="BL11" s="8"/>
      <c r="BM11" s="8"/>
      <c r="BN11" s="8"/>
      <c r="BO11" s="8">
        <v>0</v>
      </c>
      <c r="BP11" s="8">
        <v>1</v>
      </c>
      <c r="BQ11" s="8"/>
      <c r="BR11" s="8"/>
      <c r="BS11" s="8"/>
      <c r="BT11" s="8"/>
      <c r="BU11" s="8"/>
      <c r="BV11" s="8"/>
      <c r="BW11" s="8"/>
      <c r="BX11" s="8" t="s">
        <v>107</v>
      </c>
      <c r="BY11" s="8" t="s">
        <v>107</v>
      </c>
      <c r="BZ11" s="8"/>
      <c r="CA11" s="8"/>
      <c r="CB11" s="8" t="s">
        <v>107</v>
      </c>
      <c r="CC11" s="8" t="s">
        <v>107</v>
      </c>
      <c r="CD11" s="8" t="s">
        <v>107</v>
      </c>
      <c r="CE11" s="967"/>
      <c r="CF11" s="8">
        <f t="shared" si="37"/>
        <v>2</v>
      </c>
      <c r="CG11" s="8"/>
      <c r="CH11" s="8" t="s">
        <v>107</v>
      </c>
      <c r="CI11" s="8"/>
      <c r="CJ11" s="8"/>
      <c r="CK11" s="8" t="s">
        <v>107</v>
      </c>
      <c r="CL11" s="8"/>
      <c r="CM11" s="8"/>
      <c r="CN11" s="8"/>
      <c r="CO11" s="8">
        <v>1</v>
      </c>
      <c r="CP11" s="8">
        <v>1</v>
      </c>
      <c r="CQ11" s="8"/>
      <c r="CR11" s="8"/>
      <c r="CS11" s="8"/>
      <c r="CT11" s="8"/>
      <c r="CU11" s="8"/>
      <c r="CV11" s="8"/>
      <c r="CW11" s="8"/>
      <c r="CX11" s="8" t="s">
        <v>107</v>
      </c>
      <c r="CY11" s="8" t="s">
        <v>107</v>
      </c>
      <c r="CZ11" s="8"/>
      <c r="DA11" s="8"/>
      <c r="DB11" s="8" t="s">
        <v>107</v>
      </c>
      <c r="DC11" s="8" t="s">
        <v>107</v>
      </c>
      <c r="DD11" s="8" t="s">
        <v>107</v>
      </c>
      <c r="DE11" s="967"/>
      <c r="DF11" s="8">
        <f t="shared" si="38"/>
        <v>1</v>
      </c>
      <c r="DG11" s="8"/>
      <c r="DH11" s="8" t="s">
        <v>107</v>
      </c>
      <c r="DI11" s="8" t="s">
        <v>107</v>
      </c>
      <c r="DJ11" s="8" t="s">
        <v>107</v>
      </c>
      <c r="DK11" s="8" t="s">
        <v>107</v>
      </c>
      <c r="DL11" s="8"/>
      <c r="DM11" s="8"/>
      <c r="DN11" s="8"/>
      <c r="DO11" s="8">
        <v>0</v>
      </c>
      <c r="DP11" s="8">
        <v>1</v>
      </c>
      <c r="DQ11" s="8"/>
      <c r="DR11" s="8"/>
      <c r="DS11" s="8"/>
      <c r="DT11" s="8"/>
      <c r="DU11" s="8"/>
      <c r="DV11" s="8"/>
      <c r="DW11" s="8"/>
      <c r="DX11" s="8" t="s">
        <v>107</v>
      </c>
      <c r="DY11" s="8" t="s">
        <v>107</v>
      </c>
      <c r="DZ11" s="8"/>
      <c r="EA11" s="8"/>
      <c r="EB11" s="8" t="s">
        <v>107</v>
      </c>
      <c r="EC11" s="8" t="s">
        <v>107</v>
      </c>
      <c r="ED11" s="8" t="s">
        <v>107</v>
      </c>
      <c r="EE11" s="967"/>
      <c r="EF11" s="8">
        <f t="shared" si="39"/>
        <v>5</v>
      </c>
      <c r="EG11" s="8"/>
      <c r="EH11" s="8" t="s">
        <v>107</v>
      </c>
      <c r="EI11" s="8" t="s">
        <v>107</v>
      </c>
      <c r="EJ11" s="8" t="s">
        <v>107</v>
      </c>
      <c r="EK11" s="8" t="s">
        <v>107</v>
      </c>
      <c r="EL11" s="8"/>
      <c r="EM11" s="8"/>
      <c r="EN11" s="8"/>
      <c r="EO11" s="8">
        <v>0</v>
      </c>
      <c r="EP11" s="8">
        <v>5</v>
      </c>
      <c r="EQ11" s="8"/>
      <c r="ER11" s="8"/>
      <c r="ES11" s="8"/>
      <c r="ET11" s="8"/>
      <c r="EU11" s="8"/>
      <c r="EV11" s="8"/>
      <c r="EW11" s="8"/>
      <c r="EX11" s="8" t="s">
        <v>107</v>
      </c>
      <c r="EY11" s="8" t="s">
        <v>107</v>
      </c>
      <c r="EZ11" s="8"/>
      <c r="FA11" s="8"/>
      <c r="FB11" s="8" t="s">
        <v>107</v>
      </c>
      <c r="FC11" s="8" t="s">
        <v>107</v>
      </c>
      <c r="FD11" s="8" t="s">
        <v>107</v>
      </c>
      <c r="FE11" s="967"/>
      <c r="FF11" s="8">
        <f t="shared" si="34"/>
        <v>0</v>
      </c>
      <c r="FG11" s="8"/>
      <c r="FH11" s="8" t="s">
        <v>107</v>
      </c>
      <c r="FI11" s="8" t="s">
        <v>107</v>
      </c>
      <c r="FJ11" s="8" t="s">
        <v>107</v>
      </c>
      <c r="FK11" s="8" t="s">
        <v>107</v>
      </c>
      <c r="FL11" s="8"/>
      <c r="FM11" s="8"/>
      <c r="FN11" s="8"/>
      <c r="FO11" s="8">
        <v>0</v>
      </c>
      <c r="FP11" s="8">
        <v>0</v>
      </c>
      <c r="FQ11" s="8"/>
      <c r="FR11" s="8"/>
      <c r="FS11" s="8"/>
      <c r="FT11" s="8"/>
      <c r="FU11" s="8"/>
      <c r="FV11" s="8"/>
      <c r="FW11" s="8"/>
      <c r="FX11" s="8" t="s">
        <v>107</v>
      </c>
      <c r="FY11" s="8" t="s">
        <v>107</v>
      </c>
      <c r="FZ11" s="8"/>
      <c r="GA11" s="8"/>
      <c r="GB11" s="8" t="s">
        <v>107</v>
      </c>
      <c r="GC11" s="8" t="s">
        <v>107</v>
      </c>
      <c r="GD11" s="8" t="s">
        <v>107</v>
      </c>
      <c r="GE11" s="967"/>
      <c r="GF11" s="8">
        <f t="shared" si="40"/>
        <v>0</v>
      </c>
      <c r="GG11" s="8"/>
      <c r="GH11" s="8" t="s">
        <v>107</v>
      </c>
      <c r="GI11" s="8" t="s">
        <v>107</v>
      </c>
      <c r="GJ11" s="8" t="s">
        <v>107</v>
      </c>
      <c r="GK11" s="8" t="s">
        <v>107</v>
      </c>
      <c r="GL11" s="8"/>
      <c r="GM11" s="8"/>
      <c r="GN11" s="8"/>
      <c r="GO11" s="8">
        <v>0</v>
      </c>
      <c r="GP11" s="8">
        <v>0</v>
      </c>
      <c r="GQ11" s="8"/>
      <c r="GR11" s="8"/>
      <c r="GS11" s="8"/>
      <c r="GT11" s="8"/>
      <c r="GU11" s="8"/>
      <c r="GV11" s="8"/>
      <c r="GW11" s="8"/>
      <c r="GX11" s="8" t="s">
        <v>107</v>
      </c>
      <c r="GY11" s="8" t="s">
        <v>107</v>
      </c>
      <c r="GZ11" s="8"/>
      <c r="HA11" s="8"/>
      <c r="HB11" s="8" t="s">
        <v>107</v>
      </c>
      <c r="HC11" s="8" t="s">
        <v>107</v>
      </c>
      <c r="HD11" s="8" t="s">
        <v>107</v>
      </c>
      <c r="HE11" s="967"/>
      <c r="HF11" s="8">
        <f t="shared" si="41"/>
        <v>0</v>
      </c>
      <c r="HG11" s="8"/>
      <c r="HH11" s="8" t="s">
        <v>107</v>
      </c>
      <c r="HI11" s="8" t="s">
        <v>107</v>
      </c>
      <c r="HJ11" s="8" t="s">
        <v>107</v>
      </c>
      <c r="HK11" s="8" t="s">
        <v>107</v>
      </c>
      <c r="HL11" s="8"/>
      <c r="HM11" s="8"/>
      <c r="HN11" s="8"/>
      <c r="HO11" s="8">
        <v>0</v>
      </c>
      <c r="HP11" s="8">
        <v>0</v>
      </c>
      <c r="HQ11" s="8"/>
      <c r="HR11" s="8"/>
      <c r="HS11" s="8"/>
      <c r="HT11" s="8"/>
      <c r="HU11" s="8"/>
      <c r="HV11" s="8"/>
      <c r="HW11" s="8"/>
      <c r="HX11" s="8" t="s">
        <v>107</v>
      </c>
      <c r="HY11" s="8" t="s">
        <v>107</v>
      </c>
      <c r="HZ11" s="8"/>
      <c r="IA11" s="8"/>
      <c r="IB11" s="8" t="s">
        <v>107</v>
      </c>
      <c r="IC11" s="8" t="s">
        <v>107</v>
      </c>
      <c r="ID11" s="8" t="s">
        <v>107</v>
      </c>
      <c r="IE11" s="967"/>
      <c r="IF11" s="8">
        <f t="shared" si="42"/>
        <v>0</v>
      </c>
      <c r="IG11" s="8"/>
      <c r="IH11" s="8" t="s">
        <v>107</v>
      </c>
      <c r="II11" s="8" t="s">
        <v>107</v>
      </c>
      <c r="IJ11" s="8" t="s">
        <v>107</v>
      </c>
      <c r="IK11" s="8" t="s">
        <v>107</v>
      </c>
      <c r="IL11" s="8"/>
      <c r="IM11" s="8"/>
      <c r="IN11" s="8"/>
      <c r="IO11" s="8">
        <v>0</v>
      </c>
      <c r="IP11" s="8">
        <v>0</v>
      </c>
      <c r="IQ11" s="8"/>
      <c r="IR11" s="8"/>
      <c r="IS11" s="8"/>
      <c r="IT11" s="8"/>
      <c r="IU11" s="8"/>
      <c r="IV11" s="8"/>
      <c r="IW11" s="8"/>
      <c r="IX11" s="8" t="s">
        <v>107</v>
      </c>
      <c r="IY11" s="8" t="s">
        <v>107</v>
      </c>
      <c r="IZ11" s="8"/>
      <c r="JA11" s="8"/>
      <c r="JB11" s="8" t="s">
        <v>107</v>
      </c>
      <c r="JC11" s="8" t="s">
        <v>107</v>
      </c>
      <c r="JD11" s="8" t="s">
        <v>107</v>
      </c>
      <c r="JE11" s="967"/>
      <c r="JF11" s="8">
        <f t="shared" si="43"/>
        <v>0</v>
      </c>
      <c r="JG11" s="8"/>
      <c r="JH11" s="8" t="s">
        <v>107</v>
      </c>
      <c r="JI11" s="8" t="s">
        <v>107</v>
      </c>
      <c r="JJ11" s="8" t="s">
        <v>107</v>
      </c>
      <c r="JK11" s="8" t="s">
        <v>107</v>
      </c>
      <c r="JL11" s="8"/>
      <c r="JM11" s="8"/>
      <c r="JN11" s="8"/>
      <c r="JO11" s="8">
        <v>0</v>
      </c>
      <c r="JP11" s="8">
        <v>0</v>
      </c>
      <c r="JQ11" s="8"/>
      <c r="JR11" s="8"/>
      <c r="JS11" s="8"/>
      <c r="JT11" s="8"/>
      <c r="JU11" s="8"/>
      <c r="JV11" s="8"/>
      <c r="JW11" s="8"/>
      <c r="JX11" s="8" t="s">
        <v>107</v>
      </c>
      <c r="JY11" s="8" t="s">
        <v>107</v>
      </c>
      <c r="JZ11" s="8"/>
      <c r="KA11" s="8"/>
      <c r="KB11" s="8" t="s">
        <v>107</v>
      </c>
      <c r="KC11" s="8" t="s">
        <v>107</v>
      </c>
      <c r="KD11" s="8" t="s">
        <v>107</v>
      </c>
      <c r="KE11" s="967"/>
      <c r="KF11" s="8">
        <f t="shared" si="44"/>
        <v>0</v>
      </c>
      <c r="KG11" s="8"/>
      <c r="KH11" s="8" t="s">
        <v>107</v>
      </c>
      <c r="KI11" s="8" t="s">
        <v>107</v>
      </c>
      <c r="KJ11" s="8" t="s">
        <v>107</v>
      </c>
      <c r="KK11" s="8" t="s">
        <v>107</v>
      </c>
      <c r="KL11" s="8"/>
      <c r="KM11" s="8"/>
      <c r="KN11" s="8"/>
      <c r="KO11" s="8">
        <v>0</v>
      </c>
      <c r="KP11" s="8">
        <v>0</v>
      </c>
      <c r="KQ11" s="8"/>
      <c r="KR11" s="8"/>
      <c r="KS11" s="8"/>
      <c r="KT11" s="8"/>
      <c r="KU11" s="8"/>
      <c r="KV11" s="8"/>
      <c r="KW11" s="8"/>
      <c r="KX11" s="8" t="s">
        <v>107</v>
      </c>
      <c r="KY11" s="8" t="s">
        <v>107</v>
      </c>
      <c r="KZ11" s="8"/>
      <c r="LA11" s="8"/>
      <c r="LB11" s="8" t="s">
        <v>107</v>
      </c>
      <c r="LC11" s="8" t="s">
        <v>107</v>
      </c>
      <c r="LD11" s="8" t="s">
        <v>107</v>
      </c>
      <c r="LE11" s="967"/>
      <c r="LF11" s="8">
        <f t="shared" si="45"/>
        <v>0</v>
      </c>
      <c r="LG11" s="8"/>
      <c r="LH11" s="8" t="s">
        <v>107</v>
      </c>
      <c r="LI11" s="8" t="s">
        <v>107</v>
      </c>
      <c r="LJ11" s="8" t="s">
        <v>107</v>
      </c>
      <c r="LK11" s="8" t="s">
        <v>107</v>
      </c>
      <c r="LL11" s="8"/>
      <c r="LM11" s="8"/>
      <c r="LN11" s="8"/>
      <c r="LO11" s="8">
        <v>0</v>
      </c>
      <c r="LP11" s="8">
        <v>0</v>
      </c>
      <c r="LQ11" s="8"/>
      <c r="LR11" s="8"/>
      <c r="LS11" s="8"/>
      <c r="LT11" s="8"/>
      <c r="LU11" s="8"/>
      <c r="LV11" s="8"/>
      <c r="LW11" s="8"/>
      <c r="LX11" s="8" t="s">
        <v>107</v>
      </c>
      <c r="LY11" s="8" t="s">
        <v>107</v>
      </c>
      <c r="LZ11" s="8"/>
      <c r="MA11" s="8"/>
      <c r="MB11" s="8" t="s">
        <v>107</v>
      </c>
      <c r="MC11" s="8" t="s">
        <v>107</v>
      </c>
      <c r="MD11" s="8" t="s">
        <v>107</v>
      </c>
      <c r="ME11" s="967"/>
      <c r="MF11" s="8">
        <f t="shared" si="46"/>
        <v>0</v>
      </c>
      <c r="MG11" s="8"/>
      <c r="MH11" s="8" t="s">
        <v>107</v>
      </c>
      <c r="MI11" s="8" t="s">
        <v>107</v>
      </c>
      <c r="MJ11" s="8" t="s">
        <v>107</v>
      </c>
      <c r="MK11" s="8" t="s">
        <v>107</v>
      </c>
      <c r="ML11" s="8"/>
      <c r="MM11" s="8"/>
      <c r="MN11" s="8"/>
      <c r="MO11" s="8">
        <v>0</v>
      </c>
      <c r="MP11" s="8">
        <v>0</v>
      </c>
      <c r="MQ11" s="8"/>
      <c r="MR11" s="8"/>
      <c r="MS11" s="8"/>
      <c r="MT11" s="8"/>
      <c r="MU11" s="8"/>
      <c r="MV11" s="8"/>
      <c r="MW11" s="8"/>
      <c r="MX11" s="8" t="s">
        <v>107</v>
      </c>
      <c r="MY11" s="8" t="s">
        <v>107</v>
      </c>
      <c r="MZ11" s="8"/>
      <c r="NA11" s="8"/>
      <c r="NB11" s="8" t="s">
        <v>107</v>
      </c>
      <c r="NC11" s="8" t="s">
        <v>107</v>
      </c>
      <c r="ND11" s="8" t="s">
        <v>107</v>
      </c>
      <c r="NE11" s="967"/>
      <c r="NF11" s="8">
        <f t="shared" si="47"/>
        <v>0</v>
      </c>
      <c r="NG11" s="8"/>
      <c r="NH11" s="8" t="s">
        <v>107</v>
      </c>
      <c r="NI11" s="8" t="s">
        <v>107</v>
      </c>
      <c r="NJ11" s="8" t="s">
        <v>107</v>
      </c>
      <c r="NK11" s="8" t="s">
        <v>107</v>
      </c>
      <c r="NL11" s="8"/>
      <c r="NM11" s="8"/>
      <c r="NN11" s="8"/>
      <c r="NO11" s="8">
        <v>0</v>
      </c>
      <c r="NP11" s="8">
        <v>0</v>
      </c>
      <c r="NQ11" s="8"/>
      <c r="NR11" s="8"/>
      <c r="NS11" s="8"/>
      <c r="NT11" s="8"/>
      <c r="NU11" s="8"/>
      <c r="NV11" s="8"/>
      <c r="NW11" s="8"/>
      <c r="NX11" s="8" t="s">
        <v>107</v>
      </c>
      <c r="NY11" s="8" t="s">
        <v>107</v>
      </c>
      <c r="NZ11" s="8"/>
      <c r="OA11" s="8"/>
      <c r="OB11" s="8" t="s">
        <v>107</v>
      </c>
      <c r="OC11" s="8" t="s">
        <v>107</v>
      </c>
      <c r="OD11" s="8" t="s">
        <v>107</v>
      </c>
      <c r="OE11" s="967"/>
      <c r="OF11" s="8">
        <f t="shared" si="48"/>
        <v>0</v>
      </c>
      <c r="OG11" s="8"/>
      <c r="OH11" s="8" t="s">
        <v>107</v>
      </c>
      <c r="OI11" s="8" t="s">
        <v>107</v>
      </c>
      <c r="OJ11" s="8" t="s">
        <v>107</v>
      </c>
      <c r="OK11" s="8" t="s">
        <v>107</v>
      </c>
      <c r="OL11" s="8"/>
      <c r="OM11" s="8"/>
      <c r="ON11" s="8"/>
      <c r="OO11" s="8">
        <v>0</v>
      </c>
      <c r="OP11" s="8">
        <v>0</v>
      </c>
      <c r="OQ11" s="8"/>
      <c r="OR11" s="8"/>
      <c r="OS11" s="8"/>
      <c r="OT11" s="8"/>
      <c r="OU11" s="8"/>
      <c r="OV11" s="8"/>
      <c r="OW11" s="8"/>
      <c r="OX11" s="8" t="s">
        <v>107</v>
      </c>
      <c r="OY11" s="8" t="s">
        <v>107</v>
      </c>
      <c r="OZ11" s="8"/>
      <c r="PA11" s="8"/>
      <c r="PB11" s="8" t="s">
        <v>107</v>
      </c>
      <c r="PC11" s="8" t="s">
        <v>107</v>
      </c>
      <c r="PD11" s="8" t="s">
        <v>107</v>
      </c>
      <c r="PE11" s="967"/>
      <c r="PF11" s="8">
        <f t="shared" si="49"/>
        <v>0</v>
      </c>
      <c r="PG11" s="8"/>
      <c r="PH11" s="8" t="s">
        <v>107</v>
      </c>
      <c r="PI11" s="8" t="s">
        <v>107</v>
      </c>
      <c r="PJ11" s="8" t="s">
        <v>107</v>
      </c>
      <c r="PK11" s="8" t="s">
        <v>107</v>
      </c>
      <c r="PL11" s="8"/>
      <c r="PM11" s="8"/>
      <c r="PN11" s="8"/>
      <c r="PO11" s="8">
        <v>0</v>
      </c>
      <c r="PP11" s="8">
        <v>0</v>
      </c>
      <c r="PQ11" s="8"/>
      <c r="PR11" s="8"/>
      <c r="PS11" s="8"/>
      <c r="PT11" s="8"/>
      <c r="PU11" s="8"/>
      <c r="PV11" s="8"/>
      <c r="PW11" s="8"/>
      <c r="PX11" s="8" t="s">
        <v>107</v>
      </c>
      <c r="PY11" s="8" t="s">
        <v>107</v>
      </c>
      <c r="PZ11" s="8"/>
      <c r="QA11" s="8"/>
      <c r="QB11" s="8" t="s">
        <v>107</v>
      </c>
      <c r="QC11" s="8" t="s">
        <v>107</v>
      </c>
      <c r="QD11" s="8" t="s">
        <v>107</v>
      </c>
      <c r="QE11" s="967"/>
    </row>
    <row r="12" spans="2:447" x14ac:dyDescent="0.3">
      <c r="B12">
        <v>4</v>
      </c>
      <c r="D12" t="s">
        <v>2269</v>
      </c>
      <c r="F12" s="8">
        <f t="shared" si="33"/>
        <v>2</v>
      </c>
      <c r="G12" s="8"/>
      <c r="H12" s="8" t="s">
        <v>107</v>
      </c>
      <c r="I12" s="8" t="s">
        <v>107</v>
      </c>
      <c r="J12" s="8" t="s">
        <v>107</v>
      </c>
      <c r="K12" s="8" t="s">
        <v>107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 t="s">
        <v>107</v>
      </c>
      <c r="Y12" s="8" t="s">
        <v>107</v>
      </c>
      <c r="Z12" s="8"/>
      <c r="AA12" s="8"/>
      <c r="AB12" s="8" t="s">
        <v>107</v>
      </c>
      <c r="AC12" s="8" t="s">
        <v>107</v>
      </c>
      <c r="AD12" s="8">
        <v>2</v>
      </c>
      <c r="AE12" s="967"/>
      <c r="AF12" s="8">
        <f t="shared" si="35"/>
        <v>0</v>
      </c>
      <c r="AG12" s="8"/>
      <c r="AH12" s="8" t="s">
        <v>107</v>
      </c>
      <c r="AI12" s="8" t="s">
        <v>107</v>
      </c>
      <c r="AJ12" s="8" t="s">
        <v>107</v>
      </c>
      <c r="AK12" s="8" t="s">
        <v>107</v>
      </c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 t="s">
        <v>107</v>
      </c>
      <c r="AY12" s="8" t="s">
        <v>107</v>
      </c>
      <c r="AZ12" s="8"/>
      <c r="BA12" s="8"/>
      <c r="BB12" s="8" t="s">
        <v>107</v>
      </c>
      <c r="BC12" s="8" t="s">
        <v>107</v>
      </c>
      <c r="BD12" s="8">
        <v>0</v>
      </c>
      <c r="BE12" s="967"/>
      <c r="BF12" s="8">
        <f t="shared" si="36"/>
        <v>0</v>
      </c>
      <c r="BG12" s="8"/>
      <c r="BH12" s="8" t="s">
        <v>107</v>
      </c>
      <c r="BI12" s="8"/>
      <c r="BJ12" s="8"/>
      <c r="BK12" s="8" t="s">
        <v>107</v>
      </c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 t="s">
        <v>107</v>
      </c>
      <c r="BY12" s="8" t="s">
        <v>107</v>
      </c>
      <c r="BZ12" s="8"/>
      <c r="CA12" s="8"/>
      <c r="CB12" s="8" t="s">
        <v>107</v>
      </c>
      <c r="CC12" s="8" t="s">
        <v>107</v>
      </c>
      <c r="CD12" s="8">
        <v>0</v>
      </c>
      <c r="CE12" s="967"/>
      <c r="CF12" s="8">
        <f t="shared" si="37"/>
        <v>0</v>
      </c>
      <c r="CG12" s="8"/>
      <c r="CH12" s="8" t="s">
        <v>107</v>
      </c>
      <c r="CI12" s="8"/>
      <c r="CJ12" s="8"/>
      <c r="CK12" s="8" t="s">
        <v>107</v>
      </c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 t="s">
        <v>107</v>
      </c>
      <c r="CY12" s="8" t="s">
        <v>107</v>
      </c>
      <c r="CZ12" s="8"/>
      <c r="DA12" s="8"/>
      <c r="DB12" s="8" t="s">
        <v>107</v>
      </c>
      <c r="DC12" s="8" t="s">
        <v>107</v>
      </c>
      <c r="DD12" s="8">
        <f t="shared" ref="DD12:DD81" si="50">BD12+CD12</f>
        <v>0</v>
      </c>
      <c r="DE12" s="967"/>
      <c r="DF12" s="8">
        <f t="shared" si="38"/>
        <v>0</v>
      </c>
      <c r="DG12" s="8"/>
      <c r="DH12" s="8" t="s">
        <v>107</v>
      </c>
      <c r="DI12" s="8" t="s">
        <v>107</v>
      </c>
      <c r="DJ12" s="8" t="s">
        <v>107</v>
      </c>
      <c r="DK12" s="8" t="s">
        <v>107</v>
      </c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 t="s">
        <v>107</v>
      </c>
      <c r="DY12" s="8" t="s">
        <v>107</v>
      </c>
      <c r="DZ12" s="8"/>
      <c r="EA12" s="8"/>
      <c r="EB12" s="8" t="s">
        <v>107</v>
      </c>
      <c r="EC12" s="8" t="s">
        <v>107</v>
      </c>
      <c r="ED12" s="8">
        <v>0</v>
      </c>
      <c r="EE12" s="967"/>
      <c r="EF12" s="8">
        <f t="shared" si="39"/>
        <v>0</v>
      </c>
      <c r="EG12" s="8"/>
      <c r="EH12" s="8" t="s">
        <v>107</v>
      </c>
      <c r="EI12" s="8" t="s">
        <v>107</v>
      </c>
      <c r="EJ12" s="8" t="s">
        <v>107</v>
      </c>
      <c r="EK12" s="8" t="s">
        <v>107</v>
      </c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 t="s">
        <v>107</v>
      </c>
      <c r="EY12" s="8" t="s">
        <v>107</v>
      </c>
      <c r="EZ12" s="8"/>
      <c r="FA12" s="8"/>
      <c r="FB12" s="8" t="s">
        <v>107</v>
      </c>
      <c r="FC12" s="8" t="s">
        <v>107</v>
      </c>
      <c r="FD12" s="8">
        <v>0</v>
      </c>
      <c r="FE12" s="967"/>
      <c r="FF12" s="8">
        <f t="shared" si="34"/>
        <v>0</v>
      </c>
      <c r="FG12" s="8"/>
      <c r="FH12" s="8" t="s">
        <v>107</v>
      </c>
      <c r="FI12" s="8" t="s">
        <v>107</v>
      </c>
      <c r="FJ12" s="8" t="s">
        <v>107</v>
      </c>
      <c r="FK12" s="8" t="s">
        <v>107</v>
      </c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 t="s">
        <v>107</v>
      </c>
      <c r="FY12" s="8" t="s">
        <v>107</v>
      </c>
      <c r="FZ12" s="8"/>
      <c r="GA12" s="8"/>
      <c r="GB12" s="8" t="s">
        <v>107</v>
      </c>
      <c r="GC12" s="8" t="s">
        <v>107</v>
      </c>
      <c r="GD12" s="8">
        <v>0</v>
      </c>
      <c r="GE12" s="967"/>
      <c r="GF12" s="8">
        <f t="shared" si="40"/>
        <v>0</v>
      </c>
      <c r="GG12" s="8"/>
      <c r="GH12" s="8" t="s">
        <v>107</v>
      </c>
      <c r="GI12" s="8" t="s">
        <v>107</v>
      </c>
      <c r="GJ12" s="8" t="s">
        <v>107</v>
      </c>
      <c r="GK12" s="8" t="s">
        <v>107</v>
      </c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 t="s">
        <v>107</v>
      </c>
      <c r="GY12" s="8" t="s">
        <v>107</v>
      </c>
      <c r="GZ12" s="8"/>
      <c r="HA12" s="8"/>
      <c r="HB12" s="8" t="s">
        <v>107</v>
      </c>
      <c r="HC12" s="8" t="s">
        <v>107</v>
      </c>
      <c r="HD12" s="8">
        <v>0</v>
      </c>
      <c r="HE12" s="967"/>
      <c r="HF12" s="8">
        <f t="shared" si="41"/>
        <v>0</v>
      </c>
      <c r="HG12" s="8"/>
      <c r="HH12" s="8" t="s">
        <v>107</v>
      </c>
      <c r="HI12" s="8" t="s">
        <v>107</v>
      </c>
      <c r="HJ12" s="8" t="s">
        <v>107</v>
      </c>
      <c r="HK12" s="8" t="s">
        <v>107</v>
      </c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 t="s">
        <v>107</v>
      </c>
      <c r="HY12" s="8" t="s">
        <v>107</v>
      </c>
      <c r="HZ12" s="8"/>
      <c r="IA12" s="8"/>
      <c r="IB12" s="8" t="s">
        <v>107</v>
      </c>
      <c r="IC12" s="8" t="s">
        <v>107</v>
      </c>
      <c r="ID12" s="8">
        <v>0</v>
      </c>
      <c r="IE12" s="967"/>
      <c r="IF12" s="8">
        <f t="shared" si="42"/>
        <v>0</v>
      </c>
      <c r="IG12" s="8"/>
      <c r="IH12" s="8" t="s">
        <v>107</v>
      </c>
      <c r="II12" s="8" t="s">
        <v>107</v>
      </c>
      <c r="IJ12" s="8" t="s">
        <v>107</v>
      </c>
      <c r="IK12" s="8" t="s">
        <v>107</v>
      </c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 t="s">
        <v>107</v>
      </c>
      <c r="IY12" s="8" t="s">
        <v>107</v>
      </c>
      <c r="IZ12" s="8"/>
      <c r="JA12" s="8"/>
      <c r="JB12" s="8" t="s">
        <v>107</v>
      </c>
      <c r="JC12" s="8" t="s">
        <v>107</v>
      </c>
      <c r="JD12" s="8">
        <v>0</v>
      </c>
      <c r="JE12" s="967"/>
      <c r="JF12" s="8">
        <f t="shared" si="43"/>
        <v>0</v>
      </c>
      <c r="JG12" s="8"/>
      <c r="JH12" s="8" t="s">
        <v>107</v>
      </c>
      <c r="JI12" s="8" t="s">
        <v>107</v>
      </c>
      <c r="JJ12" s="8" t="s">
        <v>107</v>
      </c>
      <c r="JK12" s="8" t="s">
        <v>107</v>
      </c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 t="s">
        <v>107</v>
      </c>
      <c r="JY12" s="8" t="s">
        <v>107</v>
      </c>
      <c r="JZ12" s="8"/>
      <c r="KA12" s="8"/>
      <c r="KB12" s="8" t="s">
        <v>107</v>
      </c>
      <c r="KC12" s="8" t="s">
        <v>107</v>
      </c>
      <c r="KD12" s="8">
        <v>0</v>
      </c>
      <c r="KE12" s="967"/>
      <c r="KF12" s="8">
        <f t="shared" si="44"/>
        <v>0</v>
      </c>
      <c r="KG12" s="8"/>
      <c r="KH12" s="8" t="s">
        <v>107</v>
      </c>
      <c r="KI12" s="8" t="s">
        <v>107</v>
      </c>
      <c r="KJ12" s="8" t="s">
        <v>107</v>
      </c>
      <c r="KK12" s="8" t="s">
        <v>107</v>
      </c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 t="s">
        <v>107</v>
      </c>
      <c r="KY12" s="8" t="s">
        <v>107</v>
      </c>
      <c r="KZ12" s="8"/>
      <c r="LA12" s="8"/>
      <c r="LB12" s="8" t="s">
        <v>107</v>
      </c>
      <c r="LC12" s="8" t="s">
        <v>107</v>
      </c>
      <c r="LD12" s="8">
        <v>0</v>
      </c>
      <c r="LE12" s="967"/>
      <c r="LF12" s="8">
        <f t="shared" si="45"/>
        <v>0</v>
      </c>
      <c r="LG12" s="8"/>
      <c r="LH12" s="8" t="s">
        <v>107</v>
      </c>
      <c r="LI12" s="8" t="s">
        <v>107</v>
      </c>
      <c r="LJ12" s="8" t="s">
        <v>107</v>
      </c>
      <c r="LK12" s="8" t="s">
        <v>107</v>
      </c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 t="s">
        <v>107</v>
      </c>
      <c r="LY12" s="8" t="s">
        <v>107</v>
      </c>
      <c r="LZ12" s="8"/>
      <c r="MA12" s="8"/>
      <c r="MB12" s="8" t="s">
        <v>107</v>
      </c>
      <c r="MC12" s="8" t="s">
        <v>107</v>
      </c>
      <c r="MD12" s="8">
        <v>0</v>
      </c>
      <c r="ME12" s="967"/>
      <c r="MF12" s="8">
        <f t="shared" si="46"/>
        <v>0</v>
      </c>
      <c r="MG12" s="8"/>
      <c r="MH12" s="8" t="s">
        <v>107</v>
      </c>
      <c r="MI12" s="8" t="s">
        <v>107</v>
      </c>
      <c r="MJ12" s="8" t="s">
        <v>107</v>
      </c>
      <c r="MK12" s="8" t="s">
        <v>107</v>
      </c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 t="s">
        <v>107</v>
      </c>
      <c r="MY12" s="8" t="s">
        <v>107</v>
      </c>
      <c r="MZ12" s="8"/>
      <c r="NA12" s="8"/>
      <c r="NB12" s="8" t="s">
        <v>107</v>
      </c>
      <c r="NC12" s="8" t="s">
        <v>107</v>
      </c>
      <c r="ND12" s="8">
        <v>0</v>
      </c>
      <c r="NE12" s="967"/>
      <c r="NF12" s="8">
        <f t="shared" si="47"/>
        <v>0</v>
      </c>
      <c r="NG12" s="8"/>
      <c r="NH12" s="8" t="s">
        <v>107</v>
      </c>
      <c r="NI12" s="8" t="s">
        <v>107</v>
      </c>
      <c r="NJ12" s="8" t="s">
        <v>107</v>
      </c>
      <c r="NK12" s="8" t="s">
        <v>107</v>
      </c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 t="s">
        <v>107</v>
      </c>
      <c r="NY12" s="8" t="s">
        <v>107</v>
      </c>
      <c r="NZ12" s="8"/>
      <c r="OA12" s="8"/>
      <c r="OB12" s="8" t="s">
        <v>107</v>
      </c>
      <c r="OC12" s="8" t="s">
        <v>107</v>
      </c>
      <c r="OD12" s="8">
        <v>0</v>
      </c>
      <c r="OE12" s="967"/>
      <c r="OF12" s="8">
        <f t="shared" si="48"/>
        <v>0</v>
      </c>
      <c r="OG12" s="8"/>
      <c r="OH12" s="8" t="s">
        <v>107</v>
      </c>
      <c r="OI12" s="8" t="s">
        <v>107</v>
      </c>
      <c r="OJ12" s="8" t="s">
        <v>107</v>
      </c>
      <c r="OK12" s="8" t="s">
        <v>107</v>
      </c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 t="s">
        <v>107</v>
      </c>
      <c r="OY12" s="8" t="s">
        <v>107</v>
      </c>
      <c r="OZ12" s="8"/>
      <c r="PA12" s="8"/>
      <c r="PB12" s="8" t="s">
        <v>107</v>
      </c>
      <c r="PC12" s="8" t="s">
        <v>107</v>
      </c>
      <c r="PD12" s="8">
        <v>0</v>
      </c>
      <c r="PE12" s="967"/>
      <c r="PF12" s="8">
        <f t="shared" si="49"/>
        <v>0</v>
      </c>
      <c r="PG12" s="8"/>
      <c r="PH12" s="8" t="s">
        <v>107</v>
      </c>
      <c r="PI12" s="8" t="s">
        <v>107</v>
      </c>
      <c r="PJ12" s="8" t="s">
        <v>107</v>
      </c>
      <c r="PK12" s="8" t="s">
        <v>107</v>
      </c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 t="s">
        <v>107</v>
      </c>
      <c r="PY12" s="8" t="s">
        <v>107</v>
      </c>
      <c r="PZ12" s="8"/>
      <c r="QA12" s="8"/>
      <c r="QB12" s="8" t="s">
        <v>107</v>
      </c>
      <c r="QC12" s="8" t="s">
        <v>107</v>
      </c>
      <c r="QD12" s="8">
        <v>0</v>
      </c>
      <c r="QE12" s="967"/>
    </row>
    <row r="13" spans="2:447" x14ac:dyDescent="0.3">
      <c r="B13">
        <v>5</v>
      </c>
      <c r="D13" t="s">
        <v>1799</v>
      </c>
      <c r="F13" s="8">
        <f t="shared" si="33"/>
        <v>211</v>
      </c>
      <c r="G13" s="8"/>
      <c r="H13" s="8" t="s">
        <v>107</v>
      </c>
      <c r="I13" s="8" t="s">
        <v>107</v>
      </c>
      <c r="J13" s="8" t="s">
        <v>107</v>
      </c>
      <c r="K13" s="8" t="s">
        <v>107</v>
      </c>
      <c r="L13" s="8">
        <v>1</v>
      </c>
      <c r="M13" s="8">
        <v>18</v>
      </c>
      <c r="N13" s="8">
        <v>2</v>
      </c>
      <c r="O13" s="8">
        <v>16</v>
      </c>
      <c r="P13" s="8">
        <v>3</v>
      </c>
      <c r="Q13" s="8">
        <v>3</v>
      </c>
      <c r="R13" s="8">
        <v>21</v>
      </c>
      <c r="S13" s="8">
        <v>17</v>
      </c>
      <c r="T13" s="8">
        <v>16</v>
      </c>
      <c r="U13" s="8">
        <v>20</v>
      </c>
      <c r="V13" s="8">
        <v>18</v>
      </c>
      <c r="W13" s="8">
        <v>15</v>
      </c>
      <c r="X13" s="8">
        <v>11</v>
      </c>
      <c r="Y13" s="8">
        <v>17</v>
      </c>
      <c r="Z13" s="8"/>
      <c r="AA13" s="8"/>
      <c r="AB13" s="8">
        <v>17</v>
      </c>
      <c r="AC13" s="8">
        <v>16</v>
      </c>
      <c r="AD13" s="8" t="s">
        <v>107</v>
      </c>
      <c r="AE13" s="967"/>
      <c r="AF13" s="8">
        <f t="shared" si="35"/>
        <v>83</v>
      </c>
      <c r="AG13" s="8"/>
      <c r="AH13" s="8" t="s">
        <v>107</v>
      </c>
      <c r="AI13" s="8" t="s">
        <v>107</v>
      </c>
      <c r="AJ13" s="8" t="s">
        <v>107</v>
      </c>
      <c r="AK13" s="8" t="s">
        <v>107</v>
      </c>
      <c r="AL13" s="8"/>
      <c r="AM13" s="8"/>
      <c r="AN13" s="8"/>
      <c r="AO13" s="8">
        <v>12</v>
      </c>
      <c r="AP13" s="8">
        <v>4</v>
      </c>
      <c r="AQ13" s="8">
        <v>0</v>
      </c>
      <c r="AR13" s="8">
        <v>13</v>
      </c>
      <c r="AS13" s="8">
        <v>7</v>
      </c>
      <c r="AT13" s="8">
        <v>4</v>
      </c>
      <c r="AU13" s="8"/>
      <c r="AV13" s="8"/>
      <c r="AW13" s="8"/>
      <c r="AX13" s="8">
        <v>7</v>
      </c>
      <c r="AY13" s="8">
        <v>18</v>
      </c>
      <c r="AZ13" s="8"/>
      <c r="BA13" s="8"/>
      <c r="BB13" s="8">
        <v>10</v>
      </c>
      <c r="BC13" s="8">
        <v>8</v>
      </c>
      <c r="BD13" s="8" t="s">
        <v>107</v>
      </c>
      <c r="BE13" s="967"/>
      <c r="BF13" s="8">
        <f t="shared" si="36"/>
        <v>176</v>
      </c>
      <c r="BG13" s="8"/>
      <c r="BH13" s="8" t="s">
        <v>107</v>
      </c>
      <c r="BI13" s="8"/>
      <c r="BJ13" s="8"/>
      <c r="BK13" s="8" t="s">
        <v>107</v>
      </c>
      <c r="BL13" s="8"/>
      <c r="BM13" s="8"/>
      <c r="BN13" s="8"/>
      <c r="BO13" s="8">
        <v>33</v>
      </c>
      <c r="BP13" s="8">
        <v>3</v>
      </c>
      <c r="BQ13" s="8">
        <v>6</v>
      </c>
      <c r="BR13" s="8">
        <v>31</v>
      </c>
      <c r="BS13" s="8">
        <v>9</v>
      </c>
      <c r="BT13" s="8">
        <v>9</v>
      </c>
      <c r="BU13" s="8"/>
      <c r="BV13" s="8"/>
      <c r="BW13" s="8"/>
      <c r="BX13" s="8">
        <v>27</v>
      </c>
      <c r="BY13" s="8">
        <v>16</v>
      </c>
      <c r="BZ13" s="8"/>
      <c r="CA13" s="8"/>
      <c r="CB13" s="8">
        <v>30</v>
      </c>
      <c r="CC13" s="8">
        <v>12</v>
      </c>
      <c r="CD13" s="8" t="s">
        <v>107</v>
      </c>
      <c r="CE13" s="967"/>
      <c r="CF13" s="8">
        <f t="shared" si="37"/>
        <v>259</v>
      </c>
      <c r="CG13" s="8"/>
      <c r="CH13" s="8" t="s">
        <v>107</v>
      </c>
      <c r="CI13" s="8"/>
      <c r="CJ13" s="8"/>
      <c r="CK13" s="8" t="s">
        <v>107</v>
      </c>
      <c r="CL13" s="8"/>
      <c r="CM13" s="8"/>
      <c r="CN13" s="8"/>
      <c r="CO13" s="8">
        <v>45</v>
      </c>
      <c r="CP13" s="8">
        <v>7</v>
      </c>
      <c r="CQ13" s="8">
        <v>6</v>
      </c>
      <c r="CR13" s="8">
        <v>44</v>
      </c>
      <c r="CS13" s="8">
        <v>16</v>
      </c>
      <c r="CT13" s="8">
        <v>13</v>
      </c>
      <c r="CU13" s="8"/>
      <c r="CV13" s="8"/>
      <c r="CW13" s="8"/>
      <c r="CX13" s="8">
        <v>34</v>
      </c>
      <c r="CY13" s="8">
        <v>34</v>
      </c>
      <c r="CZ13" s="8"/>
      <c r="DA13" s="8"/>
      <c r="DB13" s="8">
        <f t="shared" ref="DB13:DB81" si="51">BB13+CB13</f>
        <v>40</v>
      </c>
      <c r="DC13" s="8">
        <f t="shared" ref="DC13:DC81" si="52">BC13+CC13</f>
        <v>20</v>
      </c>
      <c r="DD13" s="8" t="s">
        <v>107</v>
      </c>
      <c r="DE13" s="967"/>
      <c r="DF13" s="8">
        <f t="shared" si="38"/>
        <v>8</v>
      </c>
      <c r="DG13" s="8"/>
      <c r="DH13" s="8" t="s">
        <v>107</v>
      </c>
      <c r="DI13" s="8" t="s">
        <v>107</v>
      </c>
      <c r="DJ13" s="8" t="s">
        <v>107</v>
      </c>
      <c r="DK13" s="8" t="s">
        <v>107</v>
      </c>
      <c r="DL13" s="8"/>
      <c r="DM13" s="8"/>
      <c r="DN13" s="8"/>
      <c r="DO13" s="8">
        <v>1</v>
      </c>
      <c r="DP13" s="8">
        <v>0</v>
      </c>
      <c r="DQ13" s="8">
        <v>4</v>
      </c>
      <c r="DR13" s="8">
        <v>1</v>
      </c>
      <c r="DS13" s="8">
        <v>2</v>
      </c>
      <c r="DT13" s="8"/>
      <c r="DU13" s="8"/>
      <c r="DV13" s="8"/>
      <c r="DW13" s="8"/>
      <c r="DX13" s="8">
        <v>0</v>
      </c>
      <c r="DY13" s="8">
        <v>0</v>
      </c>
      <c r="DZ13" s="8"/>
      <c r="EA13" s="8"/>
      <c r="EB13" s="8">
        <v>0</v>
      </c>
      <c r="EC13" s="8">
        <v>0</v>
      </c>
      <c r="ED13" s="8" t="s">
        <v>107</v>
      </c>
      <c r="EE13" s="967"/>
      <c r="EF13" s="8">
        <f t="shared" si="39"/>
        <v>107</v>
      </c>
      <c r="EG13" s="8"/>
      <c r="EH13" s="8" t="s">
        <v>107</v>
      </c>
      <c r="EI13" s="8" t="s">
        <v>107</v>
      </c>
      <c r="EJ13" s="8" t="s">
        <v>107</v>
      </c>
      <c r="EK13" s="8" t="s">
        <v>107</v>
      </c>
      <c r="EL13" s="8"/>
      <c r="EM13" s="8"/>
      <c r="EN13" s="8"/>
      <c r="EO13" s="8">
        <v>2</v>
      </c>
      <c r="EP13" s="8">
        <v>0</v>
      </c>
      <c r="EQ13" s="8">
        <v>16</v>
      </c>
      <c r="ER13" s="8">
        <v>5</v>
      </c>
      <c r="ES13" s="8">
        <v>12</v>
      </c>
      <c r="ET13" s="8"/>
      <c r="EU13" s="8"/>
      <c r="EV13" s="8"/>
      <c r="EW13" s="8"/>
      <c r="EX13" s="8">
        <v>4</v>
      </c>
      <c r="EY13" s="8">
        <v>56</v>
      </c>
      <c r="EZ13" s="8"/>
      <c r="FA13" s="8"/>
      <c r="FB13" s="8">
        <v>6</v>
      </c>
      <c r="FC13" s="8">
        <v>6</v>
      </c>
      <c r="FD13" s="8" t="s">
        <v>107</v>
      </c>
      <c r="FE13" s="967"/>
      <c r="FF13" s="8">
        <f t="shared" si="34"/>
        <v>5</v>
      </c>
      <c r="FG13" s="8"/>
      <c r="FH13" s="8" t="s">
        <v>107</v>
      </c>
      <c r="FI13" s="8" t="s">
        <v>107</v>
      </c>
      <c r="FJ13" s="8" t="s">
        <v>107</v>
      </c>
      <c r="FK13" s="8" t="s">
        <v>107</v>
      </c>
      <c r="FL13" s="8"/>
      <c r="FM13" s="8"/>
      <c r="FN13" s="8"/>
      <c r="FO13" s="8">
        <v>0</v>
      </c>
      <c r="FP13" s="8">
        <v>0</v>
      </c>
      <c r="FQ13" s="8">
        <v>0</v>
      </c>
      <c r="FR13" s="8">
        <v>3</v>
      </c>
      <c r="FS13" s="8">
        <v>0</v>
      </c>
      <c r="FT13" s="8">
        <v>0</v>
      </c>
      <c r="FU13" s="8"/>
      <c r="FV13" s="8"/>
      <c r="FW13" s="8"/>
      <c r="FX13" s="8">
        <v>1</v>
      </c>
      <c r="FY13" s="8">
        <v>1</v>
      </c>
      <c r="FZ13" s="8"/>
      <c r="GA13" s="8"/>
      <c r="GB13" s="8">
        <v>0</v>
      </c>
      <c r="GC13" s="8">
        <v>0</v>
      </c>
      <c r="GD13" s="8" t="s">
        <v>107</v>
      </c>
      <c r="GE13" s="967"/>
      <c r="GF13" s="8">
        <f t="shared" si="40"/>
        <v>3</v>
      </c>
      <c r="GG13" s="8"/>
      <c r="GH13" s="8" t="s">
        <v>107</v>
      </c>
      <c r="GI13" s="8" t="s">
        <v>107</v>
      </c>
      <c r="GJ13" s="8" t="s">
        <v>107</v>
      </c>
      <c r="GK13" s="8" t="s">
        <v>107</v>
      </c>
      <c r="GL13" s="8"/>
      <c r="GM13" s="8"/>
      <c r="GN13" s="8"/>
      <c r="GO13" s="8">
        <v>0</v>
      </c>
      <c r="GP13" s="8">
        <v>1</v>
      </c>
      <c r="GQ13" s="8">
        <v>0</v>
      </c>
      <c r="GR13" s="8">
        <v>0</v>
      </c>
      <c r="GS13" s="8">
        <v>1</v>
      </c>
      <c r="GT13" s="8"/>
      <c r="GU13" s="8"/>
      <c r="GV13" s="8"/>
      <c r="GW13" s="8"/>
      <c r="GX13" s="8">
        <v>0</v>
      </c>
      <c r="GY13" s="8">
        <v>1</v>
      </c>
      <c r="GZ13" s="8"/>
      <c r="HA13" s="8"/>
      <c r="HB13" s="8">
        <v>0</v>
      </c>
      <c r="HC13" s="8">
        <v>0</v>
      </c>
      <c r="HD13" s="8" t="s">
        <v>107</v>
      </c>
      <c r="HE13" s="967"/>
      <c r="HF13" s="8">
        <f t="shared" si="41"/>
        <v>2</v>
      </c>
      <c r="HG13" s="8"/>
      <c r="HH13" s="8" t="s">
        <v>107</v>
      </c>
      <c r="HI13" s="8" t="s">
        <v>107</v>
      </c>
      <c r="HJ13" s="8" t="s">
        <v>107</v>
      </c>
      <c r="HK13" s="8" t="s">
        <v>107</v>
      </c>
      <c r="HL13" s="8"/>
      <c r="HM13" s="8"/>
      <c r="HN13" s="8"/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/>
      <c r="HU13" s="8"/>
      <c r="HV13" s="8"/>
      <c r="HW13" s="8"/>
      <c r="HX13" s="8">
        <v>0</v>
      </c>
      <c r="HY13" s="8">
        <v>2</v>
      </c>
      <c r="HZ13" s="8"/>
      <c r="IA13" s="8"/>
      <c r="IB13" s="8">
        <v>0</v>
      </c>
      <c r="IC13" s="8">
        <v>0</v>
      </c>
      <c r="ID13" s="8" t="s">
        <v>107</v>
      </c>
      <c r="IE13" s="967"/>
      <c r="IF13" s="8">
        <f t="shared" si="42"/>
        <v>4</v>
      </c>
      <c r="IG13" s="8"/>
      <c r="IH13" s="8" t="s">
        <v>107</v>
      </c>
      <c r="II13" s="8" t="s">
        <v>107</v>
      </c>
      <c r="IJ13" s="8" t="s">
        <v>107</v>
      </c>
      <c r="IK13" s="8" t="s">
        <v>107</v>
      </c>
      <c r="IL13" s="8"/>
      <c r="IM13" s="8"/>
      <c r="IN13" s="8"/>
      <c r="IO13" s="8">
        <v>1</v>
      </c>
      <c r="IP13" s="8">
        <v>0</v>
      </c>
      <c r="IQ13" s="8">
        <v>0</v>
      </c>
      <c r="IR13" s="8">
        <v>0</v>
      </c>
      <c r="IS13" s="8">
        <v>0</v>
      </c>
      <c r="IT13" s="8"/>
      <c r="IU13" s="8"/>
      <c r="IV13" s="8"/>
      <c r="IW13" s="8"/>
      <c r="IX13" s="8">
        <v>1</v>
      </c>
      <c r="IY13" s="8">
        <v>1</v>
      </c>
      <c r="IZ13" s="8"/>
      <c r="JA13" s="8"/>
      <c r="JB13" s="8">
        <v>1</v>
      </c>
      <c r="JC13" s="8">
        <v>0</v>
      </c>
      <c r="JD13" s="8" t="s">
        <v>107</v>
      </c>
      <c r="JE13" s="967"/>
      <c r="JF13" s="8">
        <f t="shared" si="43"/>
        <v>8</v>
      </c>
      <c r="JG13" s="8"/>
      <c r="JH13" s="8" t="s">
        <v>107</v>
      </c>
      <c r="JI13" s="8" t="s">
        <v>107</v>
      </c>
      <c r="JJ13" s="8" t="s">
        <v>107</v>
      </c>
      <c r="JK13" s="8" t="s">
        <v>107</v>
      </c>
      <c r="JL13" s="8"/>
      <c r="JM13" s="8"/>
      <c r="JN13" s="8"/>
      <c r="JO13" s="8">
        <v>1</v>
      </c>
      <c r="JP13" s="8">
        <v>0</v>
      </c>
      <c r="JQ13" s="8">
        <v>0</v>
      </c>
      <c r="JR13" s="8">
        <v>1</v>
      </c>
      <c r="JS13" s="8">
        <v>0</v>
      </c>
      <c r="JT13" s="8"/>
      <c r="JU13" s="8"/>
      <c r="JV13" s="8"/>
      <c r="JW13" s="8"/>
      <c r="JX13" s="8">
        <v>2</v>
      </c>
      <c r="JY13" s="8">
        <v>2</v>
      </c>
      <c r="JZ13" s="8"/>
      <c r="KA13" s="8"/>
      <c r="KB13" s="8">
        <v>2</v>
      </c>
      <c r="KC13" s="8">
        <v>0</v>
      </c>
      <c r="KD13" s="8" t="s">
        <v>107</v>
      </c>
      <c r="KE13" s="967"/>
      <c r="KF13" s="8">
        <f t="shared" si="44"/>
        <v>0</v>
      </c>
      <c r="KG13" s="8"/>
      <c r="KH13" s="8" t="s">
        <v>107</v>
      </c>
      <c r="KI13" s="8" t="s">
        <v>107</v>
      </c>
      <c r="KJ13" s="8" t="s">
        <v>107</v>
      </c>
      <c r="KK13" s="8" t="s">
        <v>107</v>
      </c>
      <c r="KL13" s="8"/>
      <c r="KM13" s="8"/>
      <c r="KN13" s="8"/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/>
      <c r="KU13" s="8"/>
      <c r="KV13" s="8"/>
      <c r="KW13" s="8"/>
      <c r="KX13" s="8">
        <v>0</v>
      </c>
      <c r="KY13" s="8">
        <v>0</v>
      </c>
      <c r="KZ13" s="8"/>
      <c r="LA13" s="8"/>
      <c r="LB13" s="8">
        <v>0</v>
      </c>
      <c r="LC13" s="8">
        <v>0</v>
      </c>
      <c r="LD13" s="8" t="s">
        <v>107</v>
      </c>
      <c r="LE13" s="967"/>
      <c r="LF13" s="8">
        <f t="shared" si="45"/>
        <v>1</v>
      </c>
      <c r="LG13" s="8"/>
      <c r="LH13" s="8" t="s">
        <v>107</v>
      </c>
      <c r="LI13" s="8" t="s">
        <v>107</v>
      </c>
      <c r="LJ13" s="8" t="s">
        <v>107</v>
      </c>
      <c r="LK13" s="8" t="s">
        <v>107</v>
      </c>
      <c r="LL13" s="8"/>
      <c r="LM13" s="8"/>
      <c r="LN13" s="8"/>
      <c r="LO13" s="8">
        <v>0</v>
      </c>
      <c r="LP13" s="8">
        <v>0</v>
      </c>
      <c r="LQ13" s="8">
        <v>0</v>
      </c>
      <c r="LR13" s="8">
        <v>0</v>
      </c>
      <c r="LS13" s="8">
        <v>0</v>
      </c>
      <c r="LT13" s="8"/>
      <c r="LU13" s="8"/>
      <c r="LV13" s="8"/>
      <c r="LW13" s="8"/>
      <c r="LX13" s="8">
        <v>0</v>
      </c>
      <c r="LY13" s="8">
        <v>1</v>
      </c>
      <c r="LZ13" s="8"/>
      <c r="MA13" s="8"/>
      <c r="MB13" s="8">
        <v>0</v>
      </c>
      <c r="MC13" s="8">
        <v>0</v>
      </c>
      <c r="MD13" s="8" t="s">
        <v>107</v>
      </c>
      <c r="ME13" s="967"/>
      <c r="MF13" s="8">
        <f t="shared" si="46"/>
        <v>1</v>
      </c>
      <c r="MG13" s="8"/>
      <c r="MH13" s="8" t="s">
        <v>107</v>
      </c>
      <c r="MI13" s="8" t="s">
        <v>107</v>
      </c>
      <c r="MJ13" s="8" t="s">
        <v>107</v>
      </c>
      <c r="MK13" s="8" t="s">
        <v>107</v>
      </c>
      <c r="ML13" s="8"/>
      <c r="MM13" s="8"/>
      <c r="MN13" s="8"/>
      <c r="MO13" s="8">
        <v>0</v>
      </c>
      <c r="MP13" s="8">
        <v>0</v>
      </c>
      <c r="MQ13" s="8">
        <v>0</v>
      </c>
      <c r="MR13" s="8">
        <v>0</v>
      </c>
      <c r="MS13" s="8">
        <v>0</v>
      </c>
      <c r="MT13" s="8"/>
      <c r="MU13" s="8"/>
      <c r="MV13" s="8"/>
      <c r="MW13" s="8"/>
      <c r="MX13" s="8">
        <v>0</v>
      </c>
      <c r="MY13" s="8">
        <v>1</v>
      </c>
      <c r="MZ13" s="8"/>
      <c r="NA13" s="8"/>
      <c r="NB13" s="8">
        <v>0</v>
      </c>
      <c r="NC13" s="8">
        <v>0</v>
      </c>
      <c r="ND13" s="8" t="s">
        <v>107</v>
      </c>
      <c r="NE13" s="967"/>
      <c r="NF13" s="8">
        <f t="shared" si="47"/>
        <v>4</v>
      </c>
      <c r="NG13" s="8"/>
      <c r="NH13" s="8" t="s">
        <v>107</v>
      </c>
      <c r="NI13" s="8" t="s">
        <v>107</v>
      </c>
      <c r="NJ13" s="8" t="s">
        <v>107</v>
      </c>
      <c r="NK13" s="8" t="s">
        <v>107</v>
      </c>
      <c r="NL13" s="8"/>
      <c r="NM13" s="8"/>
      <c r="NN13" s="8"/>
      <c r="NO13" s="8">
        <v>1</v>
      </c>
      <c r="NP13" s="8">
        <v>0</v>
      </c>
      <c r="NQ13" s="8">
        <v>0</v>
      </c>
      <c r="NR13" s="8">
        <v>2</v>
      </c>
      <c r="NS13" s="8">
        <v>0</v>
      </c>
      <c r="NT13" s="8"/>
      <c r="NU13" s="8"/>
      <c r="NV13" s="8"/>
      <c r="NW13" s="8"/>
      <c r="NX13" s="8">
        <v>0</v>
      </c>
      <c r="NY13" s="8">
        <v>0</v>
      </c>
      <c r="NZ13" s="8"/>
      <c r="OA13" s="8"/>
      <c r="OB13" s="8">
        <v>1</v>
      </c>
      <c r="OC13" s="8">
        <v>0</v>
      </c>
      <c r="OD13" s="8" t="s">
        <v>107</v>
      </c>
      <c r="OE13" s="967"/>
      <c r="OF13" s="8">
        <f t="shared" si="48"/>
        <v>1</v>
      </c>
      <c r="OG13" s="8"/>
      <c r="OH13" s="8" t="s">
        <v>107</v>
      </c>
      <c r="OI13" s="8" t="s">
        <v>107</v>
      </c>
      <c r="OJ13" s="8" t="s">
        <v>107</v>
      </c>
      <c r="OK13" s="8" t="s">
        <v>107</v>
      </c>
      <c r="OL13" s="8"/>
      <c r="OM13" s="8"/>
      <c r="ON13" s="8"/>
      <c r="OO13" s="8">
        <v>0</v>
      </c>
      <c r="OP13" s="8">
        <v>0</v>
      </c>
      <c r="OQ13" s="8">
        <v>0</v>
      </c>
      <c r="OR13" s="8">
        <v>0</v>
      </c>
      <c r="OS13" s="8">
        <v>0</v>
      </c>
      <c r="OT13" s="8"/>
      <c r="OU13" s="8"/>
      <c r="OV13" s="8"/>
      <c r="OW13" s="8"/>
      <c r="OX13" s="8">
        <v>0</v>
      </c>
      <c r="OY13" s="8">
        <v>0</v>
      </c>
      <c r="OZ13" s="8"/>
      <c r="PA13" s="8"/>
      <c r="PB13" s="8">
        <v>1</v>
      </c>
      <c r="PC13" s="8">
        <v>0</v>
      </c>
      <c r="PD13" s="8" t="s">
        <v>107</v>
      </c>
      <c r="PE13" s="967"/>
      <c r="PF13" s="8">
        <f t="shared" si="49"/>
        <v>0</v>
      </c>
      <c r="PG13" s="8"/>
      <c r="PH13" s="8" t="s">
        <v>107</v>
      </c>
      <c r="PI13" s="8" t="s">
        <v>107</v>
      </c>
      <c r="PJ13" s="8" t="s">
        <v>107</v>
      </c>
      <c r="PK13" s="8" t="s">
        <v>107</v>
      </c>
      <c r="PL13" s="8"/>
      <c r="PM13" s="8"/>
      <c r="PN13" s="8"/>
      <c r="PO13" s="8">
        <v>0</v>
      </c>
      <c r="PP13" s="8">
        <v>0</v>
      </c>
      <c r="PQ13" s="8">
        <v>0</v>
      </c>
      <c r="PR13" s="8">
        <v>0</v>
      </c>
      <c r="PS13" s="8">
        <v>0</v>
      </c>
      <c r="PT13" s="8"/>
      <c r="PU13" s="8"/>
      <c r="PV13" s="8"/>
      <c r="PW13" s="8"/>
      <c r="PX13" s="8">
        <v>0</v>
      </c>
      <c r="PY13" s="8">
        <v>0</v>
      </c>
      <c r="PZ13" s="8"/>
      <c r="QA13" s="8"/>
      <c r="QB13" s="8">
        <v>0</v>
      </c>
      <c r="QC13" s="8">
        <v>0</v>
      </c>
      <c r="QD13" s="8" t="s">
        <v>107</v>
      </c>
      <c r="QE13" s="967"/>
    </row>
    <row r="14" spans="2:447" x14ac:dyDescent="0.3">
      <c r="B14">
        <v>6</v>
      </c>
      <c r="D14" t="s">
        <v>2268</v>
      </c>
      <c r="F14" s="8">
        <f t="shared" si="33"/>
        <v>5</v>
      </c>
      <c r="G14" s="8"/>
      <c r="H14" s="8" t="s">
        <v>107</v>
      </c>
      <c r="I14" s="8" t="s">
        <v>107</v>
      </c>
      <c r="J14" s="8" t="s">
        <v>107</v>
      </c>
      <c r="K14" s="8" t="s">
        <v>107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 t="s">
        <v>107</v>
      </c>
      <c r="Y14" s="8" t="s">
        <v>107</v>
      </c>
      <c r="Z14" s="8"/>
      <c r="AA14" s="8"/>
      <c r="AB14" s="8" t="s">
        <v>107</v>
      </c>
      <c r="AC14" s="8" t="s">
        <v>107</v>
      </c>
      <c r="AD14" s="8">
        <v>5</v>
      </c>
      <c r="AE14" s="967"/>
      <c r="AF14" s="8">
        <f t="shared" si="35"/>
        <v>1</v>
      </c>
      <c r="AG14" s="8"/>
      <c r="AH14" s="8" t="s">
        <v>107</v>
      </c>
      <c r="AI14" s="8" t="s">
        <v>107</v>
      </c>
      <c r="AJ14" s="8" t="s">
        <v>107</v>
      </c>
      <c r="AK14" s="8" t="s">
        <v>107</v>
      </c>
      <c r="AL14" s="8" t="s">
        <v>107</v>
      </c>
      <c r="AM14" s="8" t="s">
        <v>107</v>
      </c>
      <c r="AN14" s="8" t="s">
        <v>107</v>
      </c>
      <c r="AO14" s="8" t="s">
        <v>107</v>
      </c>
      <c r="AP14" s="8" t="s">
        <v>107</v>
      </c>
      <c r="AQ14" s="8" t="s">
        <v>107</v>
      </c>
      <c r="AR14" s="8" t="s">
        <v>107</v>
      </c>
      <c r="AS14" s="8" t="s">
        <v>107</v>
      </c>
      <c r="AT14" s="8" t="s">
        <v>107</v>
      </c>
      <c r="AU14" s="8" t="s">
        <v>107</v>
      </c>
      <c r="AV14" s="8" t="s">
        <v>107</v>
      </c>
      <c r="AW14" s="8" t="s">
        <v>107</v>
      </c>
      <c r="AX14" s="8" t="s">
        <v>107</v>
      </c>
      <c r="AY14" s="8" t="s">
        <v>107</v>
      </c>
      <c r="AZ14" s="8" t="s">
        <v>107</v>
      </c>
      <c r="BA14" s="8" t="s">
        <v>107</v>
      </c>
      <c r="BB14" s="8" t="s">
        <v>107</v>
      </c>
      <c r="BC14" s="8" t="s">
        <v>107</v>
      </c>
      <c r="BD14" s="8">
        <v>1</v>
      </c>
      <c r="BE14" s="967"/>
      <c r="BF14" s="8">
        <f t="shared" si="36"/>
        <v>2</v>
      </c>
      <c r="BG14" s="8"/>
      <c r="BH14" s="8" t="s">
        <v>107</v>
      </c>
      <c r="BI14" s="8"/>
      <c r="BJ14" s="8"/>
      <c r="BK14" s="8" t="s">
        <v>107</v>
      </c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 t="s">
        <v>107</v>
      </c>
      <c r="BY14" s="8" t="s">
        <v>107</v>
      </c>
      <c r="BZ14" s="8"/>
      <c r="CA14" s="8"/>
      <c r="CB14" s="8" t="s">
        <v>107</v>
      </c>
      <c r="CC14" s="8" t="s">
        <v>107</v>
      </c>
      <c r="CD14" s="8">
        <v>2</v>
      </c>
      <c r="CE14" s="967"/>
      <c r="CF14" s="8">
        <f t="shared" si="37"/>
        <v>3</v>
      </c>
      <c r="CG14" s="8"/>
      <c r="CH14" s="8" t="s">
        <v>107</v>
      </c>
      <c r="CI14" s="8"/>
      <c r="CJ14" s="8"/>
      <c r="CK14" s="8" t="s">
        <v>107</v>
      </c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 t="s">
        <v>107</v>
      </c>
      <c r="CY14" s="8" t="s">
        <v>107</v>
      </c>
      <c r="CZ14" s="8"/>
      <c r="DA14" s="8"/>
      <c r="DB14" s="8" t="s">
        <v>107</v>
      </c>
      <c r="DC14" s="8" t="s">
        <v>107</v>
      </c>
      <c r="DD14" s="8">
        <f t="shared" si="50"/>
        <v>3</v>
      </c>
      <c r="DE14" s="967"/>
      <c r="DF14" s="8">
        <f t="shared" si="38"/>
        <v>0</v>
      </c>
      <c r="DG14" s="8"/>
      <c r="DH14" s="8" t="s">
        <v>107</v>
      </c>
      <c r="DI14" s="8" t="s">
        <v>107</v>
      </c>
      <c r="DJ14" s="8" t="s">
        <v>107</v>
      </c>
      <c r="DK14" s="8" t="s">
        <v>107</v>
      </c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 t="s">
        <v>107</v>
      </c>
      <c r="DY14" s="8" t="s">
        <v>107</v>
      </c>
      <c r="DZ14" s="8"/>
      <c r="EA14" s="8"/>
      <c r="EB14" s="8" t="s">
        <v>107</v>
      </c>
      <c r="EC14" s="8" t="s">
        <v>107</v>
      </c>
      <c r="ED14" s="8">
        <v>0</v>
      </c>
      <c r="EE14" s="967"/>
      <c r="EF14" s="8">
        <f t="shared" si="39"/>
        <v>2</v>
      </c>
      <c r="EG14" s="8"/>
      <c r="EH14" s="8" t="s">
        <v>107</v>
      </c>
      <c r="EI14" s="8" t="s">
        <v>107</v>
      </c>
      <c r="EJ14" s="8" t="s">
        <v>107</v>
      </c>
      <c r="EK14" s="8" t="s">
        <v>107</v>
      </c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 t="s">
        <v>107</v>
      </c>
      <c r="EY14" s="8" t="s">
        <v>107</v>
      </c>
      <c r="EZ14" s="8"/>
      <c r="FA14" s="8"/>
      <c r="FB14" s="8" t="s">
        <v>107</v>
      </c>
      <c r="FC14" s="8" t="s">
        <v>107</v>
      </c>
      <c r="FD14" s="8">
        <v>2</v>
      </c>
      <c r="FE14" s="967"/>
      <c r="FF14" s="8">
        <f t="shared" si="34"/>
        <v>0</v>
      </c>
      <c r="FG14" s="8"/>
      <c r="FH14" s="8" t="s">
        <v>107</v>
      </c>
      <c r="FI14" s="8" t="s">
        <v>107</v>
      </c>
      <c r="FJ14" s="8" t="s">
        <v>107</v>
      </c>
      <c r="FK14" s="8" t="s">
        <v>107</v>
      </c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 t="s">
        <v>107</v>
      </c>
      <c r="FY14" s="8" t="s">
        <v>107</v>
      </c>
      <c r="FZ14" s="8"/>
      <c r="GA14" s="8"/>
      <c r="GB14" s="8" t="s">
        <v>107</v>
      </c>
      <c r="GC14" s="8" t="s">
        <v>107</v>
      </c>
      <c r="GD14" s="8">
        <v>0</v>
      </c>
      <c r="GE14" s="967"/>
      <c r="GF14" s="8">
        <f t="shared" si="40"/>
        <v>0</v>
      </c>
      <c r="GG14" s="8"/>
      <c r="GH14" s="8" t="s">
        <v>107</v>
      </c>
      <c r="GI14" s="8" t="s">
        <v>107</v>
      </c>
      <c r="GJ14" s="8" t="s">
        <v>107</v>
      </c>
      <c r="GK14" s="8" t="s">
        <v>107</v>
      </c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 t="s">
        <v>107</v>
      </c>
      <c r="GY14" s="8" t="s">
        <v>107</v>
      </c>
      <c r="GZ14" s="8"/>
      <c r="HA14" s="8"/>
      <c r="HB14" s="8" t="s">
        <v>107</v>
      </c>
      <c r="HC14" s="8" t="s">
        <v>107</v>
      </c>
      <c r="HD14" s="8">
        <v>0</v>
      </c>
      <c r="HE14" s="967"/>
      <c r="HF14" s="8">
        <f t="shared" si="41"/>
        <v>0</v>
      </c>
      <c r="HG14" s="8"/>
      <c r="HH14" s="8" t="s">
        <v>107</v>
      </c>
      <c r="HI14" s="8" t="s">
        <v>107</v>
      </c>
      <c r="HJ14" s="8" t="s">
        <v>107</v>
      </c>
      <c r="HK14" s="8" t="s">
        <v>107</v>
      </c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 t="s">
        <v>107</v>
      </c>
      <c r="HY14" s="8" t="s">
        <v>107</v>
      </c>
      <c r="HZ14" s="8"/>
      <c r="IA14" s="8"/>
      <c r="IB14" s="8" t="s">
        <v>107</v>
      </c>
      <c r="IC14" s="8" t="s">
        <v>107</v>
      </c>
      <c r="ID14" s="8">
        <v>0</v>
      </c>
      <c r="IE14" s="967"/>
      <c r="IF14" s="8">
        <f t="shared" si="42"/>
        <v>0</v>
      </c>
      <c r="IG14" s="8"/>
      <c r="IH14" s="8" t="s">
        <v>107</v>
      </c>
      <c r="II14" s="8" t="s">
        <v>107</v>
      </c>
      <c r="IJ14" s="8" t="s">
        <v>107</v>
      </c>
      <c r="IK14" s="8" t="s">
        <v>107</v>
      </c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 t="s">
        <v>107</v>
      </c>
      <c r="IY14" s="8" t="s">
        <v>107</v>
      </c>
      <c r="IZ14" s="8"/>
      <c r="JA14" s="8"/>
      <c r="JB14" s="8" t="s">
        <v>107</v>
      </c>
      <c r="JC14" s="8" t="s">
        <v>107</v>
      </c>
      <c r="JD14" s="8">
        <v>0</v>
      </c>
      <c r="JE14" s="967"/>
      <c r="JF14" s="8">
        <f t="shared" si="43"/>
        <v>0</v>
      </c>
      <c r="JG14" s="8"/>
      <c r="JH14" s="8" t="s">
        <v>107</v>
      </c>
      <c r="JI14" s="8" t="s">
        <v>107</v>
      </c>
      <c r="JJ14" s="8" t="s">
        <v>107</v>
      </c>
      <c r="JK14" s="8" t="s">
        <v>107</v>
      </c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 t="s">
        <v>107</v>
      </c>
      <c r="JY14" s="8" t="s">
        <v>107</v>
      </c>
      <c r="JZ14" s="8"/>
      <c r="KA14" s="8"/>
      <c r="KB14" s="8" t="s">
        <v>107</v>
      </c>
      <c r="KC14" s="8" t="s">
        <v>107</v>
      </c>
      <c r="KD14" s="8">
        <v>0</v>
      </c>
      <c r="KE14" s="967"/>
      <c r="KF14" s="8">
        <f t="shared" si="44"/>
        <v>0</v>
      </c>
      <c r="KG14" s="8"/>
      <c r="KH14" s="8" t="s">
        <v>107</v>
      </c>
      <c r="KI14" s="8" t="s">
        <v>107</v>
      </c>
      <c r="KJ14" s="8" t="s">
        <v>107</v>
      </c>
      <c r="KK14" s="8" t="s">
        <v>107</v>
      </c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 t="s">
        <v>107</v>
      </c>
      <c r="KY14" s="8" t="s">
        <v>107</v>
      </c>
      <c r="KZ14" s="8"/>
      <c r="LA14" s="8"/>
      <c r="LB14" s="8" t="s">
        <v>107</v>
      </c>
      <c r="LC14" s="8" t="s">
        <v>107</v>
      </c>
      <c r="LD14" s="8">
        <v>0</v>
      </c>
      <c r="LE14" s="967"/>
      <c r="LF14" s="8">
        <f t="shared" si="45"/>
        <v>0</v>
      </c>
      <c r="LG14" s="8"/>
      <c r="LH14" s="8" t="s">
        <v>107</v>
      </c>
      <c r="LI14" s="8" t="s">
        <v>107</v>
      </c>
      <c r="LJ14" s="8" t="s">
        <v>107</v>
      </c>
      <c r="LK14" s="8" t="s">
        <v>107</v>
      </c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 t="s">
        <v>107</v>
      </c>
      <c r="LY14" s="8" t="s">
        <v>107</v>
      </c>
      <c r="LZ14" s="8"/>
      <c r="MA14" s="8"/>
      <c r="MB14" s="8" t="s">
        <v>107</v>
      </c>
      <c r="MC14" s="8" t="s">
        <v>107</v>
      </c>
      <c r="MD14" s="8">
        <v>0</v>
      </c>
      <c r="ME14" s="967"/>
      <c r="MF14" s="8">
        <f t="shared" si="46"/>
        <v>0</v>
      </c>
      <c r="MG14" s="8"/>
      <c r="MH14" s="8" t="s">
        <v>107</v>
      </c>
      <c r="MI14" s="8" t="s">
        <v>107</v>
      </c>
      <c r="MJ14" s="8" t="s">
        <v>107</v>
      </c>
      <c r="MK14" s="8" t="s">
        <v>107</v>
      </c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 t="s">
        <v>107</v>
      </c>
      <c r="MY14" s="8" t="s">
        <v>107</v>
      </c>
      <c r="MZ14" s="8"/>
      <c r="NA14" s="8"/>
      <c r="NB14" s="8" t="s">
        <v>107</v>
      </c>
      <c r="NC14" s="8" t="s">
        <v>107</v>
      </c>
      <c r="ND14" s="8">
        <v>0</v>
      </c>
      <c r="NE14" s="967"/>
      <c r="NF14" s="8">
        <f t="shared" si="47"/>
        <v>0</v>
      </c>
      <c r="NG14" s="8"/>
      <c r="NH14" s="8" t="s">
        <v>107</v>
      </c>
      <c r="NI14" s="8" t="s">
        <v>107</v>
      </c>
      <c r="NJ14" s="8" t="s">
        <v>107</v>
      </c>
      <c r="NK14" s="8" t="s">
        <v>107</v>
      </c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 t="s">
        <v>107</v>
      </c>
      <c r="NY14" s="8" t="s">
        <v>107</v>
      </c>
      <c r="NZ14" s="8"/>
      <c r="OA14" s="8"/>
      <c r="OB14" s="8" t="s">
        <v>107</v>
      </c>
      <c r="OC14" s="8" t="s">
        <v>107</v>
      </c>
      <c r="OD14" s="8">
        <v>0</v>
      </c>
      <c r="OE14" s="967"/>
      <c r="OF14" s="8">
        <f t="shared" si="48"/>
        <v>0</v>
      </c>
      <c r="OG14" s="8"/>
      <c r="OH14" s="8" t="s">
        <v>107</v>
      </c>
      <c r="OI14" s="8" t="s">
        <v>107</v>
      </c>
      <c r="OJ14" s="8" t="s">
        <v>107</v>
      </c>
      <c r="OK14" s="8" t="s">
        <v>107</v>
      </c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 t="s">
        <v>107</v>
      </c>
      <c r="OY14" s="8" t="s">
        <v>107</v>
      </c>
      <c r="OZ14" s="8"/>
      <c r="PA14" s="8"/>
      <c r="PB14" s="8" t="s">
        <v>107</v>
      </c>
      <c r="PC14" s="8" t="s">
        <v>107</v>
      </c>
      <c r="PD14" s="8">
        <v>0</v>
      </c>
      <c r="PE14" s="967"/>
      <c r="PF14" s="8">
        <f t="shared" si="49"/>
        <v>0</v>
      </c>
      <c r="PG14" s="8"/>
      <c r="PH14" s="8" t="s">
        <v>107</v>
      </c>
      <c r="PI14" s="8" t="s">
        <v>107</v>
      </c>
      <c r="PJ14" s="8" t="s">
        <v>107</v>
      </c>
      <c r="PK14" s="8" t="s">
        <v>107</v>
      </c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 t="s">
        <v>107</v>
      </c>
      <c r="PY14" s="8" t="s">
        <v>107</v>
      </c>
      <c r="PZ14" s="8"/>
      <c r="QA14" s="8"/>
      <c r="QB14" s="8" t="s">
        <v>107</v>
      </c>
      <c r="QC14" s="8" t="s">
        <v>107</v>
      </c>
      <c r="QD14" s="8">
        <v>0</v>
      </c>
      <c r="QE14" s="967"/>
    </row>
    <row r="15" spans="2:447" x14ac:dyDescent="0.3">
      <c r="B15">
        <v>7</v>
      </c>
      <c r="D15" t="s">
        <v>2716</v>
      </c>
      <c r="F15" s="8">
        <f t="shared" si="33"/>
        <v>19</v>
      </c>
      <c r="G15" s="8"/>
      <c r="H15" s="8">
        <v>19</v>
      </c>
      <c r="I15" s="8" t="s">
        <v>107</v>
      </c>
      <c r="J15" s="8" t="s">
        <v>107</v>
      </c>
      <c r="K15" s="8" t="s">
        <v>107</v>
      </c>
      <c r="L15" s="8" t="s">
        <v>107</v>
      </c>
      <c r="M15" s="8" t="s">
        <v>107</v>
      </c>
      <c r="N15" s="8" t="s">
        <v>107</v>
      </c>
      <c r="O15" s="8" t="s">
        <v>107</v>
      </c>
      <c r="P15" s="8" t="s">
        <v>107</v>
      </c>
      <c r="Q15" s="8" t="s">
        <v>107</v>
      </c>
      <c r="R15" s="8" t="s">
        <v>107</v>
      </c>
      <c r="S15" s="8" t="s">
        <v>107</v>
      </c>
      <c r="T15" s="8" t="s">
        <v>107</v>
      </c>
      <c r="U15" s="8" t="s">
        <v>107</v>
      </c>
      <c r="V15" s="8" t="s">
        <v>107</v>
      </c>
      <c r="W15" s="8" t="s">
        <v>107</v>
      </c>
      <c r="X15" s="8" t="s">
        <v>107</v>
      </c>
      <c r="Y15" s="8" t="s">
        <v>107</v>
      </c>
      <c r="Z15" s="8" t="s">
        <v>107</v>
      </c>
      <c r="AA15" s="8" t="s">
        <v>107</v>
      </c>
      <c r="AB15" s="8" t="s">
        <v>107</v>
      </c>
      <c r="AC15" s="8" t="s">
        <v>107</v>
      </c>
      <c r="AD15" s="8" t="s">
        <v>107</v>
      </c>
      <c r="AE15" s="967"/>
      <c r="AF15" s="8">
        <f t="shared" si="35"/>
        <v>2</v>
      </c>
      <c r="AG15" s="8"/>
      <c r="AH15" s="8">
        <v>2</v>
      </c>
      <c r="AI15" s="8" t="s">
        <v>107</v>
      </c>
      <c r="AJ15" s="8" t="s">
        <v>107</v>
      </c>
      <c r="AK15" s="8" t="s">
        <v>107</v>
      </c>
      <c r="AL15" s="8" t="s">
        <v>107</v>
      </c>
      <c r="AM15" s="8" t="s">
        <v>107</v>
      </c>
      <c r="AN15" s="8" t="s">
        <v>107</v>
      </c>
      <c r="AO15" s="8" t="s">
        <v>107</v>
      </c>
      <c r="AP15" s="8" t="s">
        <v>107</v>
      </c>
      <c r="AQ15" s="8" t="s">
        <v>107</v>
      </c>
      <c r="AR15" s="8" t="s">
        <v>107</v>
      </c>
      <c r="AS15" s="8" t="s">
        <v>107</v>
      </c>
      <c r="AT15" s="8" t="s">
        <v>107</v>
      </c>
      <c r="AU15" s="8" t="s">
        <v>107</v>
      </c>
      <c r="AV15" s="8" t="s">
        <v>107</v>
      </c>
      <c r="AW15" s="8" t="s">
        <v>107</v>
      </c>
      <c r="AX15" s="8" t="s">
        <v>107</v>
      </c>
      <c r="AY15" s="8" t="s">
        <v>107</v>
      </c>
      <c r="AZ15" s="8" t="s">
        <v>107</v>
      </c>
      <c r="BA15" s="8" t="s">
        <v>107</v>
      </c>
      <c r="BB15" s="8" t="s">
        <v>107</v>
      </c>
      <c r="BC15" s="8" t="s">
        <v>107</v>
      </c>
      <c r="BD15" s="8" t="s">
        <v>107</v>
      </c>
      <c r="BE15" s="967"/>
      <c r="BF15" s="8">
        <f t="shared" si="36"/>
        <v>5</v>
      </c>
      <c r="BG15" s="8"/>
      <c r="BH15" s="8">
        <v>5</v>
      </c>
      <c r="BI15" s="8" t="s">
        <v>107</v>
      </c>
      <c r="BJ15" s="8" t="s">
        <v>107</v>
      </c>
      <c r="BK15" s="8" t="s">
        <v>107</v>
      </c>
      <c r="BL15" s="8" t="s">
        <v>107</v>
      </c>
      <c r="BM15" s="8" t="s">
        <v>107</v>
      </c>
      <c r="BN15" s="8" t="s">
        <v>107</v>
      </c>
      <c r="BO15" s="8" t="s">
        <v>107</v>
      </c>
      <c r="BP15" s="8" t="s">
        <v>107</v>
      </c>
      <c r="BQ15" s="8" t="s">
        <v>107</v>
      </c>
      <c r="BR15" s="8" t="s">
        <v>107</v>
      </c>
      <c r="BS15" s="8" t="s">
        <v>107</v>
      </c>
      <c r="BT15" s="8" t="s">
        <v>107</v>
      </c>
      <c r="BU15" s="8" t="s">
        <v>107</v>
      </c>
      <c r="BV15" s="8" t="s">
        <v>107</v>
      </c>
      <c r="BW15" s="8" t="s">
        <v>107</v>
      </c>
      <c r="BX15" s="8" t="s">
        <v>107</v>
      </c>
      <c r="BY15" s="8" t="s">
        <v>107</v>
      </c>
      <c r="BZ15" s="8" t="s">
        <v>107</v>
      </c>
      <c r="CA15" s="8" t="s">
        <v>107</v>
      </c>
      <c r="CB15" s="8" t="s">
        <v>107</v>
      </c>
      <c r="CC15" s="8" t="s">
        <v>107</v>
      </c>
      <c r="CD15" s="8" t="s">
        <v>107</v>
      </c>
      <c r="CE15" s="967"/>
      <c r="CF15" s="8">
        <f t="shared" si="37"/>
        <v>7</v>
      </c>
      <c r="CG15" s="8"/>
      <c r="CH15" s="8">
        <v>7</v>
      </c>
      <c r="CI15" s="8" t="s">
        <v>107</v>
      </c>
      <c r="CJ15" s="8" t="s">
        <v>107</v>
      </c>
      <c r="CK15" s="8" t="s">
        <v>107</v>
      </c>
      <c r="CL15" s="8" t="s">
        <v>107</v>
      </c>
      <c r="CM15" s="8" t="s">
        <v>107</v>
      </c>
      <c r="CN15" s="8" t="s">
        <v>107</v>
      </c>
      <c r="CO15" s="8" t="s">
        <v>107</v>
      </c>
      <c r="CP15" s="8" t="s">
        <v>107</v>
      </c>
      <c r="CQ15" s="8" t="s">
        <v>107</v>
      </c>
      <c r="CR15" s="8" t="s">
        <v>107</v>
      </c>
      <c r="CS15" s="8" t="s">
        <v>107</v>
      </c>
      <c r="CT15" s="8" t="s">
        <v>107</v>
      </c>
      <c r="CU15" s="8" t="s">
        <v>107</v>
      </c>
      <c r="CV15" s="8" t="s">
        <v>107</v>
      </c>
      <c r="CW15" s="8" t="s">
        <v>107</v>
      </c>
      <c r="CX15" s="8" t="s">
        <v>107</v>
      </c>
      <c r="CY15" s="8" t="s">
        <v>107</v>
      </c>
      <c r="CZ15" s="8" t="s">
        <v>107</v>
      </c>
      <c r="DA15" s="8" t="s">
        <v>107</v>
      </c>
      <c r="DB15" s="8" t="s">
        <v>107</v>
      </c>
      <c r="DC15" s="8" t="s">
        <v>107</v>
      </c>
      <c r="DD15" s="8" t="s">
        <v>107</v>
      </c>
      <c r="DE15" s="967"/>
      <c r="DF15" s="8">
        <f t="shared" si="38"/>
        <v>3</v>
      </c>
      <c r="DG15" s="8"/>
      <c r="DH15" s="8">
        <v>3</v>
      </c>
      <c r="DI15" s="8" t="s">
        <v>107</v>
      </c>
      <c r="DJ15" s="8" t="s">
        <v>107</v>
      </c>
      <c r="DK15" s="8" t="s">
        <v>107</v>
      </c>
      <c r="DL15" s="8" t="s">
        <v>107</v>
      </c>
      <c r="DM15" s="8" t="s">
        <v>107</v>
      </c>
      <c r="DN15" s="8" t="s">
        <v>107</v>
      </c>
      <c r="DO15" s="8" t="s">
        <v>107</v>
      </c>
      <c r="DP15" s="8" t="s">
        <v>107</v>
      </c>
      <c r="DQ15" s="8" t="s">
        <v>107</v>
      </c>
      <c r="DR15" s="8" t="s">
        <v>107</v>
      </c>
      <c r="DS15" s="8" t="s">
        <v>107</v>
      </c>
      <c r="DT15" s="8" t="s">
        <v>107</v>
      </c>
      <c r="DU15" s="8" t="s">
        <v>107</v>
      </c>
      <c r="DV15" s="8" t="s">
        <v>107</v>
      </c>
      <c r="DW15" s="8" t="s">
        <v>107</v>
      </c>
      <c r="DX15" s="8" t="s">
        <v>107</v>
      </c>
      <c r="DY15" s="8" t="s">
        <v>107</v>
      </c>
      <c r="DZ15" s="8" t="s">
        <v>107</v>
      </c>
      <c r="EA15" s="8" t="s">
        <v>107</v>
      </c>
      <c r="EB15" s="8" t="s">
        <v>107</v>
      </c>
      <c r="EC15" s="8" t="s">
        <v>107</v>
      </c>
      <c r="ED15" s="8" t="s">
        <v>107</v>
      </c>
      <c r="EE15" s="967"/>
      <c r="EF15" s="8">
        <f t="shared" si="39"/>
        <v>8</v>
      </c>
      <c r="EG15" s="8"/>
      <c r="EH15" s="8">
        <v>8</v>
      </c>
      <c r="EI15" s="8" t="s">
        <v>107</v>
      </c>
      <c r="EJ15" s="8" t="s">
        <v>107</v>
      </c>
      <c r="EK15" s="8" t="s">
        <v>107</v>
      </c>
      <c r="EL15" s="8" t="s">
        <v>107</v>
      </c>
      <c r="EM15" s="8" t="s">
        <v>107</v>
      </c>
      <c r="EN15" s="8" t="s">
        <v>107</v>
      </c>
      <c r="EO15" s="8" t="s">
        <v>107</v>
      </c>
      <c r="EP15" s="8" t="s">
        <v>107</v>
      </c>
      <c r="EQ15" s="8" t="s">
        <v>107</v>
      </c>
      <c r="ER15" s="8" t="s">
        <v>107</v>
      </c>
      <c r="ES15" s="8" t="s">
        <v>107</v>
      </c>
      <c r="ET15" s="8" t="s">
        <v>107</v>
      </c>
      <c r="EU15" s="8" t="s">
        <v>107</v>
      </c>
      <c r="EV15" s="8" t="s">
        <v>107</v>
      </c>
      <c r="EW15" s="8" t="s">
        <v>107</v>
      </c>
      <c r="EX15" s="8" t="s">
        <v>107</v>
      </c>
      <c r="EY15" s="8" t="s">
        <v>107</v>
      </c>
      <c r="EZ15" s="8" t="s">
        <v>107</v>
      </c>
      <c r="FA15" s="8" t="s">
        <v>107</v>
      </c>
      <c r="FB15" s="8" t="s">
        <v>107</v>
      </c>
      <c r="FC15" s="8" t="s">
        <v>107</v>
      </c>
      <c r="FD15" s="8" t="s">
        <v>107</v>
      </c>
      <c r="FE15" s="967"/>
      <c r="FF15" s="8">
        <f t="shared" si="34"/>
        <v>0</v>
      </c>
      <c r="FG15" s="8"/>
      <c r="FH15" s="8">
        <v>0</v>
      </c>
      <c r="FI15" s="8" t="s">
        <v>107</v>
      </c>
      <c r="FJ15" s="8" t="s">
        <v>107</v>
      </c>
      <c r="FK15" s="8" t="s">
        <v>107</v>
      </c>
      <c r="FL15" s="8" t="s">
        <v>107</v>
      </c>
      <c r="FM15" s="8" t="s">
        <v>107</v>
      </c>
      <c r="FN15" s="8" t="s">
        <v>107</v>
      </c>
      <c r="FO15" s="8" t="s">
        <v>107</v>
      </c>
      <c r="FP15" s="8" t="s">
        <v>107</v>
      </c>
      <c r="FQ15" s="8" t="s">
        <v>107</v>
      </c>
      <c r="FR15" s="8" t="s">
        <v>107</v>
      </c>
      <c r="FS15" s="8" t="s">
        <v>107</v>
      </c>
      <c r="FT15" s="8" t="s">
        <v>107</v>
      </c>
      <c r="FU15" s="8" t="s">
        <v>107</v>
      </c>
      <c r="FV15" s="8" t="s">
        <v>107</v>
      </c>
      <c r="FW15" s="8" t="s">
        <v>107</v>
      </c>
      <c r="FX15" s="8" t="s">
        <v>107</v>
      </c>
      <c r="FY15" s="8" t="s">
        <v>107</v>
      </c>
      <c r="FZ15" s="8" t="s">
        <v>107</v>
      </c>
      <c r="GA15" s="8" t="s">
        <v>107</v>
      </c>
      <c r="GB15" s="8" t="s">
        <v>107</v>
      </c>
      <c r="GC15" s="8" t="s">
        <v>107</v>
      </c>
      <c r="GD15" s="8" t="s">
        <v>107</v>
      </c>
      <c r="GE15" s="967"/>
      <c r="GF15" s="8">
        <f t="shared" si="40"/>
        <v>0</v>
      </c>
      <c r="GG15" s="8"/>
      <c r="GH15" s="8">
        <v>0</v>
      </c>
      <c r="GI15" s="8" t="s">
        <v>107</v>
      </c>
      <c r="GJ15" s="8" t="s">
        <v>107</v>
      </c>
      <c r="GK15" s="8" t="s">
        <v>107</v>
      </c>
      <c r="GL15" s="8" t="s">
        <v>107</v>
      </c>
      <c r="GM15" s="8" t="s">
        <v>107</v>
      </c>
      <c r="GN15" s="8" t="s">
        <v>107</v>
      </c>
      <c r="GO15" s="8" t="s">
        <v>107</v>
      </c>
      <c r="GP15" s="8" t="s">
        <v>107</v>
      </c>
      <c r="GQ15" s="8" t="s">
        <v>107</v>
      </c>
      <c r="GR15" s="8" t="s">
        <v>107</v>
      </c>
      <c r="GS15" s="8" t="s">
        <v>107</v>
      </c>
      <c r="GT15" s="8" t="s">
        <v>107</v>
      </c>
      <c r="GU15" s="8" t="s">
        <v>107</v>
      </c>
      <c r="GV15" s="8" t="s">
        <v>107</v>
      </c>
      <c r="GW15" s="8" t="s">
        <v>107</v>
      </c>
      <c r="GX15" s="8" t="s">
        <v>107</v>
      </c>
      <c r="GY15" s="8" t="s">
        <v>107</v>
      </c>
      <c r="GZ15" s="8" t="s">
        <v>107</v>
      </c>
      <c r="HA15" s="8" t="s">
        <v>107</v>
      </c>
      <c r="HB15" s="8" t="s">
        <v>107</v>
      </c>
      <c r="HC15" s="8" t="s">
        <v>107</v>
      </c>
      <c r="HD15" s="8" t="s">
        <v>107</v>
      </c>
      <c r="HE15" s="967"/>
      <c r="HF15" s="8">
        <f t="shared" si="41"/>
        <v>0</v>
      </c>
      <c r="HG15" s="8"/>
      <c r="HH15" s="8">
        <v>0</v>
      </c>
      <c r="HI15" s="8" t="s">
        <v>107</v>
      </c>
      <c r="HJ15" s="8" t="s">
        <v>107</v>
      </c>
      <c r="HK15" s="8" t="s">
        <v>107</v>
      </c>
      <c r="HL15" s="8" t="s">
        <v>107</v>
      </c>
      <c r="HM15" s="8" t="s">
        <v>107</v>
      </c>
      <c r="HN15" s="8" t="s">
        <v>107</v>
      </c>
      <c r="HO15" s="8" t="s">
        <v>107</v>
      </c>
      <c r="HP15" s="8" t="s">
        <v>107</v>
      </c>
      <c r="HQ15" s="8" t="s">
        <v>107</v>
      </c>
      <c r="HR15" s="8" t="s">
        <v>107</v>
      </c>
      <c r="HS15" s="8" t="s">
        <v>107</v>
      </c>
      <c r="HT15" s="8" t="s">
        <v>107</v>
      </c>
      <c r="HU15" s="8" t="s">
        <v>107</v>
      </c>
      <c r="HV15" s="8" t="s">
        <v>107</v>
      </c>
      <c r="HW15" s="8" t="s">
        <v>107</v>
      </c>
      <c r="HX15" s="8" t="s">
        <v>107</v>
      </c>
      <c r="HY15" s="8" t="s">
        <v>107</v>
      </c>
      <c r="HZ15" s="8" t="s">
        <v>107</v>
      </c>
      <c r="IA15" s="8" t="s">
        <v>107</v>
      </c>
      <c r="IB15" s="8" t="s">
        <v>107</v>
      </c>
      <c r="IC15" s="8" t="s">
        <v>107</v>
      </c>
      <c r="ID15" s="8" t="s">
        <v>107</v>
      </c>
      <c r="IE15" s="967"/>
      <c r="IF15" s="8">
        <f t="shared" si="42"/>
        <v>0</v>
      </c>
      <c r="IG15" s="8"/>
      <c r="IH15" s="8">
        <v>0</v>
      </c>
      <c r="II15" s="8" t="s">
        <v>107</v>
      </c>
      <c r="IJ15" s="8" t="s">
        <v>107</v>
      </c>
      <c r="IK15" s="8" t="s">
        <v>107</v>
      </c>
      <c r="IL15" s="8" t="s">
        <v>107</v>
      </c>
      <c r="IM15" s="8" t="s">
        <v>107</v>
      </c>
      <c r="IN15" s="8" t="s">
        <v>107</v>
      </c>
      <c r="IO15" s="8" t="s">
        <v>107</v>
      </c>
      <c r="IP15" s="8" t="s">
        <v>107</v>
      </c>
      <c r="IQ15" s="8" t="s">
        <v>107</v>
      </c>
      <c r="IR15" s="8" t="s">
        <v>107</v>
      </c>
      <c r="IS15" s="8" t="s">
        <v>107</v>
      </c>
      <c r="IT15" s="8" t="s">
        <v>107</v>
      </c>
      <c r="IU15" s="8" t="s">
        <v>107</v>
      </c>
      <c r="IV15" s="8" t="s">
        <v>107</v>
      </c>
      <c r="IW15" s="8" t="s">
        <v>107</v>
      </c>
      <c r="IX15" s="8" t="s">
        <v>107</v>
      </c>
      <c r="IY15" s="8" t="s">
        <v>107</v>
      </c>
      <c r="IZ15" s="8" t="s">
        <v>107</v>
      </c>
      <c r="JA15" s="8" t="s">
        <v>107</v>
      </c>
      <c r="JB15" s="8" t="s">
        <v>107</v>
      </c>
      <c r="JC15" s="8" t="s">
        <v>107</v>
      </c>
      <c r="JD15" s="8" t="s">
        <v>107</v>
      </c>
      <c r="JE15" s="967"/>
      <c r="JF15" s="8">
        <f t="shared" si="43"/>
        <v>0</v>
      </c>
      <c r="JG15" s="8"/>
      <c r="JH15" s="8">
        <v>0</v>
      </c>
      <c r="JI15" s="8" t="s">
        <v>107</v>
      </c>
      <c r="JJ15" s="8" t="s">
        <v>107</v>
      </c>
      <c r="JK15" s="8" t="s">
        <v>107</v>
      </c>
      <c r="JL15" s="8" t="s">
        <v>107</v>
      </c>
      <c r="JM15" s="8" t="s">
        <v>107</v>
      </c>
      <c r="JN15" s="8" t="s">
        <v>107</v>
      </c>
      <c r="JO15" s="8" t="s">
        <v>107</v>
      </c>
      <c r="JP15" s="8" t="s">
        <v>107</v>
      </c>
      <c r="JQ15" s="8" t="s">
        <v>107</v>
      </c>
      <c r="JR15" s="8" t="s">
        <v>107</v>
      </c>
      <c r="JS15" s="8" t="s">
        <v>107</v>
      </c>
      <c r="JT15" s="8" t="s">
        <v>107</v>
      </c>
      <c r="JU15" s="8" t="s">
        <v>107</v>
      </c>
      <c r="JV15" s="8" t="s">
        <v>107</v>
      </c>
      <c r="JW15" s="8" t="s">
        <v>107</v>
      </c>
      <c r="JX15" s="8" t="s">
        <v>107</v>
      </c>
      <c r="JY15" s="8" t="s">
        <v>107</v>
      </c>
      <c r="JZ15" s="8" t="s">
        <v>107</v>
      </c>
      <c r="KA15" s="8" t="s">
        <v>107</v>
      </c>
      <c r="KB15" s="8" t="s">
        <v>107</v>
      </c>
      <c r="KC15" s="8" t="s">
        <v>107</v>
      </c>
      <c r="KD15" s="8" t="s">
        <v>107</v>
      </c>
      <c r="KE15" s="967"/>
      <c r="KF15" s="8">
        <f t="shared" si="44"/>
        <v>0</v>
      </c>
      <c r="KG15" s="8"/>
      <c r="KH15" s="8">
        <v>0</v>
      </c>
      <c r="KI15" s="8" t="s">
        <v>107</v>
      </c>
      <c r="KJ15" s="8" t="s">
        <v>107</v>
      </c>
      <c r="KK15" s="8" t="s">
        <v>107</v>
      </c>
      <c r="KL15" s="8" t="s">
        <v>107</v>
      </c>
      <c r="KM15" s="8" t="s">
        <v>107</v>
      </c>
      <c r="KN15" s="8" t="s">
        <v>107</v>
      </c>
      <c r="KO15" s="8" t="s">
        <v>107</v>
      </c>
      <c r="KP15" s="8" t="s">
        <v>107</v>
      </c>
      <c r="KQ15" s="8" t="s">
        <v>107</v>
      </c>
      <c r="KR15" s="8" t="s">
        <v>107</v>
      </c>
      <c r="KS15" s="8" t="s">
        <v>107</v>
      </c>
      <c r="KT15" s="8" t="s">
        <v>107</v>
      </c>
      <c r="KU15" s="8" t="s">
        <v>107</v>
      </c>
      <c r="KV15" s="8" t="s">
        <v>107</v>
      </c>
      <c r="KW15" s="8" t="s">
        <v>107</v>
      </c>
      <c r="KX15" s="8" t="s">
        <v>107</v>
      </c>
      <c r="KY15" s="8" t="s">
        <v>107</v>
      </c>
      <c r="KZ15" s="8" t="s">
        <v>107</v>
      </c>
      <c r="LA15" s="8" t="s">
        <v>107</v>
      </c>
      <c r="LB15" s="8" t="s">
        <v>107</v>
      </c>
      <c r="LC15" s="8" t="s">
        <v>107</v>
      </c>
      <c r="LD15" s="8" t="s">
        <v>107</v>
      </c>
      <c r="LE15" s="967"/>
      <c r="LF15" s="8">
        <f t="shared" si="45"/>
        <v>0</v>
      </c>
      <c r="LG15" s="8"/>
      <c r="LH15" s="8">
        <v>0</v>
      </c>
      <c r="LI15" s="8" t="s">
        <v>107</v>
      </c>
      <c r="LJ15" s="8" t="s">
        <v>107</v>
      </c>
      <c r="LK15" s="8" t="s">
        <v>107</v>
      </c>
      <c r="LL15" s="8" t="s">
        <v>107</v>
      </c>
      <c r="LM15" s="8" t="s">
        <v>107</v>
      </c>
      <c r="LN15" s="8" t="s">
        <v>107</v>
      </c>
      <c r="LO15" s="8" t="s">
        <v>107</v>
      </c>
      <c r="LP15" s="8" t="s">
        <v>107</v>
      </c>
      <c r="LQ15" s="8" t="s">
        <v>107</v>
      </c>
      <c r="LR15" s="8" t="s">
        <v>107</v>
      </c>
      <c r="LS15" s="8" t="s">
        <v>107</v>
      </c>
      <c r="LT15" s="8" t="s">
        <v>107</v>
      </c>
      <c r="LU15" s="8" t="s">
        <v>107</v>
      </c>
      <c r="LV15" s="8" t="s">
        <v>107</v>
      </c>
      <c r="LW15" s="8" t="s">
        <v>107</v>
      </c>
      <c r="LX15" s="8" t="s">
        <v>107</v>
      </c>
      <c r="LY15" s="8" t="s">
        <v>107</v>
      </c>
      <c r="LZ15" s="8" t="s">
        <v>107</v>
      </c>
      <c r="MA15" s="8" t="s">
        <v>107</v>
      </c>
      <c r="MB15" s="8" t="s">
        <v>107</v>
      </c>
      <c r="MC15" s="8" t="s">
        <v>107</v>
      </c>
      <c r="MD15" s="8" t="s">
        <v>107</v>
      </c>
      <c r="ME15" s="967"/>
      <c r="MF15" s="8">
        <f t="shared" si="46"/>
        <v>0</v>
      </c>
      <c r="MG15" s="8"/>
      <c r="MH15" s="8">
        <v>0</v>
      </c>
      <c r="MI15" s="8" t="s">
        <v>107</v>
      </c>
      <c r="MJ15" s="8" t="s">
        <v>107</v>
      </c>
      <c r="MK15" s="8" t="s">
        <v>107</v>
      </c>
      <c r="ML15" s="8" t="s">
        <v>107</v>
      </c>
      <c r="MM15" s="8" t="s">
        <v>107</v>
      </c>
      <c r="MN15" s="8" t="s">
        <v>107</v>
      </c>
      <c r="MO15" s="8" t="s">
        <v>107</v>
      </c>
      <c r="MP15" s="8" t="s">
        <v>107</v>
      </c>
      <c r="MQ15" s="8" t="s">
        <v>107</v>
      </c>
      <c r="MR15" s="8" t="s">
        <v>107</v>
      </c>
      <c r="MS15" s="8" t="s">
        <v>107</v>
      </c>
      <c r="MT15" s="8" t="s">
        <v>107</v>
      </c>
      <c r="MU15" s="8" t="s">
        <v>107</v>
      </c>
      <c r="MV15" s="8" t="s">
        <v>107</v>
      </c>
      <c r="MW15" s="8" t="s">
        <v>107</v>
      </c>
      <c r="MX15" s="8" t="s">
        <v>107</v>
      </c>
      <c r="MY15" s="8" t="s">
        <v>107</v>
      </c>
      <c r="MZ15" s="8" t="s">
        <v>107</v>
      </c>
      <c r="NA15" s="8" t="s">
        <v>107</v>
      </c>
      <c r="NB15" s="8" t="s">
        <v>107</v>
      </c>
      <c r="NC15" s="8" t="s">
        <v>107</v>
      </c>
      <c r="ND15" s="8" t="s">
        <v>107</v>
      </c>
      <c r="NE15" s="967"/>
      <c r="NF15" s="8">
        <f t="shared" si="47"/>
        <v>0</v>
      </c>
      <c r="NG15" s="8"/>
      <c r="NH15" s="8">
        <v>0</v>
      </c>
      <c r="NI15" s="8" t="s">
        <v>107</v>
      </c>
      <c r="NJ15" s="8" t="s">
        <v>107</v>
      </c>
      <c r="NK15" s="8" t="s">
        <v>107</v>
      </c>
      <c r="NL15" s="8" t="s">
        <v>107</v>
      </c>
      <c r="NM15" s="8" t="s">
        <v>107</v>
      </c>
      <c r="NN15" s="8" t="s">
        <v>107</v>
      </c>
      <c r="NO15" s="8" t="s">
        <v>107</v>
      </c>
      <c r="NP15" s="8" t="s">
        <v>107</v>
      </c>
      <c r="NQ15" s="8" t="s">
        <v>107</v>
      </c>
      <c r="NR15" s="8" t="s">
        <v>107</v>
      </c>
      <c r="NS15" s="8" t="s">
        <v>107</v>
      </c>
      <c r="NT15" s="8" t="s">
        <v>107</v>
      </c>
      <c r="NU15" s="8" t="s">
        <v>107</v>
      </c>
      <c r="NV15" s="8" t="s">
        <v>107</v>
      </c>
      <c r="NW15" s="8" t="s">
        <v>107</v>
      </c>
      <c r="NX15" s="8" t="s">
        <v>107</v>
      </c>
      <c r="NY15" s="8" t="s">
        <v>107</v>
      </c>
      <c r="NZ15" s="8" t="s">
        <v>107</v>
      </c>
      <c r="OA15" s="8" t="s">
        <v>107</v>
      </c>
      <c r="OB15" s="8" t="s">
        <v>107</v>
      </c>
      <c r="OC15" s="8" t="s">
        <v>107</v>
      </c>
      <c r="OD15" s="8" t="s">
        <v>107</v>
      </c>
      <c r="OE15" s="967"/>
      <c r="OF15" s="8">
        <f t="shared" si="48"/>
        <v>0</v>
      </c>
      <c r="OG15" s="8"/>
      <c r="OH15" s="8">
        <v>0</v>
      </c>
      <c r="OI15" s="8" t="s">
        <v>107</v>
      </c>
      <c r="OJ15" s="8" t="s">
        <v>107</v>
      </c>
      <c r="OK15" s="8" t="s">
        <v>107</v>
      </c>
      <c r="OL15" s="8" t="s">
        <v>107</v>
      </c>
      <c r="OM15" s="8" t="s">
        <v>107</v>
      </c>
      <c r="ON15" s="8" t="s">
        <v>107</v>
      </c>
      <c r="OO15" s="8" t="s">
        <v>107</v>
      </c>
      <c r="OP15" s="8" t="s">
        <v>107</v>
      </c>
      <c r="OQ15" s="8" t="s">
        <v>107</v>
      </c>
      <c r="OR15" s="8" t="s">
        <v>107</v>
      </c>
      <c r="OS15" s="8" t="s">
        <v>107</v>
      </c>
      <c r="OT15" s="8" t="s">
        <v>107</v>
      </c>
      <c r="OU15" s="8" t="s">
        <v>107</v>
      </c>
      <c r="OV15" s="8" t="s">
        <v>107</v>
      </c>
      <c r="OW15" s="8" t="s">
        <v>107</v>
      </c>
      <c r="OX15" s="8" t="s">
        <v>107</v>
      </c>
      <c r="OY15" s="8" t="s">
        <v>107</v>
      </c>
      <c r="OZ15" s="8" t="s">
        <v>107</v>
      </c>
      <c r="PA15" s="8" t="s">
        <v>107</v>
      </c>
      <c r="PB15" s="8" t="s">
        <v>107</v>
      </c>
      <c r="PC15" s="8" t="s">
        <v>107</v>
      </c>
      <c r="PD15" s="8" t="s">
        <v>107</v>
      </c>
      <c r="PE15" s="967"/>
      <c r="PF15" s="8">
        <f t="shared" si="49"/>
        <v>1</v>
      </c>
      <c r="PG15" s="8"/>
      <c r="PH15" s="8">
        <v>1</v>
      </c>
      <c r="PI15" s="8" t="s">
        <v>107</v>
      </c>
      <c r="PJ15" s="8" t="s">
        <v>107</v>
      </c>
      <c r="PK15" s="8" t="s">
        <v>107</v>
      </c>
      <c r="PL15" s="8" t="s">
        <v>107</v>
      </c>
      <c r="PM15" s="8" t="s">
        <v>107</v>
      </c>
      <c r="PN15" s="8" t="s">
        <v>107</v>
      </c>
      <c r="PO15" s="8" t="s">
        <v>107</v>
      </c>
      <c r="PP15" s="8" t="s">
        <v>107</v>
      </c>
      <c r="PQ15" s="8" t="s">
        <v>107</v>
      </c>
      <c r="PR15" s="8" t="s">
        <v>107</v>
      </c>
      <c r="PS15" s="8" t="s">
        <v>107</v>
      </c>
      <c r="PT15" s="8" t="s">
        <v>107</v>
      </c>
      <c r="PU15" s="8" t="s">
        <v>107</v>
      </c>
      <c r="PV15" s="8" t="s">
        <v>107</v>
      </c>
      <c r="PW15" s="8" t="s">
        <v>107</v>
      </c>
      <c r="PX15" s="8" t="s">
        <v>107</v>
      </c>
      <c r="PY15" s="8" t="s">
        <v>107</v>
      </c>
      <c r="PZ15" s="8" t="s">
        <v>107</v>
      </c>
      <c r="QA15" s="8" t="s">
        <v>107</v>
      </c>
      <c r="QB15" s="8" t="s">
        <v>107</v>
      </c>
      <c r="QC15" s="8" t="s">
        <v>107</v>
      </c>
      <c r="QD15" s="8" t="s">
        <v>107</v>
      </c>
      <c r="QE15" s="967"/>
    </row>
    <row r="16" spans="2:447" x14ac:dyDescent="0.3">
      <c r="B16">
        <v>8</v>
      </c>
      <c r="D16" t="s">
        <v>2260</v>
      </c>
      <c r="F16" s="8">
        <f t="shared" si="33"/>
        <v>28</v>
      </c>
      <c r="G16" s="8"/>
      <c r="H16" s="8" t="s">
        <v>107</v>
      </c>
      <c r="I16" s="8" t="s">
        <v>107</v>
      </c>
      <c r="J16" s="8" t="s">
        <v>107</v>
      </c>
      <c r="K16" s="8" t="s">
        <v>107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 t="s">
        <v>107</v>
      </c>
      <c r="Y16" s="8" t="s">
        <v>107</v>
      </c>
      <c r="Z16" s="8"/>
      <c r="AA16" s="8"/>
      <c r="AB16" s="8" t="s">
        <v>107</v>
      </c>
      <c r="AC16" s="8">
        <v>11</v>
      </c>
      <c r="AD16" s="8">
        <v>17</v>
      </c>
      <c r="AE16" s="967"/>
      <c r="AF16" s="8">
        <f t="shared" si="35"/>
        <v>20</v>
      </c>
      <c r="AG16" s="8"/>
      <c r="AH16" s="8" t="s">
        <v>107</v>
      </c>
      <c r="AI16" s="8" t="s">
        <v>107</v>
      </c>
      <c r="AJ16" s="8" t="s">
        <v>107</v>
      </c>
      <c r="AK16" s="8" t="s">
        <v>107</v>
      </c>
      <c r="AL16" s="8" t="s">
        <v>107</v>
      </c>
      <c r="AM16" s="8" t="s">
        <v>107</v>
      </c>
      <c r="AN16" s="8" t="s">
        <v>107</v>
      </c>
      <c r="AO16" s="8" t="s">
        <v>107</v>
      </c>
      <c r="AP16" s="8" t="s">
        <v>107</v>
      </c>
      <c r="AQ16" s="8" t="s">
        <v>107</v>
      </c>
      <c r="AR16" s="8" t="s">
        <v>107</v>
      </c>
      <c r="AS16" s="8" t="s">
        <v>107</v>
      </c>
      <c r="AT16" s="8" t="s">
        <v>107</v>
      </c>
      <c r="AU16" s="8"/>
      <c r="AV16" s="8"/>
      <c r="AW16" s="8"/>
      <c r="AX16" s="8" t="s">
        <v>107</v>
      </c>
      <c r="AY16" s="8" t="s">
        <v>107</v>
      </c>
      <c r="AZ16" s="8"/>
      <c r="BA16" s="8"/>
      <c r="BB16" s="8" t="s">
        <v>107</v>
      </c>
      <c r="BC16" s="8">
        <v>6</v>
      </c>
      <c r="BD16" s="8">
        <v>14</v>
      </c>
      <c r="BE16" s="967"/>
      <c r="BF16" s="8">
        <f t="shared" si="36"/>
        <v>28</v>
      </c>
      <c r="BG16" s="8"/>
      <c r="BH16" s="8" t="s">
        <v>107</v>
      </c>
      <c r="BI16" s="8"/>
      <c r="BJ16" s="8"/>
      <c r="BK16" s="8" t="s">
        <v>107</v>
      </c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 t="s">
        <v>107</v>
      </c>
      <c r="BY16" s="8" t="s">
        <v>107</v>
      </c>
      <c r="BZ16" s="8"/>
      <c r="CA16" s="8"/>
      <c r="CB16" s="8" t="s">
        <v>107</v>
      </c>
      <c r="CC16" s="8">
        <v>7</v>
      </c>
      <c r="CD16" s="8">
        <v>21</v>
      </c>
      <c r="CE16" s="967"/>
      <c r="CF16" s="8">
        <f t="shared" si="37"/>
        <v>48</v>
      </c>
      <c r="CG16" s="8"/>
      <c r="CH16" s="8" t="s">
        <v>107</v>
      </c>
      <c r="CI16" s="8"/>
      <c r="CJ16" s="8"/>
      <c r="CK16" s="8" t="s">
        <v>107</v>
      </c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 t="s">
        <v>107</v>
      </c>
      <c r="CY16" s="8" t="s">
        <v>107</v>
      </c>
      <c r="CZ16" s="8"/>
      <c r="DA16" s="8"/>
      <c r="DB16" s="8" t="s">
        <v>107</v>
      </c>
      <c r="DC16" s="8">
        <f t="shared" si="52"/>
        <v>13</v>
      </c>
      <c r="DD16" s="8">
        <f t="shared" si="50"/>
        <v>35</v>
      </c>
      <c r="DE16" s="967"/>
      <c r="DF16" s="8">
        <f t="shared" si="38"/>
        <v>0</v>
      </c>
      <c r="DG16" s="8"/>
      <c r="DH16" s="8" t="s">
        <v>107</v>
      </c>
      <c r="DI16" s="8" t="s">
        <v>107</v>
      </c>
      <c r="DJ16" s="8" t="s">
        <v>107</v>
      </c>
      <c r="DK16" s="8" t="s">
        <v>107</v>
      </c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 t="s">
        <v>107</v>
      </c>
      <c r="DY16" s="8" t="s">
        <v>107</v>
      </c>
      <c r="DZ16" s="8"/>
      <c r="EA16" s="8"/>
      <c r="EB16" s="8" t="s">
        <v>107</v>
      </c>
      <c r="EC16" s="8">
        <v>0</v>
      </c>
      <c r="ED16" s="8">
        <v>0</v>
      </c>
      <c r="EE16" s="967"/>
      <c r="EF16" s="8">
        <f t="shared" si="39"/>
        <v>12</v>
      </c>
      <c r="EG16" s="8"/>
      <c r="EH16" s="8" t="s">
        <v>107</v>
      </c>
      <c r="EI16" s="8" t="s">
        <v>107</v>
      </c>
      <c r="EJ16" s="8" t="s">
        <v>107</v>
      </c>
      <c r="EK16" s="8" t="s">
        <v>107</v>
      </c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 t="s">
        <v>107</v>
      </c>
      <c r="EY16" s="8" t="s">
        <v>107</v>
      </c>
      <c r="EZ16" s="8"/>
      <c r="FA16" s="8"/>
      <c r="FB16" s="8" t="s">
        <v>107</v>
      </c>
      <c r="FC16" s="8">
        <v>6</v>
      </c>
      <c r="FD16" s="8">
        <v>6</v>
      </c>
      <c r="FE16" s="967"/>
      <c r="FF16" s="8">
        <f t="shared" si="34"/>
        <v>1</v>
      </c>
      <c r="FG16" s="8"/>
      <c r="FH16" s="8" t="s">
        <v>107</v>
      </c>
      <c r="FI16" s="8" t="s">
        <v>107</v>
      </c>
      <c r="FJ16" s="8" t="s">
        <v>107</v>
      </c>
      <c r="FK16" s="8" t="s">
        <v>107</v>
      </c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 t="s">
        <v>107</v>
      </c>
      <c r="FY16" s="8" t="s">
        <v>107</v>
      </c>
      <c r="FZ16" s="8"/>
      <c r="GA16" s="8"/>
      <c r="GB16" s="8" t="s">
        <v>107</v>
      </c>
      <c r="GC16" s="8">
        <v>0</v>
      </c>
      <c r="GD16" s="8">
        <v>1</v>
      </c>
      <c r="GE16" s="967"/>
      <c r="GF16" s="8">
        <f t="shared" si="40"/>
        <v>3</v>
      </c>
      <c r="GG16" s="8"/>
      <c r="GH16" s="8" t="s">
        <v>107</v>
      </c>
      <c r="GI16" s="8" t="s">
        <v>107</v>
      </c>
      <c r="GJ16" s="8" t="s">
        <v>107</v>
      </c>
      <c r="GK16" s="8" t="s">
        <v>107</v>
      </c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 t="s">
        <v>107</v>
      </c>
      <c r="GY16" s="8" t="s">
        <v>107</v>
      </c>
      <c r="GZ16" s="8"/>
      <c r="HA16" s="8"/>
      <c r="HB16" s="8" t="s">
        <v>107</v>
      </c>
      <c r="HC16" s="8">
        <v>2</v>
      </c>
      <c r="HD16" s="8">
        <v>1</v>
      </c>
      <c r="HE16" s="967"/>
      <c r="HF16" s="8">
        <f t="shared" si="41"/>
        <v>0</v>
      </c>
      <c r="HG16" s="8"/>
      <c r="HH16" s="8" t="s">
        <v>107</v>
      </c>
      <c r="HI16" s="8" t="s">
        <v>107</v>
      </c>
      <c r="HJ16" s="8" t="s">
        <v>107</v>
      </c>
      <c r="HK16" s="8" t="s">
        <v>107</v>
      </c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 t="s">
        <v>107</v>
      </c>
      <c r="HY16" s="8" t="s">
        <v>107</v>
      </c>
      <c r="HZ16" s="8"/>
      <c r="IA16" s="8"/>
      <c r="IB16" s="8" t="s">
        <v>107</v>
      </c>
      <c r="IC16" s="8">
        <v>0</v>
      </c>
      <c r="ID16" s="8">
        <v>0</v>
      </c>
      <c r="IE16" s="967"/>
      <c r="IF16" s="8">
        <f t="shared" si="42"/>
        <v>0</v>
      </c>
      <c r="IG16" s="8"/>
      <c r="IH16" s="8" t="s">
        <v>107</v>
      </c>
      <c r="II16" s="8" t="s">
        <v>107</v>
      </c>
      <c r="IJ16" s="8" t="s">
        <v>107</v>
      </c>
      <c r="IK16" s="8" t="s">
        <v>107</v>
      </c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 t="s">
        <v>107</v>
      </c>
      <c r="IY16" s="8" t="s">
        <v>107</v>
      </c>
      <c r="IZ16" s="8"/>
      <c r="JA16" s="8"/>
      <c r="JB16" s="8" t="s">
        <v>107</v>
      </c>
      <c r="JC16" s="8">
        <v>0</v>
      </c>
      <c r="JD16" s="8">
        <v>0</v>
      </c>
      <c r="JE16" s="967"/>
      <c r="JF16" s="8">
        <f t="shared" si="43"/>
        <v>0</v>
      </c>
      <c r="JG16" s="8"/>
      <c r="JH16" s="8" t="s">
        <v>107</v>
      </c>
      <c r="JI16" s="8" t="s">
        <v>107</v>
      </c>
      <c r="JJ16" s="8" t="s">
        <v>107</v>
      </c>
      <c r="JK16" s="8" t="s">
        <v>107</v>
      </c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 t="s">
        <v>107</v>
      </c>
      <c r="JY16" s="8" t="s">
        <v>107</v>
      </c>
      <c r="JZ16" s="8"/>
      <c r="KA16" s="8"/>
      <c r="KB16" s="8" t="s">
        <v>107</v>
      </c>
      <c r="KC16" s="8">
        <v>0</v>
      </c>
      <c r="KD16" s="8">
        <v>0</v>
      </c>
      <c r="KE16" s="967"/>
      <c r="KF16" s="8">
        <f t="shared" si="44"/>
        <v>0</v>
      </c>
      <c r="KG16" s="8"/>
      <c r="KH16" s="8" t="s">
        <v>107</v>
      </c>
      <c r="KI16" s="8" t="s">
        <v>107</v>
      </c>
      <c r="KJ16" s="8" t="s">
        <v>107</v>
      </c>
      <c r="KK16" s="8" t="s">
        <v>107</v>
      </c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 t="s">
        <v>107</v>
      </c>
      <c r="KY16" s="8" t="s">
        <v>107</v>
      </c>
      <c r="KZ16" s="8"/>
      <c r="LA16" s="8"/>
      <c r="LB16" s="8" t="s">
        <v>107</v>
      </c>
      <c r="LC16" s="8">
        <v>0</v>
      </c>
      <c r="LD16" s="8">
        <v>0</v>
      </c>
      <c r="LE16" s="967"/>
      <c r="LF16" s="8">
        <f t="shared" si="45"/>
        <v>0</v>
      </c>
      <c r="LG16" s="8"/>
      <c r="LH16" s="8" t="s">
        <v>107</v>
      </c>
      <c r="LI16" s="8" t="s">
        <v>107</v>
      </c>
      <c r="LJ16" s="8" t="s">
        <v>107</v>
      </c>
      <c r="LK16" s="8" t="s">
        <v>107</v>
      </c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 t="s">
        <v>107</v>
      </c>
      <c r="LY16" s="8" t="s">
        <v>107</v>
      </c>
      <c r="LZ16" s="8"/>
      <c r="MA16" s="8"/>
      <c r="MB16" s="8" t="s">
        <v>107</v>
      </c>
      <c r="MC16" s="8">
        <v>0</v>
      </c>
      <c r="MD16" s="8">
        <v>0</v>
      </c>
      <c r="ME16" s="967"/>
      <c r="MF16" s="8">
        <f t="shared" si="46"/>
        <v>0</v>
      </c>
      <c r="MG16" s="8"/>
      <c r="MH16" s="8" t="s">
        <v>107</v>
      </c>
      <c r="MI16" s="8" t="s">
        <v>107</v>
      </c>
      <c r="MJ16" s="8" t="s">
        <v>107</v>
      </c>
      <c r="MK16" s="8" t="s">
        <v>107</v>
      </c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 t="s">
        <v>107</v>
      </c>
      <c r="MY16" s="8" t="s">
        <v>107</v>
      </c>
      <c r="MZ16" s="8"/>
      <c r="NA16" s="8"/>
      <c r="NB16" s="8" t="s">
        <v>107</v>
      </c>
      <c r="NC16" s="8">
        <v>0</v>
      </c>
      <c r="ND16" s="8">
        <v>0</v>
      </c>
      <c r="NE16" s="967"/>
      <c r="NF16" s="8">
        <f t="shared" si="47"/>
        <v>2</v>
      </c>
      <c r="NG16" s="8"/>
      <c r="NH16" s="8" t="s">
        <v>107</v>
      </c>
      <c r="NI16" s="8" t="s">
        <v>107</v>
      </c>
      <c r="NJ16" s="8" t="s">
        <v>107</v>
      </c>
      <c r="NK16" s="8" t="s">
        <v>107</v>
      </c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 t="s">
        <v>107</v>
      </c>
      <c r="NY16" s="8" t="s">
        <v>107</v>
      </c>
      <c r="NZ16" s="8"/>
      <c r="OA16" s="8"/>
      <c r="OB16" s="8" t="s">
        <v>107</v>
      </c>
      <c r="OC16" s="8">
        <v>0</v>
      </c>
      <c r="OD16" s="8">
        <v>2</v>
      </c>
      <c r="OE16" s="967"/>
      <c r="OF16" s="8">
        <f t="shared" si="48"/>
        <v>0</v>
      </c>
      <c r="OG16" s="8"/>
      <c r="OH16" s="8" t="s">
        <v>107</v>
      </c>
      <c r="OI16" s="8" t="s">
        <v>107</v>
      </c>
      <c r="OJ16" s="8" t="s">
        <v>107</v>
      </c>
      <c r="OK16" s="8" t="s">
        <v>107</v>
      </c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 t="s">
        <v>107</v>
      </c>
      <c r="OY16" s="8" t="s">
        <v>107</v>
      </c>
      <c r="OZ16" s="8"/>
      <c r="PA16" s="8"/>
      <c r="PB16" s="8" t="s">
        <v>107</v>
      </c>
      <c r="PC16" s="8">
        <v>0</v>
      </c>
      <c r="PD16" s="8">
        <v>0</v>
      </c>
      <c r="PE16" s="967"/>
      <c r="PF16" s="8">
        <f t="shared" si="49"/>
        <v>0</v>
      </c>
      <c r="PG16" s="8"/>
      <c r="PH16" s="8" t="s">
        <v>107</v>
      </c>
      <c r="PI16" s="8" t="s">
        <v>107</v>
      </c>
      <c r="PJ16" s="8" t="s">
        <v>107</v>
      </c>
      <c r="PK16" s="8" t="s">
        <v>107</v>
      </c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 t="s">
        <v>107</v>
      </c>
      <c r="PY16" s="8" t="s">
        <v>107</v>
      </c>
      <c r="PZ16" s="8"/>
      <c r="QA16" s="8"/>
      <c r="QB16" s="8" t="s">
        <v>107</v>
      </c>
      <c r="QC16" s="8">
        <v>0</v>
      </c>
      <c r="QD16" s="8">
        <v>0</v>
      </c>
      <c r="QE16" s="967"/>
    </row>
    <row r="17" spans="2:447" x14ac:dyDescent="0.3">
      <c r="B17">
        <v>9</v>
      </c>
      <c r="D17" t="s">
        <v>1996</v>
      </c>
      <c r="F17" s="8">
        <f t="shared" si="33"/>
        <v>29</v>
      </c>
      <c r="G17" s="8"/>
      <c r="H17" s="8" t="s">
        <v>107</v>
      </c>
      <c r="I17" s="8" t="s">
        <v>107</v>
      </c>
      <c r="J17" s="8" t="s">
        <v>107</v>
      </c>
      <c r="K17" s="8" t="s">
        <v>107</v>
      </c>
      <c r="L17" s="8" t="s">
        <v>107</v>
      </c>
      <c r="M17" s="8" t="s">
        <v>107</v>
      </c>
      <c r="N17" s="8" t="s">
        <v>107</v>
      </c>
      <c r="O17" s="8" t="s">
        <v>107</v>
      </c>
      <c r="P17" s="8" t="s">
        <v>107</v>
      </c>
      <c r="Q17" s="8" t="s">
        <v>107</v>
      </c>
      <c r="R17" s="8" t="s">
        <v>107</v>
      </c>
      <c r="S17" s="8" t="s">
        <v>107</v>
      </c>
      <c r="T17" s="8" t="s">
        <v>107</v>
      </c>
      <c r="U17" s="8" t="s">
        <v>107</v>
      </c>
      <c r="V17" s="8" t="s">
        <v>107</v>
      </c>
      <c r="W17" s="8" t="s">
        <v>107</v>
      </c>
      <c r="X17" s="8">
        <v>13</v>
      </c>
      <c r="Y17" s="8">
        <v>16</v>
      </c>
      <c r="Z17" s="8"/>
      <c r="AA17" s="8"/>
      <c r="AB17" s="8" t="s">
        <v>107</v>
      </c>
      <c r="AC17" s="8" t="s">
        <v>107</v>
      </c>
      <c r="AD17" s="8" t="s">
        <v>107</v>
      </c>
      <c r="AE17" s="967"/>
      <c r="AF17" s="8">
        <f t="shared" si="35"/>
        <v>12</v>
      </c>
      <c r="AG17" s="8"/>
      <c r="AH17" s="8" t="s">
        <v>107</v>
      </c>
      <c r="AI17" s="8" t="s">
        <v>107</v>
      </c>
      <c r="AJ17" s="8" t="s">
        <v>107</v>
      </c>
      <c r="AK17" s="8" t="s">
        <v>107</v>
      </c>
      <c r="AL17" s="8"/>
      <c r="AM17" s="8"/>
      <c r="AN17" s="8"/>
      <c r="AO17" s="8" t="s">
        <v>107</v>
      </c>
      <c r="AP17" s="8" t="s">
        <v>107</v>
      </c>
      <c r="AQ17" s="8"/>
      <c r="AR17" s="8"/>
      <c r="AS17" s="8"/>
      <c r="AT17" s="8"/>
      <c r="AU17" s="8"/>
      <c r="AV17" s="8"/>
      <c r="AW17" s="8"/>
      <c r="AX17" s="8">
        <v>5</v>
      </c>
      <c r="AY17" s="8">
        <v>7</v>
      </c>
      <c r="AZ17" s="8"/>
      <c r="BA17" s="8"/>
      <c r="BB17" s="8" t="s">
        <v>107</v>
      </c>
      <c r="BC17" s="8" t="s">
        <v>107</v>
      </c>
      <c r="BD17" s="8" t="s">
        <v>107</v>
      </c>
      <c r="BE17" s="967"/>
      <c r="BF17" s="8">
        <f t="shared" si="36"/>
        <v>8</v>
      </c>
      <c r="BG17" s="8"/>
      <c r="BH17" s="8" t="s">
        <v>107</v>
      </c>
      <c r="BI17" s="8"/>
      <c r="BJ17" s="8"/>
      <c r="BK17" s="8" t="s">
        <v>107</v>
      </c>
      <c r="BL17" s="8"/>
      <c r="BM17" s="8"/>
      <c r="BN17" s="8"/>
      <c r="BO17" s="8" t="s">
        <v>107</v>
      </c>
      <c r="BP17" s="8" t="s">
        <v>107</v>
      </c>
      <c r="BQ17" s="8"/>
      <c r="BR17" s="8"/>
      <c r="BS17" s="8"/>
      <c r="BT17" s="8"/>
      <c r="BU17" s="8"/>
      <c r="BV17" s="8"/>
      <c r="BW17" s="8"/>
      <c r="BX17" s="8">
        <v>3</v>
      </c>
      <c r="BY17" s="8">
        <v>5</v>
      </c>
      <c r="BZ17" s="8"/>
      <c r="CA17" s="8"/>
      <c r="CB17" s="8" t="s">
        <v>107</v>
      </c>
      <c r="CC17" s="8" t="s">
        <v>107</v>
      </c>
      <c r="CD17" s="8" t="s">
        <v>107</v>
      </c>
      <c r="CE17" s="967"/>
      <c r="CF17" s="8">
        <f t="shared" si="37"/>
        <v>20</v>
      </c>
      <c r="CG17" s="8"/>
      <c r="CH17" s="8" t="s">
        <v>107</v>
      </c>
      <c r="CI17" s="8"/>
      <c r="CJ17" s="8"/>
      <c r="CK17" s="8" t="s">
        <v>107</v>
      </c>
      <c r="CL17" s="8"/>
      <c r="CM17" s="8"/>
      <c r="CN17" s="8"/>
      <c r="CO17" s="8" t="s">
        <v>107</v>
      </c>
      <c r="CP17" s="8" t="s">
        <v>107</v>
      </c>
      <c r="CQ17" s="8"/>
      <c r="CR17" s="8"/>
      <c r="CS17" s="8"/>
      <c r="CT17" s="8"/>
      <c r="CU17" s="8"/>
      <c r="CV17" s="8"/>
      <c r="CW17" s="8"/>
      <c r="CX17" s="8">
        <v>8</v>
      </c>
      <c r="CY17" s="8">
        <v>12</v>
      </c>
      <c r="CZ17" s="8"/>
      <c r="DA17" s="8"/>
      <c r="DB17" s="8" t="s">
        <v>107</v>
      </c>
      <c r="DC17" s="8" t="s">
        <v>107</v>
      </c>
      <c r="DD17" s="8" t="s">
        <v>107</v>
      </c>
      <c r="DE17" s="967"/>
      <c r="DF17" s="8">
        <f t="shared" si="38"/>
        <v>0</v>
      </c>
      <c r="DG17" s="8"/>
      <c r="DH17" s="8" t="s">
        <v>107</v>
      </c>
      <c r="DI17" s="8" t="s">
        <v>107</v>
      </c>
      <c r="DJ17" s="8" t="s">
        <v>107</v>
      </c>
      <c r="DK17" s="8" t="s">
        <v>107</v>
      </c>
      <c r="DL17" s="8"/>
      <c r="DM17" s="8"/>
      <c r="DN17" s="8"/>
      <c r="DO17" s="8" t="s">
        <v>107</v>
      </c>
      <c r="DP17" s="8" t="s">
        <v>107</v>
      </c>
      <c r="DQ17" s="8"/>
      <c r="DR17" s="8"/>
      <c r="DS17" s="8"/>
      <c r="DT17" s="8"/>
      <c r="DU17" s="8"/>
      <c r="DV17" s="8"/>
      <c r="DW17" s="8"/>
      <c r="DX17" s="8">
        <v>0</v>
      </c>
      <c r="DY17" s="8">
        <v>0</v>
      </c>
      <c r="DZ17" s="8"/>
      <c r="EA17" s="8"/>
      <c r="EB17" s="8" t="s">
        <v>107</v>
      </c>
      <c r="EC17" s="8" t="s">
        <v>107</v>
      </c>
      <c r="ED17" s="8" t="s">
        <v>107</v>
      </c>
      <c r="EE17" s="967"/>
      <c r="EF17" s="8">
        <f t="shared" si="39"/>
        <v>6</v>
      </c>
      <c r="EG17" s="8"/>
      <c r="EH17" s="8" t="s">
        <v>107</v>
      </c>
      <c r="EI17" s="8" t="s">
        <v>107</v>
      </c>
      <c r="EJ17" s="8" t="s">
        <v>107</v>
      </c>
      <c r="EK17" s="8" t="s">
        <v>107</v>
      </c>
      <c r="EL17" s="8"/>
      <c r="EM17" s="8"/>
      <c r="EN17" s="8"/>
      <c r="EO17" s="8" t="s">
        <v>107</v>
      </c>
      <c r="EP17" s="8" t="s">
        <v>107</v>
      </c>
      <c r="EQ17" s="8"/>
      <c r="ER17" s="8"/>
      <c r="ES17" s="8"/>
      <c r="ET17" s="8"/>
      <c r="EU17" s="8"/>
      <c r="EV17" s="8"/>
      <c r="EW17" s="8"/>
      <c r="EX17" s="8">
        <v>4</v>
      </c>
      <c r="EY17" s="8">
        <v>2</v>
      </c>
      <c r="EZ17" s="8"/>
      <c r="FA17" s="8"/>
      <c r="FB17" s="8" t="s">
        <v>107</v>
      </c>
      <c r="FC17" s="8" t="s">
        <v>107</v>
      </c>
      <c r="FD17" s="8" t="s">
        <v>107</v>
      </c>
      <c r="FE17" s="967"/>
      <c r="FF17" s="8">
        <f t="shared" si="34"/>
        <v>1</v>
      </c>
      <c r="FG17" s="8"/>
      <c r="FH17" s="8" t="s">
        <v>107</v>
      </c>
      <c r="FI17" s="8" t="s">
        <v>107</v>
      </c>
      <c r="FJ17" s="8" t="s">
        <v>107</v>
      </c>
      <c r="FK17" s="8" t="s">
        <v>107</v>
      </c>
      <c r="FL17" s="8"/>
      <c r="FM17" s="8"/>
      <c r="FN17" s="8"/>
      <c r="FO17" s="8" t="s">
        <v>107</v>
      </c>
      <c r="FP17" s="8" t="s">
        <v>107</v>
      </c>
      <c r="FQ17" s="8"/>
      <c r="FR17" s="8"/>
      <c r="FS17" s="8"/>
      <c r="FT17" s="8"/>
      <c r="FU17" s="8"/>
      <c r="FV17" s="8"/>
      <c r="FW17" s="8"/>
      <c r="FX17" s="8">
        <v>0</v>
      </c>
      <c r="FY17" s="8">
        <v>1</v>
      </c>
      <c r="FZ17" s="8"/>
      <c r="GA17" s="8"/>
      <c r="GB17" s="8" t="s">
        <v>107</v>
      </c>
      <c r="GC17" s="8" t="s">
        <v>107</v>
      </c>
      <c r="GD17" s="8" t="s">
        <v>107</v>
      </c>
      <c r="GE17" s="967"/>
      <c r="GF17" s="8">
        <f t="shared" si="40"/>
        <v>0</v>
      </c>
      <c r="GG17" s="8"/>
      <c r="GH17" s="8" t="s">
        <v>107</v>
      </c>
      <c r="GI17" s="8" t="s">
        <v>107</v>
      </c>
      <c r="GJ17" s="8" t="s">
        <v>107</v>
      </c>
      <c r="GK17" s="8" t="s">
        <v>107</v>
      </c>
      <c r="GL17" s="8"/>
      <c r="GM17" s="8"/>
      <c r="GN17" s="8"/>
      <c r="GO17" s="8" t="s">
        <v>107</v>
      </c>
      <c r="GP17" s="8" t="s">
        <v>107</v>
      </c>
      <c r="GQ17" s="8"/>
      <c r="GR17" s="8"/>
      <c r="GS17" s="8"/>
      <c r="GT17" s="8"/>
      <c r="GU17" s="8"/>
      <c r="GV17" s="8"/>
      <c r="GW17" s="8"/>
      <c r="GX17" s="8">
        <v>0</v>
      </c>
      <c r="GY17" s="8">
        <v>0</v>
      </c>
      <c r="GZ17" s="8"/>
      <c r="HA17" s="8"/>
      <c r="HB17" s="8" t="s">
        <v>107</v>
      </c>
      <c r="HC17" s="8" t="s">
        <v>107</v>
      </c>
      <c r="HD17" s="8" t="s">
        <v>107</v>
      </c>
      <c r="HE17" s="967"/>
      <c r="HF17" s="8">
        <f t="shared" si="41"/>
        <v>0</v>
      </c>
      <c r="HG17" s="8"/>
      <c r="HH17" s="8" t="s">
        <v>107</v>
      </c>
      <c r="HI17" s="8" t="s">
        <v>107</v>
      </c>
      <c r="HJ17" s="8" t="s">
        <v>107</v>
      </c>
      <c r="HK17" s="8" t="s">
        <v>107</v>
      </c>
      <c r="HL17" s="8"/>
      <c r="HM17" s="8"/>
      <c r="HN17" s="8"/>
      <c r="HO17" s="8" t="s">
        <v>107</v>
      </c>
      <c r="HP17" s="8" t="s">
        <v>107</v>
      </c>
      <c r="HQ17" s="8"/>
      <c r="HR17" s="8"/>
      <c r="HS17" s="8"/>
      <c r="HT17" s="8"/>
      <c r="HU17" s="8"/>
      <c r="HV17" s="8"/>
      <c r="HW17" s="8"/>
      <c r="HX17" s="8">
        <v>0</v>
      </c>
      <c r="HY17" s="8">
        <v>0</v>
      </c>
      <c r="HZ17" s="8"/>
      <c r="IA17" s="8"/>
      <c r="IB17" s="8" t="s">
        <v>107</v>
      </c>
      <c r="IC17" s="8" t="s">
        <v>107</v>
      </c>
      <c r="ID17" s="8" t="s">
        <v>107</v>
      </c>
      <c r="IE17" s="967"/>
      <c r="IF17" s="8">
        <f t="shared" si="42"/>
        <v>0</v>
      </c>
      <c r="IG17" s="8"/>
      <c r="IH17" s="8" t="s">
        <v>107</v>
      </c>
      <c r="II17" s="8" t="s">
        <v>107</v>
      </c>
      <c r="IJ17" s="8" t="s">
        <v>107</v>
      </c>
      <c r="IK17" s="8" t="s">
        <v>107</v>
      </c>
      <c r="IL17" s="8"/>
      <c r="IM17" s="8"/>
      <c r="IN17" s="8"/>
      <c r="IO17" s="8" t="s">
        <v>107</v>
      </c>
      <c r="IP17" s="8" t="s">
        <v>107</v>
      </c>
      <c r="IQ17" s="8"/>
      <c r="IR17" s="8"/>
      <c r="IS17" s="8"/>
      <c r="IT17" s="8"/>
      <c r="IU17" s="8"/>
      <c r="IV17" s="8"/>
      <c r="IW17" s="8"/>
      <c r="IX17" s="8">
        <v>0</v>
      </c>
      <c r="IY17" s="8">
        <v>0</v>
      </c>
      <c r="IZ17" s="8"/>
      <c r="JA17" s="8"/>
      <c r="JB17" s="8" t="s">
        <v>107</v>
      </c>
      <c r="JC17" s="8" t="s">
        <v>107</v>
      </c>
      <c r="JD17" s="8" t="s">
        <v>107</v>
      </c>
      <c r="JE17" s="967"/>
      <c r="JF17" s="8">
        <f t="shared" si="43"/>
        <v>0</v>
      </c>
      <c r="JG17" s="8"/>
      <c r="JH17" s="8" t="s">
        <v>107</v>
      </c>
      <c r="JI17" s="8" t="s">
        <v>107</v>
      </c>
      <c r="JJ17" s="8" t="s">
        <v>107</v>
      </c>
      <c r="JK17" s="8" t="s">
        <v>107</v>
      </c>
      <c r="JL17" s="8"/>
      <c r="JM17" s="8"/>
      <c r="JN17" s="8"/>
      <c r="JO17" s="8" t="s">
        <v>107</v>
      </c>
      <c r="JP17" s="8" t="s">
        <v>107</v>
      </c>
      <c r="JQ17" s="8"/>
      <c r="JR17" s="8"/>
      <c r="JS17" s="8"/>
      <c r="JT17" s="8"/>
      <c r="JU17" s="8"/>
      <c r="JV17" s="8"/>
      <c r="JW17" s="8"/>
      <c r="JX17" s="8">
        <v>0</v>
      </c>
      <c r="JY17" s="8">
        <v>0</v>
      </c>
      <c r="JZ17" s="8"/>
      <c r="KA17" s="8"/>
      <c r="KB17" s="8" t="s">
        <v>107</v>
      </c>
      <c r="KC17" s="8" t="s">
        <v>107</v>
      </c>
      <c r="KD17" s="8" t="s">
        <v>107</v>
      </c>
      <c r="KE17" s="967"/>
      <c r="KF17" s="8">
        <f t="shared" si="44"/>
        <v>0</v>
      </c>
      <c r="KG17" s="8"/>
      <c r="KH17" s="8" t="s">
        <v>107</v>
      </c>
      <c r="KI17" s="8" t="s">
        <v>107</v>
      </c>
      <c r="KJ17" s="8" t="s">
        <v>107</v>
      </c>
      <c r="KK17" s="8" t="s">
        <v>107</v>
      </c>
      <c r="KL17" s="8"/>
      <c r="KM17" s="8"/>
      <c r="KN17" s="8"/>
      <c r="KO17" s="8" t="s">
        <v>107</v>
      </c>
      <c r="KP17" s="8" t="s">
        <v>107</v>
      </c>
      <c r="KQ17" s="8"/>
      <c r="KR17" s="8"/>
      <c r="KS17" s="8"/>
      <c r="KT17" s="8"/>
      <c r="KU17" s="8"/>
      <c r="KV17" s="8"/>
      <c r="KW17" s="8"/>
      <c r="KX17" s="8">
        <v>0</v>
      </c>
      <c r="KY17" s="8">
        <v>0</v>
      </c>
      <c r="KZ17" s="8"/>
      <c r="LA17" s="8"/>
      <c r="LB17" s="8" t="s">
        <v>107</v>
      </c>
      <c r="LC17" s="8" t="s">
        <v>107</v>
      </c>
      <c r="LD17" s="8" t="s">
        <v>107</v>
      </c>
      <c r="LE17" s="967"/>
      <c r="LF17" s="8">
        <f t="shared" si="45"/>
        <v>1</v>
      </c>
      <c r="LG17" s="8"/>
      <c r="LH17" s="8" t="s">
        <v>107</v>
      </c>
      <c r="LI17" s="8" t="s">
        <v>107</v>
      </c>
      <c r="LJ17" s="8" t="s">
        <v>107</v>
      </c>
      <c r="LK17" s="8" t="s">
        <v>107</v>
      </c>
      <c r="LL17" s="8"/>
      <c r="LM17" s="8"/>
      <c r="LN17" s="8"/>
      <c r="LO17" s="8" t="s">
        <v>107</v>
      </c>
      <c r="LP17" s="8" t="s">
        <v>107</v>
      </c>
      <c r="LQ17" s="8"/>
      <c r="LR17" s="8"/>
      <c r="LS17" s="8"/>
      <c r="LT17" s="8"/>
      <c r="LU17" s="8"/>
      <c r="LV17" s="8"/>
      <c r="LW17" s="8"/>
      <c r="LX17" s="8">
        <v>1</v>
      </c>
      <c r="LY17" s="8">
        <v>0</v>
      </c>
      <c r="LZ17" s="8"/>
      <c r="MA17" s="8"/>
      <c r="MB17" s="8" t="s">
        <v>107</v>
      </c>
      <c r="MC17" s="8" t="s">
        <v>107</v>
      </c>
      <c r="MD17" s="8" t="s">
        <v>107</v>
      </c>
      <c r="ME17" s="967"/>
      <c r="MF17" s="8">
        <f t="shared" si="46"/>
        <v>0</v>
      </c>
      <c r="MG17" s="8"/>
      <c r="MH17" s="8" t="s">
        <v>107</v>
      </c>
      <c r="MI17" s="8" t="s">
        <v>107</v>
      </c>
      <c r="MJ17" s="8" t="s">
        <v>107</v>
      </c>
      <c r="MK17" s="8" t="s">
        <v>107</v>
      </c>
      <c r="ML17" s="8"/>
      <c r="MM17" s="8"/>
      <c r="MN17" s="8"/>
      <c r="MO17" s="8" t="s">
        <v>107</v>
      </c>
      <c r="MP17" s="8" t="s">
        <v>107</v>
      </c>
      <c r="MQ17" s="8"/>
      <c r="MR17" s="8"/>
      <c r="MS17" s="8"/>
      <c r="MT17" s="8"/>
      <c r="MU17" s="8"/>
      <c r="MV17" s="8"/>
      <c r="MW17" s="8"/>
      <c r="MX17" s="8">
        <v>0</v>
      </c>
      <c r="MY17" s="8">
        <v>0</v>
      </c>
      <c r="MZ17" s="8"/>
      <c r="NA17" s="8"/>
      <c r="NB17" s="8" t="s">
        <v>107</v>
      </c>
      <c r="NC17" s="8" t="s">
        <v>107</v>
      </c>
      <c r="ND17" s="8" t="s">
        <v>107</v>
      </c>
      <c r="NE17" s="967"/>
      <c r="NF17" s="8">
        <f t="shared" si="47"/>
        <v>2</v>
      </c>
      <c r="NG17" s="8"/>
      <c r="NH17" s="8" t="s">
        <v>107</v>
      </c>
      <c r="NI17" s="8" t="s">
        <v>107</v>
      </c>
      <c r="NJ17" s="8" t="s">
        <v>107</v>
      </c>
      <c r="NK17" s="8" t="s">
        <v>107</v>
      </c>
      <c r="NL17" s="8"/>
      <c r="NM17" s="8"/>
      <c r="NN17" s="8"/>
      <c r="NO17" s="8" t="s">
        <v>107</v>
      </c>
      <c r="NP17" s="8" t="s">
        <v>107</v>
      </c>
      <c r="NQ17" s="8"/>
      <c r="NR17" s="8"/>
      <c r="NS17" s="8"/>
      <c r="NT17" s="8"/>
      <c r="NU17" s="8"/>
      <c r="NV17" s="8"/>
      <c r="NW17" s="8"/>
      <c r="NX17" s="8">
        <v>1</v>
      </c>
      <c r="NY17" s="8">
        <v>1</v>
      </c>
      <c r="NZ17" s="8"/>
      <c r="OA17" s="8"/>
      <c r="OB17" s="8" t="s">
        <v>107</v>
      </c>
      <c r="OC17" s="8" t="s">
        <v>107</v>
      </c>
      <c r="OD17" s="8" t="s">
        <v>107</v>
      </c>
      <c r="OE17" s="967"/>
      <c r="OF17" s="8">
        <f t="shared" si="48"/>
        <v>0</v>
      </c>
      <c r="OG17" s="8"/>
      <c r="OH17" s="8" t="s">
        <v>107</v>
      </c>
      <c r="OI17" s="8" t="s">
        <v>107</v>
      </c>
      <c r="OJ17" s="8" t="s">
        <v>107</v>
      </c>
      <c r="OK17" s="8" t="s">
        <v>107</v>
      </c>
      <c r="OL17" s="8"/>
      <c r="OM17" s="8"/>
      <c r="ON17" s="8"/>
      <c r="OO17" s="8" t="s">
        <v>107</v>
      </c>
      <c r="OP17" s="8" t="s">
        <v>107</v>
      </c>
      <c r="OQ17" s="8"/>
      <c r="OR17" s="8"/>
      <c r="OS17" s="8"/>
      <c r="OT17" s="8"/>
      <c r="OU17" s="8"/>
      <c r="OV17" s="8"/>
      <c r="OW17" s="8"/>
      <c r="OX17" s="8">
        <v>0</v>
      </c>
      <c r="OY17" s="8">
        <v>0</v>
      </c>
      <c r="OZ17" s="8"/>
      <c r="PA17" s="8"/>
      <c r="PB17" s="8" t="s">
        <v>107</v>
      </c>
      <c r="PC17" s="8" t="s">
        <v>107</v>
      </c>
      <c r="PD17" s="8" t="s">
        <v>107</v>
      </c>
      <c r="PE17" s="967"/>
      <c r="PF17" s="8">
        <f t="shared" si="49"/>
        <v>0</v>
      </c>
      <c r="PG17" s="8"/>
      <c r="PH17" s="8" t="s">
        <v>107</v>
      </c>
      <c r="PI17" s="8" t="s">
        <v>107</v>
      </c>
      <c r="PJ17" s="8" t="s">
        <v>107</v>
      </c>
      <c r="PK17" s="8" t="s">
        <v>107</v>
      </c>
      <c r="PL17" s="8"/>
      <c r="PM17" s="8"/>
      <c r="PN17" s="8"/>
      <c r="PO17" s="8" t="s">
        <v>107</v>
      </c>
      <c r="PP17" s="8" t="s">
        <v>107</v>
      </c>
      <c r="PQ17" s="8"/>
      <c r="PR17" s="8"/>
      <c r="PS17" s="8"/>
      <c r="PT17" s="8"/>
      <c r="PU17" s="8"/>
      <c r="PV17" s="8"/>
      <c r="PW17" s="8"/>
      <c r="PX17" s="8">
        <v>0</v>
      </c>
      <c r="PY17" s="8">
        <v>0</v>
      </c>
      <c r="PZ17" s="8"/>
      <c r="QA17" s="8"/>
      <c r="QB17" s="8" t="s">
        <v>107</v>
      </c>
      <c r="QC17" s="8" t="s">
        <v>107</v>
      </c>
      <c r="QD17" s="8" t="s">
        <v>107</v>
      </c>
      <c r="QE17" s="967"/>
    </row>
    <row r="18" spans="2:447" x14ac:dyDescent="0.3">
      <c r="B18">
        <v>10</v>
      </c>
      <c r="C18" t="s">
        <v>681</v>
      </c>
      <c r="D18" t="s">
        <v>2002</v>
      </c>
      <c r="F18" s="8">
        <f t="shared" si="33"/>
        <v>4</v>
      </c>
      <c r="G18" s="8"/>
      <c r="H18" s="8" t="s">
        <v>107</v>
      </c>
      <c r="I18" s="8" t="s">
        <v>107</v>
      </c>
      <c r="J18" s="8" t="s">
        <v>107</v>
      </c>
      <c r="K18" s="8" t="s">
        <v>107</v>
      </c>
      <c r="L18" s="8" t="s">
        <v>107</v>
      </c>
      <c r="M18" s="8" t="s">
        <v>107</v>
      </c>
      <c r="N18" s="8" t="s">
        <v>107</v>
      </c>
      <c r="O18" s="8" t="s">
        <v>107</v>
      </c>
      <c r="P18" s="8" t="s">
        <v>107</v>
      </c>
      <c r="Q18" s="8" t="s">
        <v>107</v>
      </c>
      <c r="R18" s="8" t="s">
        <v>107</v>
      </c>
      <c r="S18" s="8" t="s">
        <v>107</v>
      </c>
      <c r="T18" s="8" t="s">
        <v>107</v>
      </c>
      <c r="U18" s="8" t="s">
        <v>107</v>
      </c>
      <c r="V18" s="8" t="s">
        <v>107</v>
      </c>
      <c r="W18" s="8" t="s">
        <v>107</v>
      </c>
      <c r="X18" s="8" t="s">
        <v>107</v>
      </c>
      <c r="Y18" s="8">
        <v>4</v>
      </c>
      <c r="Z18" s="8"/>
      <c r="AA18" s="8"/>
      <c r="AB18" s="8" t="s">
        <v>107</v>
      </c>
      <c r="AC18" s="8" t="s">
        <v>107</v>
      </c>
      <c r="AD18" s="8" t="s">
        <v>107</v>
      </c>
      <c r="AE18" s="967"/>
      <c r="AF18" s="8">
        <f t="shared" si="35"/>
        <v>0</v>
      </c>
      <c r="AG18" s="8"/>
      <c r="AH18" s="8" t="s">
        <v>107</v>
      </c>
      <c r="AI18" s="8" t="s">
        <v>107</v>
      </c>
      <c r="AJ18" s="8" t="s">
        <v>107</v>
      </c>
      <c r="AK18" s="8" t="s">
        <v>107</v>
      </c>
      <c r="AL18" s="8"/>
      <c r="AM18" s="8"/>
      <c r="AN18" s="8"/>
      <c r="AO18" s="8" t="s">
        <v>107</v>
      </c>
      <c r="AP18" s="8" t="s">
        <v>107</v>
      </c>
      <c r="AQ18" s="8"/>
      <c r="AR18" s="8"/>
      <c r="AS18" s="8"/>
      <c r="AT18" s="8"/>
      <c r="AU18" s="8"/>
      <c r="AV18" s="8"/>
      <c r="AW18" s="8"/>
      <c r="AX18" s="8" t="s">
        <v>107</v>
      </c>
      <c r="AY18" s="8">
        <v>0</v>
      </c>
      <c r="AZ18" s="8"/>
      <c r="BA18" s="8"/>
      <c r="BB18" s="8" t="s">
        <v>107</v>
      </c>
      <c r="BC18" s="8" t="s">
        <v>107</v>
      </c>
      <c r="BD18" s="8" t="s">
        <v>107</v>
      </c>
      <c r="BE18" s="967"/>
      <c r="BF18" s="8">
        <f t="shared" si="36"/>
        <v>0</v>
      </c>
      <c r="BG18" s="8"/>
      <c r="BH18" s="8" t="s">
        <v>107</v>
      </c>
      <c r="BI18" s="8"/>
      <c r="BJ18" s="8"/>
      <c r="BK18" s="8" t="s">
        <v>107</v>
      </c>
      <c r="BL18" s="8"/>
      <c r="BM18" s="8"/>
      <c r="BN18" s="8"/>
      <c r="BO18" s="8" t="s">
        <v>107</v>
      </c>
      <c r="BP18" s="8" t="s">
        <v>107</v>
      </c>
      <c r="BQ18" s="8"/>
      <c r="BR18" s="8"/>
      <c r="BS18" s="8"/>
      <c r="BT18" s="8"/>
      <c r="BU18" s="8"/>
      <c r="BV18" s="8"/>
      <c r="BW18" s="8"/>
      <c r="BX18" s="8" t="s">
        <v>107</v>
      </c>
      <c r="BY18" s="8">
        <v>0</v>
      </c>
      <c r="BZ18" s="8"/>
      <c r="CA18" s="8"/>
      <c r="CB18" s="8" t="s">
        <v>107</v>
      </c>
      <c r="CC18" s="8" t="s">
        <v>107</v>
      </c>
      <c r="CD18" s="8" t="s">
        <v>107</v>
      </c>
      <c r="CE18" s="967"/>
      <c r="CF18" s="8">
        <f t="shared" si="37"/>
        <v>0</v>
      </c>
      <c r="CG18" s="8"/>
      <c r="CH18" s="8" t="s">
        <v>107</v>
      </c>
      <c r="CI18" s="8"/>
      <c r="CJ18" s="8"/>
      <c r="CK18" s="8" t="s">
        <v>107</v>
      </c>
      <c r="CL18" s="8"/>
      <c r="CM18" s="8"/>
      <c r="CN18" s="8"/>
      <c r="CO18" s="8" t="s">
        <v>107</v>
      </c>
      <c r="CP18" s="8" t="s">
        <v>107</v>
      </c>
      <c r="CQ18" s="8"/>
      <c r="CR18" s="8"/>
      <c r="CS18" s="8"/>
      <c r="CT18" s="8"/>
      <c r="CU18" s="8"/>
      <c r="CV18" s="8"/>
      <c r="CW18" s="8"/>
      <c r="CX18" s="8" t="s">
        <v>107</v>
      </c>
      <c r="CY18" s="8">
        <v>0</v>
      </c>
      <c r="CZ18" s="8"/>
      <c r="DA18" s="8"/>
      <c r="DB18" s="8" t="s">
        <v>107</v>
      </c>
      <c r="DC18" s="8" t="s">
        <v>107</v>
      </c>
      <c r="DD18" s="8" t="s">
        <v>107</v>
      </c>
      <c r="DE18" s="967"/>
      <c r="DF18" s="8">
        <f t="shared" si="38"/>
        <v>0</v>
      </c>
      <c r="DG18" s="8"/>
      <c r="DH18" s="8" t="s">
        <v>107</v>
      </c>
      <c r="DI18" s="8" t="s">
        <v>107</v>
      </c>
      <c r="DJ18" s="8" t="s">
        <v>107</v>
      </c>
      <c r="DK18" s="8" t="s">
        <v>107</v>
      </c>
      <c r="DL18" s="8"/>
      <c r="DM18" s="8"/>
      <c r="DN18" s="8"/>
      <c r="DO18" s="8" t="s">
        <v>107</v>
      </c>
      <c r="DP18" s="8" t="s">
        <v>107</v>
      </c>
      <c r="DQ18" s="8"/>
      <c r="DR18" s="8"/>
      <c r="DS18" s="8"/>
      <c r="DT18" s="8"/>
      <c r="DU18" s="8"/>
      <c r="DV18" s="8"/>
      <c r="DW18" s="8"/>
      <c r="DX18" s="8" t="s">
        <v>107</v>
      </c>
      <c r="DY18" s="8">
        <v>0</v>
      </c>
      <c r="DZ18" s="8"/>
      <c r="EA18" s="8"/>
      <c r="EB18" s="8" t="s">
        <v>107</v>
      </c>
      <c r="EC18" s="8" t="s">
        <v>107</v>
      </c>
      <c r="ED18" s="8" t="s">
        <v>107</v>
      </c>
      <c r="EE18" s="967"/>
      <c r="EF18" s="8">
        <f t="shared" si="39"/>
        <v>0</v>
      </c>
      <c r="EG18" s="8"/>
      <c r="EH18" s="8" t="s">
        <v>107</v>
      </c>
      <c r="EI18" s="8" t="s">
        <v>107</v>
      </c>
      <c r="EJ18" s="8" t="s">
        <v>107</v>
      </c>
      <c r="EK18" s="8" t="s">
        <v>107</v>
      </c>
      <c r="EL18" s="8"/>
      <c r="EM18" s="8"/>
      <c r="EN18" s="8"/>
      <c r="EO18" s="8" t="s">
        <v>107</v>
      </c>
      <c r="EP18" s="8" t="s">
        <v>107</v>
      </c>
      <c r="EQ18" s="8"/>
      <c r="ER18" s="8"/>
      <c r="ES18" s="8"/>
      <c r="ET18" s="8"/>
      <c r="EU18" s="8"/>
      <c r="EV18" s="8"/>
      <c r="EW18" s="8"/>
      <c r="EX18" s="8" t="s">
        <v>107</v>
      </c>
      <c r="EY18" s="8">
        <v>0</v>
      </c>
      <c r="EZ18" s="8"/>
      <c r="FA18" s="8"/>
      <c r="FB18" s="8" t="s">
        <v>107</v>
      </c>
      <c r="FC18" s="8" t="s">
        <v>107</v>
      </c>
      <c r="FD18" s="8" t="s">
        <v>107</v>
      </c>
      <c r="FE18" s="967"/>
      <c r="FF18" s="8">
        <f t="shared" si="34"/>
        <v>0</v>
      </c>
      <c r="FG18" s="8"/>
      <c r="FH18" s="8" t="s">
        <v>107</v>
      </c>
      <c r="FI18" s="8" t="s">
        <v>107</v>
      </c>
      <c r="FJ18" s="8" t="s">
        <v>107</v>
      </c>
      <c r="FK18" s="8" t="s">
        <v>107</v>
      </c>
      <c r="FL18" s="8"/>
      <c r="FM18" s="8"/>
      <c r="FN18" s="8"/>
      <c r="FO18" s="8" t="s">
        <v>107</v>
      </c>
      <c r="FP18" s="8" t="s">
        <v>107</v>
      </c>
      <c r="FQ18" s="8"/>
      <c r="FR18" s="8"/>
      <c r="FS18" s="8"/>
      <c r="FT18" s="8"/>
      <c r="FU18" s="8"/>
      <c r="FV18" s="8"/>
      <c r="FW18" s="8"/>
      <c r="FX18" s="8" t="s">
        <v>107</v>
      </c>
      <c r="FY18" s="8">
        <v>0</v>
      </c>
      <c r="FZ18" s="8"/>
      <c r="GA18" s="8"/>
      <c r="GB18" s="8" t="s">
        <v>107</v>
      </c>
      <c r="GC18" s="8" t="s">
        <v>107</v>
      </c>
      <c r="GD18" s="8" t="s">
        <v>107</v>
      </c>
      <c r="GE18" s="967"/>
      <c r="GF18" s="8">
        <f t="shared" si="40"/>
        <v>0</v>
      </c>
      <c r="GG18" s="8"/>
      <c r="GH18" s="8" t="s">
        <v>107</v>
      </c>
      <c r="GI18" s="8" t="s">
        <v>107</v>
      </c>
      <c r="GJ18" s="8" t="s">
        <v>107</v>
      </c>
      <c r="GK18" s="8" t="s">
        <v>107</v>
      </c>
      <c r="GL18" s="8"/>
      <c r="GM18" s="8"/>
      <c r="GN18" s="8"/>
      <c r="GO18" s="8" t="s">
        <v>107</v>
      </c>
      <c r="GP18" s="8" t="s">
        <v>107</v>
      </c>
      <c r="GQ18" s="8"/>
      <c r="GR18" s="8"/>
      <c r="GS18" s="8"/>
      <c r="GT18" s="8"/>
      <c r="GU18" s="8"/>
      <c r="GV18" s="8"/>
      <c r="GW18" s="8"/>
      <c r="GX18" s="8" t="s">
        <v>107</v>
      </c>
      <c r="GY18" s="8">
        <v>0</v>
      </c>
      <c r="GZ18" s="8"/>
      <c r="HA18" s="8"/>
      <c r="HB18" s="8" t="s">
        <v>107</v>
      </c>
      <c r="HC18" s="8" t="s">
        <v>107</v>
      </c>
      <c r="HD18" s="8" t="s">
        <v>107</v>
      </c>
      <c r="HE18" s="967"/>
      <c r="HF18" s="8">
        <f t="shared" si="41"/>
        <v>0</v>
      </c>
      <c r="HG18" s="8"/>
      <c r="HH18" s="8" t="s">
        <v>107</v>
      </c>
      <c r="HI18" s="8" t="s">
        <v>107</v>
      </c>
      <c r="HJ18" s="8" t="s">
        <v>107</v>
      </c>
      <c r="HK18" s="8" t="s">
        <v>107</v>
      </c>
      <c r="HL18" s="8"/>
      <c r="HM18" s="8"/>
      <c r="HN18" s="8"/>
      <c r="HO18" s="8" t="s">
        <v>107</v>
      </c>
      <c r="HP18" s="8" t="s">
        <v>107</v>
      </c>
      <c r="HQ18" s="8"/>
      <c r="HR18" s="8"/>
      <c r="HS18" s="8"/>
      <c r="HT18" s="8"/>
      <c r="HU18" s="8"/>
      <c r="HV18" s="8"/>
      <c r="HW18" s="8"/>
      <c r="HX18" s="8" t="s">
        <v>107</v>
      </c>
      <c r="HY18" s="8">
        <v>0</v>
      </c>
      <c r="HZ18" s="8"/>
      <c r="IA18" s="8"/>
      <c r="IB18" s="8" t="s">
        <v>107</v>
      </c>
      <c r="IC18" s="8" t="s">
        <v>107</v>
      </c>
      <c r="ID18" s="8" t="s">
        <v>107</v>
      </c>
      <c r="IE18" s="967"/>
      <c r="IF18" s="8">
        <f t="shared" si="42"/>
        <v>0</v>
      </c>
      <c r="IG18" s="8"/>
      <c r="IH18" s="8" t="s">
        <v>107</v>
      </c>
      <c r="II18" s="8" t="s">
        <v>107</v>
      </c>
      <c r="IJ18" s="8" t="s">
        <v>107</v>
      </c>
      <c r="IK18" s="8" t="s">
        <v>107</v>
      </c>
      <c r="IL18" s="8"/>
      <c r="IM18" s="8"/>
      <c r="IN18" s="8"/>
      <c r="IO18" s="8" t="s">
        <v>107</v>
      </c>
      <c r="IP18" s="8" t="s">
        <v>107</v>
      </c>
      <c r="IQ18" s="8"/>
      <c r="IR18" s="8"/>
      <c r="IS18" s="8"/>
      <c r="IT18" s="8"/>
      <c r="IU18" s="8"/>
      <c r="IV18" s="8"/>
      <c r="IW18" s="8"/>
      <c r="IX18" s="8" t="s">
        <v>107</v>
      </c>
      <c r="IY18" s="8">
        <v>0</v>
      </c>
      <c r="IZ18" s="8"/>
      <c r="JA18" s="8"/>
      <c r="JB18" s="8" t="s">
        <v>107</v>
      </c>
      <c r="JC18" s="8" t="s">
        <v>107</v>
      </c>
      <c r="JD18" s="8" t="s">
        <v>107</v>
      </c>
      <c r="JE18" s="967"/>
      <c r="JF18" s="8">
        <f t="shared" si="43"/>
        <v>0</v>
      </c>
      <c r="JG18" s="8"/>
      <c r="JH18" s="8" t="s">
        <v>107</v>
      </c>
      <c r="JI18" s="8" t="s">
        <v>107</v>
      </c>
      <c r="JJ18" s="8" t="s">
        <v>107</v>
      </c>
      <c r="JK18" s="8" t="s">
        <v>107</v>
      </c>
      <c r="JL18" s="8"/>
      <c r="JM18" s="8"/>
      <c r="JN18" s="8"/>
      <c r="JO18" s="8" t="s">
        <v>107</v>
      </c>
      <c r="JP18" s="8" t="s">
        <v>107</v>
      </c>
      <c r="JQ18" s="8"/>
      <c r="JR18" s="8"/>
      <c r="JS18" s="8"/>
      <c r="JT18" s="8"/>
      <c r="JU18" s="8"/>
      <c r="JV18" s="8"/>
      <c r="JW18" s="8"/>
      <c r="JX18" s="8" t="s">
        <v>107</v>
      </c>
      <c r="JY18" s="8">
        <v>0</v>
      </c>
      <c r="JZ18" s="8"/>
      <c r="KA18" s="8"/>
      <c r="KB18" s="8" t="s">
        <v>107</v>
      </c>
      <c r="KC18" s="8" t="s">
        <v>107</v>
      </c>
      <c r="KD18" s="8" t="s">
        <v>107</v>
      </c>
      <c r="KE18" s="967"/>
      <c r="KF18" s="8">
        <f t="shared" si="44"/>
        <v>0</v>
      </c>
      <c r="KG18" s="8"/>
      <c r="KH18" s="8" t="s">
        <v>107</v>
      </c>
      <c r="KI18" s="8" t="s">
        <v>107</v>
      </c>
      <c r="KJ18" s="8" t="s">
        <v>107</v>
      </c>
      <c r="KK18" s="8" t="s">
        <v>107</v>
      </c>
      <c r="KL18" s="8"/>
      <c r="KM18" s="8"/>
      <c r="KN18" s="8"/>
      <c r="KO18" s="8" t="s">
        <v>107</v>
      </c>
      <c r="KP18" s="8" t="s">
        <v>107</v>
      </c>
      <c r="KQ18" s="8"/>
      <c r="KR18" s="8"/>
      <c r="KS18" s="8"/>
      <c r="KT18" s="8"/>
      <c r="KU18" s="8"/>
      <c r="KV18" s="8"/>
      <c r="KW18" s="8"/>
      <c r="KX18" s="8" t="s">
        <v>107</v>
      </c>
      <c r="KY18" s="8">
        <v>0</v>
      </c>
      <c r="KZ18" s="8"/>
      <c r="LA18" s="8"/>
      <c r="LB18" s="8" t="s">
        <v>107</v>
      </c>
      <c r="LC18" s="8" t="s">
        <v>107</v>
      </c>
      <c r="LD18" s="8" t="s">
        <v>107</v>
      </c>
      <c r="LE18" s="967"/>
      <c r="LF18" s="8">
        <f t="shared" si="45"/>
        <v>0</v>
      </c>
      <c r="LG18" s="8"/>
      <c r="LH18" s="8" t="s">
        <v>107</v>
      </c>
      <c r="LI18" s="8" t="s">
        <v>107</v>
      </c>
      <c r="LJ18" s="8" t="s">
        <v>107</v>
      </c>
      <c r="LK18" s="8" t="s">
        <v>107</v>
      </c>
      <c r="LL18" s="8"/>
      <c r="LM18" s="8"/>
      <c r="LN18" s="8"/>
      <c r="LO18" s="8" t="s">
        <v>107</v>
      </c>
      <c r="LP18" s="8" t="s">
        <v>107</v>
      </c>
      <c r="LQ18" s="8"/>
      <c r="LR18" s="8"/>
      <c r="LS18" s="8"/>
      <c r="LT18" s="8"/>
      <c r="LU18" s="8"/>
      <c r="LV18" s="8"/>
      <c r="LW18" s="8"/>
      <c r="LX18" s="8" t="s">
        <v>107</v>
      </c>
      <c r="LY18" s="8">
        <v>0</v>
      </c>
      <c r="LZ18" s="8"/>
      <c r="MA18" s="8"/>
      <c r="MB18" s="8" t="s">
        <v>107</v>
      </c>
      <c r="MC18" s="8" t="s">
        <v>107</v>
      </c>
      <c r="MD18" s="8" t="s">
        <v>107</v>
      </c>
      <c r="ME18" s="967"/>
      <c r="MF18" s="8">
        <f t="shared" si="46"/>
        <v>0</v>
      </c>
      <c r="MG18" s="8"/>
      <c r="MH18" s="8" t="s">
        <v>107</v>
      </c>
      <c r="MI18" s="8" t="s">
        <v>107</v>
      </c>
      <c r="MJ18" s="8" t="s">
        <v>107</v>
      </c>
      <c r="MK18" s="8" t="s">
        <v>107</v>
      </c>
      <c r="ML18" s="8"/>
      <c r="MM18" s="8"/>
      <c r="MN18" s="8"/>
      <c r="MO18" s="8" t="s">
        <v>107</v>
      </c>
      <c r="MP18" s="8" t="s">
        <v>107</v>
      </c>
      <c r="MQ18" s="8"/>
      <c r="MR18" s="8"/>
      <c r="MS18" s="8"/>
      <c r="MT18" s="8"/>
      <c r="MU18" s="8"/>
      <c r="MV18" s="8"/>
      <c r="MW18" s="8"/>
      <c r="MX18" s="8" t="s">
        <v>107</v>
      </c>
      <c r="MY18" s="8">
        <v>0</v>
      </c>
      <c r="MZ18" s="8"/>
      <c r="NA18" s="8"/>
      <c r="NB18" s="8" t="s">
        <v>107</v>
      </c>
      <c r="NC18" s="8" t="s">
        <v>107</v>
      </c>
      <c r="ND18" s="8" t="s">
        <v>107</v>
      </c>
      <c r="NE18" s="967"/>
      <c r="NF18" s="8">
        <f t="shared" si="47"/>
        <v>0</v>
      </c>
      <c r="NG18" s="8"/>
      <c r="NH18" s="8" t="s">
        <v>107</v>
      </c>
      <c r="NI18" s="8" t="s">
        <v>107</v>
      </c>
      <c r="NJ18" s="8" t="s">
        <v>107</v>
      </c>
      <c r="NK18" s="8" t="s">
        <v>107</v>
      </c>
      <c r="NL18" s="8"/>
      <c r="NM18" s="8"/>
      <c r="NN18" s="8"/>
      <c r="NO18" s="8" t="s">
        <v>107</v>
      </c>
      <c r="NP18" s="8" t="s">
        <v>107</v>
      </c>
      <c r="NQ18" s="8"/>
      <c r="NR18" s="8"/>
      <c r="NS18" s="8"/>
      <c r="NT18" s="8"/>
      <c r="NU18" s="8"/>
      <c r="NV18" s="8"/>
      <c r="NW18" s="8"/>
      <c r="NX18" s="8" t="s">
        <v>107</v>
      </c>
      <c r="NY18" s="8">
        <v>0</v>
      </c>
      <c r="NZ18" s="8"/>
      <c r="OA18" s="8"/>
      <c r="OB18" s="8" t="s">
        <v>107</v>
      </c>
      <c r="OC18" s="8" t="s">
        <v>107</v>
      </c>
      <c r="OD18" s="8" t="s">
        <v>107</v>
      </c>
      <c r="OE18" s="967"/>
      <c r="OF18" s="8">
        <f t="shared" si="48"/>
        <v>0</v>
      </c>
      <c r="OG18" s="8"/>
      <c r="OH18" s="8" t="s">
        <v>107</v>
      </c>
      <c r="OI18" s="8" t="s">
        <v>107</v>
      </c>
      <c r="OJ18" s="8" t="s">
        <v>107</v>
      </c>
      <c r="OK18" s="8" t="s">
        <v>107</v>
      </c>
      <c r="OL18" s="8"/>
      <c r="OM18" s="8"/>
      <c r="ON18" s="8"/>
      <c r="OO18" s="8" t="s">
        <v>107</v>
      </c>
      <c r="OP18" s="8" t="s">
        <v>107</v>
      </c>
      <c r="OQ18" s="8"/>
      <c r="OR18" s="8"/>
      <c r="OS18" s="8"/>
      <c r="OT18" s="8"/>
      <c r="OU18" s="8"/>
      <c r="OV18" s="8"/>
      <c r="OW18" s="8"/>
      <c r="OX18" s="8" t="s">
        <v>107</v>
      </c>
      <c r="OY18" s="8">
        <v>0</v>
      </c>
      <c r="OZ18" s="8"/>
      <c r="PA18" s="8"/>
      <c r="PB18" s="8" t="s">
        <v>107</v>
      </c>
      <c r="PC18" s="8" t="s">
        <v>107</v>
      </c>
      <c r="PD18" s="8" t="s">
        <v>107</v>
      </c>
      <c r="PE18" s="967"/>
      <c r="PF18" s="8">
        <f t="shared" si="49"/>
        <v>0</v>
      </c>
      <c r="PG18" s="8"/>
      <c r="PH18" s="8" t="s">
        <v>107</v>
      </c>
      <c r="PI18" s="8" t="s">
        <v>107</v>
      </c>
      <c r="PJ18" s="8" t="s">
        <v>107</v>
      </c>
      <c r="PK18" s="8" t="s">
        <v>107</v>
      </c>
      <c r="PL18" s="8"/>
      <c r="PM18" s="8"/>
      <c r="PN18" s="8"/>
      <c r="PO18" s="8" t="s">
        <v>107</v>
      </c>
      <c r="PP18" s="8" t="s">
        <v>107</v>
      </c>
      <c r="PQ18" s="8"/>
      <c r="PR18" s="8"/>
      <c r="PS18" s="8"/>
      <c r="PT18" s="8"/>
      <c r="PU18" s="8"/>
      <c r="PV18" s="8"/>
      <c r="PW18" s="8"/>
      <c r="PX18" s="8" t="s">
        <v>107</v>
      </c>
      <c r="PY18" s="8">
        <v>0</v>
      </c>
      <c r="PZ18" s="8"/>
      <c r="QA18" s="8"/>
      <c r="QB18" s="8" t="s">
        <v>107</v>
      </c>
      <c r="QC18" s="8" t="s">
        <v>107</v>
      </c>
      <c r="QD18" s="8" t="s">
        <v>107</v>
      </c>
      <c r="QE18" s="967"/>
    </row>
    <row r="19" spans="2:447" x14ac:dyDescent="0.3">
      <c r="B19">
        <v>11</v>
      </c>
      <c r="D19" t="s">
        <v>2256</v>
      </c>
      <c r="F19" s="8">
        <f t="shared" si="33"/>
        <v>4</v>
      </c>
      <c r="G19" s="8"/>
      <c r="H19" s="8" t="s">
        <v>107</v>
      </c>
      <c r="I19" s="8" t="s">
        <v>107</v>
      </c>
      <c r="J19" s="8" t="s">
        <v>107</v>
      </c>
      <c r="K19" s="8" t="s">
        <v>107</v>
      </c>
      <c r="L19" s="8" t="s">
        <v>107</v>
      </c>
      <c r="M19" s="8">
        <v>4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s">
        <v>107</v>
      </c>
      <c r="Y19" s="8" t="s">
        <v>107</v>
      </c>
      <c r="Z19" s="8"/>
      <c r="AA19" s="8"/>
      <c r="AB19" s="8" t="s">
        <v>107</v>
      </c>
      <c r="AC19" s="8" t="s">
        <v>107</v>
      </c>
      <c r="AD19" s="8" t="s">
        <v>107</v>
      </c>
      <c r="AE19" s="967"/>
      <c r="AF19" s="8">
        <f t="shared" si="35"/>
        <v>0</v>
      </c>
      <c r="AG19" s="8"/>
      <c r="AH19" s="8" t="s">
        <v>107</v>
      </c>
      <c r="AI19" s="8" t="s">
        <v>107</v>
      </c>
      <c r="AJ19" s="8" t="s">
        <v>107</v>
      </c>
      <c r="AK19" s="8" t="s">
        <v>107</v>
      </c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 t="s">
        <v>107</v>
      </c>
      <c r="AY19" s="8" t="s">
        <v>107</v>
      </c>
      <c r="AZ19" s="8"/>
      <c r="BA19" s="8"/>
      <c r="BB19" s="8" t="s">
        <v>107</v>
      </c>
      <c r="BC19" s="8" t="s">
        <v>107</v>
      </c>
      <c r="BD19" s="8" t="s">
        <v>107</v>
      </c>
      <c r="BE19" s="967"/>
      <c r="BF19" s="8">
        <f t="shared" si="36"/>
        <v>0</v>
      </c>
      <c r="BG19" s="8"/>
      <c r="BH19" s="8" t="s">
        <v>107</v>
      </c>
      <c r="BI19" s="8"/>
      <c r="BJ19" s="8"/>
      <c r="BK19" s="8" t="s">
        <v>107</v>
      </c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 t="s">
        <v>107</v>
      </c>
      <c r="BY19" s="8" t="s">
        <v>107</v>
      </c>
      <c r="BZ19" s="8"/>
      <c r="CA19" s="8"/>
      <c r="CB19" s="8" t="s">
        <v>107</v>
      </c>
      <c r="CC19" s="8" t="s">
        <v>107</v>
      </c>
      <c r="CD19" s="8" t="s">
        <v>107</v>
      </c>
      <c r="CE19" s="967"/>
      <c r="CF19" s="8">
        <f t="shared" si="37"/>
        <v>0</v>
      </c>
      <c r="CG19" s="8"/>
      <c r="CH19" s="8" t="s">
        <v>107</v>
      </c>
      <c r="CI19" s="8"/>
      <c r="CJ19" s="8"/>
      <c r="CK19" s="8" t="s">
        <v>107</v>
      </c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 t="s">
        <v>107</v>
      </c>
      <c r="CY19" s="8" t="s">
        <v>107</v>
      </c>
      <c r="CZ19" s="8"/>
      <c r="DA19" s="8"/>
      <c r="DB19" s="8" t="s">
        <v>107</v>
      </c>
      <c r="DC19" s="8" t="s">
        <v>107</v>
      </c>
      <c r="DD19" s="8" t="s">
        <v>107</v>
      </c>
      <c r="DE19" s="967"/>
      <c r="DF19" s="8">
        <f t="shared" si="38"/>
        <v>0</v>
      </c>
      <c r="DG19" s="8"/>
      <c r="DH19" s="8" t="s">
        <v>107</v>
      </c>
      <c r="DI19" s="8" t="s">
        <v>107</v>
      </c>
      <c r="DJ19" s="8" t="s">
        <v>107</v>
      </c>
      <c r="DK19" s="8" t="s">
        <v>107</v>
      </c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 t="s">
        <v>107</v>
      </c>
      <c r="DY19" s="8" t="s">
        <v>107</v>
      </c>
      <c r="DZ19" s="8"/>
      <c r="EA19" s="8"/>
      <c r="EB19" s="8" t="s">
        <v>107</v>
      </c>
      <c r="EC19" s="8" t="s">
        <v>107</v>
      </c>
      <c r="ED19" s="8" t="s">
        <v>107</v>
      </c>
      <c r="EE19" s="967"/>
      <c r="EF19" s="8">
        <f t="shared" si="39"/>
        <v>0</v>
      </c>
      <c r="EG19" s="8"/>
      <c r="EH19" s="8" t="s">
        <v>107</v>
      </c>
      <c r="EI19" s="8" t="s">
        <v>107</v>
      </c>
      <c r="EJ19" s="8" t="s">
        <v>107</v>
      </c>
      <c r="EK19" s="8" t="s">
        <v>107</v>
      </c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 t="s">
        <v>107</v>
      </c>
      <c r="EY19" s="8" t="s">
        <v>107</v>
      </c>
      <c r="EZ19" s="8"/>
      <c r="FA19" s="8"/>
      <c r="FB19" s="8" t="s">
        <v>107</v>
      </c>
      <c r="FC19" s="8" t="s">
        <v>107</v>
      </c>
      <c r="FD19" s="8" t="s">
        <v>107</v>
      </c>
      <c r="FE19" s="967"/>
      <c r="FF19" s="8">
        <f t="shared" si="34"/>
        <v>0</v>
      </c>
      <c r="FG19" s="8"/>
      <c r="FH19" s="8" t="s">
        <v>107</v>
      </c>
      <c r="FI19" s="8" t="s">
        <v>107</v>
      </c>
      <c r="FJ19" s="8" t="s">
        <v>107</v>
      </c>
      <c r="FK19" s="8" t="s">
        <v>107</v>
      </c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 t="s">
        <v>107</v>
      </c>
      <c r="FY19" s="8" t="s">
        <v>107</v>
      </c>
      <c r="FZ19" s="8"/>
      <c r="GA19" s="8"/>
      <c r="GB19" s="8" t="s">
        <v>107</v>
      </c>
      <c r="GC19" s="8" t="s">
        <v>107</v>
      </c>
      <c r="GD19" s="8" t="s">
        <v>107</v>
      </c>
      <c r="GE19" s="967"/>
      <c r="GF19" s="8">
        <f t="shared" si="40"/>
        <v>0</v>
      </c>
      <c r="GG19" s="8"/>
      <c r="GH19" s="8" t="s">
        <v>107</v>
      </c>
      <c r="GI19" s="8" t="s">
        <v>107</v>
      </c>
      <c r="GJ19" s="8" t="s">
        <v>107</v>
      </c>
      <c r="GK19" s="8" t="s">
        <v>107</v>
      </c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 t="s">
        <v>107</v>
      </c>
      <c r="GY19" s="8" t="s">
        <v>107</v>
      </c>
      <c r="GZ19" s="8"/>
      <c r="HA19" s="8"/>
      <c r="HB19" s="8" t="s">
        <v>107</v>
      </c>
      <c r="HC19" s="8" t="s">
        <v>107</v>
      </c>
      <c r="HD19" s="8" t="s">
        <v>107</v>
      </c>
      <c r="HE19" s="967"/>
      <c r="HF19" s="8">
        <f t="shared" si="41"/>
        <v>0</v>
      </c>
      <c r="HG19" s="8"/>
      <c r="HH19" s="8" t="s">
        <v>107</v>
      </c>
      <c r="HI19" s="8" t="s">
        <v>107</v>
      </c>
      <c r="HJ19" s="8" t="s">
        <v>107</v>
      </c>
      <c r="HK19" s="8" t="s">
        <v>107</v>
      </c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 t="s">
        <v>107</v>
      </c>
      <c r="HY19" s="8" t="s">
        <v>107</v>
      </c>
      <c r="HZ19" s="8"/>
      <c r="IA19" s="8"/>
      <c r="IB19" s="8" t="s">
        <v>107</v>
      </c>
      <c r="IC19" s="8" t="s">
        <v>107</v>
      </c>
      <c r="ID19" s="8" t="s">
        <v>107</v>
      </c>
      <c r="IE19" s="967"/>
      <c r="IF19" s="8">
        <f t="shared" si="42"/>
        <v>0</v>
      </c>
      <c r="IG19" s="8"/>
      <c r="IH19" s="8" t="s">
        <v>107</v>
      </c>
      <c r="II19" s="8" t="s">
        <v>107</v>
      </c>
      <c r="IJ19" s="8" t="s">
        <v>107</v>
      </c>
      <c r="IK19" s="8" t="s">
        <v>107</v>
      </c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 t="s">
        <v>107</v>
      </c>
      <c r="IY19" s="8" t="s">
        <v>107</v>
      </c>
      <c r="IZ19" s="8"/>
      <c r="JA19" s="8"/>
      <c r="JB19" s="8" t="s">
        <v>107</v>
      </c>
      <c r="JC19" s="8" t="s">
        <v>107</v>
      </c>
      <c r="JD19" s="8" t="s">
        <v>107</v>
      </c>
      <c r="JE19" s="967"/>
      <c r="JF19" s="8">
        <f t="shared" si="43"/>
        <v>0</v>
      </c>
      <c r="JG19" s="8"/>
      <c r="JH19" s="8" t="s">
        <v>107</v>
      </c>
      <c r="JI19" s="8" t="s">
        <v>107</v>
      </c>
      <c r="JJ19" s="8" t="s">
        <v>107</v>
      </c>
      <c r="JK19" s="8" t="s">
        <v>107</v>
      </c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 t="s">
        <v>107</v>
      </c>
      <c r="JY19" s="8" t="s">
        <v>107</v>
      </c>
      <c r="JZ19" s="8"/>
      <c r="KA19" s="8"/>
      <c r="KB19" s="8" t="s">
        <v>107</v>
      </c>
      <c r="KC19" s="8" t="s">
        <v>107</v>
      </c>
      <c r="KD19" s="8" t="s">
        <v>107</v>
      </c>
      <c r="KE19" s="967"/>
      <c r="KF19" s="8">
        <f t="shared" si="44"/>
        <v>0</v>
      </c>
      <c r="KG19" s="8"/>
      <c r="KH19" s="8" t="s">
        <v>107</v>
      </c>
      <c r="KI19" s="8" t="s">
        <v>107</v>
      </c>
      <c r="KJ19" s="8" t="s">
        <v>107</v>
      </c>
      <c r="KK19" s="8" t="s">
        <v>107</v>
      </c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 t="s">
        <v>107</v>
      </c>
      <c r="KY19" s="8" t="s">
        <v>107</v>
      </c>
      <c r="KZ19" s="8"/>
      <c r="LA19" s="8"/>
      <c r="LB19" s="8" t="s">
        <v>107</v>
      </c>
      <c r="LC19" s="8" t="s">
        <v>107</v>
      </c>
      <c r="LD19" s="8" t="s">
        <v>107</v>
      </c>
      <c r="LE19" s="967"/>
      <c r="LF19" s="8">
        <f t="shared" si="45"/>
        <v>0</v>
      </c>
      <c r="LG19" s="8"/>
      <c r="LH19" s="8" t="s">
        <v>107</v>
      </c>
      <c r="LI19" s="8" t="s">
        <v>107</v>
      </c>
      <c r="LJ19" s="8" t="s">
        <v>107</v>
      </c>
      <c r="LK19" s="8" t="s">
        <v>107</v>
      </c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 t="s">
        <v>107</v>
      </c>
      <c r="LY19" s="8" t="s">
        <v>107</v>
      </c>
      <c r="LZ19" s="8"/>
      <c r="MA19" s="8"/>
      <c r="MB19" s="8" t="s">
        <v>107</v>
      </c>
      <c r="MC19" s="8" t="s">
        <v>107</v>
      </c>
      <c r="MD19" s="8" t="s">
        <v>107</v>
      </c>
      <c r="ME19" s="967"/>
      <c r="MF19" s="8">
        <f t="shared" si="46"/>
        <v>0</v>
      </c>
      <c r="MG19" s="8"/>
      <c r="MH19" s="8" t="s">
        <v>107</v>
      </c>
      <c r="MI19" s="8" t="s">
        <v>107</v>
      </c>
      <c r="MJ19" s="8" t="s">
        <v>107</v>
      </c>
      <c r="MK19" s="8" t="s">
        <v>107</v>
      </c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 t="s">
        <v>107</v>
      </c>
      <c r="MY19" s="8" t="s">
        <v>107</v>
      </c>
      <c r="MZ19" s="8"/>
      <c r="NA19" s="8"/>
      <c r="NB19" s="8" t="s">
        <v>107</v>
      </c>
      <c r="NC19" s="8" t="s">
        <v>107</v>
      </c>
      <c r="ND19" s="8" t="s">
        <v>107</v>
      </c>
      <c r="NE19" s="967"/>
      <c r="NF19" s="8">
        <f t="shared" si="47"/>
        <v>0</v>
      </c>
      <c r="NG19" s="8"/>
      <c r="NH19" s="8" t="s">
        <v>107</v>
      </c>
      <c r="NI19" s="8" t="s">
        <v>107</v>
      </c>
      <c r="NJ19" s="8" t="s">
        <v>107</v>
      </c>
      <c r="NK19" s="8" t="s">
        <v>107</v>
      </c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 t="s">
        <v>107</v>
      </c>
      <c r="NY19" s="8" t="s">
        <v>107</v>
      </c>
      <c r="NZ19" s="8"/>
      <c r="OA19" s="8"/>
      <c r="OB19" s="8" t="s">
        <v>107</v>
      </c>
      <c r="OC19" s="8" t="s">
        <v>107</v>
      </c>
      <c r="OD19" s="8" t="s">
        <v>107</v>
      </c>
      <c r="OE19" s="967"/>
      <c r="OF19" s="8">
        <f t="shared" si="48"/>
        <v>0</v>
      </c>
      <c r="OG19" s="8"/>
      <c r="OH19" s="8" t="s">
        <v>107</v>
      </c>
      <c r="OI19" s="8" t="s">
        <v>107</v>
      </c>
      <c r="OJ19" s="8" t="s">
        <v>107</v>
      </c>
      <c r="OK19" s="8" t="s">
        <v>107</v>
      </c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 t="s">
        <v>107</v>
      </c>
      <c r="OY19" s="8" t="s">
        <v>107</v>
      </c>
      <c r="OZ19" s="8"/>
      <c r="PA19" s="8"/>
      <c r="PB19" s="8" t="s">
        <v>107</v>
      </c>
      <c r="PC19" s="8" t="s">
        <v>107</v>
      </c>
      <c r="PD19" s="8" t="s">
        <v>107</v>
      </c>
      <c r="PE19" s="967"/>
      <c r="PF19" s="8">
        <f t="shared" si="49"/>
        <v>0</v>
      </c>
      <c r="PG19" s="8"/>
      <c r="PH19" s="8" t="s">
        <v>107</v>
      </c>
      <c r="PI19" s="8" t="s">
        <v>107</v>
      </c>
      <c r="PJ19" s="8" t="s">
        <v>107</v>
      </c>
      <c r="PK19" s="8" t="s">
        <v>107</v>
      </c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 t="s">
        <v>107</v>
      </c>
      <c r="PY19" s="8" t="s">
        <v>107</v>
      </c>
      <c r="PZ19" s="8"/>
      <c r="QA19" s="8"/>
      <c r="QB19" s="8" t="s">
        <v>107</v>
      </c>
      <c r="QC19" s="8" t="s">
        <v>107</v>
      </c>
      <c r="QD19" s="8" t="s">
        <v>107</v>
      </c>
      <c r="QE19" s="967"/>
    </row>
    <row r="20" spans="2:447" x14ac:dyDescent="0.3">
      <c r="B20">
        <v>12</v>
      </c>
      <c r="D20" t="s">
        <v>2264</v>
      </c>
      <c r="F20" s="8">
        <f t="shared" si="33"/>
        <v>3</v>
      </c>
      <c r="G20" s="8"/>
      <c r="H20" s="8" t="s">
        <v>107</v>
      </c>
      <c r="I20" s="8" t="s">
        <v>107</v>
      </c>
      <c r="J20" s="8" t="s">
        <v>107</v>
      </c>
      <c r="K20" s="8" t="s">
        <v>107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 t="s">
        <v>107</v>
      </c>
      <c r="Y20" s="8" t="s">
        <v>107</v>
      </c>
      <c r="Z20" s="8"/>
      <c r="AA20" s="8"/>
      <c r="AB20" s="8" t="s">
        <v>107</v>
      </c>
      <c r="AC20" s="8">
        <v>3</v>
      </c>
      <c r="AD20" s="8" t="s">
        <v>107</v>
      </c>
      <c r="AE20" s="967"/>
      <c r="AF20" s="8">
        <f t="shared" si="35"/>
        <v>0</v>
      </c>
      <c r="AG20" s="8"/>
      <c r="AH20" s="8" t="s">
        <v>107</v>
      </c>
      <c r="AI20" s="8" t="s">
        <v>107</v>
      </c>
      <c r="AJ20" s="8" t="s">
        <v>107</v>
      </c>
      <c r="AK20" s="8" t="s">
        <v>107</v>
      </c>
      <c r="AL20" s="8" t="s">
        <v>107</v>
      </c>
      <c r="AM20" s="8" t="s">
        <v>107</v>
      </c>
      <c r="AN20" s="8" t="s">
        <v>107</v>
      </c>
      <c r="AO20" s="8" t="s">
        <v>107</v>
      </c>
      <c r="AP20" s="8" t="s">
        <v>107</v>
      </c>
      <c r="AQ20" s="8" t="s">
        <v>107</v>
      </c>
      <c r="AR20" s="8" t="s">
        <v>107</v>
      </c>
      <c r="AS20" s="8" t="s">
        <v>107</v>
      </c>
      <c r="AT20" s="8" t="s">
        <v>107</v>
      </c>
      <c r="AU20" s="8" t="s">
        <v>107</v>
      </c>
      <c r="AV20" s="8" t="s">
        <v>107</v>
      </c>
      <c r="AW20" s="8" t="s">
        <v>107</v>
      </c>
      <c r="AX20" s="8" t="s">
        <v>107</v>
      </c>
      <c r="AY20" s="8" t="s">
        <v>107</v>
      </c>
      <c r="AZ20" s="8" t="s">
        <v>107</v>
      </c>
      <c r="BA20" s="8" t="s">
        <v>107</v>
      </c>
      <c r="BB20" s="8" t="s">
        <v>107</v>
      </c>
      <c r="BC20" s="8">
        <v>0</v>
      </c>
      <c r="BD20" s="8" t="s">
        <v>107</v>
      </c>
      <c r="BE20" s="967"/>
      <c r="BF20" s="8">
        <f t="shared" si="36"/>
        <v>0</v>
      </c>
      <c r="BG20" s="8"/>
      <c r="BH20" s="8" t="s">
        <v>107</v>
      </c>
      <c r="BI20" s="8"/>
      <c r="BJ20" s="8"/>
      <c r="BK20" s="8" t="s">
        <v>107</v>
      </c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 t="s">
        <v>107</v>
      </c>
      <c r="BY20" s="8" t="s">
        <v>107</v>
      </c>
      <c r="BZ20" s="8"/>
      <c r="CA20" s="8"/>
      <c r="CB20" s="8" t="s">
        <v>107</v>
      </c>
      <c r="CC20" s="8">
        <v>0</v>
      </c>
      <c r="CD20" s="8" t="s">
        <v>107</v>
      </c>
      <c r="CE20" s="967"/>
      <c r="CF20" s="8">
        <f t="shared" si="37"/>
        <v>0</v>
      </c>
      <c r="CG20" s="8"/>
      <c r="CH20" s="8" t="s">
        <v>107</v>
      </c>
      <c r="CI20" s="8"/>
      <c r="CJ20" s="8"/>
      <c r="CK20" s="8" t="s">
        <v>107</v>
      </c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 t="s">
        <v>107</v>
      </c>
      <c r="CY20" s="8" t="s">
        <v>107</v>
      </c>
      <c r="CZ20" s="8"/>
      <c r="DA20" s="8"/>
      <c r="DB20" s="8" t="s">
        <v>107</v>
      </c>
      <c r="DC20" s="8">
        <f t="shared" si="52"/>
        <v>0</v>
      </c>
      <c r="DD20" s="8" t="s">
        <v>107</v>
      </c>
      <c r="DE20" s="967"/>
      <c r="DF20" s="8">
        <f t="shared" si="38"/>
        <v>0</v>
      </c>
      <c r="DG20" s="8"/>
      <c r="DH20" s="8" t="s">
        <v>107</v>
      </c>
      <c r="DI20" s="8" t="s">
        <v>107</v>
      </c>
      <c r="DJ20" s="8" t="s">
        <v>107</v>
      </c>
      <c r="DK20" s="8" t="s">
        <v>107</v>
      </c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 t="s">
        <v>107</v>
      </c>
      <c r="DY20" s="8" t="s">
        <v>107</v>
      </c>
      <c r="DZ20" s="8"/>
      <c r="EA20" s="8"/>
      <c r="EB20" s="8" t="s">
        <v>107</v>
      </c>
      <c r="EC20" s="8">
        <v>0</v>
      </c>
      <c r="ED20" s="8" t="s">
        <v>107</v>
      </c>
      <c r="EE20" s="967"/>
      <c r="EF20" s="8">
        <f t="shared" si="39"/>
        <v>0</v>
      </c>
      <c r="EG20" s="8"/>
      <c r="EH20" s="8" t="s">
        <v>107</v>
      </c>
      <c r="EI20" s="8" t="s">
        <v>107</v>
      </c>
      <c r="EJ20" s="8" t="s">
        <v>107</v>
      </c>
      <c r="EK20" s="8" t="s">
        <v>107</v>
      </c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 t="s">
        <v>107</v>
      </c>
      <c r="EY20" s="8" t="s">
        <v>107</v>
      </c>
      <c r="EZ20" s="8"/>
      <c r="FA20" s="8"/>
      <c r="FB20" s="8" t="s">
        <v>107</v>
      </c>
      <c r="FC20" s="8">
        <v>0</v>
      </c>
      <c r="FD20" s="8" t="s">
        <v>107</v>
      </c>
      <c r="FE20" s="967"/>
      <c r="FF20" s="8">
        <f t="shared" si="34"/>
        <v>0</v>
      </c>
      <c r="FG20" s="8"/>
      <c r="FH20" s="8" t="s">
        <v>107</v>
      </c>
      <c r="FI20" s="8" t="s">
        <v>107</v>
      </c>
      <c r="FJ20" s="8" t="s">
        <v>107</v>
      </c>
      <c r="FK20" s="8" t="s">
        <v>107</v>
      </c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 t="s">
        <v>107</v>
      </c>
      <c r="FY20" s="8" t="s">
        <v>107</v>
      </c>
      <c r="FZ20" s="8"/>
      <c r="GA20" s="8"/>
      <c r="GB20" s="8" t="s">
        <v>107</v>
      </c>
      <c r="GC20" s="8">
        <v>0</v>
      </c>
      <c r="GD20" s="8" t="s">
        <v>107</v>
      </c>
      <c r="GE20" s="967"/>
      <c r="GF20" s="8">
        <f t="shared" si="40"/>
        <v>0</v>
      </c>
      <c r="GG20" s="8"/>
      <c r="GH20" s="8" t="s">
        <v>107</v>
      </c>
      <c r="GI20" s="8" t="s">
        <v>107</v>
      </c>
      <c r="GJ20" s="8" t="s">
        <v>107</v>
      </c>
      <c r="GK20" s="8" t="s">
        <v>107</v>
      </c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 t="s">
        <v>107</v>
      </c>
      <c r="GY20" s="8" t="s">
        <v>107</v>
      </c>
      <c r="GZ20" s="8"/>
      <c r="HA20" s="8"/>
      <c r="HB20" s="8" t="s">
        <v>107</v>
      </c>
      <c r="HC20" s="8">
        <v>0</v>
      </c>
      <c r="HD20" s="8" t="s">
        <v>107</v>
      </c>
      <c r="HE20" s="967"/>
      <c r="HF20" s="8">
        <f t="shared" si="41"/>
        <v>0</v>
      </c>
      <c r="HG20" s="8"/>
      <c r="HH20" s="8" t="s">
        <v>107</v>
      </c>
      <c r="HI20" s="8" t="s">
        <v>107</v>
      </c>
      <c r="HJ20" s="8" t="s">
        <v>107</v>
      </c>
      <c r="HK20" s="8" t="s">
        <v>107</v>
      </c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 t="s">
        <v>107</v>
      </c>
      <c r="HY20" s="8" t="s">
        <v>107</v>
      </c>
      <c r="HZ20" s="8"/>
      <c r="IA20" s="8"/>
      <c r="IB20" s="8" t="s">
        <v>107</v>
      </c>
      <c r="IC20" s="8">
        <v>0</v>
      </c>
      <c r="ID20" s="8" t="s">
        <v>107</v>
      </c>
      <c r="IE20" s="967"/>
      <c r="IF20" s="8">
        <f t="shared" si="42"/>
        <v>0</v>
      </c>
      <c r="IG20" s="8"/>
      <c r="IH20" s="8" t="s">
        <v>107</v>
      </c>
      <c r="II20" s="8" t="s">
        <v>107</v>
      </c>
      <c r="IJ20" s="8" t="s">
        <v>107</v>
      </c>
      <c r="IK20" s="8" t="s">
        <v>107</v>
      </c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 t="s">
        <v>107</v>
      </c>
      <c r="IY20" s="8" t="s">
        <v>107</v>
      </c>
      <c r="IZ20" s="8"/>
      <c r="JA20" s="8"/>
      <c r="JB20" s="8" t="s">
        <v>107</v>
      </c>
      <c r="JC20" s="8">
        <v>0</v>
      </c>
      <c r="JD20" s="8" t="s">
        <v>107</v>
      </c>
      <c r="JE20" s="967"/>
      <c r="JF20" s="8">
        <f t="shared" si="43"/>
        <v>0</v>
      </c>
      <c r="JG20" s="8"/>
      <c r="JH20" s="8" t="s">
        <v>107</v>
      </c>
      <c r="JI20" s="8" t="s">
        <v>107</v>
      </c>
      <c r="JJ20" s="8" t="s">
        <v>107</v>
      </c>
      <c r="JK20" s="8" t="s">
        <v>107</v>
      </c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 t="s">
        <v>107</v>
      </c>
      <c r="JY20" s="8" t="s">
        <v>107</v>
      </c>
      <c r="JZ20" s="8"/>
      <c r="KA20" s="8"/>
      <c r="KB20" s="8" t="s">
        <v>107</v>
      </c>
      <c r="KC20" s="8">
        <v>0</v>
      </c>
      <c r="KD20" s="8" t="s">
        <v>107</v>
      </c>
      <c r="KE20" s="967"/>
      <c r="KF20" s="8">
        <f t="shared" si="44"/>
        <v>0</v>
      </c>
      <c r="KG20" s="8"/>
      <c r="KH20" s="8" t="s">
        <v>107</v>
      </c>
      <c r="KI20" s="8" t="s">
        <v>107</v>
      </c>
      <c r="KJ20" s="8" t="s">
        <v>107</v>
      </c>
      <c r="KK20" s="8" t="s">
        <v>107</v>
      </c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 t="s">
        <v>107</v>
      </c>
      <c r="KY20" s="8" t="s">
        <v>107</v>
      </c>
      <c r="KZ20" s="8"/>
      <c r="LA20" s="8"/>
      <c r="LB20" s="8" t="s">
        <v>107</v>
      </c>
      <c r="LC20" s="8">
        <v>0</v>
      </c>
      <c r="LD20" s="8" t="s">
        <v>107</v>
      </c>
      <c r="LE20" s="967"/>
      <c r="LF20" s="8">
        <f t="shared" si="45"/>
        <v>0</v>
      </c>
      <c r="LG20" s="8"/>
      <c r="LH20" s="8" t="s">
        <v>107</v>
      </c>
      <c r="LI20" s="8" t="s">
        <v>107</v>
      </c>
      <c r="LJ20" s="8" t="s">
        <v>107</v>
      </c>
      <c r="LK20" s="8" t="s">
        <v>107</v>
      </c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 t="s">
        <v>107</v>
      </c>
      <c r="LY20" s="8" t="s">
        <v>107</v>
      </c>
      <c r="LZ20" s="8"/>
      <c r="MA20" s="8"/>
      <c r="MB20" s="8" t="s">
        <v>107</v>
      </c>
      <c r="MC20" s="8">
        <v>0</v>
      </c>
      <c r="MD20" s="8" t="s">
        <v>107</v>
      </c>
      <c r="ME20" s="967"/>
      <c r="MF20" s="8">
        <f t="shared" si="46"/>
        <v>0</v>
      </c>
      <c r="MG20" s="8"/>
      <c r="MH20" s="8" t="s">
        <v>107</v>
      </c>
      <c r="MI20" s="8" t="s">
        <v>107</v>
      </c>
      <c r="MJ20" s="8" t="s">
        <v>107</v>
      </c>
      <c r="MK20" s="8" t="s">
        <v>107</v>
      </c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 t="s">
        <v>107</v>
      </c>
      <c r="MY20" s="8" t="s">
        <v>107</v>
      </c>
      <c r="MZ20" s="8"/>
      <c r="NA20" s="8"/>
      <c r="NB20" s="8" t="s">
        <v>107</v>
      </c>
      <c r="NC20" s="8">
        <v>0</v>
      </c>
      <c r="ND20" s="8" t="s">
        <v>107</v>
      </c>
      <c r="NE20" s="967"/>
      <c r="NF20" s="8">
        <f t="shared" si="47"/>
        <v>0</v>
      </c>
      <c r="NG20" s="8"/>
      <c r="NH20" s="8" t="s">
        <v>107</v>
      </c>
      <c r="NI20" s="8" t="s">
        <v>107</v>
      </c>
      <c r="NJ20" s="8" t="s">
        <v>107</v>
      </c>
      <c r="NK20" s="8" t="s">
        <v>107</v>
      </c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 t="s">
        <v>107</v>
      </c>
      <c r="NY20" s="8" t="s">
        <v>107</v>
      </c>
      <c r="NZ20" s="8"/>
      <c r="OA20" s="8"/>
      <c r="OB20" s="8" t="s">
        <v>107</v>
      </c>
      <c r="OC20" s="8">
        <v>0</v>
      </c>
      <c r="OD20" s="8" t="s">
        <v>107</v>
      </c>
      <c r="OE20" s="967"/>
      <c r="OF20" s="8">
        <f t="shared" si="48"/>
        <v>0</v>
      </c>
      <c r="OG20" s="8"/>
      <c r="OH20" s="8" t="s">
        <v>107</v>
      </c>
      <c r="OI20" s="8" t="s">
        <v>107</v>
      </c>
      <c r="OJ20" s="8" t="s">
        <v>107</v>
      </c>
      <c r="OK20" s="8" t="s">
        <v>107</v>
      </c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 t="s">
        <v>107</v>
      </c>
      <c r="OY20" s="8" t="s">
        <v>107</v>
      </c>
      <c r="OZ20" s="8"/>
      <c r="PA20" s="8"/>
      <c r="PB20" s="8" t="s">
        <v>107</v>
      </c>
      <c r="PC20" s="8">
        <v>0</v>
      </c>
      <c r="PD20" s="8" t="s">
        <v>107</v>
      </c>
      <c r="PE20" s="967"/>
      <c r="PF20" s="8">
        <f t="shared" si="49"/>
        <v>0</v>
      </c>
      <c r="PG20" s="8"/>
      <c r="PH20" s="8" t="s">
        <v>107</v>
      </c>
      <c r="PI20" s="8" t="s">
        <v>107</v>
      </c>
      <c r="PJ20" s="8" t="s">
        <v>107</v>
      </c>
      <c r="PK20" s="8" t="s">
        <v>107</v>
      </c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 t="s">
        <v>107</v>
      </c>
      <c r="PY20" s="8" t="s">
        <v>107</v>
      </c>
      <c r="PZ20" s="8"/>
      <c r="QA20" s="8"/>
      <c r="QB20" s="8" t="s">
        <v>107</v>
      </c>
      <c r="QC20" s="8">
        <v>0</v>
      </c>
      <c r="QD20" s="8" t="s">
        <v>107</v>
      </c>
      <c r="QE20" s="967"/>
    </row>
    <row r="21" spans="2:447" x14ac:dyDescent="0.3">
      <c r="B21">
        <v>13</v>
      </c>
      <c r="D21" t="s">
        <v>1800</v>
      </c>
      <c r="F21" s="8">
        <f t="shared" si="33"/>
        <v>113</v>
      </c>
      <c r="G21" s="8"/>
      <c r="H21" s="8">
        <v>5</v>
      </c>
      <c r="I21" s="8">
        <v>3</v>
      </c>
      <c r="J21" s="8">
        <v>14</v>
      </c>
      <c r="K21" s="8">
        <v>22</v>
      </c>
      <c r="L21" s="8">
        <v>1</v>
      </c>
      <c r="M21" s="8">
        <v>14</v>
      </c>
      <c r="N21" s="8">
        <v>2</v>
      </c>
      <c r="O21" s="8">
        <v>2</v>
      </c>
      <c r="P21" s="8" t="s">
        <v>107</v>
      </c>
      <c r="Q21" s="8">
        <v>3</v>
      </c>
      <c r="R21" s="8">
        <v>14</v>
      </c>
      <c r="S21" s="8">
        <v>17</v>
      </c>
      <c r="T21" s="8">
        <v>16</v>
      </c>
      <c r="U21" s="8" t="s">
        <v>107</v>
      </c>
      <c r="V21" s="8" t="s">
        <v>107</v>
      </c>
      <c r="W21" s="8" t="s">
        <v>107</v>
      </c>
      <c r="X21" s="8" t="s">
        <v>107</v>
      </c>
      <c r="Y21" s="8" t="s">
        <v>107</v>
      </c>
      <c r="Z21" s="8"/>
      <c r="AA21" s="8"/>
      <c r="AB21" s="8" t="s">
        <v>107</v>
      </c>
      <c r="AC21" s="8" t="s">
        <v>107</v>
      </c>
      <c r="AD21" s="8" t="s">
        <v>107</v>
      </c>
      <c r="AE21" s="967"/>
      <c r="AF21" s="8">
        <f t="shared" si="35"/>
        <v>27</v>
      </c>
      <c r="AG21" s="8"/>
      <c r="AH21" s="8">
        <v>1</v>
      </c>
      <c r="AI21" s="8">
        <v>0</v>
      </c>
      <c r="AJ21" s="8">
        <v>2</v>
      </c>
      <c r="AK21" s="8">
        <v>7</v>
      </c>
      <c r="AL21" s="8"/>
      <c r="AM21" s="8"/>
      <c r="AN21" s="8"/>
      <c r="AO21" s="8">
        <v>0</v>
      </c>
      <c r="AP21" s="8" t="s">
        <v>107</v>
      </c>
      <c r="AQ21" s="8">
        <v>0</v>
      </c>
      <c r="AR21" s="8">
        <v>7</v>
      </c>
      <c r="AS21" s="8">
        <v>7</v>
      </c>
      <c r="AT21" s="8">
        <v>3</v>
      </c>
      <c r="AU21" s="8"/>
      <c r="AV21" s="8"/>
      <c r="AW21" s="8"/>
      <c r="AX21" s="8" t="s">
        <v>107</v>
      </c>
      <c r="AY21" s="8" t="s">
        <v>107</v>
      </c>
      <c r="AZ21" s="8"/>
      <c r="BA21" s="8"/>
      <c r="BB21" s="8" t="s">
        <v>107</v>
      </c>
      <c r="BC21" s="8" t="s">
        <v>107</v>
      </c>
      <c r="BD21" s="8" t="s">
        <v>107</v>
      </c>
      <c r="BE21" s="967"/>
      <c r="BF21" s="8">
        <f t="shared" si="36"/>
        <v>16</v>
      </c>
      <c r="BG21" s="8"/>
      <c r="BH21" s="8">
        <v>1</v>
      </c>
      <c r="BI21" s="8">
        <v>3</v>
      </c>
      <c r="BJ21" s="8">
        <v>2</v>
      </c>
      <c r="BK21" s="8">
        <v>1</v>
      </c>
      <c r="BL21" s="8"/>
      <c r="BM21" s="8"/>
      <c r="BN21" s="8"/>
      <c r="BO21" s="8">
        <v>0</v>
      </c>
      <c r="BP21" s="8" t="s">
        <v>107</v>
      </c>
      <c r="BQ21" s="8">
        <v>0</v>
      </c>
      <c r="BR21" s="8">
        <v>3</v>
      </c>
      <c r="BS21" s="8">
        <v>3</v>
      </c>
      <c r="BT21" s="8">
        <v>3</v>
      </c>
      <c r="BU21" s="8"/>
      <c r="BV21" s="8"/>
      <c r="BW21" s="8"/>
      <c r="BX21" s="8" t="s">
        <v>107</v>
      </c>
      <c r="BY21" s="8" t="s">
        <v>107</v>
      </c>
      <c r="BZ21" s="8"/>
      <c r="CA21" s="8"/>
      <c r="CB21" s="8" t="s">
        <v>107</v>
      </c>
      <c r="CC21" s="8" t="s">
        <v>107</v>
      </c>
      <c r="CD21" s="8" t="s">
        <v>107</v>
      </c>
      <c r="CE21" s="967"/>
      <c r="CF21" s="8">
        <f t="shared" si="37"/>
        <v>43</v>
      </c>
      <c r="CG21" s="8"/>
      <c r="CH21" s="8">
        <v>2</v>
      </c>
      <c r="CI21" s="8">
        <v>3</v>
      </c>
      <c r="CJ21" s="8">
        <v>4</v>
      </c>
      <c r="CK21" s="8">
        <v>8</v>
      </c>
      <c r="CL21" s="8"/>
      <c r="CM21" s="8"/>
      <c r="CN21" s="8"/>
      <c r="CO21" s="8">
        <v>0</v>
      </c>
      <c r="CP21" s="8" t="s">
        <v>107</v>
      </c>
      <c r="CQ21" s="8">
        <v>0</v>
      </c>
      <c r="CR21" s="8">
        <v>10</v>
      </c>
      <c r="CS21" s="8">
        <v>10</v>
      </c>
      <c r="CT21" s="8">
        <v>6</v>
      </c>
      <c r="CU21" s="8"/>
      <c r="CV21" s="8"/>
      <c r="CW21" s="8"/>
      <c r="CX21" s="8" t="s">
        <v>107</v>
      </c>
      <c r="CY21" s="8" t="s">
        <v>107</v>
      </c>
      <c r="CZ21" s="8"/>
      <c r="DA21" s="8"/>
      <c r="DB21" s="8" t="s">
        <v>107</v>
      </c>
      <c r="DC21" s="8" t="s">
        <v>107</v>
      </c>
      <c r="DD21" s="8" t="s">
        <v>107</v>
      </c>
      <c r="DE21" s="967"/>
      <c r="DF21" s="8">
        <f t="shared" si="38"/>
        <v>9</v>
      </c>
      <c r="DG21" s="8"/>
      <c r="DH21" s="8">
        <v>1</v>
      </c>
      <c r="DI21" s="8">
        <v>1</v>
      </c>
      <c r="DJ21" s="8">
        <v>2</v>
      </c>
      <c r="DK21" s="8">
        <v>2</v>
      </c>
      <c r="DL21" s="8"/>
      <c r="DM21" s="8"/>
      <c r="DN21" s="8"/>
      <c r="DO21" s="8">
        <v>0</v>
      </c>
      <c r="DP21" s="8" t="s">
        <v>107</v>
      </c>
      <c r="DQ21" s="8">
        <v>0</v>
      </c>
      <c r="DR21" s="8">
        <v>2</v>
      </c>
      <c r="DS21" s="8">
        <v>1</v>
      </c>
      <c r="DT21" s="8"/>
      <c r="DU21" s="8"/>
      <c r="DV21" s="8"/>
      <c r="DW21" s="8"/>
      <c r="DX21" s="8" t="s">
        <v>107</v>
      </c>
      <c r="DY21" s="8" t="s">
        <v>107</v>
      </c>
      <c r="DZ21" s="8"/>
      <c r="EA21" s="8"/>
      <c r="EB21" s="8" t="s">
        <v>107</v>
      </c>
      <c r="EC21" s="8" t="s">
        <v>107</v>
      </c>
      <c r="ED21" s="8" t="s">
        <v>107</v>
      </c>
      <c r="EE21" s="967"/>
      <c r="EF21" s="8">
        <f t="shared" si="39"/>
        <v>18</v>
      </c>
      <c r="EG21" s="8"/>
      <c r="EH21" s="8">
        <v>2</v>
      </c>
      <c r="EI21" s="8">
        <v>2</v>
      </c>
      <c r="EJ21" s="8">
        <v>4</v>
      </c>
      <c r="EK21" s="8">
        <v>4</v>
      </c>
      <c r="EL21" s="8"/>
      <c r="EM21" s="8"/>
      <c r="EN21" s="8"/>
      <c r="EO21" s="8">
        <v>0</v>
      </c>
      <c r="EP21" s="8" t="s">
        <v>107</v>
      </c>
      <c r="EQ21" s="8">
        <v>0</v>
      </c>
      <c r="ER21" s="8">
        <v>4</v>
      </c>
      <c r="ES21" s="8">
        <v>2</v>
      </c>
      <c r="ET21" s="8"/>
      <c r="EU21" s="8"/>
      <c r="EV21" s="8"/>
      <c r="EW21" s="8"/>
      <c r="EX21" s="8" t="s">
        <v>107</v>
      </c>
      <c r="EY21" s="8" t="s">
        <v>107</v>
      </c>
      <c r="EZ21" s="8"/>
      <c r="FA21" s="8"/>
      <c r="FB21" s="8" t="s">
        <v>107</v>
      </c>
      <c r="FC21" s="8" t="s">
        <v>107</v>
      </c>
      <c r="FD21" s="8" t="s">
        <v>107</v>
      </c>
      <c r="FE21" s="967"/>
      <c r="FF21" s="8">
        <f t="shared" si="34"/>
        <v>6</v>
      </c>
      <c r="FG21" s="8"/>
      <c r="FH21" s="8">
        <v>1</v>
      </c>
      <c r="FI21" s="8">
        <v>0</v>
      </c>
      <c r="FJ21" s="8">
        <v>0</v>
      </c>
      <c r="FK21" s="8">
        <v>0</v>
      </c>
      <c r="FL21" s="8"/>
      <c r="FM21" s="8"/>
      <c r="FN21" s="8"/>
      <c r="FO21" s="8">
        <v>0</v>
      </c>
      <c r="FP21" s="8" t="s">
        <v>107</v>
      </c>
      <c r="FQ21" s="8">
        <v>0</v>
      </c>
      <c r="FR21" s="8">
        <v>3</v>
      </c>
      <c r="FS21" s="8">
        <v>2</v>
      </c>
      <c r="FT21" s="8">
        <v>0</v>
      </c>
      <c r="FU21" s="8"/>
      <c r="FV21" s="8"/>
      <c r="FW21" s="8"/>
      <c r="FX21" s="8" t="s">
        <v>107</v>
      </c>
      <c r="FY21" s="8" t="s">
        <v>107</v>
      </c>
      <c r="FZ21" s="8"/>
      <c r="GA21" s="8"/>
      <c r="GB21" s="8" t="s">
        <v>107</v>
      </c>
      <c r="GC21" s="8" t="s">
        <v>107</v>
      </c>
      <c r="GD21" s="8" t="s">
        <v>107</v>
      </c>
      <c r="GE21" s="967"/>
      <c r="GF21" s="8">
        <f t="shared" si="40"/>
        <v>3</v>
      </c>
      <c r="GG21" s="8"/>
      <c r="GH21" s="8">
        <v>1</v>
      </c>
      <c r="GI21" s="8">
        <v>0</v>
      </c>
      <c r="GJ21" s="8">
        <v>0</v>
      </c>
      <c r="GK21" s="8">
        <v>1</v>
      </c>
      <c r="GL21" s="8"/>
      <c r="GM21" s="8"/>
      <c r="GN21" s="8"/>
      <c r="GO21" s="8">
        <v>0</v>
      </c>
      <c r="GP21" s="8" t="s">
        <v>107</v>
      </c>
      <c r="GQ21" s="8">
        <v>0</v>
      </c>
      <c r="GR21" s="8">
        <v>0</v>
      </c>
      <c r="GS21" s="8">
        <v>1</v>
      </c>
      <c r="GT21" s="8"/>
      <c r="GU21" s="8"/>
      <c r="GV21" s="8"/>
      <c r="GW21" s="8"/>
      <c r="GX21" s="8" t="s">
        <v>107</v>
      </c>
      <c r="GY21" s="8" t="s">
        <v>107</v>
      </c>
      <c r="GZ21" s="8"/>
      <c r="HA21" s="8"/>
      <c r="HB21" s="8" t="s">
        <v>107</v>
      </c>
      <c r="HC21" s="8" t="s">
        <v>107</v>
      </c>
      <c r="HD21" s="8" t="s">
        <v>107</v>
      </c>
      <c r="HE21" s="967"/>
      <c r="HF21" s="8">
        <f t="shared" si="41"/>
        <v>0</v>
      </c>
      <c r="HG21" s="8"/>
      <c r="HH21" s="8">
        <v>0</v>
      </c>
      <c r="HI21" s="8">
        <v>0</v>
      </c>
      <c r="HJ21" s="8">
        <v>0</v>
      </c>
      <c r="HK21" s="8">
        <v>0</v>
      </c>
      <c r="HL21" s="8"/>
      <c r="HM21" s="8"/>
      <c r="HN21" s="8"/>
      <c r="HO21" s="8">
        <v>0</v>
      </c>
      <c r="HP21" s="8" t="s">
        <v>107</v>
      </c>
      <c r="HQ21" s="8">
        <v>0</v>
      </c>
      <c r="HR21" s="8">
        <v>0</v>
      </c>
      <c r="HS21" s="8">
        <v>0</v>
      </c>
      <c r="HT21" s="8"/>
      <c r="HU21" s="8"/>
      <c r="HV21" s="8"/>
      <c r="HW21" s="8"/>
      <c r="HX21" s="8" t="s">
        <v>107</v>
      </c>
      <c r="HY21" s="8" t="s">
        <v>107</v>
      </c>
      <c r="HZ21" s="8"/>
      <c r="IA21" s="8"/>
      <c r="IB21" s="8" t="s">
        <v>107</v>
      </c>
      <c r="IC21" s="8" t="s">
        <v>107</v>
      </c>
      <c r="ID21" s="8" t="s">
        <v>107</v>
      </c>
      <c r="IE21" s="967"/>
      <c r="IF21" s="8">
        <f t="shared" si="42"/>
        <v>0</v>
      </c>
      <c r="IG21" s="8"/>
      <c r="IH21" s="8">
        <v>0</v>
      </c>
      <c r="II21" s="8">
        <v>0</v>
      </c>
      <c r="IJ21" s="8">
        <v>0</v>
      </c>
      <c r="IK21" s="8">
        <v>0</v>
      </c>
      <c r="IL21" s="8"/>
      <c r="IM21" s="8"/>
      <c r="IN21" s="8"/>
      <c r="IO21" s="8">
        <v>0</v>
      </c>
      <c r="IP21" s="8" t="s">
        <v>107</v>
      </c>
      <c r="IQ21" s="8">
        <v>0</v>
      </c>
      <c r="IR21" s="8">
        <v>0</v>
      </c>
      <c r="IS21" s="8">
        <v>0</v>
      </c>
      <c r="IT21" s="8"/>
      <c r="IU21" s="8"/>
      <c r="IV21" s="8"/>
      <c r="IW21" s="8"/>
      <c r="IX21" s="8" t="s">
        <v>107</v>
      </c>
      <c r="IY21" s="8" t="s">
        <v>107</v>
      </c>
      <c r="IZ21" s="8"/>
      <c r="JA21" s="8"/>
      <c r="JB21" s="8" t="s">
        <v>107</v>
      </c>
      <c r="JC21" s="8" t="s">
        <v>107</v>
      </c>
      <c r="JD21" s="8" t="s">
        <v>107</v>
      </c>
      <c r="JE21" s="967"/>
      <c r="JF21" s="8">
        <f t="shared" si="43"/>
        <v>1</v>
      </c>
      <c r="JG21" s="8"/>
      <c r="JH21" s="8">
        <v>0</v>
      </c>
      <c r="JI21" s="8">
        <v>0</v>
      </c>
      <c r="JJ21" s="8">
        <v>0</v>
      </c>
      <c r="JK21" s="8">
        <v>1</v>
      </c>
      <c r="JL21" s="8"/>
      <c r="JM21" s="8"/>
      <c r="JN21" s="8"/>
      <c r="JO21" s="8">
        <v>0</v>
      </c>
      <c r="JP21" s="8" t="s">
        <v>107</v>
      </c>
      <c r="JQ21" s="8">
        <v>0</v>
      </c>
      <c r="JR21" s="8">
        <v>0</v>
      </c>
      <c r="JS21" s="8">
        <v>0</v>
      </c>
      <c r="JT21" s="8"/>
      <c r="JU21" s="8"/>
      <c r="JV21" s="8"/>
      <c r="JW21" s="8"/>
      <c r="JX21" s="8" t="s">
        <v>107</v>
      </c>
      <c r="JY21" s="8" t="s">
        <v>107</v>
      </c>
      <c r="JZ21" s="8"/>
      <c r="KA21" s="8"/>
      <c r="KB21" s="8" t="s">
        <v>107</v>
      </c>
      <c r="KC21" s="8" t="s">
        <v>107</v>
      </c>
      <c r="KD21" s="8" t="s">
        <v>107</v>
      </c>
      <c r="KE21" s="967"/>
      <c r="KF21" s="8">
        <f t="shared" si="44"/>
        <v>0</v>
      </c>
      <c r="KG21" s="8"/>
      <c r="KH21" s="8">
        <v>0</v>
      </c>
      <c r="KI21" s="8">
        <v>0</v>
      </c>
      <c r="KJ21" s="8">
        <v>0</v>
      </c>
      <c r="KK21" s="8">
        <v>0</v>
      </c>
      <c r="KL21" s="8"/>
      <c r="KM21" s="8"/>
      <c r="KN21" s="8"/>
      <c r="KO21" s="8">
        <v>0</v>
      </c>
      <c r="KP21" s="8" t="s">
        <v>107</v>
      </c>
      <c r="KQ21" s="8">
        <v>0</v>
      </c>
      <c r="KR21" s="8">
        <v>0</v>
      </c>
      <c r="KS21" s="8">
        <v>0</v>
      </c>
      <c r="KT21" s="8"/>
      <c r="KU21" s="8"/>
      <c r="KV21" s="8"/>
      <c r="KW21" s="8"/>
      <c r="KX21" s="8" t="s">
        <v>107</v>
      </c>
      <c r="KY21" s="8" t="s">
        <v>107</v>
      </c>
      <c r="KZ21" s="8"/>
      <c r="LA21" s="8"/>
      <c r="LB21" s="8" t="s">
        <v>107</v>
      </c>
      <c r="LC21" s="8" t="s">
        <v>107</v>
      </c>
      <c r="LD21" s="8" t="s">
        <v>107</v>
      </c>
      <c r="LE21" s="967"/>
      <c r="LF21" s="8">
        <f t="shared" si="45"/>
        <v>0</v>
      </c>
      <c r="LG21" s="8"/>
      <c r="LH21" s="8">
        <v>0</v>
      </c>
      <c r="LI21" s="8">
        <v>0</v>
      </c>
      <c r="LJ21" s="8">
        <v>0</v>
      </c>
      <c r="LK21" s="8">
        <v>0</v>
      </c>
      <c r="LL21" s="8"/>
      <c r="LM21" s="8"/>
      <c r="LN21" s="8"/>
      <c r="LO21" s="8">
        <v>0</v>
      </c>
      <c r="LP21" s="8" t="s">
        <v>107</v>
      </c>
      <c r="LQ21" s="8">
        <v>0</v>
      </c>
      <c r="LR21" s="8">
        <v>0</v>
      </c>
      <c r="LS21" s="8">
        <v>0</v>
      </c>
      <c r="LT21" s="8"/>
      <c r="LU21" s="8"/>
      <c r="LV21" s="8"/>
      <c r="LW21" s="8"/>
      <c r="LX21" s="8" t="s">
        <v>107</v>
      </c>
      <c r="LY21" s="8" t="s">
        <v>107</v>
      </c>
      <c r="LZ21" s="8"/>
      <c r="MA21" s="8"/>
      <c r="MB21" s="8" t="s">
        <v>107</v>
      </c>
      <c r="MC21" s="8" t="s">
        <v>107</v>
      </c>
      <c r="MD21" s="8" t="s">
        <v>107</v>
      </c>
      <c r="ME21" s="967"/>
      <c r="MF21" s="8">
        <f t="shared" si="46"/>
        <v>0</v>
      </c>
      <c r="MG21" s="8"/>
      <c r="MH21" s="8">
        <v>0</v>
      </c>
      <c r="MI21" s="8">
        <v>0</v>
      </c>
      <c r="MJ21" s="8">
        <v>0</v>
      </c>
      <c r="MK21" s="8">
        <v>0</v>
      </c>
      <c r="ML21" s="8"/>
      <c r="MM21" s="8"/>
      <c r="MN21" s="8"/>
      <c r="MO21" s="8">
        <v>0</v>
      </c>
      <c r="MP21" s="8" t="s">
        <v>107</v>
      </c>
      <c r="MQ21" s="8">
        <v>0</v>
      </c>
      <c r="MR21" s="8">
        <v>0</v>
      </c>
      <c r="MS21" s="8">
        <v>0</v>
      </c>
      <c r="MT21" s="8"/>
      <c r="MU21" s="8"/>
      <c r="MV21" s="8"/>
      <c r="MW21" s="8"/>
      <c r="MX21" s="8" t="s">
        <v>107</v>
      </c>
      <c r="MY21" s="8" t="s">
        <v>107</v>
      </c>
      <c r="MZ21" s="8"/>
      <c r="NA21" s="8"/>
      <c r="NB21" s="8" t="s">
        <v>107</v>
      </c>
      <c r="NC21" s="8" t="s">
        <v>107</v>
      </c>
      <c r="ND21" s="8" t="s">
        <v>107</v>
      </c>
      <c r="NE21" s="967"/>
      <c r="NF21" s="8">
        <f t="shared" si="47"/>
        <v>1</v>
      </c>
      <c r="NG21" s="8"/>
      <c r="NH21" s="8">
        <v>0</v>
      </c>
      <c r="NI21" s="8">
        <v>0</v>
      </c>
      <c r="NJ21" s="8">
        <v>0</v>
      </c>
      <c r="NK21" s="8">
        <v>1</v>
      </c>
      <c r="NL21" s="8"/>
      <c r="NM21" s="8"/>
      <c r="NN21" s="8"/>
      <c r="NO21" s="8">
        <v>0</v>
      </c>
      <c r="NP21" s="8" t="s">
        <v>107</v>
      </c>
      <c r="NQ21" s="8">
        <v>0</v>
      </c>
      <c r="NR21" s="8">
        <v>0</v>
      </c>
      <c r="NS21" s="8">
        <v>0</v>
      </c>
      <c r="NT21" s="8"/>
      <c r="NU21" s="8"/>
      <c r="NV21" s="8"/>
      <c r="NW21" s="8"/>
      <c r="NX21" s="8" t="s">
        <v>107</v>
      </c>
      <c r="NY21" s="8" t="s">
        <v>107</v>
      </c>
      <c r="NZ21" s="8"/>
      <c r="OA21" s="8"/>
      <c r="OB21" s="8" t="s">
        <v>107</v>
      </c>
      <c r="OC21" s="8" t="s">
        <v>107</v>
      </c>
      <c r="OD21" s="8" t="s">
        <v>107</v>
      </c>
      <c r="OE21" s="967"/>
      <c r="OF21" s="8">
        <f t="shared" si="48"/>
        <v>1</v>
      </c>
      <c r="OG21" s="8"/>
      <c r="OH21" s="8">
        <v>0</v>
      </c>
      <c r="OI21" s="8">
        <v>0</v>
      </c>
      <c r="OJ21" s="8">
        <v>0</v>
      </c>
      <c r="OK21" s="8">
        <v>0</v>
      </c>
      <c r="OL21" s="8"/>
      <c r="OM21" s="8"/>
      <c r="ON21" s="8"/>
      <c r="OO21" s="8">
        <v>0</v>
      </c>
      <c r="OP21" s="8" t="s">
        <v>107</v>
      </c>
      <c r="OQ21" s="8">
        <v>0</v>
      </c>
      <c r="OR21" s="8">
        <v>0</v>
      </c>
      <c r="OS21" s="8">
        <v>1</v>
      </c>
      <c r="OT21" s="8"/>
      <c r="OU21" s="8"/>
      <c r="OV21" s="8"/>
      <c r="OW21" s="8"/>
      <c r="OX21" s="8" t="s">
        <v>107</v>
      </c>
      <c r="OY21" s="8" t="s">
        <v>107</v>
      </c>
      <c r="OZ21" s="8"/>
      <c r="PA21" s="8"/>
      <c r="PB21" s="8" t="s">
        <v>107</v>
      </c>
      <c r="PC21" s="8" t="s">
        <v>107</v>
      </c>
      <c r="PD21" s="8" t="s">
        <v>107</v>
      </c>
      <c r="PE21" s="967"/>
      <c r="PF21" s="8">
        <f t="shared" si="49"/>
        <v>0</v>
      </c>
      <c r="PG21" s="8"/>
      <c r="PH21" s="8">
        <v>0</v>
      </c>
      <c r="PI21" s="8">
        <v>0</v>
      </c>
      <c r="PJ21" s="8">
        <v>0</v>
      </c>
      <c r="PK21" s="8">
        <v>0</v>
      </c>
      <c r="PL21" s="8"/>
      <c r="PM21" s="8"/>
      <c r="PN21" s="8"/>
      <c r="PO21" s="8">
        <v>0</v>
      </c>
      <c r="PP21" s="8" t="s">
        <v>107</v>
      </c>
      <c r="PQ21" s="8">
        <v>0</v>
      </c>
      <c r="PR21" s="8">
        <v>0</v>
      </c>
      <c r="PS21" s="8">
        <v>0</v>
      </c>
      <c r="PT21" s="8"/>
      <c r="PU21" s="8"/>
      <c r="PV21" s="8"/>
      <c r="PW21" s="8"/>
      <c r="PX21" s="8" t="s">
        <v>107</v>
      </c>
      <c r="PY21" s="8" t="s">
        <v>107</v>
      </c>
      <c r="PZ21" s="8"/>
      <c r="QA21" s="8"/>
      <c r="QB21" s="8" t="s">
        <v>107</v>
      </c>
      <c r="QC21" s="8" t="s">
        <v>107</v>
      </c>
      <c r="QD21" s="8" t="s">
        <v>107</v>
      </c>
      <c r="QE21" s="967"/>
    </row>
    <row r="22" spans="2:447" x14ac:dyDescent="0.3">
      <c r="B22">
        <v>14</v>
      </c>
      <c r="D22" t="s">
        <v>2003</v>
      </c>
      <c r="F22" s="8">
        <f t="shared" si="33"/>
        <v>51</v>
      </c>
      <c r="G22" s="8"/>
      <c r="H22" s="8" t="s">
        <v>107</v>
      </c>
      <c r="I22" s="8" t="s">
        <v>107</v>
      </c>
      <c r="J22" s="8" t="s">
        <v>107</v>
      </c>
      <c r="K22" s="8" t="s">
        <v>107</v>
      </c>
      <c r="L22" s="8" t="s">
        <v>107</v>
      </c>
      <c r="M22" s="8" t="s">
        <v>107</v>
      </c>
      <c r="N22" s="8" t="s">
        <v>107</v>
      </c>
      <c r="O22" s="8" t="s">
        <v>107</v>
      </c>
      <c r="P22" s="8" t="s">
        <v>107</v>
      </c>
      <c r="Q22" s="8" t="s">
        <v>107</v>
      </c>
      <c r="R22" s="8" t="s">
        <v>107</v>
      </c>
      <c r="S22" s="8" t="s">
        <v>107</v>
      </c>
      <c r="T22" s="8" t="s">
        <v>107</v>
      </c>
      <c r="U22" s="8" t="s">
        <v>107</v>
      </c>
      <c r="V22" s="8" t="s">
        <v>107</v>
      </c>
      <c r="W22" s="8" t="s">
        <v>107</v>
      </c>
      <c r="X22" s="8" t="s">
        <v>107</v>
      </c>
      <c r="Y22" s="8">
        <v>16</v>
      </c>
      <c r="Z22" s="8"/>
      <c r="AA22" s="8"/>
      <c r="AB22" s="1087">
        <v>12</v>
      </c>
      <c r="AC22" s="8">
        <v>6</v>
      </c>
      <c r="AD22" s="8">
        <v>17</v>
      </c>
      <c r="AE22" s="967"/>
      <c r="AF22" s="8">
        <f t="shared" si="35"/>
        <v>9</v>
      </c>
      <c r="AG22" s="8"/>
      <c r="AH22" s="8" t="s">
        <v>107</v>
      </c>
      <c r="AI22" s="8" t="s">
        <v>107</v>
      </c>
      <c r="AJ22" s="8" t="s">
        <v>107</v>
      </c>
      <c r="AK22" s="8" t="s">
        <v>107</v>
      </c>
      <c r="AL22" s="8"/>
      <c r="AM22" s="8"/>
      <c r="AN22" s="8"/>
      <c r="AO22" s="8" t="s">
        <v>107</v>
      </c>
      <c r="AP22" s="8" t="s">
        <v>107</v>
      </c>
      <c r="AQ22" s="8"/>
      <c r="AR22" s="8"/>
      <c r="AS22" s="8"/>
      <c r="AT22" s="8"/>
      <c r="AU22" s="8"/>
      <c r="AV22" s="8"/>
      <c r="AW22" s="8"/>
      <c r="AX22" s="8" t="s">
        <v>107</v>
      </c>
      <c r="AY22" s="8">
        <v>2</v>
      </c>
      <c r="AZ22" s="8"/>
      <c r="BA22" s="8"/>
      <c r="BB22" s="8">
        <v>3</v>
      </c>
      <c r="BC22" s="8">
        <v>0</v>
      </c>
      <c r="BD22" s="8">
        <v>4</v>
      </c>
      <c r="BE22" s="967"/>
      <c r="BF22" s="8">
        <f t="shared" si="36"/>
        <v>8</v>
      </c>
      <c r="BG22" s="8"/>
      <c r="BH22" s="8" t="s">
        <v>107</v>
      </c>
      <c r="BI22" s="8"/>
      <c r="BJ22" s="8"/>
      <c r="BK22" s="8" t="s">
        <v>107</v>
      </c>
      <c r="BL22" s="8"/>
      <c r="BM22" s="8"/>
      <c r="BN22" s="8"/>
      <c r="BO22" s="8" t="s">
        <v>107</v>
      </c>
      <c r="BP22" s="8" t="s">
        <v>107</v>
      </c>
      <c r="BQ22" s="8"/>
      <c r="BR22" s="8"/>
      <c r="BS22" s="8"/>
      <c r="BT22" s="8"/>
      <c r="BU22" s="8"/>
      <c r="BV22" s="8"/>
      <c r="BW22" s="8"/>
      <c r="BX22" s="8" t="s">
        <v>107</v>
      </c>
      <c r="BY22" s="8">
        <v>2</v>
      </c>
      <c r="BZ22" s="8"/>
      <c r="CA22" s="8"/>
      <c r="CB22" s="8">
        <v>2</v>
      </c>
      <c r="CC22" s="8">
        <v>1</v>
      </c>
      <c r="CD22" s="8">
        <v>3</v>
      </c>
      <c r="CE22" s="967"/>
      <c r="CF22" s="8">
        <f t="shared" si="37"/>
        <v>17</v>
      </c>
      <c r="CG22" s="8"/>
      <c r="CH22" s="8" t="s">
        <v>107</v>
      </c>
      <c r="CI22" s="8"/>
      <c r="CJ22" s="8"/>
      <c r="CK22" s="8" t="s">
        <v>107</v>
      </c>
      <c r="CL22" s="8"/>
      <c r="CM22" s="8"/>
      <c r="CN22" s="8"/>
      <c r="CO22" s="8" t="s">
        <v>107</v>
      </c>
      <c r="CP22" s="8" t="s">
        <v>107</v>
      </c>
      <c r="CQ22" s="8"/>
      <c r="CR22" s="8"/>
      <c r="CS22" s="8"/>
      <c r="CT22" s="8"/>
      <c r="CU22" s="8"/>
      <c r="CV22" s="8"/>
      <c r="CW22" s="8"/>
      <c r="CX22" s="8" t="s">
        <v>107</v>
      </c>
      <c r="CY22" s="8">
        <v>4</v>
      </c>
      <c r="CZ22" s="8"/>
      <c r="DA22" s="8"/>
      <c r="DB22" s="8">
        <f t="shared" si="51"/>
        <v>5</v>
      </c>
      <c r="DC22" s="8">
        <f t="shared" si="52"/>
        <v>1</v>
      </c>
      <c r="DD22" s="8">
        <f t="shared" si="50"/>
        <v>7</v>
      </c>
      <c r="DE22" s="967"/>
      <c r="DF22" s="8">
        <f t="shared" si="38"/>
        <v>0</v>
      </c>
      <c r="DG22" s="8"/>
      <c r="DH22" s="8" t="s">
        <v>107</v>
      </c>
      <c r="DI22" s="8" t="s">
        <v>107</v>
      </c>
      <c r="DJ22" s="8" t="s">
        <v>107</v>
      </c>
      <c r="DK22" s="8" t="s">
        <v>107</v>
      </c>
      <c r="DL22" s="8"/>
      <c r="DM22" s="8"/>
      <c r="DN22" s="8"/>
      <c r="DO22" s="8" t="s">
        <v>107</v>
      </c>
      <c r="DP22" s="8" t="s">
        <v>107</v>
      </c>
      <c r="DQ22" s="8"/>
      <c r="DR22" s="8"/>
      <c r="DS22" s="8"/>
      <c r="DT22" s="8"/>
      <c r="DU22" s="8"/>
      <c r="DV22" s="8"/>
      <c r="DW22" s="8"/>
      <c r="DX22" s="8" t="s">
        <v>107</v>
      </c>
      <c r="DY22" s="8">
        <v>0</v>
      </c>
      <c r="DZ22" s="8"/>
      <c r="EA22" s="8"/>
      <c r="EB22" s="8">
        <v>0</v>
      </c>
      <c r="EC22" s="8">
        <v>0</v>
      </c>
      <c r="ED22" s="8">
        <v>0</v>
      </c>
      <c r="EE22" s="967"/>
      <c r="EF22" s="8">
        <f t="shared" si="39"/>
        <v>12</v>
      </c>
      <c r="EG22" s="8"/>
      <c r="EH22" s="8" t="s">
        <v>107</v>
      </c>
      <c r="EI22" s="8" t="s">
        <v>107</v>
      </c>
      <c r="EJ22" s="8" t="s">
        <v>107</v>
      </c>
      <c r="EK22" s="8" t="s">
        <v>107</v>
      </c>
      <c r="EL22" s="8"/>
      <c r="EM22" s="8"/>
      <c r="EN22" s="8"/>
      <c r="EO22" s="8" t="s">
        <v>107</v>
      </c>
      <c r="EP22" s="8" t="s">
        <v>107</v>
      </c>
      <c r="EQ22" s="8"/>
      <c r="ER22" s="8"/>
      <c r="ES22" s="8"/>
      <c r="ET22" s="8"/>
      <c r="EU22" s="8"/>
      <c r="EV22" s="8"/>
      <c r="EW22" s="8"/>
      <c r="EX22" s="8" t="s">
        <v>107</v>
      </c>
      <c r="EY22" s="8">
        <v>2</v>
      </c>
      <c r="EZ22" s="8"/>
      <c r="FA22" s="8"/>
      <c r="FB22" s="8">
        <v>4</v>
      </c>
      <c r="FC22" s="8">
        <v>0</v>
      </c>
      <c r="FD22" s="8">
        <v>6</v>
      </c>
      <c r="FE22" s="967"/>
      <c r="FF22" s="8">
        <f t="shared" si="34"/>
        <v>0</v>
      </c>
      <c r="FG22" s="8"/>
      <c r="FH22" s="8" t="s">
        <v>107</v>
      </c>
      <c r="FI22" s="8" t="s">
        <v>107</v>
      </c>
      <c r="FJ22" s="8" t="s">
        <v>107</v>
      </c>
      <c r="FK22" s="8" t="s">
        <v>107</v>
      </c>
      <c r="FL22" s="8"/>
      <c r="FM22" s="8"/>
      <c r="FN22" s="8"/>
      <c r="FO22" s="8" t="s">
        <v>107</v>
      </c>
      <c r="FP22" s="8" t="s">
        <v>107</v>
      </c>
      <c r="FQ22" s="8"/>
      <c r="FR22" s="8"/>
      <c r="FS22" s="8"/>
      <c r="FT22" s="8"/>
      <c r="FU22" s="8"/>
      <c r="FV22" s="8"/>
      <c r="FW22" s="8"/>
      <c r="FX22" s="8" t="s">
        <v>107</v>
      </c>
      <c r="FY22" s="8">
        <v>0</v>
      </c>
      <c r="FZ22" s="8"/>
      <c r="GA22" s="8"/>
      <c r="GB22" s="8">
        <v>0</v>
      </c>
      <c r="GC22" s="8">
        <v>0</v>
      </c>
      <c r="GD22" s="8">
        <v>0</v>
      </c>
      <c r="GE22" s="967"/>
      <c r="GF22" s="8">
        <f t="shared" si="40"/>
        <v>0</v>
      </c>
      <c r="GG22" s="8"/>
      <c r="GH22" s="8" t="s">
        <v>107</v>
      </c>
      <c r="GI22" s="8" t="s">
        <v>107</v>
      </c>
      <c r="GJ22" s="8" t="s">
        <v>107</v>
      </c>
      <c r="GK22" s="8" t="s">
        <v>107</v>
      </c>
      <c r="GL22" s="8"/>
      <c r="GM22" s="8"/>
      <c r="GN22" s="8"/>
      <c r="GO22" s="8" t="s">
        <v>107</v>
      </c>
      <c r="GP22" s="8" t="s">
        <v>107</v>
      </c>
      <c r="GQ22" s="8"/>
      <c r="GR22" s="8"/>
      <c r="GS22" s="8"/>
      <c r="GT22" s="8"/>
      <c r="GU22" s="8"/>
      <c r="GV22" s="8"/>
      <c r="GW22" s="8"/>
      <c r="GX22" s="8" t="s">
        <v>107</v>
      </c>
      <c r="GY22" s="8">
        <v>0</v>
      </c>
      <c r="GZ22" s="8"/>
      <c r="HA22" s="8"/>
      <c r="HB22" s="8">
        <v>0</v>
      </c>
      <c r="HC22" s="8">
        <v>0</v>
      </c>
      <c r="HD22" s="8">
        <v>0</v>
      </c>
      <c r="HE22" s="967"/>
      <c r="HF22" s="8">
        <f t="shared" si="41"/>
        <v>0</v>
      </c>
      <c r="HG22" s="8"/>
      <c r="HH22" s="8" t="s">
        <v>107</v>
      </c>
      <c r="HI22" s="8" t="s">
        <v>107</v>
      </c>
      <c r="HJ22" s="8" t="s">
        <v>107</v>
      </c>
      <c r="HK22" s="8" t="s">
        <v>107</v>
      </c>
      <c r="HL22" s="8"/>
      <c r="HM22" s="8"/>
      <c r="HN22" s="8"/>
      <c r="HO22" s="8" t="s">
        <v>107</v>
      </c>
      <c r="HP22" s="8" t="s">
        <v>107</v>
      </c>
      <c r="HQ22" s="8"/>
      <c r="HR22" s="8"/>
      <c r="HS22" s="8"/>
      <c r="HT22" s="8"/>
      <c r="HU22" s="8"/>
      <c r="HV22" s="8"/>
      <c r="HW22" s="8"/>
      <c r="HX22" s="8" t="s">
        <v>107</v>
      </c>
      <c r="HY22" s="8">
        <v>0</v>
      </c>
      <c r="HZ22" s="8"/>
      <c r="IA22" s="8"/>
      <c r="IB22" s="8">
        <v>0</v>
      </c>
      <c r="IC22" s="8">
        <v>0</v>
      </c>
      <c r="ID22" s="8">
        <v>0</v>
      </c>
      <c r="IE22" s="967"/>
      <c r="IF22" s="8">
        <f t="shared" si="42"/>
        <v>0</v>
      </c>
      <c r="IG22" s="8"/>
      <c r="IH22" s="8" t="s">
        <v>107</v>
      </c>
      <c r="II22" s="8" t="s">
        <v>107</v>
      </c>
      <c r="IJ22" s="8" t="s">
        <v>107</v>
      </c>
      <c r="IK22" s="8" t="s">
        <v>107</v>
      </c>
      <c r="IL22" s="8"/>
      <c r="IM22" s="8"/>
      <c r="IN22" s="8"/>
      <c r="IO22" s="8" t="s">
        <v>107</v>
      </c>
      <c r="IP22" s="8" t="s">
        <v>107</v>
      </c>
      <c r="IQ22" s="8"/>
      <c r="IR22" s="8"/>
      <c r="IS22" s="8"/>
      <c r="IT22" s="8"/>
      <c r="IU22" s="8"/>
      <c r="IV22" s="8"/>
      <c r="IW22" s="8"/>
      <c r="IX22" s="8" t="s">
        <v>107</v>
      </c>
      <c r="IY22" s="8">
        <v>0</v>
      </c>
      <c r="IZ22" s="8"/>
      <c r="JA22" s="8"/>
      <c r="JB22" s="8">
        <v>0</v>
      </c>
      <c r="JC22" s="8">
        <v>0</v>
      </c>
      <c r="JD22" s="8">
        <v>0</v>
      </c>
      <c r="JE22" s="967"/>
      <c r="JF22" s="8">
        <f t="shared" si="43"/>
        <v>0</v>
      </c>
      <c r="JG22" s="8"/>
      <c r="JH22" s="8" t="s">
        <v>107</v>
      </c>
      <c r="JI22" s="8" t="s">
        <v>107</v>
      </c>
      <c r="JJ22" s="8" t="s">
        <v>107</v>
      </c>
      <c r="JK22" s="8" t="s">
        <v>107</v>
      </c>
      <c r="JL22" s="8"/>
      <c r="JM22" s="8"/>
      <c r="JN22" s="8"/>
      <c r="JO22" s="8" t="s">
        <v>107</v>
      </c>
      <c r="JP22" s="8" t="s">
        <v>107</v>
      </c>
      <c r="JQ22" s="8"/>
      <c r="JR22" s="8"/>
      <c r="JS22" s="8"/>
      <c r="JT22" s="8"/>
      <c r="JU22" s="8"/>
      <c r="JV22" s="8"/>
      <c r="JW22" s="8"/>
      <c r="JX22" s="8" t="s">
        <v>107</v>
      </c>
      <c r="JY22" s="8">
        <v>0</v>
      </c>
      <c r="JZ22" s="8"/>
      <c r="KA22" s="8"/>
      <c r="KB22" s="8">
        <v>0</v>
      </c>
      <c r="KC22" s="8">
        <v>0</v>
      </c>
      <c r="KD22" s="8">
        <v>0</v>
      </c>
      <c r="KE22" s="967"/>
      <c r="KF22" s="8">
        <f t="shared" si="44"/>
        <v>0</v>
      </c>
      <c r="KG22" s="8"/>
      <c r="KH22" s="8" t="s">
        <v>107</v>
      </c>
      <c r="KI22" s="8" t="s">
        <v>107</v>
      </c>
      <c r="KJ22" s="8" t="s">
        <v>107</v>
      </c>
      <c r="KK22" s="8" t="s">
        <v>107</v>
      </c>
      <c r="KL22" s="8"/>
      <c r="KM22" s="8"/>
      <c r="KN22" s="8"/>
      <c r="KO22" s="8" t="s">
        <v>107</v>
      </c>
      <c r="KP22" s="8" t="s">
        <v>107</v>
      </c>
      <c r="KQ22" s="8"/>
      <c r="KR22" s="8"/>
      <c r="KS22" s="8"/>
      <c r="KT22" s="8"/>
      <c r="KU22" s="8"/>
      <c r="KV22" s="8"/>
      <c r="KW22" s="8"/>
      <c r="KX22" s="8" t="s">
        <v>107</v>
      </c>
      <c r="KY22" s="8">
        <v>0</v>
      </c>
      <c r="KZ22" s="8"/>
      <c r="LA22" s="8"/>
      <c r="LB22" s="8">
        <v>0</v>
      </c>
      <c r="LC22" s="8">
        <v>0</v>
      </c>
      <c r="LD22" s="8">
        <v>0</v>
      </c>
      <c r="LE22" s="967"/>
      <c r="LF22" s="8">
        <f t="shared" si="45"/>
        <v>1</v>
      </c>
      <c r="LG22" s="8"/>
      <c r="LH22" s="8" t="s">
        <v>107</v>
      </c>
      <c r="LI22" s="8" t="s">
        <v>107</v>
      </c>
      <c r="LJ22" s="8" t="s">
        <v>107</v>
      </c>
      <c r="LK22" s="8" t="s">
        <v>107</v>
      </c>
      <c r="LL22" s="8"/>
      <c r="LM22" s="8"/>
      <c r="LN22" s="8"/>
      <c r="LO22" s="8" t="s">
        <v>107</v>
      </c>
      <c r="LP22" s="8" t="s">
        <v>107</v>
      </c>
      <c r="LQ22" s="8"/>
      <c r="LR22" s="8"/>
      <c r="LS22" s="8"/>
      <c r="LT22" s="8"/>
      <c r="LU22" s="8"/>
      <c r="LV22" s="8"/>
      <c r="LW22" s="8"/>
      <c r="LX22" s="8" t="s">
        <v>107</v>
      </c>
      <c r="LY22" s="8">
        <v>0</v>
      </c>
      <c r="LZ22" s="8"/>
      <c r="MA22" s="8"/>
      <c r="MB22" s="8">
        <v>0</v>
      </c>
      <c r="MC22" s="8">
        <v>0</v>
      </c>
      <c r="MD22" s="8">
        <v>1</v>
      </c>
      <c r="ME22" s="967"/>
      <c r="MF22" s="8">
        <f t="shared" si="46"/>
        <v>0</v>
      </c>
      <c r="MG22" s="8"/>
      <c r="MH22" s="8" t="s">
        <v>107</v>
      </c>
      <c r="MI22" s="8" t="s">
        <v>107</v>
      </c>
      <c r="MJ22" s="8" t="s">
        <v>107</v>
      </c>
      <c r="MK22" s="8" t="s">
        <v>107</v>
      </c>
      <c r="ML22" s="8"/>
      <c r="MM22" s="8"/>
      <c r="MN22" s="8"/>
      <c r="MO22" s="8" t="s">
        <v>107</v>
      </c>
      <c r="MP22" s="8" t="s">
        <v>107</v>
      </c>
      <c r="MQ22" s="8"/>
      <c r="MR22" s="8"/>
      <c r="MS22" s="8"/>
      <c r="MT22" s="8"/>
      <c r="MU22" s="8"/>
      <c r="MV22" s="8"/>
      <c r="MW22" s="8"/>
      <c r="MX22" s="8" t="s">
        <v>107</v>
      </c>
      <c r="MY22" s="8">
        <v>0</v>
      </c>
      <c r="MZ22" s="8"/>
      <c r="NA22" s="8"/>
      <c r="NB22" s="8">
        <v>0</v>
      </c>
      <c r="NC22" s="8">
        <v>0</v>
      </c>
      <c r="ND22" s="8">
        <v>0</v>
      </c>
      <c r="NE22" s="967"/>
      <c r="NF22" s="8">
        <f t="shared" si="47"/>
        <v>0</v>
      </c>
      <c r="NG22" s="8"/>
      <c r="NH22" s="8" t="s">
        <v>107</v>
      </c>
      <c r="NI22" s="8" t="s">
        <v>107</v>
      </c>
      <c r="NJ22" s="8" t="s">
        <v>107</v>
      </c>
      <c r="NK22" s="8" t="s">
        <v>107</v>
      </c>
      <c r="NL22" s="8"/>
      <c r="NM22" s="8"/>
      <c r="NN22" s="8"/>
      <c r="NO22" s="8" t="s">
        <v>107</v>
      </c>
      <c r="NP22" s="8" t="s">
        <v>107</v>
      </c>
      <c r="NQ22" s="8"/>
      <c r="NR22" s="8"/>
      <c r="NS22" s="8"/>
      <c r="NT22" s="8"/>
      <c r="NU22" s="8"/>
      <c r="NV22" s="8"/>
      <c r="NW22" s="8"/>
      <c r="NX22" s="8" t="s">
        <v>107</v>
      </c>
      <c r="NY22" s="8">
        <v>0</v>
      </c>
      <c r="NZ22" s="8"/>
      <c r="OA22" s="8"/>
      <c r="OB22" s="8">
        <v>0</v>
      </c>
      <c r="OC22" s="8">
        <v>0</v>
      </c>
      <c r="OD22" s="8">
        <v>0</v>
      </c>
      <c r="OE22" s="967"/>
      <c r="OF22" s="8">
        <f t="shared" si="48"/>
        <v>0</v>
      </c>
      <c r="OG22" s="8"/>
      <c r="OH22" s="8" t="s">
        <v>107</v>
      </c>
      <c r="OI22" s="8" t="s">
        <v>107</v>
      </c>
      <c r="OJ22" s="8" t="s">
        <v>107</v>
      </c>
      <c r="OK22" s="8" t="s">
        <v>107</v>
      </c>
      <c r="OL22" s="8"/>
      <c r="OM22" s="8"/>
      <c r="ON22" s="8"/>
      <c r="OO22" s="8" t="s">
        <v>107</v>
      </c>
      <c r="OP22" s="8" t="s">
        <v>107</v>
      </c>
      <c r="OQ22" s="8"/>
      <c r="OR22" s="8"/>
      <c r="OS22" s="8"/>
      <c r="OT22" s="8"/>
      <c r="OU22" s="8"/>
      <c r="OV22" s="8"/>
      <c r="OW22" s="8"/>
      <c r="OX22" s="8" t="s">
        <v>107</v>
      </c>
      <c r="OY22" s="8">
        <v>0</v>
      </c>
      <c r="OZ22" s="8"/>
      <c r="PA22" s="8"/>
      <c r="PB22" s="8">
        <v>0</v>
      </c>
      <c r="PC22" s="8">
        <v>0</v>
      </c>
      <c r="PD22" s="8">
        <v>0</v>
      </c>
      <c r="PE22" s="967"/>
      <c r="PF22" s="8">
        <f t="shared" si="49"/>
        <v>0</v>
      </c>
      <c r="PG22" s="8"/>
      <c r="PH22" s="8" t="s">
        <v>107</v>
      </c>
      <c r="PI22" s="8" t="s">
        <v>107</v>
      </c>
      <c r="PJ22" s="8" t="s">
        <v>107</v>
      </c>
      <c r="PK22" s="8" t="s">
        <v>107</v>
      </c>
      <c r="PL22" s="8"/>
      <c r="PM22" s="8"/>
      <c r="PN22" s="8"/>
      <c r="PO22" s="8" t="s">
        <v>107</v>
      </c>
      <c r="PP22" s="8" t="s">
        <v>107</v>
      </c>
      <c r="PQ22" s="8"/>
      <c r="PR22" s="8"/>
      <c r="PS22" s="8"/>
      <c r="PT22" s="8"/>
      <c r="PU22" s="8"/>
      <c r="PV22" s="8"/>
      <c r="PW22" s="8"/>
      <c r="PX22" s="8" t="s">
        <v>107</v>
      </c>
      <c r="PY22" s="8">
        <v>0</v>
      </c>
      <c r="PZ22" s="8"/>
      <c r="QA22" s="8"/>
      <c r="QB22" s="8">
        <v>0</v>
      </c>
      <c r="QC22" s="8">
        <v>0</v>
      </c>
      <c r="QD22" s="8">
        <v>0</v>
      </c>
      <c r="QE22" s="967"/>
    </row>
    <row r="23" spans="2:447" x14ac:dyDescent="0.3">
      <c r="B23">
        <v>15</v>
      </c>
      <c r="D23" t="s">
        <v>2257</v>
      </c>
      <c r="F23" s="8">
        <f t="shared" si="33"/>
        <v>6</v>
      </c>
      <c r="G23" s="8"/>
      <c r="H23" s="8" t="s">
        <v>107</v>
      </c>
      <c r="I23" s="8" t="s">
        <v>107</v>
      </c>
      <c r="J23" s="8" t="s">
        <v>107</v>
      </c>
      <c r="K23" s="8" t="s">
        <v>107</v>
      </c>
      <c r="L23" s="8" t="s">
        <v>107</v>
      </c>
      <c r="M23" s="8">
        <v>6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s">
        <v>107</v>
      </c>
      <c r="Y23" s="8" t="s">
        <v>107</v>
      </c>
      <c r="Z23" s="8"/>
      <c r="AA23" s="8"/>
      <c r="AB23" s="8" t="s">
        <v>107</v>
      </c>
      <c r="AC23" s="8" t="s">
        <v>107</v>
      </c>
      <c r="AD23" s="8" t="s">
        <v>107</v>
      </c>
      <c r="AE23" s="967"/>
      <c r="AF23" s="8">
        <f t="shared" si="35"/>
        <v>0</v>
      </c>
      <c r="AG23" s="8"/>
      <c r="AH23" s="8" t="s">
        <v>107</v>
      </c>
      <c r="AI23" s="8" t="s">
        <v>107</v>
      </c>
      <c r="AJ23" s="8" t="s">
        <v>107</v>
      </c>
      <c r="AK23" s="8" t="s">
        <v>107</v>
      </c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 t="s">
        <v>107</v>
      </c>
      <c r="AY23" s="8" t="s">
        <v>107</v>
      </c>
      <c r="AZ23" s="8"/>
      <c r="BA23" s="8"/>
      <c r="BB23" s="8" t="s">
        <v>107</v>
      </c>
      <c r="BC23" s="8" t="s">
        <v>107</v>
      </c>
      <c r="BD23" s="8" t="s">
        <v>107</v>
      </c>
      <c r="BE23" s="967"/>
      <c r="BF23" s="8">
        <f t="shared" si="36"/>
        <v>0</v>
      </c>
      <c r="BG23" s="8"/>
      <c r="BH23" s="8" t="s">
        <v>107</v>
      </c>
      <c r="BI23" s="8"/>
      <c r="BJ23" s="8"/>
      <c r="BK23" s="8" t="s">
        <v>107</v>
      </c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 t="s">
        <v>107</v>
      </c>
      <c r="BY23" s="8" t="s">
        <v>107</v>
      </c>
      <c r="BZ23" s="8"/>
      <c r="CA23" s="8"/>
      <c r="CB23" s="8" t="s">
        <v>107</v>
      </c>
      <c r="CC23" s="8" t="s">
        <v>107</v>
      </c>
      <c r="CD23" s="8" t="s">
        <v>107</v>
      </c>
      <c r="CE23" s="967"/>
      <c r="CF23" s="8">
        <f t="shared" si="37"/>
        <v>0</v>
      </c>
      <c r="CG23" s="8"/>
      <c r="CH23" s="8" t="s">
        <v>107</v>
      </c>
      <c r="CI23" s="8"/>
      <c r="CJ23" s="8"/>
      <c r="CK23" s="8" t="s">
        <v>107</v>
      </c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 t="s">
        <v>107</v>
      </c>
      <c r="CY23" s="8" t="s">
        <v>107</v>
      </c>
      <c r="CZ23" s="8"/>
      <c r="DA23" s="8"/>
      <c r="DB23" s="8" t="s">
        <v>107</v>
      </c>
      <c r="DC23" s="8" t="s">
        <v>107</v>
      </c>
      <c r="DD23" s="8" t="s">
        <v>107</v>
      </c>
      <c r="DE23" s="967"/>
      <c r="DF23" s="8">
        <f t="shared" si="38"/>
        <v>0</v>
      </c>
      <c r="DG23" s="8"/>
      <c r="DH23" s="8" t="s">
        <v>107</v>
      </c>
      <c r="DI23" s="8" t="s">
        <v>107</v>
      </c>
      <c r="DJ23" s="8" t="s">
        <v>107</v>
      </c>
      <c r="DK23" s="8" t="s">
        <v>107</v>
      </c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 t="s">
        <v>107</v>
      </c>
      <c r="DY23" s="8" t="s">
        <v>107</v>
      </c>
      <c r="DZ23" s="8"/>
      <c r="EA23" s="8"/>
      <c r="EB23" s="8" t="s">
        <v>107</v>
      </c>
      <c r="EC23" s="8" t="s">
        <v>107</v>
      </c>
      <c r="ED23" s="8" t="s">
        <v>107</v>
      </c>
      <c r="EE23" s="967"/>
      <c r="EF23" s="8">
        <f t="shared" si="39"/>
        <v>0</v>
      </c>
      <c r="EG23" s="8"/>
      <c r="EH23" s="8" t="s">
        <v>107</v>
      </c>
      <c r="EI23" s="8" t="s">
        <v>107</v>
      </c>
      <c r="EJ23" s="8" t="s">
        <v>107</v>
      </c>
      <c r="EK23" s="8" t="s">
        <v>107</v>
      </c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 t="s">
        <v>107</v>
      </c>
      <c r="EY23" s="8" t="s">
        <v>107</v>
      </c>
      <c r="EZ23" s="8"/>
      <c r="FA23" s="8"/>
      <c r="FB23" s="8" t="s">
        <v>107</v>
      </c>
      <c r="FC23" s="8" t="s">
        <v>107</v>
      </c>
      <c r="FD23" s="8" t="s">
        <v>107</v>
      </c>
      <c r="FE23" s="967"/>
      <c r="FF23" s="8">
        <f t="shared" si="34"/>
        <v>0</v>
      </c>
      <c r="FG23" s="8"/>
      <c r="FH23" s="8" t="s">
        <v>107</v>
      </c>
      <c r="FI23" s="8" t="s">
        <v>107</v>
      </c>
      <c r="FJ23" s="8" t="s">
        <v>107</v>
      </c>
      <c r="FK23" s="8" t="s">
        <v>107</v>
      </c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 t="s">
        <v>107</v>
      </c>
      <c r="FY23" s="8" t="s">
        <v>107</v>
      </c>
      <c r="FZ23" s="8"/>
      <c r="GA23" s="8"/>
      <c r="GB23" s="8" t="s">
        <v>107</v>
      </c>
      <c r="GC23" s="8" t="s">
        <v>107</v>
      </c>
      <c r="GD23" s="8" t="s">
        <v>107</v>
      </c>
      <c r="GE23" s="967"/>
      <c r="GF23" s="8">
        <f t="shared" si="40"/>
        <v>0</v>
      </c>
      <c r="GG23" s="8"/>
      <c r="GH23" s="8" t="s">
        <v>107</v>
      </c>
      <c r="GI23" s="8" t="s">
        <v>107</v>
      </c>
      <c r="GJ23" s="8" t="s">
        <v>107</v>
      </c>
      <c r="GK23" s="8" t="s">
        <v>107</v>
      </c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 t="s">
        <v>107</v>
      </c>
      <c r="GY23" s="8" t="s">
        <v>107</v>
      </c>
      <c r="GZ23" s="8"/>
      <c r="HA23" s="8"/>
      <c r="HB23" s="8" t="s">
        <v>107</v>
      </c>
      <c r="HC23" s="8" t="s">
        <v>107</v>
      </c>
      <c r="HD23" s="8" t="s">
        <v>107</v>
      </c>
      <c r="HE23" s="967"/>
      <c r="HF23" s="8">
        <f t="shared" si="41"/>
        <v>0</v>
      </c>
      <c r="HG23" s="8"/>
      <c r="HH23" s="8" t="s">
        <v>107</v>
      </c>
      <c r="HI23" s="8" t="s">
        <v>107</v>
      </c>
      <c r="HJ23" s="8" t="s">
        <v>107</v>
      </c>
      <c r="HK23" s="8" t="s">
        <v>107</v>
      </c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 t="s">
        <v>107</v>
      </c>
      <c r="HY23" s="8" t="s">
        <v>107</v>
      </c>
      <c r="HZ23" s="8"/>
      <c r="IA23" s="8"/>
      <c r="IB23" s="8" t="s">
        <v>107</v>
      </c>
      <c r="IC23" s="8" t="s">
        <v>107</v>
      </c>
      <c r="ID23" s="8" t="s">
        <v>107</v>
      </c>
      <c r="IE23" s="967"/>
      <c r="IF23" s="8">
        <f t="shared" si="42"/>
        <v>0</v>
      </c>
      <c r="IG23" s="8"/>
      <c r="IH23" s="8" t="s">
        <v>107</v>
      </c>
      <c r="II23" s="8" t="s">
        <v>107</v>
      </c>
      <c r="IJ23" s="8" t="s">
        <v>107</v>
      </c>
      <c r="IK23" s="8" t="s">
        <v>107</v>
      </c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 t="s">
        <v>107</v>
      </c>
      <c r="IY23" s="8" t="s">
        <v>107</v>
      </c>
      <c r="IZ23" s="8"/>
      <c r="JA23" s="8"/>
      <c r="JB23" s="8" t="s">
        <v>107</v>
      </c>
      <c r="JC23" s="8" t="s">
        <v>107</v>
      </c>
      <c r="JD23" s="8" t="s">
        <v>107</v>
      </c>
      <c r="JE23" s="967"/>
      <c r="JF23" s="8">
        <f t="shared" si="43"/>
        <v>0</v>
      </c>
      <c r="JG23" s="8"/>
      <c r="JH23" s="8" t="s">
        <v>107</v>
      </c>
      <c r="JI23" s="8" t="s">
        <v>107</v>
      </c>
      <c r="JJ23" s="8" t="s">
        <v>107</v>
      </c>
      <c r="JK23" s="8" t="s">
        <v>107</v>
      </c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 t="s">
        <v>107</v>
      </c>
      <c r="JY23" s="8" t="s">
        <v>107</v>
      </c>
      <c r="JZ23" s="8"/>
      <c r="KA23" s="8"/>
      <c r="KB23" s="8" t="s">
        <v>107</v>
      </c>
      <c r="KC23" s="8" t="s">
        <v>107</v>
      </c>
      <c r="KD23" s="8" t="s">
        <v>107</v>
      </c>
      <c r="KE23" s="967"/>
      <c r="KF23" s="8">
        <f t="shared" si="44"/>
        <v>0</v>
      </c>
      <c r="KG23" s="8"/>
      <c r="KH23" s="8" t="s">
        <v>107</v>
      </c>
      <c r="KI23" s="8" t="s">
        <v>107</v>
      </c>
      <c r="KJ23" s="8" t="s">
        <v>107</v>
      </c>
      <c r="KK23" s="8" t="s">
        <v>107</v>
      </c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 t="s">
        <v>107</v>
      </c>
      <c r="KY23" s="8" t="s">
        <v>107</v>
      </c>
      <c r="KZ23" s="8"/>
      <c r="LA23" s="8"/>
      <c r="LB23" s="8" t="s">
        <v>107</v>
      </c>
      <c r="LC23" s="8" t="s">
        <v>107</v>
      </c>
      <c r="LD23" s="8" t="s">
        <v>107</v>
      </c>
      <c r="LE23" s="967"/>
      <c r="LF23" s="8">
        <f t="shared" si="45"/>
        <v>0</v>
      </c>
      <c r="LG23" s="8"/>
      <c r="LH23" s="8" t="s">
        <v>107</v>
      </c>
      <c r="LI23" s="8" t="s">
        <v>107</v>
      </c>
      <c r="LJ23" s="8" t="s">
        <v>107</v>
      </c>
      <c r="LK23" s="8" t="s">
        <v>107</v>
      </c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 t="s">
        <v>107</v>
      </c>
      <c r="LY23" s="8" t="s">
        <v>107</v>
      </c>
      <c r="LZ23" s="8"/>
      <c r="MA23" s="8"/>
      <c r="MB23" s="8" t="s">
        <v>107</v>
      </c>
      <c r="MC23" s="8" t="s">
        <v>107</v>
      </c>
      <c r="MD23" s="8" t="s">
        <v>107</v>
      </c>
      <c r="ME23" s="967"/>
      <c r="MF23" s="8">
        <f t="shared" si="46"/>
        <v>0</v>
      </c>
      <c r="MG23" s="8"/>
      <c r="MH23" s="8" t="s">
        <v>107</v>
      </c>
      <c r="MI23" s="8" t="s">
        <v>107</v>
      </c>
      <c r="MJ23" s="8" t="s">
        <v>107</v>
      </c>
      <c r="MK23" s="8" t="s">
        <v>107</v>
      </c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 t="s">
        <v>107</v>
      </c>
      <c r="MY23" s="8" t="s">
        <v>107</v>
      </c>
      <c r="MZ23" s="8"/>
      <c r="NA23" s="8"/>
      <c r="NB23" s="8" t="s">
        <v>107</v>
      </c>
      <c r="NC23" s="8" t="s">
        <v>107</v>
      </c>
      <c r="ND23" s="8" t="s">
        <v>107</v>
      </c>
      <c r="NE23" s="967"/>
      <c r="NF23" s="8">
        <f t="shared" si="47"/>
        <v>0</v>
      </c>
      <c r="NG23" s="8"/>
      <c r="NH23" s="8" t="s">
        <v>107</v>
      </c>
      <c r="NI23" s="8" t="s">
        <v>107</v>
      </c>
      <c r="NJ23" s="8" t="s">
        <v>107</v>
      </c>
      <c r="NK23" s="8" t="s">
        <v>107</v>
      </c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 t="s">
        <v>107</v>
      </c>
      <c r="NY23" s="8" t="s">
        <v>107</v>
      </c>
      <c r="NZ23" s="8"/>
      <c r="OA23" s="8"/>
      <c r="OB23" s="8" t="s">
        <v>107</v>
      </c>
      <c r="OC23" s="8" t="s">
        <v>107</v>
      </c>
      <c r="OD23" s="8" t="s">
        <v>107</v>
      </c>
      <c r="OE23" s="967"/>
      <c r="OF23" s="8">
        <f t="shared" si="48"/>
        <v>0</v>
      </c>
      <c r="OG23" s="8"/>
      <c r="OH23" s="8" t="s">
        <v>107</v>
      </c>
      <c r="OI23" s="8" t="s">
        <v>107</v>
      </c>
      <c r="OJ23" s="8" t="s">
        <v>107</v>
      </c>
      <c r="OK23" s="8" t="s">
        <v>107</v>
      </c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 t="s">
        <v>107</v>
      </c>
      <c r="OY23" s="8" t="s">
        <v>107</v>
      </c>
      <c r="OZ23" s="8"/>
      <c r="PA23" s="8"/>
      <c r="PB23" s="8" t="s">
        <v>107</v>
      </c>
      <c r="PC23" s="8" t="s">
        <v>107</v>
      </c>
      <c r="PD23" s="8" t="s">
        <v>107</v>
      </c>
      <c r="PE23" s="967"/>
      <c r="PF23" s="8">
        <f t="shared" si="49"/>
        <v>0</v>
      </c>
      <c r="PG23" s="8"/>
      <c r="PH23" s="8" t="s">
        <v>107</v>
      </c>
      <c r="PI23" s="8" t="s">
        <v>107</v>
      </c>
      <c r="PJ23" s="8" t="s">
        <v>107</v>
      </c>
      <c r="PK23" s="8" t="s">
        <v>107</v>
      </c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 t="s">
        <v>107</v>
      </c>
      <c r="PY23" s="8" t="s">
        <v>107</v>
      </c>
      <c r="PZ23" s="8"/>
      <c r="QA23" s="8"/>
      <c r="QB23" s="8" t="s">
        <v>107</v>
      </c>
      <c r="QC23" s="8" t="s">
        <v>107</v>
      </c>
      <c r="QD23" s="8" t="s">
        <v>107</v>
      </c>
      <c r="QE23" s="967"/>
    </row>
    <row r="24" spans="2:447" x14ac:dyDescent="0.3">
      <c r="B24">
        <v>16</v>
      </c>
      <c r="D24" t="s">
        <v>2361</v>
      </c>
      <c r="F24" s="8">
        <f t="shared" si="33"/>
        <v>66</v>
      </c>
      <c r="G24" s="8"/>
      <c r="H24" s="8">
        <v>22</v>
      </c>
      <c r="I24" s="8">
        <v>4</v>
      </c>
      <c r="J24" s="8">
        <v>20</v>
      </c>
      <c r="K24" s="8">
        <v>20</v>
      </c>
      <c r="L24" s="8" t="s">
        <v>107</v>
      </c>
      <c r="M24" s="8" t="s">
        <v>107</v>
      </c>
      <c r="N24" s="8" t="s">
        <v>107</v>
      </c>
      <c r="O24" s="8" t="s">
        <v>107</v>
      </c>
      <c r="P24" s="8" t="s">
        <v>107</v>
      </c>
      <c r="Q24" s="8" t="s">
        <v>107</v>
      </c>
      <c r="R24" s="8" t="s">
        <v>107</v>
      </c>
      <c r="S24" s="8" t="s">
        <v>107</v>
      </c>
      <c r="T24" s="8" t="s">
        <v>107</v>
      </c>
      <c r="U24" s="8" t="s">
        <v>107</v>
      </c>
      <c r="V24" s="8" t="s">
        <v>107</v>
      </c>
      <c r="W24" s="8" t="s">
        <v>107</v>
      </c>
      <c r="X24" s="8" t="s">
        <v>107</v>
      </c>
      <c r="Y24" s="8" t="s">
        <v>107</v>
      </c>
      <c r="Z24" s="8" t="s">
        <v>107</v>
      </c>
      <c r="AA24" s="8" t="s">
        <v>107</v>
      </c>
      <c r="AB24" s="8" t="s">
        <v>107</v>
      </c>
      <c r="AC24" s="8" t="s">
        <v>107</v>
      </c>
      <c r="AD24" s="8" t="s">
        <v>107</v>
      </c>
      <c r="AE24" s="967"/>
      <c r="AF24" s="8">
        <f t="shared" si="35"/>
        <v>3</v>
      </c>
      <c r="AG24" s="8"/>
      <c r="AH24" s="8">
        <v>1</v>
      </c>
      <c r="AI24" s="8">
        <v>0</v>
      </c>
      <c r="AJ24" s="8">
        <v>1</v>
      </c>
      <c r="AK24" s="8">
        <v>1</v>
      </c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 t="s">
        <v>107</v>
      </c>
      <c r="AY24" s="8" t="s">
        <v>107</v>
      </c>
      <c r="AZ24" s="8"/>
      <c r="BA24" s="8"/>
      <c r="BB24" s="8"/>
      <c r="BC24" s="8"/>
      <c r="BD24" s="8"/>
      <c r="BE24" s="967"/>
      <c r="BF24" s="8">
        <f t="shared" si="36"/>
        <v>18</v>
      </c>
      <c r="BG24" s="8"/>
      <c r="BH24" s="8">
        <v>3</v>
      </c>
      <c r="BI24" s="8">
        <v>1</v>
      </c>
      <c r="BJ24" s="8">
        <v>4</v>
      </c>
      <c r="BK24" s="8">
        <v>10</v>
      </c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 t="s">
        <v>107</v>
      </c>
      <c r="BY24" s="8" t="s">
        <v>107</v>
      </c>
      <c r="BZ24" s="8"/>
      <c r="CA24" s="8"/>
      <c r="CB24" s="8"/>
      <c r="CC24" s="8"/>
      <c r="CD24" s="8"/>
      <c r="CE24" s="967"/>
      <c r="CF24" s="8">
        <f t="shared" si="37"/>
        <v>21</v>
      </c>
      <c r="CG24" s="8"/>
      <c r="CH24" s="8">
        <v>4</v>
      </c>
      <c r="CI24" s="8">
        <v>1</v>
      </c>
      <c r="CJ24" s="8">
        <v>5</v>
      </c>
      <c r="CK24" s="8">
        <v>11</v>
      </c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 t="s">
        <v>107</v>
      </c>
      <c r="CY24" s="8" t="s">
        <v>107</v>
      </c>
      <c r="CZ24" s="8"/>
      <c r="DA24" s="8"/>
      <c r="DB24" s="8"/>
      <c r="DC24" s="8"/>
      <c r="DD24" s="8"/>
      <c r="DE24" s="967"/>
      <c r="DF24" s="8">
        <f t="shared" si="38"/>
        <v>4</v>
      </c>
      <c r="DG24" s="8"/>
      <c r="DH24" s="8">
        <v>2</v>
      </c>
      <c r="DI24" s="8">
        <v>0</v>
      </c>
      <c r="DJ24" s="8">
        <v>1</v>
      </c>
      <c r="DK24" s="8">
        <v>1</v>
      </c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 t="s">
        <v>107</v>
      </c>
      <c r="DY24" s="8" t="s">
        <v>107</v>
      </c>
      <c r="DZ24" s="8"/>
      <c r="EA24" s="8"/>
      <c r="EB24" s="8"/>
      <c r="EC24" s="8"/>
      <c r="ED24" s="8"/>
      <c r="EE24" s="967"/>
      <c r="EF24" s="8">
        <f t="shared" si="39"/>
        <v>8</v>
      </c>
      <c r="EG24" s="8"/>
      <c r="EH24" s="8">
        <v>4</v>
      </c>
      <c r="EI24" s="8">
        <v>0</v>
      </c>
      <c r="EJ24" s="8">
        <v>2</v>
      </c>
      <c r="EK24" s="8">
        <v>2</v>
      </c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 t="s">
        <v>107</v>
      </c>
      <c r="EY24" s="8" t="s">
        <v>107</v>
      </c>
      <c r="EZ24" s="8"/>
      <c r="FA24" s="8"/>
      <c r="FB24" s="8"/>
      <c r="FC24" s="8"/>
      <c r="FD24" s="8"/>
      <c r="FE24" s="967"/>
      <c r="FF24" s="8">
        <f t="shared" si="34"/>
        <v>0</v>
      </c>
      <c r="FG24" s="8"/>
      <c r="FH24" s="8">
        <v>0</v>
      </c>
      <c r="FI24" s="8">
        <v>0</v>
      </c>
      <c r="FJ24" s="8">
        <v>0</v>
      </c>
      <c r="FK24" s="8">
        <v>0</v>
      </c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 t="s">
        <v>107</v>
      </c>
      <c r="FY24" s="8" t="s">
        <v>107</v>
      </c>
      <c r="FZ24" s="8"/>
      <c r="GA24" s="8"/>
      <c r="GB24" s="8"/>
      <c r="GC24" s="8"/>
      <c r="GD24" s="8"/>
      <c r="GE24" s="967"/>
      <c r="GF24" s="8">
        <f t="shared" si="40"/>
        <v>0</v>
      </c>
      <c r="GG24" s="8"/>
      <c r="GH24" s="8">
        <v>0</v>
      </c>
      <c r="GI24" s="8">
        <v>0</v>
      </c>
      <c r="GJ24" s="8">
        <v>0</v>
      </c>
      <c r="GK24" s="8">
        <v>0</v>
      </c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 t="s">
        <v>107</v>
      </c>
      <c r="GY24" s="8" t="s">
        <v>107</v>
      </c>
      <c r="GZ24" s="8"/>
      <c r="HA24" s="8"/>
      <c r="HB24" s="8"/>
      <c r="HC24" s="8"/>
      <c r="HD24" s="8"/>
      <c r="HE24" s="967"/>
      <c r="HF24" s="8">
        <f t="shared" si="41"/>
        <v>0</v>
      </c>
      <c r="HG24" s="8"/>
      <c r="HH24" s="8">
        <v>0</v>
      </c>
      <c r="HI24" s="8">
        <v>0</v>
      </c>
      <c r="HJ24" s="8">
        <v>0</v>
      </c>
      <c r="HK24" s="8">
        <v>0</v>
      </c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 t="s">
        <v>107</v>
      </c>
      <c r="HY24" s="8" t="s">
        <v>107</v>
      </c>
      <c r="HZ24" s="8"/>
      <c r="IA24" s="8"/>
      <c r="IB24" s="8"/>
      <c r="IC24" s="8"/>
      <c r="ID24" s="8"/>
      <c r="IE24" s="967"/>
      <c r="IF24" s="8">
        <f t="shared" si="42"/>
        <v>0</v>
      </c>
      <c r="IG24" s="8"/>
      <c r="IH24" s="8">
        <v>0</v>
      </c>
      <c r="II24" s="8">
        <v>0</v>
      </c>
      <c r="IJ24" s="8">
        <v>0</v>
      </c>
      <c r="IK24" s="8">
        <v>0</v>
      </c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 t="s">
        <v>107</v>
      </c>
      <c r="IY24" s="8" t="s">
        <v>107</v>
      </c>
      <c r="IZ24" s="8"/>
      <c r="JA24" s="8"/>
      <c r="JB24" s="8"/>
      <c r="JC24" s="8"/>
      <c r="JD24" s="8"/>
      <c r="JE24" s="967"/>
      <c r="JF24" s="8">
        <f t="shared" si="43"/>
        <v>0</v>
      </c>
      <c r="JG24" s="8"/>
      <c r="JH24" s="8">
        <v>0</v>
      </c>
      <c r="JI24" s="8">
        <v>0</v>
      </c>
      <c r="JJ24" s="8">
        <v>0</v>
      </c>
      <c r="JK24" s="8">
        <v>0</v>
      </c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 t="s">
        <v>107</v>
      </c>
      <c r="JY24" s="8" t="s">
        <v>107</v>
      </c>
      <c r="JZ24" s="8"/>
      <c r="KA24" s="8"/>
      <c r="KB24" s="8"/>
      <c r="KC24" s="8"/>
      <c r="KD24" s="8"/>
      <c r="KE24" s="967"/>
      <c r="KF24" s="8">
        <f t="shared" si="44"/>
        <v>0</v>
      </c>
      <c r="KG24" s="8"/>
      <c r="KH24" s="8">
        <v>0</v>
      </c>
      <c r="KI24" s="8">
        <v>0</v>
      </c>
      <c r="KJ24" s="8">
        <v>0</v>
      </c>
      <c r="KK24" s="8">
        <v>0</v>
      </c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 t="s">
        <v>107</v>
      </c>
      <c r="KY24" s="8" t="s">
        <v>107</v>
      </c>
      <c r="KZ24" s="8"/>
      <c r="LA24" s="8"/>
      <c r="LB24" s="8"/>
      <c r="LC24" s="8"/>
      <c r="LD24" s="8"/>
      <c r="LE24" s="967"/>
      <c r="LF24" s="8">
        <f t="shared" si="45"/>
        <v>0</v>
      </c>
      <c r="LG24" s="8"/>
      <c r="LH24" s="8">
        <v>0</v>
      </c>
      <c r="LI24" s="8">
        <v>0</v>
      </c>
      <c r="LJ24" s="8">
        <v>0</v>
      </c>
      <c r="LK24" s="8">
        <v>0</v>
      </c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 t="s">
        <v>107</v>
      </c>
      <c r="LY24" s="8" t="s">
        <v>107</v>
      </c>
      <c r="LZ24" s="8"/>
      <c r="MA24" s="8"/>
      <c r="MB24" s="8"/>
      <c r="MC24" s="8"/>
      <c r="MD24" s="8"/>
      <c r="ME24" s="967"/>
      <c r="MF24" s="8">
        <f t="shared" si="46"/>
        <v>0</v>
      </c>
      <c r="MG24" s="8"/>
      <c r="MH24" s="8">
        <v>0</v>
      </c>
      <c r="MI24" s="8">
        <v>0</v>
      </c>
      <c r="MJ24" s="8">
        <v>0</v>
      </c>
      <c r="MK24" s="8">
        <v>0</v>
      </c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 t="s">
        <v>107</v>
      </c>
      <c r="MY24" s="8" t="s">
        <v>107</v>
      </c>
      <c r="MZ24" s="8"/>
      <c r="NA24" s="8"/>
      <c r="NB24" s="8"/>
      <c r="NC24" s="8"/>
      <c r="ND24" s="8"/>
      <c r="NE24" s="967"/>
      <c r="NF24" s="8">
        <f t="shared" si="47"/>
        <v>0</v>
      </c>
      <c r="NG24" s="8"/>
      <c r="NH24" s="8">
        <v>0</v>
      </c>
      <c r="NI24" s="8">
        <v>0</v>
      </c>
      <c r="NJ24" s="8">
        <v>0</v>
      </c>
      <c r="NK24" s="8">
        <v>0</v>
      </c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 t="s">
        <v>107</v>
      </c>
      <c r="NY24" s="8" t="s">
        <v>107</v>
      </c>
      <c r="NZ24" s="8"/>
      <c r="OA24" s="8"/>
      <c r="OB24" s="8"/>
      <c r="OC24" s="8"/>
      <c r="OD24" s="8"/>
      <c r="OE24" s="967"/>
      <c r="OF24" s="8">
        <f t="shared" si="48"/>
        <v>0</v>
      </c>
      <c r="OG24" s="8"/>
      <c r="OH24" s="8">
        <v>0</v>
      </c>
      <c r="OI24" s="8">
        <v>0</v>
      </c>
      <c r="OJ24" s="8">
        <v>0</v>
      </c>
      <c r="OK24" s="8">
        <v>0</v>
      </c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 t="s">
        <v>107</v>
      </c>
      <c r="OY24" s="8" t="s">
        <v>107</v>
      </c>
      <c r="OZ24" s="8"/>
      <c r="PA24" s="8"/>
      <c r="PB24" s="8"/>
      <c r="PC24" s="8"/>
      <c r="PD24" s="8"/>
      <c r="PE24" s="967"/>
      <c r="PF24" s="8">
        <f t="shared" si="49"/>
        <v>0</v>
      </c>
      <c r="PG24" s="8"/>
      <c r="PH24" s="8">
        <v>0</v>
      </c>
      <c r="PI24" s="8">
        <v>0</v>
      </c>
      <c r="PJ24" s="8">
        <v>0</v>
      </c>
      <c r="PK24" s="8">
        <v>0</v>
      </c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 t="s">
        <v>107</v>
      </c>
      <c r="PY24" s="8" t="s">
        <v>107</v>
      </c>
      <c r="PZ24" s="8"/>
      <c r="QA24" s="8"/>
      <c r="QB24" s="8"/>
      <c r="QC24" s="8"/>
      <c r="QD24" s="8"/>
      <c r="QE24" s="967"/>
    </row>
    <row r="25" spans="2:447" x14ac:dyDescent="0.3">
      <c r="B25">
        <v>17</v>
      </c>
      <c r="D25" t="s">
        <v>2252</v>
      </c>
      <c r="F25" s="8">
        <f t="shared" si="33"/>
        <v>63</v>
      </c>
      <c r="G25" s="8"/>
      <c r="H25" s="8">
        <v>17</v>
      </c>
      <c r="I25" s="8">
        <v>4</v>
      </c>
      <c r="J25" s="8">
        <v>15</v>
      </c>
      <c r="K25" s="8">
        <v>18</v>
      </c>
      <c r="L25" s="8">
        <v>1</v>
      </c>
      <c r="M25" s="8">
        <v>6</v>
      </c>
      <c r="N25" s="8">
        <v>2</v>
      </c>
      <c r="O25" s="8"/>
      <c r="P25" s="8"/>
      <c r="Q25" s="8"/>
      <c r="R25" s="8"/>
      <c r="S25" s="8"/>
      <c r="T25" s="8"/>
      <c r="U25" s="8"/>
      <c r="V25" s="8"/>
      <c r="W25" s="8"/>
      <c r="X25" s="8" t="s">
        <v>107</v>
      </c>
      <c r="Y25" s="8" t="s">
        <v>107</v>
      </c>
      <c r="Z25" s="8"/>
      <c r="AA25" s="8"/>
      <c r="AB25" s="8" t="s">
        <v>107</v>
      </c>
      <c r="AC25" s="8" t="s">
        <v>107</v>
      </c>
      <c r="AD25" s="8" t="s">
        <v>107</v>
      </c>
      <c r="AE25" s="967"/>
      <c r="AF25" s="8">
        <f t="shared" si="35"/>
        <v>12</v>
      </c>
      <c r="AG25" s="8"/>
      <c r="AH25" s="8">
        <v>3</v>
      </c>
      <c r="AI25" s="8">
        <v>0</v>
      </c>
      <c r="AJ25" s="8">
        <v>6</v>
      </c>
      <c r="AK25" s="8">
        <v>3</v>
      </c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 t="s">
        <v>107</v>
      </c>
      <c r="AY25" s="8" t="s">
        <v>107</v>
      </c>
      <c r="AZ25" s="8"/>
      <c r="BA25" s="8"/>
      <c r="BB25" s="8" t="s">
        <v>107</v>
      </c>
      <c r="BC25" s="8" t="s">
        <v>107</v>
      </c>
      <c r="BD25" s="8" t="s">
        <v>107</v>
      </c>
      <c r="BE25" s="967"/>
      <c r="BF25" s="8">
        <f t="shared" si="36"/>
        <v>16</v>
      </c>
      <c r="BG25" s="8"/>
      <c r="BH25" s="8">
        <v>1</v>
      </c>
      <c r="BI25" s="8">
        <v>2</v>
      </c>
      <c r="BJ25" s="8">
        <v>3</v>
      </c>
      <c r="BK25" s="8">
        <v>10</v>
      </c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 t="s">
        <v>107</v>
      </c>
      <c r="BY25" s="8" t="s">
        <v>107</v>
      </c>
      <c r="BZ25" s="8"/>
      <c r="CA25" s="8"/>
      <c r="CB25" s="8" t="s">
        <v>107</v>
      </c>
      <c r="CC25" s="8" t="s">
        <v>107</v>
      </c>
      <c r="CD25" s="8" t="s">
        <v>107</v>
      </c>
      <c r="CE25" s="967"/>
      <c r="CF25" s="8">
        <f t="shared" si="37"/>
        <v>28</v>
      </c>
      <c r="CG25" s="8"/>
      <c r="CH25" s="8">
        <v>4</v>
      </c>
      <c r="CI25" s="8">
        <v>2</v>
      </c>
      <c r="CJ25" s="8">
        <v>9</v>
      </c>
      <c r="CK25" s="8">
        <v>13</v>
      </c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 t="s">
        <v>107</v>
      </c>
      <c r="CY25" s="8" t="s">
        <v>107</v>
      </c>
      <c r="CZ25" s="8"/>
      <c r="DA25" s="8"/>
      <c r="DB25" s="8" t="s">
        <v>107</v>
      </c>
      <c r="DC25" s="8" t="s">
        <v>107</v>
      </c>
      <c r="DD25" s="8" t="s">
        <v>107</v>
      </c>
      <c r="DE25" s="967"/>
      <c r="DF25" s="8">
        <f t="shared" si="38"/>
        <v>0</v>
      </c>
      <c r="DG25" s="8"/>
      <c r="DH25" s="8">
        <v>0</v>
      </c>
      <c r="DI25" s="8">
        <v>0</v>
      </c>
      <c r="DJ25" s="8">
        <v>0</v>
      </c>
      <c r="DK25" s="8">
        <v>0</v>
      </c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 t="s">
        <v>107</v>
      </c>
      <c r="DY25" s="8" t="s">
        <v>107</v>
      </c>
      <c r="DZ25" s="8"/>
      <c r="EA25" s="8"/>
      <c r="EB25" s="8" t="s">
        <v>107</v>
      </c>
      <c r="EC25" s="8" t="s">
        <v>107</v>
      </c>
      <c r="ED25" s="8" t="s">
        <v>107</v>
      </c>
      <c r="EE25" s="967"/>
      <c r="EF25" s="8">
        <f t="shared" si="39"/>
        <v>0</v>
      </c>
      <c r="EG25" s="8"/>
      <c r="EH25" s="8">
        <v>0</v>
      </c>
      <c r="EI25" s="8">
        <v>0</v>
      </c>
      <c r="EJ25" s="8">
        <v>0</v>
      </c>
      <c r="EK25" s="8">
        <v>0</v>
      </c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 t="s">
        <v>107</v>
      </c>
      <c r="EY25" s="8" t="s">
        <v>107</v>
      </c>
      <c r="EZ25" s="8"/>
      <c r="FA25" s="8"/>
      <c r="FB25" s="8" t="s">
        <v>107</v>
      </c>
      <c r="FC25" s="8" t="s">
        <v>107</v>
      </c>
      <c r="FD25" s="8" t="s">
        <v>107</v>
      </c>
      <c r="FE25" s="967"/>
      <c r="FF25" s="8">
        <f t="shared" si="34"/>
        <v>2</v>
      </c>
      <c r="FG25" s="8"/>
      <c r="FH25" s="8">
        <v>0</v>
      </c>
      <c r="FI25" s="8">
        <v>0</v>
      </c>
      <c r="FJ25" s="8">
        <v>2</v>
      </c>
      <c r="FK25" s="8">
        <v>0</v>
      </c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 t="s">
        <v>107</v>
      </c>
      <c r="FY25" s="8" t="s">
        <v>107</v>
      </c>
      <c r="FZ25" s="8"/>
      <c r="GA25" s="8"/>
      <c r="GB25" s="8" t="s">
        <v>107</v>
      </c>
      <c r="GC25" s="8" t="s">
        <v>107</v>
      </c>
      <c r="GD25" s="8" t="s">
        <v>107</v>
      </c>
      <c r="GE25" s="967"/>
      <c r="GF25" s="8">
        <f t="shared" si="40"/>
        <v>1</v>
      </c>
      <c r="GG25" s="8"/>
      <c r="GH25" s="8">
        <v>0</v>
      </c>
      <c r="GI25" s="8">
        <v>0</v>
      </c>
      <c r="GJ25" s="8">
        <v>0</v>
      </c>
      <c r="GK25" s="8">
        <v>1</v>
      </c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 t="s">
        <v>107</v>
      </c>
      <c r="GY25" s="8" t="s">
        <v>107</v>
      </c>
      <c r="GZ25" s="8"/>
      <c r="HA25" s="8"/>
      <c r="HB25" s="8" t="s">
        <v>107</v>
      </c>
      <c r="HC25" s="8" t="s">
        <v>107</v>
      </c>
      <c r="HD25" s="8" t="s">
        <v>107</v>
      </c>
      <c r="HE25" s="967"/>
      <c r="HF25" s="8">
        <f t="shared" si="41"/>
        <v>0</v>
      </c>
      <c r="HG25" s="8"/>
      <c r="HH25" s="8">
        <v>0</v>
      </c>
      <c r="HI25" s="8">
        <v>0</v>
      </c>
      <c r="HJ25" s="8">
        <v>0</v>
      </c>
      <c r="HK25" s="8">
        <v>0</v>
      </c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 t="s">
        <v>107</v>
      </c>
      <c r="HY25" s="8" t="s">
        <v>107</v>
      </c>
      <c r="HZ25" s="8"/>
      <c r="IA25" s="8"/>
      <c r="IB25" s="8" t="s">
        <v>107</v>
      </c>
      <c r="IC25" s="8" t="s">
        <v>107</v>
      </c>
      <c r="ID25" s="8" t="s">
        <v>107</v>
      </c>
      <c r="IE25" s="967"/>
      <c r="IF25" s="8">
        <f t="shared" si="42"/>
        <v>0</v>
      </c>
      <c r="IG25" s="8"/>
      <c r="IH25" s="8">
        <v>0</v>
      </c>
      <c r="II25" s="8">
        <v>0</v>
      </c>
      <c r="IJ25" s="8">
        <v>0</v>
      </c>
      <c r="IK25" s="8">
        <v>0</v>
      </c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 t="s">
        <v>107</v>
      </c>
      <c r="IY25" s="8" t="s">
        <v>107</v>
      </c>
      <c r="IZ25" s="8"/>
      <c r="JA25" s="8"/>
      <c r="JB25" s="8" t="s">
        <v>107</v>
      </c>
      <c r="JC25" s="8" t="s">
        <v>107</v>
      </c>
      <c r="JD25" s="8" t="s">
        <v>107</v>
      </c>
      <c r="JE25" s="967"/>
      <c r="JF25" s="8">
        <f t="shared" si="43"/>
        <v>0</v>
      </c>
      <c r="JG25" s="8"/>
      <c r="JH25" s="8">
        <v>0</v>
      </c>
      <c r="JI25" s="8">
        <v>0</v>
      </c>
      <c r="JJ25" s="8">
        <v>0</v>
      </c>
      <c r="JK25" s="8">
        <v>0</v>
      </c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 t="s">
        <v>107</v>
      </c>
      <c r="JY25" s="8" t="s">
        <v>107</v>
      </c>
      <c r="JZ25" s="8"/>
      <c r="KA25" s="8"/>
      <c r="KB25" s="8" t="s">
        <v>107</v>
      </c>
      <c r="KC25" s="8" t="s">
        <v>107</v>
      </c>
      <c r="KD25" s="8" t="s">
        <v>107</v>
      </c>
      <c r="KE25" s="967"/>
      <c r="KF25" s="8">
        <f t="shared" si="44"/>
        <v>0</v>
      </c>
      <c r="KG25" s="8"/>
      <c r="KH25" s="8">
        <v>0</v>
      </c>
      <c r="KI25" s="8">
        <v>0</v>
      </c>
      <c r="KJ25" s="8">
        <v>0</v>
      </c>
      <c r="KK25" s="8">
        <v>0</v>
      </c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 t="s">
        <v>107</v>
      </c>
      <c r="KY25" s="8" t="s">
        <v>107</v>
      </c>
      <c r="KZ25" s="8"/>
      <c r="LA25" s="8"/>
      <c r="LB25" s="8" t="s">
        <v>107</v>
      </c>
      <c r="LC25" s="8" t="s">
        <v>107</v>
      </c>
      <c r="LD25" s="8" t="s">
        <v>107</v>
      </c>
      <c r="LE25" s="967"/>
      <c r="LF25" s="8">
        <f t="shared" si="45"/>
        <v>0</v>
      </c>
      <c r="LG25" s="8"/>
      <c r="LH25" s="8">
        <v>0</v>
      </c>
      <c r="LI25" s="8">
        <v>0</v>
      </c>
      <c r="LJ25" s="8">
        <v>0</v>
      </c>
      <c r="LK25" s="8">
        <v>0</v>
      </c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 t="s">
        <v>107</v>
      </c>
      <c r="LY25" s="8" t="s">
        <v>107</v>
      </c>
      <c r="LZ25" s="8"/>
      <c r="MA25" s="8"/>
      <c r="MB25" s="8" t="s">
        <v>107</v>
      </c>
      <c r="MC25" s="8" t="s">
        <v>107</v>
      </c>
      <c r="MD25" s="8" t="s">
        <v>107</v>
      </c>
      <c r="ME25" s="967"/>
      <c r="MF25" s="8">
        <f t="shared" si="46"/>
        <v>0</v>
      </c>
      <c r="MG25" s="8"/>
      <c r="MH25" s="8">
        <v>0</v>
      </c>
      <c r="MI25" s="8">
        <v>0</v>
      </c>
      <c r="MJ25" s="8">
        <v>0</v>
      </c>
      <c r="MK25" s="8">
        <v>0</v>
      </c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 t="s">
        <v>107</v>
      </c>
      <c r="MY25" s="8" t="s">
        <v>107</v>
      </c>
      <c r="MZ25" s="8"/>
      <c r="NA25" s="8"/>
      <c r="NB25" s="8" t="s">
        <v>107</v>
      </c>
      <c r="NC25" s="8" t="s">
        <v>107</v>
      </c>
      <c r="ND25" s="8" t="s">
        <v>107</v>
      </c>
      <c r="NE25" s="967"/>
      <c r="NF25" s="8">
        <f t="shared" si="47"/>
        <v>0</v>
      </c>
      <c r="NG25" s="8"/>
      <c r="NH25" s="8">
        <v>0</v>
      </c>
      <c r="NI25" s="8">
        <v>0</v>
      </c>
      <c r="NJ25" s="8">
        <v>0</v>
      </c>
      <c r="NK25" s="8">
        <v>0</v>
      </c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 t="s">
        <v>107</v>
      </c>
      <c r="NY25" s="8" t="s">
        <v>107</v>
      </c>
      <c r="NZ25" s="8"/>
      <c r="OA25" s="8"/>
      <c r="OB25" s="8" t="s">
        <v>107</v>
      </c>
      <c r="OC25" s="8" t="s">
        <v>107</v>
      </c>
      <c r="OD25" s="8" t="s">
        <v>107</v>
      </c>
      <c r="OE25" s="967"/>
      <c r="OF25" s="8">
        <f t="shared" si="48"/>
        <v>0</v>
      </c>
      <c r="OG25" s="8"/>
      <c r="OH25" s="8">
        <v>0</v>
      </c>
      <c r="OI25" s="8">
        <v>0</v>
      </c>
      <c r="OJ25" s="8">
        <v>0</v>
      </c>
      <c r="OK25" s="8">
        <v>0</v>
      </c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 t="s">
        <v>107</v>
      </c>
      <c r="OY25" s="8" t="s">
        <v>107</v>
      </c>
      <c r="OZ25" s="8"/>
      <c r="PA25" s="8"/>
      <c r="PB25" s="8" t="s">
        <v>107</v>
      </c>
      <c r="PC25" s="8" t="s">
        <v>107</v>
      </c>
      <c r="PD25" s="8" t="s">
        <v>107</v>
      </c>
      <c r="PE25" s="967"/>
      <c r="PF25" s="8">
        <f t="shared" si="49"/>
        <v>0</v>
      </c>
      <c r="PG25" s="8"/>
      <c r="PH25" s="8">
        <v>0</v>
      </c>
      <c r="PI25" s="8">
        <v>0</v>
      </c>
      <c r="PJ25" s="8">
        <v>0</v>
      </c>
      <c r="PK25" s="8">
        <v>0</v>
      </c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 t="s">
        <v>107</v>
      </c>
      <c r="PY25" s="8" t="s">
        <v>107</v>
      </c>
      <c r="PZ25" s="8"/>
      <c r="QA25" s="8"/>
      <c r="QB25" s="8" t="s">
        <v>107</v>
      </c>
      <c r="QC25" s="8" t="s">
        <v>107</v>
      </c>
      <c r="QD25" s="8" t="s">
        <v>107</v>
      </c>
      <c r="QE25" s="967"/>
    </row>
    <row r="26" spans="2:447" x14ac:dyDescent="0.3">
      <c r="B26">
        <v>18</v>
      </c>
      <c r="D26" t="s">
        <v>1803</v>
      </c>
      <c r="F26" s="8">
        <f t="shared" si="33"/>
        <v>154</v>
      </c>
      <c r="G26" s="8"/>
      <c r="H26" s="8" t="s">
        <v>107</v>
      </c>
      <c r="I26" s="8" t="s">
        <v>107</v>
      </c>
      <c r="J26" s="8" t="s">
        <v>107</v>
      </c>
      <c r="K26" s="8">
        <v>14</v>
      </c>
      <c r="L26" s="8">
        <v>1</v>
      </c>
      <c r="M26" s="8">
        <v>6</v>
      </c>
      <c r="N26" s="8">
        <v>2</v>
      </c>
      <c r="O26" s="8">
        <v>16</v>
      </c>
      <c r="P26" s="8">
        <v>3</v>
      </c>
      <c r="Q26" s="8">
        <v>3</v>
      </c>
      <c r="R26" s="8">
        <v>21</v>
      </c>
      <c r="S26" s="8">
        <v>17</v>
      </c>
      <c r="T26" s="8">
        <v>16</v>
      </c>
      <c r="U26" s="8">
        <v>20</v>
      </c>
      <c r="V26" s="8">
        <v>18</v>
      </c>
      <c r="W26" s="8">
        <v>17</v>
      </c>
      <c r="X26" s="8" t="s">
        <v>107</v>
      </c>
      <c r="Y26" s="8" t="s">
        <v>107</v>
      </c>
      <c r="Z26" s="8"/>
      <c r="AA26" s="8"/>
      <c r="AB26" s="8" t="s">
        <v>107</v>
      </c>
      <c r="AC26" s="8" t="s">
        <v>107</v>
      </c>
      <c r="AD26" s="8" t="s">
        <v>107</v>
      </c>
      <c r="AE26" s="967"/>
      <c r="AF26" s="8">
        <f t="shared" si="35"/>
        <v>65</v>
      </c>
      <c r="AG26" s="8"/>
      <c r="AH26" s="8" t="s">
        <v>107</v>
      </c>
      <c r="AI26" s="8" t="s">
        <v>107</v>
      </c>
      <c r="AJ26" s="8" t="s">
        <v>107</v>
      </c>
      <c r="AK26" s="8">
        <v>3</v>
      </c>
      <c r="AL26" s="8"/>
      <c r="AM26" s="8"/>
      <c r="AN26" s="8"/>
      <c r="AO26" s="8">
        <v>13</v>
      </c>
      <c r="AP26" s="8">
        <v>1</v>
      </c>
      <c r="AQ26" s="8">
        <v>2</v>
      </c>
      <c r="AR26" s="8">
        <v>23</v>
      </c>
      <c r="AS26" s="8">
        <v>7</v>
      </c>
      <c r="AT26" s="8">
        <v>16</v>
      </c>
      <c r="AU26" s="8"/>
      <c r="AV26" s="8"/>
      <c r="AW26" s="8"/>
      <c r="AX26" s="8" t="s">
        <v>107</v>
      </c>
      <c r="AY26" s="8" t="s">
        <v>107</v>
      </c>
      <c r="AZ26" s="8"/>
      <c r="BA26" s="8"/>
      <c r="BB26" s="8" t="s">
        <v>107</v>
      </c>
      <c r="BC26" s="8" t="s">
        <v>107</v>
      </c>
      <c r="BD26" s="8" t="s">
        <v>107</v>
      </c>
      <c r="BE26" s="967"/>
      <c r="BF26" s="8">
        <f t="shared" si="36"/>
        <v>55</v>
      </c>
      <c r="BG26" s="8"/>
      <c r="BH26" s="8" t="s">
        <v>107</v>
      </c>
      <c r="BI26" s="8"/>
      <c r="BJ26" s="8"/>
      <c r="BK26" s="8">
        <v>2</v>
      </c>
      <c r="BL26" s="8"/>
      <c r="BM26" s="8"/>
      <c r="BN26" s="8"/>
      <c r="BO26" s="8">
        <v>15</v>
      </c>
      <c r="BP26" s="8">
        <v>6</v>
      </c>
      <c r="BQ26" s="8">
        <v>1</v>
      </c>
      <c r="BR26" s="8">
        <v>14</v>
      </c>
      <c r="BS26" s="8">
        <v>9</v>
      </c>
      <c r="BT26" s="8">
        <v>8</v>
      </c>
      <c r="BU26" s="8"/>
      <c r="BV26" s="8"/>
      <c r="BW26" s="8"/>
      <c r="BX26" s="8" t="s">
        <v>107</v>
      </c>
      <c r="BY26" s="8" t="s">
        <v>107</v>
      </c>
      <c r="BZ26" s="8"/>
      <c r="CA26" s="8"/>
      <c r="CB26" s="8" t="s">
        <v>107</v>
      </c>
      <c r="CC26" s="8" t="s">
        <v>107</v>
      </c>
      <c r="CD26" s="8" t="s">
        <v>107</v>
      </c>
      <c r="CE26" s="967"/>
      <c r="CF26" s="8">
        <f t="shared" si="37"/>
        <v>120</v>
      </c>
      <c r="CG26" s="8"/>
      <c r="CH26" s="8" t="s">
        <v>107</v>
      </c>
      <c r="CI26" s="8"/>
      <c r="CJ26" s="8"/>
      <c r="CK26" s="8">
        <v>5</v>
      </c>
      <c r="CL26" s="8"/>
      <c r="CM26" s="8"/>
      <c r="CN26" s="8"/>
      <c r="CO26" s="8">
        <v>28</v>
      </c>
      <c r="CP26" s="8">
        <v>7</v>
      </c>
      <c r="CQ26" s="8">
        <v>3</v>
      </c>
      <c r="CR26" s="8">
        <v>37</v>
      </c>
      <c r="CS26" s="8">
        <v>16</v>
      </c>
      <c r="CT26" s="8">
        <v>24</v>
      </c>
      <c r="CU26" s="8"/>
      <c r="CV26" s="8"/>
      <c r="CW26" s="8"/>
      <c r="CX26" s="8" t="s">
        <v>107</v>
      </c>
      <c r="CY26" s="8" t="s">
        <v>107</v>
      </c>
      <c r="CZ26" s="8"/>
      <c r="DA26" s="8"/>
      <c r="DB26" s="8" t="s">
        <v>107</v>
      </c>
      <c r="DC26" s="8" t="s">
        <v>107</v>
      </c>
      <c r="DD26" s="8" t="s">
        <v>107</v>
      </c>
      <c r="DE26" s="967"/>
      <c r="DF26" s="8">
        <f t="shared" si="38"/>
        <v>7</v>
      </c>
      <c r="DG26" s="8"/>
      <c r="DH26" s="8" t="s">
        <v>107</v>
      </c>
      <c r="DI26" s="8" t="s">
        <v>107</v>
      </c>
      <c r="DJ26" s="8" t="s">
        <v>107</v>
      </c>
      <c r="DK26" s="8">
        <v>0</v>
      </c>
      <c r="DL26" s="8"/>
      <c r="DM26" s="8"/>
      <c r="DN26" s="8"/>
      <c r="DO26" s="8">
        <v>0</v>
      </c>
      <c r="DP26" s="8">
        <v>0</v>
      </c>
      <c r="DQ26" s="8">
        <v>0</v>
      </c>
      <c r="DR26" s="8">
        <v>4</v>
      </c>
      <c r="DS26" s="8">
        <v>3</v>
      </c>
      <c r="DT26" s="8"/>
      <c r="DU26" s="8"/>
      <c r="DV26" s="8"/>
      <c r="DW26" s="8"/>
      <c r="DX26" s="8" t="s">
        <v>107</v>
      </c>
      <c r="DY26" s="8" t="s">
        <v>107</v>
      </c>
      <c r="DZ26" s="8"/>
      <c r="EA26" s="8"/>
      <c r="EB26" s="8" t="s">
        <v>107</v>
      </c>
      <c r="EC26" s="8" t="s">
        <v>107</v>
      </c>
      <c r="ED26" s="8" t="s">
        <v>107</v>
      </c>
      <c r="EE26" s="967"/>
      <c r="EF26" s="8">
        <f t="shared" si="39"/>
        <v>14</v>
      </c>
      <c r="EG26" s="8"/>
      <c r="EH26" s="8" t="s">
        <v>107</v>
      </c>
      <c r="EI26" s="8" t="s">
        <v>107</v>
      </c>
      <c r="EJ26" s="8" t="s">
        <v>107</v>
      </c>
      <c r="EK26" s="8">
        <v>0</v>
      </c>
      <c r="EL26" s="8"/>
      <c r="EM26" s="8"/>
      <c r="EN26" s="8"/>
      <c r="EO26" s="8">
        <v>0</v>
      </c>
      <c r="EP26" s="8">
        <v>0</v>
      </c>
      <c r="EQ26" s="8">
        <v>0</v>
      </c>
      <c r="ER26" s="8">
        <v>8</v>
      </c>
      <c r="ES26" s="8">
        <v>6</v>
      </c>
      <c r="ET26" s="8"/>
      <c r="EU26" s="8"/>
      <c r="EV26" s="8"/>
      <c r="EW26" s="8"/>
      <c r="EX26" s="8" t="s">
        <v>107</v>
      </c>
      <c r="EY26" s="8" t="s">
        <v>107</v>
      </c>
      <c r="EZ26" s="8"/>
      <c r="FA26" s="8"/>
      <c r="FB26" s="8" t="s">
        <v>107</v>
      </c>
      <c r="FC26" s="8" t="s">
        <v>107</v>
      </c>
      <c r="FD26" s="8" t="s">
        <v>107</v>
      </c>
      <c r="FE26" s="967"/>
      <c r="FF26" s="8">
        <f t="shared" si="34"/>
        <v>4</v>
      </c>
      <c r="FG26" s="8"/>
      <c r="FH26" s="8" t="s">
        <v>107</v>
      </c>
      <c r="FI26" s="8" t="s">
        <v>107</v>
      </c>
      <c r="FJ26" s="8" t="s">
        <v>107</v>
      </c>
      <c r="FK26" s="8">
        <v>0</v>
      </c>
      <c r="FL26" s="8"/>
      <c r="FM26" s="8"/>
      <c r="FN26" s="8"/>
      <c r="FO26" s="8">
        <v>0</v>
      </c>
      <c r="FP26" s="8">
        <v>0</v>
      </c>
      <c r="FQ26" s="8">
        <v>1</v>
      </c>
      <c r="FR26" s="8">
        <v>1</v>
      </c>
      <c r="FS26" s="8">
        <v>0</v>
      </c>
      <c r="FT26" s="8">
        <v>2</v>
      </c>
      <c r="FU26" s="8"/>
      <c r="FV26" s="8"/>
      <c r="FW26" s="8"/>
      <c r="FX26" s="8" t="s">
        <v>107</v>
      </c>
      <c r="FY26" s="8" t="s">
        <v>107</v>
      </c>
      <c r="FZ26" s="8"/>
      <c r="GA26" s="8"/>
      <c r="GB26" s="8" t="s">
        <v>107</v>
      </c>
      <c r="GC26" s="8" t="s">
        <v>107</v>
      </c>
      <c r="GD26" s="8" t="s">
        <v>107</v>
      </c>
      <c r="GE26" s="967"/>
      <c r="GF26" s="8">
        <f t="shared" si="40"/>
        <v>4</v>
      </c>
      <c r="GG26" s="8"/>
      <c r="GH26" s="8" t="s">
        <v>107</v>
      </c>
      <c r="GI26" s="8" t="s">
        <v>107</v>
      </c>
      <c r="GJ26" s="8" t="s">
        <v>107</v>
      </c>
      <c r="GK26" s="8">
        <v>0</v>
      </c>
      <c r="GL26" s="8"/>
      <c r="GM26" s="8"/>
      <c r="GN26" s="8"/>
      <c r="GO26" s="8">
        <v>1</v>
      </c>
      <c r="GP26" s="8">
        <v>0</v>
      </c>
      <c r="GQ26" s="8">
        <v>1</v>
      </c>
      <c r="GR26" s="8">
        <v>2</v>
      </c>
      <c r="GS26" s="8">
        <v>0</v>
      </c>
      <c r="GT26" s="8"/>
      <c r="GU26" s="8"/>
      <c r="GV26" s="8"/>
      <c r="GW26" s="8"/>
      <c r="GX26" s="8" t="s">
        <v>107</v>
      </c>
      <c r="GY26" s="8" t="s">
        <v>107</v>
      </c>
      <c r="GZ26" s="8"/>
      <c r="HA26" s="8"/>
      <c r="HB26" s="8" t="s">
        <v>107</v>
      </c>
      <c r="HC26" s="8" t="s">
        <v>107</v>
      </c>
      <c r="HD26" s="8" t="s">
        <v>107</v>
      </c>
      <c r="HE26" s="967"/>
      <c r="HF26" s="8">
        <f t="shared" si="41"/>
        <v>0</v>
      </c>
      <c r="HG26" s="8"/>
      <c r="HH26" s="8" t="s">
        <v>107</v>
      </c>
      <c r="HI26" s="8" t="s">
        <v>107</v>
      </c>
      <c r="HJ26" s="8" t="s">
        <v>107</v>
      </c>
      <c r="HK26" s="8">
        <v>0</v>
      </c>
      <c r="HL26" s="8"/>
      <c r="HM26" s="8"/>
      <c r="HN26" s="8"/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/>
      <c r="HU26" s="8"/>
      <c r="HV26" s="8"/>
      <c r="HW26" s="8"/>
      <c r="HX26" s="8" t="s">
        <v>107</v>
      </c>
      <c r="HY26" s="8" t="s">
        <v>107</v>
      </c>
      <c r="HZ26" s="8"/>
      <c r="IA26" s="8"/>
      <c r="IB26" s="8" t="s">
        <v>107</v>
      </c>
      <c r="IC26" s="8" t="s">
        <v>107</v>
      </c>
      <c r="ID26" s="8" t="s">
        <v>107</v>
      </c>
      <c r="IE26" s="967"/>
      <c r="IF26" s="8">
        <f t="shared" si="42"/>
        <v>0</v>
      </c>
      <c r="IG26" s="8"/>
      <c r="IH26" s="8" t="s">
        <v>107</v>
      </c>
      <c r="II26" s="8" t="s">
        <v>107</v>
      </c>
      <c r="IJ26" s="8" t="s">
        <v>107</v>
      </c>
      <c r="IK26" s="8">
        <v>0</v>
      </c>
      <c r="IL26" s="8"/>
      <c r="IM26" s="8"/>
      <c r="IN26" s="8"/>
      <c r="IO26" s="8">
        <v>0</v>
      </c>
      <c r="IP26" s="8">
        <v>0</v>
      </c>
      <c r="IQ26" s="8">
        <v>0</v>
      </c>
      <c r="IR26" s="8">
        <v>0</v>
      </c>
      <c r="IS26" s="8">
        <v>0</v>
      </c>
      <c r="IT26" s="8"/>
      <c r="IU26" s="8"/>
      <c r="IV26" s="8"/>
      <c r="IW26" s="8"/>
      <c r="IX26" s="8" t="s">
        <v>107</v>
      </c>
      <c r="IY26" s="8" t="s">
        <v>107</v>
      </c>
      <c r="IZ26" s="8"/>
      <c r="JA26" s="8"/>
      <c r="JB26" s="8" t="s">
        <v>107</v>
      </c>
      <c r="JC26" s="8" t="s">
        <v>107</v>
      </c>
      <c r="JD26" s="8" t="s">
        <v>107</v>
      </c>
      <c r="JE26" s="967"/>
      <c r="JF26" s="8">
        <f t="shared" si="43"/>
        <v>0</v>
      </c>
      <c r="JG26" s="8"/>
      <c r="JH26" s="8" t="s">
        <v>107</v>
      </c>
      <c r="JI26" s="8" t="s">
        <v>107</v>
      </c>
      <c r="JJ26" s="8" t="s">
        <v>107</v>
      </c>
      <c r="JK26" s="8">
        <v>0</v>
      </c>
      <c r="JL26" s="8"/>
      <c r="JM26" s="8"/>
      <c r="JN26" s="8"/>
      <c r="JO26" s="8">
        <v>0</v>
      </c>
      <c r="JP26" s="8">
        <v>0</v>
      </c>
      <c r="JQ26" s="8">
        <v>0</v>
      </c>
      <c r="JR26" s="8">
        <v>0</v>
      </c>
      <c r="JS26" s="8">
        <v>0</v>
      </c>
      <c r="JT26" s="8"/>
      <c r="JU26" s="8"/>
      <c r="JV26" s="8"/>
      <c r="JW26" s="8"/>
      <c r="JX26" s="8" t="s">
        <v>107</v>
      </c>
      <c r="JY26" s="8" t="s">
        <v>107</v>
      </c>
      <c r="JZ26" s="8"/>
      <c r="KA26" s="8"/>
      <c r="KB26" s="8" t="s">
        <v>107</v>
      </c>
      <c r="KC26" s="8" t="s">
        <v>107</v>
      </c>
      <c r="KD26" s="8" t="s">
        <v>107</v>
      </c>
      <c r="KE26" s="967"/>
      <c r="KF26" s="8">
        <f t="shared" si="44"/>
        <v>0</v>
      </c>
      <c r="KG26" s="8"/>
      <c r="KH26" s="8" t="s">
        <v>107</v>
      </c>
      <c r="KI26" s="8" t="s">
        <v>107</v>
      </c>
      <c r="KJ26" s="8" t="s">
        <v>107</v>
      </c>
      <c r="KK26" s="8">
        <v>0</v>
      </c>
      <c r="KL26" s="8"/>
      <c r="KM26" s="8"/>
      <c r="KN26" s="8"/>
      <c r="KO26" s="8">
        <v>0</v>
      </c>
      <c r="KP26" s="8">
        <v>0</v>
      </c>
      <c r="KQ26" s="8">
        <v>0</v>
      </c>
      <c r="KR26" s="8">
        <v>0</v>
      </c>
      <c r="KS26" s="8">
        <v>0</v>
      </c>
      <c r="KT26" s="8"/>
      <c r="KU26" s="8"/>
      <c r="KV26" s="8"/>
      <c r="KW26" s="8"/>
      <c r="KX26" s="8" t="s">
        <v>107</v>
      </c>
      <c r="KY26" s="8" t="s">
        <v>107</v>
      </c>
      <c r="KZ26" s="8"/>
      <c r="LA26" s="8"/>
      <c r="LB26" s="8" t="s">
        <v>107</v>
      </c>
      <c r="LC26" s="8" t="s">
        <v>107</v>
      </c>
      <c r="LD26" s="8" t="s">
        <v>107</v>
      </c>
      <c r="LE26" s="967"/>
      <c r="LF26" s="8">
        <f t="shared" si="45"/>
        <v>1</v>
      </c>
      <c r="LG26" s="8"/>
      <c r="LH26" s="8" t="s">
        <v>107</v>
      </c>
      <c r="LI26" s="8" t="s">
        <v>107</v>
      </c>
      <c r="LJ26" s="8" t="s">
        <v>107</v>
      </c>
      <c r="LK26" s="8">
        <v>0</v>
      </c>
      <c r="LL26" s="8"/>
      <c r="LM26" s="8"/>
      <c r="LN26" s="8"/>
      <c r="LO26" s="8">
        <v>0</v>
      </c>
      <c r="LP26" s="8">
        <v>0</v>
      </c>
      <c r="LQ26" s="8">
        <v>0</v>
      </c>
      <c r="LR26" s="8">
        <v>0</v>
      </c>
      <c r="LS26" s="8">
        <v>1</v>
      </c>
      <c r="LT26" s="8"/>
      <c r="LU26" s="8"/>
      <c r="LV26" s="8"/>
      <c r="LW26" s="8"/>
      <c r="LX26" s="8" t="s">
        <v>107</v>
      </c>
      <c r="LY26" s="8" t="s">
        <v>107</v>
      </c>
      <c r="LZ26" s="8"/>
      <c r="MA26" s="8"/>
      <c r="MB26" s="8" t="s">
        <v>107</v>
      </c>
      <c r="MC26" s="8" t="s">
        <v>107</v>
      </c>
      <c r="MD26" s="8" t="s">
        <v>107</v>
      </c>
      <c r="ME26" s="967"/>
      <c r="MF26" s="8">
        <f t="shared" si="46"/>
        <v>0</v>
      </c>
      <c r="MG26" s="8"/>
      <c r="MH26" s="8" t="s">
        <v>107</v>
      </c>
      <c r="MI26" s="8" t="s">
        <v>107</v>
      </c>
      <c r="MJ26" s="8" t="s">
        <v>107</v>
      </c>
      <c r="MK26" s="8">
        <v>0</v>
      </c>
      <c r="ML26" s="8"/>
      <c r="MM26" s="8"/>
      <c r="MN26" s="8"/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/>
      <c r="MU26" s="8"/>
      <c r="MV26" s="8"/>
      <c r="MW26" s="8"/>
      <c r="MX26" s="8" t="s">
        <v>107</v>
      </c>
      <c r="MY26" s="8" t="s">
        <v>107</v>
      </c>
      <c r="MZ26" s="8"/>
      <c r="NA26" s="8"/>
      <c r="NB26" s="8" t="s">
        <v>107</v>
      </c>
      <c r="NC26" s="8" t="s">
        <v>107</v>
      </c>
      <c r="ND26" s="8" t="s">
        <v>107</v>
      </c>
      <c r="NE26" s="967"/>
      <c r="NF26" s="8">
        <f t="shared" si="47"/>
        <v>5</v>
      </c>
      <c r="NG26" s="8"/>
      <c r="NH26" s="8" t="s">
        <v>107</v>
      </c>
      <c r="NI26" s="8" t="s">
        <v>107</v>
      </c>
      <c r="NJ26" s="8" t="s">
        <v>107</v>
      </c>
      <c r="NK26" s="8">
        <v>0</v>
      </c>
      <c r="NL26" s="8"/>
      <c r="NM26" s="8"/>
      <c r="NN26" s="8"/>
      <c r="NO26" s="8">
        <v>1</v>
      </c>
      <c r="NP26" s="8">
        <v>0</v>
      </c>
      <c r="NQ26" s="8">
        <v>0</v>
      </c>
      <c r="NR26" s="8">
        <v>3</v>
      </c>
      <c r="NS26" s="8">
        <v>1</v>
      </c>
      <c r="NT26" s="8"/>
      <c r="NU26" s="8"/>
      <c r="NV26" s="8"/>
      <c r="NW26" s="8"/>
      <c r="NX26" s="8" t="s">
        <v>107</v>
      </c>
      <c r="NY26" s="8" t="s">
        <v>107</v>
      </c>
      <c r="NZ26" s="8"/>
      <c r="OA26" s="8"/>
      <c r="OB26" s="8" t="s">
        <v>107</v>
      </c>
      <c r="OC26" s="8" t="s">
        <v>107</v>
      </c>
      <c r="OD26" s="8" t="s">
        <v>107</v>
      </c>
      <c r="OE26" s="967"/>
      <c r="OF26" s="8">
        <f t="shared" si="48"/>
        <v>2</v>
      </c>
      <c r="OG26" s="8"/>
      <c r="OH26" s="8" t="s">
        <v>107</v>
      </c>
      <c r="OI26" s="8" t="s">
        <v>107</v>
      </c>
      <c r="OJ26" s="8" t="s">
        <v>107</v>
      </c>
      <c r="OK26" s="8">
        <v>0</v>
      </c>
      <c r="OL26" s="8"/>
      <c r="OM26" s="8"/>
      <c r="ON26" s="8"/>
      <c r="OO26" s="8">
        <v>1</v>
      </c>
      <c r="OP26" s="8">
        <v>0</v>
      </c>
      <c r="OQ26" s="8">
        <v>0</v>
      </c>
      <c r="OR26" s="8">
        <v>0</v>
      </c>
      <c r="OS26" s="8">
        <v>1</v>
      </c>
      <c r="OT26" s="8"/>
      <c r="OU26" s="8"/>
      <c r="OV26" s="8"/>
      <c r="OW26" s="8"/>
      <c r="OX26" s="8" t="s">
        <v>107</v>
      </c>
      <c r="OY26" s="8" t="s">
        <v>107</v>
      </c>
      <c r="OZ26" s="8"/>
      <c r="PA26" s="8"/>
      <c r="PB26" s="8" t="s">
        <v>107</v>
      </c>
      <c r="PC26" s="8" t="s">
        <v>107</v>
      </c>
      <c r="PD26" s="8" t="s">
        <v>107</v>
      </c>
      <c r="PE26" s="967"/>
      <c r="PF26" s="8">
        <f t="shared" si="49"/>
        <v>0</v>
      </c>
      <c r="PG26" s="8"/>
      <c r="PH26" s="8" t="s">
        <v>107</v>
      </c>
      <c r="PI26" s="8" t="s">
        <v>107</v>
      </c>
      <c r="PJ26" s="8" t="s">
        <v>107</v>
      </c>
      <c r="PK26" s="8">
        <v>0</v>
      </c>
      <c r="PL26" s="8"/>
      <c r="PM26" s="8"/>
      <c r="PN26" s="8"/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8"/>
      <c r="PU26" s="8"/>
      <c r="PV26" s="8"/>
      <c r="PW26" s="8"/>
      <c r="PX26" s="8" t="s">
        <v>107</v>
      </c>
      <c r="PY26" s="8" t="s">
        <v>107</v>
      </c>
      <c r="PZ26" s="8"/>
      <c r="QA26" s="8"/>
      <c r="QB26" s="8" t="s">
        <v>107</v>
      </c>
      <c r="QC26" s="8" t="s">
        <v>107</v>
      </c>
      <c r="QD26" s="8" t="s">
        <v>107</v>
      </c>
      <c r="QE26" s="967"/>
    </row>
    <row r="27" spans="2:447" x14ac:dyDescent="0.3">
      <c r="B27">
        <v>19</v>
      </c>
      <c r="D27" t="s">
        <v>2267</v>
      </c>
      <c r="F27" s="8">
        <f t="shared" si="33"/>
        <v>10</v>
      </c>
      <c r="G27" s="8"/>
      <c r="H27" s="8" t="s">
        <v>107</v>
      </c>
      <c r="I27" s="8" t="s">
        <v>107</v>
      </c>
      <c r="J27" s="8" t="s">
        <v>107</v>
      </c>
      <c r="K27" s="8" t="s">
        <v>107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 t="s">
        <v>107</v>
      </c>
      <c r="Y27" s="8" t="s">
        <v>107</v>
      </c>
      <c r="Z27" s="8"/>
      <c r="AA27" s="8"/>
      <c r="AB27" s="8" t="s">
        <v>107</v>
      </c>
      <c r="AC27" s="8" t="s">
        <v>107</v>
      </c>
      <c r="AD27" s="8">
        <v>10</v>
      </c>
      <c r="AE27" s="967"/>
      <c r="AF27" s="8">
        <f t="shared" si="35"/>
        <v>1</v>
      </c>
      <c r="AG27" s="8"/>
      <c r="AH27" s="8" t="s">
        <v>107</v>
      </c>
      <c r="AI27" s="8" t="s">
        <v>107</v>
      </c>
      <c r="AJ27" s="8" t="s">
        <v>107</v>
      </c>
      <c r="AK27" s="8" t="s">
        <v>107</v>
      </c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 t="s">
        <v>107</v>
      </c>
      <c r="AY27" s="8" t="s">
        <v>107</v>
      </c>
      <c r="AZ27" s="8"/>
      <c r="BA27" s="8"/>
      <c r="BB27" s="8" t="s">
        <v>107</v>
      </c>
      <c r="BC27" s="8" t="s">
        <v>107</v>
      </c>
      <c r="BD27" s="8">
        <v>1</v>
      </c>
      <c r="BE27" s="967"/>
      <c r="BF27" s="8">
        <f t="shared" si="36"/>
        <v>5</v>
      </c>
      <c r="BG27" s="8"/>
      <c r="BH27" s="8" t="s">
        <v>107</v>
      </c>
      <c r="BI27" s="8"/>
      <c r="BJ27" s="8"/>
      <c r="BK27" s="8" t="s">
        <v>107</v>
      </c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 t="s">
        <v>107</v>
      </c>
      <c r="BY27" s="8" t="s">
        <v>107</v>
      </c>
      <c r="BZ27" s="8"/>
      <c r="CA27" s="8"/>
      <c r="CB27" s="8" t="s">
        <v>107</v>
      </c>
      <c r="CC27" s="8" t="s">
        <v>107</v>
      </c>
      <c r="CD27" s="8">
        <v>5</v>
      </c>
      <c r="CE27" s="967"/>
      <c r="CF27" s="8">
        <f t="shared" si="37"/>
        <v>6</v>
      </c>
      <c r="CG27" s="8"/>
      <c r="CH27" s="8" t="s">
        <v>107</v>
      </c>
      <c r="CI27" s="8"/>
      <c r="CJ27" s="8"/>
      <c r="CK27" s="8" t="s">
        <v>107</v>
      </c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 t="s">
        <v>107</v>
      </c>
      <c r="CY27" s="8" t="s">
        <v>107</v>
      </c>
      <c r="CZ27" s="8"/>
      <c r="DA27" s="8"/>
      <c r="DB27" s="8" t="s">
        <v>107</v>
      </c>
      <c r="DC27" s="8" t="s">
        <v>107</v>
      </c>
      <c r="DD27" s="8">
        <f t="shared" si="50"/>
        <v>6</v>
      </c>
      <c r="DE27" s="967"/>
      <c r="DF27" s="8">
        <f t="shared" si="38"/>
        <v>0</v>
      </c>
      <c r="DG27" s="8"/>
      <c r="DH27" s="8" t="s">
        <v>107</v>
      </c>
      <c r="DI27" s="8" t="s">
        <v>107</v>
      </c>
      <c r="DJ27" s="8" t="s">
        <v>107</v>
      </c>
      <c r="DK27" s="8" t="s">
        <v>107</v>
      </c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 t="s">
        <v>107</v>
      </c>
      <c r="DY27" s="8" t="s">
        <v>107</v>
      </c>
      <c r="DZ27" s="8"/>
      <c r="EA27" s="8"/>
      <c r="EB27" s="8" t="s">
        <v>107</v>
      </c>
      <c r="EC27" s="8" t="s">
        <v>107</v>
      </c>
      <c r="ED27" s="8">
        <v>0</v>
      </c>
      <c r="EE27" s="967"/>
      <c r="EF27" s="8">
        <f t="shared" si="39"/>
        <v>0</v>
      </c>
      <c r="EG27" s="8"/>
      <c r="EH27" s="8" t="s">
        <v>107</v>
      </c>
      <c r="EI27" s="8" t="s">
        <v>107</v>
      </c>
      <c r="EJ27" s="8" t="s">
        <v>107</v>
      </c>
      <c r="EK27" s="8" t="s">
        <v>107</v>
      </c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 t="s">
        <v>107</v>
      </c>
      <c r="EY27" s="8" t="s">
        <v>107</v>
      </c>
      <c r="EZ27" s="8"/>
      <c r="FA27" s="8"/>
      <c r="FB27" s="8" t="s">
        <v>107</v>
      </c>
      <c r="FC27" s="8" t="s">
        <v>107</v>
      </c>
      <c r="FD27" s="8">
        <v>0</v>
      </c>
      <c r="FE27" s="967"/>
      <c r="FF27" s="8">
        <f t="shared" si="34"/>
        <v>0</v>
      </c>
      <c r="FG27" s="8"/>
      <c r="FH27" s="8" t="s">
        <v>107</v>
      </c>
      <c r="FI27" s="8" t="s">
        <v>107</v>
      </c>
      <c r="FJ27" s="8" t="s">
        <v>107</v>
      </c>
      <c r="FK27" s="8" t="s">
        <v>107</v>
      </c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 t="s">
        <v>107</v>
      </c>
      <c r="FY27" s="8" t="s">
        <v>107</v>
      </c>
      <c r="FZ27" s="8"/>
      <c r="GA27" s="8"/>
      <c r="GB27" s="8" t="s">
        <v>107</v>
      </c>
      <c r="GC27" s="8" t="s">
        <v>107</v>
      </c>
      <c r="GD27" s="8">
        <v>0</v>
      </c>
      <c r="GE27" s="967"/>
      <c r="GF27" s="8">
        <f t="shared" si="40"/>
        <v>0</v>
      </c>
      <c r="GG27" s="8"/>
      <c r="GH27" s="8" t="s">
        <v>107</v>
      </c>
      <c r="GI27" s="8" t="s">
        <v>107</v>
      </c>
      <c r="GJ27" s="8" t="s">
        <v>107</v>
      </c>
      <c r="GK27" s="8" t="s">
        <v>107</v>
      </c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 t="s">
        <v>107</v>
      </c>
      <c r="GY27" s="8" t="s">
        <v>107</v>
      </c>
      <c r="GZ27" s="8"/>
      <c r="HA27" s="8"/>
      <c r="HB27" s="8" t="s">
        <v>107</v>
      </c>
      <c r="HC27" s="8" t="s">
        <v>107</v>
      </c>
      <c r="HD27" s="8">
        <v>0</v>
      </c>
      <c r="HE27" s="967"/>
      <c r="HF27" s="8">
        <f t="shared" si="41"/>
        <v>0</v>
      </c>
      <c r="HG27" s="8"/>
      <c r="HH27" s="8" t="s">
        <v>107</v>
      </c>
      <c r="HI27" s="8" t="s">
        <v>107</v>
      </c>
      <c r="HJ27" s="8" t="s">
        <v>107</v>
      </c>
      <c r="HK27" s="8" t="s">
        <v>107</v>
      </c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 t="s">
        <v>107</v>
      </c>
      <c r="HY27" s="8" t="s">
        <v>107</v>
      </c>
      <c r="HZ27" s="8"/>
      <c r="IA27" s="8"/>
      <c r="IB27" s="8" t="s">
        <v>107</v>
      </c>
      <c r="IC27" s="8" t="s">
        <v>107</v>
      </c>
      <c r="ID27" s="8">
        <v>0</v>
      </c>
      <c r="IE27" s="967"/>
      <c r="IF27" s="8">
        <f t="shared" si="42"/>
        <v>0</v>
      </c>
      <c r="IG27" s="8"/>
      <c r="IH27" s="8" t="s">
        <v>107</v>
      </c>
      <c r="II27" s="8" t="s">
        <v>107</v>
      </c>
      <c r="IJ27" s="8" t="s">
        <v>107</v>
      </c>
      <c r="IK27" s="8" t="s">
        <v>107</v>
      </c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 t="s">
        <v>107</v>
      </c>
      <c r="IY27" s="8" t="s">
        <v>107</v>
      </c>
      <c r="IZ27" s="8"/>
      <c r="JA27" s="8"/>
      <c r="JB27" s="8" t="s">
        <v>107</v>
      </c>
      <c r="JC27" s="8" t="s">
        <v>107</v>
      </c>
      <c r="JD27" s="8">
        <v>0</v>
      </c>
      <c r="JE27" s="967"/>
      <c r="JF27" s="8">
        <f t="shared" si="43"/>
        <v>0</v>
      </c>
      <c r="JG27" s="8"/>
      <c r="JH27" s="8" t="s">
        <v>107</v>
      </c>
      <c r="JI27" s="8" t="s">
        <v>107</v>
      </c>
      <c r="JJ27" s="8" t="s">
        <v>107</v>
      </c>
      <c r="JK27" s="8" t="s">
        <v>107</v>
      </c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 t="s">
        <v>107</v>
      </c>
      <c r="JY27" s="8" t="s">
        <v>107</v>
      </c>
      <c r="JZ27" s="8"/>
      <c r="KA27" s="8"/>
      <c r="KB27" s="8" t="s">
        <v>107</v>
      </c>
      <c r="KC27" s="8" t="s">
        <v>107</v>
      </c>
      <c r="KD27" s="8">
        <v>0</v>
      </c>
      <c r="KE27" s="967"/>
      <c r="KF27" s="8">
        <f t="shared" si="44"/>
        <v>0</v>
      </c>
      <c r="KG27" s="8"/>
      <c r="KH27" s="8" t="s">
        <v>107</v>
      </c>
      <c r="KI27" s="8" t="s">
        <v>107</v>
      </c>
      <c r="KJ27" s="8" t="s">
        <v>107</v>
      </c>
      <c r="KK27" s="8" t="s">
        <v>107</v>
      </c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 t="s">
        <v>107</v>
      </c>
      <c r="KY27" s="8" t="s">
        <v>107</v>
      </c>
      <c r="KZ27" s="8"/>
      <c r="LA27" s="8"/>
      <c r="LB27" s="8" t="s">
        <v>107</v>
      </c>
      <c r="LC27" s="8" t="s">
        <v>107</v>
      </c>
      <c r="LD27" s="8">
        <v>0</v>
      </c>
      <c r="LE27" s="967"/>
      <c r="LF27" s="8">
        <f t="shared" si="45"/>
        <v>0</v>
      </c>
      <c r="LG27" s="8"/>
      <c r="LH27" s="8" t="s">
        <v>107</v>
      </c>
      <c r="LI27" s="8" t="s">
        <v>107</v>
      </c>
      <c r="LJ27" s="8" t="s">
        <v>107</v>
      </c>
      <c r="LK27" s="8" t="s">
        <v>107</v>
      </c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 t="s">
        <v>107</v>
      </c>
      <c r="LY27" s="8" t="s">
        <v>107</v>
      </c>
      <c r="LZ27" s="8"/>
      <c r="MA27" s="8"/>
      <c r="MB27" s="8" t="s">
        <v>107</v>
      </c>
      <c r="MC27" s="8" t="s">
        <v>107</v>
      </c>
      <c r="MD27" s="8">
        <v>0</v>
      </c>
      <c r="ME27" s="967"/>
      <c r="MF27" s="8">
        <f t="shared" si="46"/>
        <v>0</v>
      </c>
      <c r="MG27" s="8"/>
      <c r="MH27" s="8" t="s">
        <v>107</v>
      </c>
      <c r="MI27" s="8" t="s">
        <v>107</v>
      </c>
      <c r="MJ27" s="8" t="s">
        <v>107</v>
      </c>
      <c r="MK27" s="8" t="s">
        <v>107</v>
      </c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 t="s">
        <v>107</v>
      </c>
      <c r="MY27" s="8" t="s">
        <v>107</v>
      </c>
      <c r="MZ27" s="8"/>
      <c r="NA27" s="8"/>
      <c r="NB27" s="8" t="s">
        <v>107</v>
      </c>
      <c r="NC27" s="8" t="s">
        <v>107</v>
      </c>
      <c r="ND27" s="8">
        <v>0</v>
      </c>
      <c r="NE27" s="967"/>
      <c r="NF27" s="8">
        <f t="shared" si="47"/>
        <v>0</v>
      </c>
      <c r="NG27" s="8"/>
      <c r="NH27" s="8" t="s">
        <v>107</v>
      </c>
      <c r="NI27" s="8" t="s">
        <v>107</v>
      </c>
      <c r="NJ27" s="8" t="s">
        <v>107</v>
      </c>
      <c r="NK27" s="8" t="s">
        <v>107</v>
      </c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 t="s">
        <v>107</v>
      </c>
      <c r="NY27" s="8" t="s">
        <v>107</v>
      </c>
      <c r="NZ27" s="8"/>
      <c r="OA27" s="8"/>
      <c r="OB27" s="8" t="s">
        <v>107</v>
      </c>
      <c r="OC27" s="8" t="s">
        <v>107</v>
      </c>
      <c r="OD27" s="8">
        <v>0</v>
      </c>
      <c r="OE27" s="967"/>
      <c r="OF27" s="8">
        <f t="shared" si="48"/>
        <v>0</v>
      </c>
      <c r="OG27" s="8"/>
      <c r="OH27" s="8" t="s">
        <v>107</v>
      </c>
      <c r="OI27" s="8" t="s">
        <v>107</v>
      </c>
      <c r="OJ27" s="8" t="s">
        <v>107</v>
      </c>
      <c r="OK27" s="8" t="s">
        <v>107</v>
      </c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 t="s">
        <v>107</v>
      </c>
      <c r="OY27" s="8" t="s">
        <v>107</v>
      </c>
      <c r="OZ27" s="8"/>
      <c r="PA27" s="8"/>
      <c r="PB27" s="8" t="s">
        <v>107</v>
      </c>
      <c r="PC27" s="8" t="s">
        <v>107</v>
      </c>
      <c r="PD27" s="8">
        <v>0</v>
      </c>
      <c r="PE27" s="967"/>
      <c r="PF27" s="8">
        <f t="shared" si="49"/>
        <v>0</v>
      </c>
      <c r="PG27" s="8"/>
      <c r="PH27" s="8" t="s">
        <v>107</v>
      </c>
      <c r="PI27" s="8" t="s">
        <v>107</v>
      </c>
      <c r="PJ27" s="8" t="s">
        <v>107</v>
      </c>
      <c r="PK27" s="8" t="s">
        <v>107</v>
      </c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 t="s">
        <v>107</v>
      </c>
      <c r="PY27" s="8" t="s">
        <v>107</v>
      </c>
      <c r="PZ27" s="8"/>
      <c r="QA27" s="8"/>
      <c r="QB27" s="8" t="s">
        <v>107</v>
      </c>
      <c r="QC27" s="8" t="s">
        <v>107</v>
      </c>
      <c r="QD27" s="8">
        <v>0</v>
      </c>
      <c r="QE27" s="967"/>
    </row>
    <row r="28" spans="2:447" x14ac:dyDescent="0.3">
      <c r="B28">
        <v>20</v>
      </c>
      <c r="D28" t="s">
        <v>1994</v>
      </c>
      <c r="F28" s="8">
        <f t="shared" si="33"/>
        <v>9</v>
      </c>
      <c r="G28" s="8"/>
      <c r="H28" s="8" t="s">
        <v>107</v>
      </c>
      <c r="I28" s="8" t="s">
        <v>107</v>
      </c>
      <c r="J28" s="8" t="s">
        <v>107</v>
      </c>
      <c r="K28" s="8" t="s">
        <v>107</v>
      </c>
      <c r="L28" s="8" t="s">
        <v>107</v>
      </c>
      <c r="M28" s="8" t="s">
        <v>107</v>
      </c>
      <c r="N28" s="8" t="s">
        <v>107</v>
      </c>
      <c r="O28" s="8" t="s">
        <v>107</v>
      </c>
      <c r="P28" s="8" t="s">
        <v>107</v>
      </c>
      <c r="Q28" s="8" t="s">
        <v>107</v>
      </c>
      <c r="R28" s="8" t="s">
        <v>107</v>
      </c>
      <c r="S28" s="8" t="s">
        <v>107</v>
      </c>
      <c r="T28" s="8" t="s">
        <v>107</v>
      </c>
      <c r="U28" s="8" t="s">
        <v>107</v>
      </c>
      <c r="V28" s="8" t="s">
        <v>107</v>
      </c>
      <c r="W28" s="8">
        <v>2</v>
      </c>
      <c r="X28" s="8">
        <v>7</v>
      </c>
      <c r="Y28" s="8" t="s">
        <v>107</v>
      </c>
      <c r="Z28" s="8"/>
      <c r="AA28" s="8"/>
      <c r="AB28" s="8" t="s">
        <v>107</v>
      </c>
      <c r="AC28" s="8" t="s">
        <v>107</v>
      </c>
      <c r="AD28" s="8" t="s">
        <v>107</v>
      </c>
      <c r="AE28" s="967"/>
      <c r="AF28" s="8">
        <f t="shared" si="35"/>
        <v>4</v>
      </c>
      <c r="AG28" s="8"/>
      <c r="AH28" s="8" t="s">
        <v>107</v>
      </c>
      <c r="AI28" s="8" t="s">
        <v>107</v>
      </c>
      <c r="AJ28" s="8" t="s">
        <v>107</v>
      </c>
      <c r="AK28" s="8" t="s">
        <v>107</v>
      </c>
      <c r="AL28" s="8"/>
      <c r="AM28" s="8"/>
      <c r="AN28" s="8"/>
      <c r="AO28" s="8" t="s">
        <v>107</v>
      </c>
      <c r="AP28" s="8" t="s">
        <v>107</v>
      </c>
      <c r="AQ28" s="8"/>
      <c r="AR28" s="8"/>
      <c r="AS28" s="8"/>
      <c r="AT28" s="8"/>
      <c r="AU28" s="8"/>
      <c r="AV28" s="8"/>
      <c r="AW28" s="8"/>
      <c r="AX28" s="8">
        <v>4</v>
      </c>
      <c r="AY28" s="8" t="s">
        <v>107</v>
      </c>
      <c r="AZ28" s="8"/>
      <c r="BA28" s="8"/>
      <c r="BB28" s="8" t="s">
        <v>107</v>
      </c>
      <c r="BC28" s="8" t="s">
        <v>107</v>
      </c>
      <c r="BD28" s="8" t="s">
        <v>107</v>
      </c>
      <c r="BE28" s="967"/>
      <c r="BF28" s="8">
        <f t="shared" si="36"/>
        <v>2</v>
      </c>
      <c r="BG28" s="8"/>
      <c r="BH28" s="8" t="s">
        <v>107</v>
      </c>
      <c r="BI28" s="8"/>
      <c r="BJ28" s="8"/>
      <c r="BK28" s="8" t="s">
        <v>107</v>
      </c>
      <c r="BL28" s="8"/>
      <c r="BM28" s="8"/>
      <c r="BN28" s="8"/>
      <c r="BO28" s="8" t="s">
        <v>107</v>
      </c>
      <c r="BP28" s="8" t="s">
        <v>107</v>
      </c>
      <c r="BQ28" s="8"/>
      <c r="BR28" s="8"/>
      <c r="BS28" s="8"/>
      <c r="BT28" s="8"/>
      <c r="BU28" s="8"/>
      <c r="BV28" s="8"/>
      <c r="BW28" s="8"/>
      <c r="BX28" s="8">
        <v>2</v>
      </c>
      <c r="BY28" s="8" t="s">
        <v>107</v>
      </c>
      <c r="BZ28" s="8"/>
      <c r="CA28" s="8"/>
      <c r="CB28" s="8" t="s">
        <v>107</v>
      </c>
      <c r="CC28" s="8" t="s">
        <v>107</v>
      </c>
      <c r="CD28" s="8" t="s">
        <v>107</v>
      </c>
      <c r="CE28" s="967"/>
      <c r="CF28" s="8">
        <f t="shared" si="37"/>
        <v>6</v>
      </c>
      <c r="CG28" s="8"/>
      <c r="CH28" s="8" t="s">
        <v>107</v>
      </c>
      <c r="CI28" s="8"/>
      <c r="CJ28" s="8"/>
      <c r="CK28" s="8" t="s">
        <v>107</v>
      </c>
      <c r="CL28" s="8"/>
      <c r="CM28" s="8"/>
      <c r="CN28" s="8"/>
      <c r="CO28" s="8" t="s">
        <v>107</v>
      </c>
      <c r="CP28" s="8" t="s">
        <v>107</v>
      </c>
      <c r="CQ28" s="8"/>
      <c r="CR28" s="8"/>
      <c r="CS28" s="8"/>
      <c r="CT28" s="8"/>
      <c r="CU28" s="8"/>
      <c r="CV28" s="8"/>
      <c r="CW28" s="8"/>
      <c r="CX28" s="8">
        <v>6</v>
      </c>
      <c r="CY28" s="8" t="s">
        <v>107</v>
      </c>
      <c r="CZ28" s="8"/>
      <c r="DA28" s="8"/>
      <c r="DB28" s="8" t="s">
        <v>107</v>
      </c>
      <c r="DC28" s="8" t="s">
        <v>107</v>
      </c>
      <c r="DD28" s="8" t="s">
        <v>107</v>
      </c>
      <c r="DE28" s="967"/>
      <c r="DF28" s="8">
        <f t="shared" si="38"/>
        <v>0</v>
      </c>
      <c r="DG28" s="8"/>
      <c r="DH28" s="8" t="s">
        <v>107</v>
      </c>
      <c r="DI28" s="8" t="s">
        <v>107</v>
      </c>
      <c r="DJ28" s="8" t="s">
        <v>107</v>
      </c>
      <c r="DK28" s="8" t="s">
        <v>107</v>
      </c>
      <c r="DL28" s="8"/>
      <c r="DM28" s="8"/>
      <c r="DN28" s="8"/>
      <c r="DO28" s="8" t="s">
        <v>107</v>
      </c>
      <c r="DP28" s="8" t="s">
        <v>107</v>
      </c>
      <c r="DQ28" s="8"/>
      <c r="DR28" s="8"/>
      <c r="DS28" s="8"/>
      <c r="DT28" s="8"/>
      <c r="DU28" s="8"/>
      <c r="DV28" s="8"/>
      <c r="DW28" s="8"/>
      <c r="DX28" s="8">
        <v>0</v>
      </c>
      <c r="DY28" s="8" t="s">
        <v>107</v>
      </c>
      <c r="DZ28" s="8"/>
      <c r="EA28" s="8"/>
      <c r="EB28" s="8" t="s">
        <v>107</v>
      </c>
      <c r="EC28" s="8" t="s">
        <v>107</v>
      </c>
      <c r="ED28" s="8" t="s">
        <v>107</v>
      </c>
      <c r="EE28" s="967"/>
      <c r="EF28" s="8">
        <f t="shared" si="39"/>
        <v>0</v>
      </c>
      <c r="EG28" s="8"/>
      <c r="EH28" s="8" t="s">
        <v>107</v>
      </c>
      <c r="EI28" s="8" t="s">
        <v>107</v>
      </c>
      <c r="EJ28" s="8" t="s">
        <v>107</v>
      </c>
      <c r="EK28" s="8" t="s">
        <v>107</v>
      </c>
      <c r="EL28" s="8"/>
      <c r="EM28" s="8"/>
      <c r="EN28" s="8"/>
      <c r="EO28" s="8" t="s">
        <v>107</v>
      </c>
      <c r="EP28" s="8" t="s">
        <v>107</v>
      </c>
      <c r="EQ28" s="8"/>
      <c r="ER28" s="8"/>
      <c r="ES28" s="8"/>
      <c r="ET28" s="8"/>
      <c r="EU28" s="8"/>
      <c r="EV28" s="8"/>
      <c r="EW28" s="8"/>
      <c r="EX28" s="8">
        <v>0</v>
      </c>
      <c r="EY28" s="8" t="s">
        <v>107</v>
      </c>
      <c r="EZ28" s="8"/>
      <c r="FA28" s="8"/>
      <c r="FB28" s="8" t="s">
        <v>107</v>
      </c>
      <c r="FC28" s="8" t="s">
        <v>107</v>
      </c>
      <c r="FD28" s="8" t="s">
        <v>107</v>
      </c>
      <c r="FE28" s="967"/>
      <c r="FF28" s="8">
        <f t="shared" si="34"/>
        <v>0</v>
      </c>
      <c r="FG28" s="8"/>
      <c r="FH28" s="8" t="s">
        <v>107</v>
      </c>
      <c r="FI28" s="8" t="s">
        <v>107</v>
      </c>
      <c r="FJ28" s="8" t="s">
        <v>107</v>
      </c>
      <c r="FK28" s="8" t="s">
        <v>107</v>
      </c>
      <c r="FL28" s="8"/>
      <c r="FM28" s="8"/>
      <c r="FN28" s="8"/>
      <c r="FO28" s="8" t="s">
        <v>107</v>
      </c>
      <c r="FP28" s="8" t="s">
        <v>107</v>
      </c>
      <c r="FQ28" s="8"/>
      <c r="FR28" s="8"/>
      <c r="FS28" s="8"/>
      <c r="FT28" s="8"/>
      <c r="FU28" s="8"/>
      <c r="FV28" s="8"/>
      <c r="FW28" s="8"/>
      <c r="FX28" s="8">
        <v>0</v>
      </c>
      <c r="FY28" s="8" t="s">
        <v>107</v>
      </c>
      <c r="FZ28" s="8"/>
      <c r="GA28" s="8"/>
      <c r="GB28" s="8" t="s">
        <v>107</v>
      </c>
      <c r="GC28" s="8" t="s">
        <v>107</v>
      </c>
      <c r="GD28" s="8" t="s">
        <v>107</v>
      </c>
      <c r="GE28" s="967"/>
      <c r="GF28" s="8">
        <f t="shared" si="40"/>
        <v>1</v>
      </c>
      <c r="GG28" s="8"/>
      <c r="GH28" s="8" t="s">
        <v>107</v>
      </c>
      <c r="GI28" s="8" t="s">
        <v>107</v>
      </c>
      <c r="GJ28" s="8" t="s">
        <v>107</v>
      </c>
      <c r="GK28" s="8" t="s">
        <v>107</v>
      </c>
      <c r="GL28" s="8"/>
      <c r="GM28" s="8"/>
      <c r="GN28" s="8"/>
      <c r="GO28" s="8" t="s">
        <v>107</v>
      </c>
      <c r="GP28" s="8" t="s">
        <v>107</v>
      </c>
      <c r="GQ28" s="8"/>
      <c r="GR28" s="8"/>
      <c r="GS28" s="8"/>
      <c r="GT28" s="8"/>
      <c r="GU28" s="8"/>
      <c r="GV28" s="8"/>
      <c r="GW28" s="8"/>
      <c r="GX28" s="8">
        <v>1</v>
      </c>
      <c r="GY28" s="8" t="s">
        <v>107</v>
      </c>
      <c r="GZ28" s="8"/>
      <c r="HA28" s="8"/>
      <c r="HB28" s="8" t="s">
        <v>107</v>
      </c>
      <c r="HC28" s="8" t="s">
        <v>107</v>
      </c>
      <c r="HD28" s="8" t="s">
        <v>107</v>
      </c>
      <c r="HE28" s="967"/>
      <c r="HF28" s="8">
        <f t="shared" si="41"/>
        <v>0</v>
      </c>
      <c r="HG28" s="8"/>
      <c r="HH28" s="8" t="s">
        <v>107</v>
      </c>
      <c r="HI28" s="8" t="s">
        <v>107</v>
      </c>
      <c r="HJ28" s="8" t="s">
        <v>107</v>
      </c>
      <c r="HK28" s="8" t="s">
        <v>107</v>
      </c>
      <c r="HL28" s="8"/>
      <c r="HM28" s="8"/>
      <c r="HN28" s="8"/>
      <c r="HO28" s="8" t="s">
        <v>107</v>
      </c>
      <c r="HP28" s="8" t="s">
        <v>107</v>
      </c>
      <c r="HQ28" s="8"/>
      <c r="HR28" s="8"/>
      <c r="HS28" s="8"/>
      <c r="HT28" s="8"/>
      <c r="HU28" s="8"/>
      <c r="HV28" s="8"/>
      <c r="HW28" s="8"/>
      <c r="HX28" s="8">
        <v>0</v>
      </c>
      <c r="HY28" s="8" t="s">
        <v>107</v>
      </c>
      <c r="HZ28" s="8"/>
      <c r="IA28" s="8"/>
      <c r="IB28" s="8" t="s">
        <v>107</v>
      </c>
      <c r="IC28" s="8" t="s">
        <v>107</v>
      </c>
      <c r="ID28" s="8" t="s">
        <v>107</v>
      </c>
      <c r="IE28" s="967"/>
      <c r="IF28" s="8">
        <f t="shared" si="42"/>
        <v>0</v>
      </c>
      <c r="IG28" s="8"/>
      <c r="IH28" s="8" t="s">
        <v>107</v>
      </c>
      <c r="II28" s="8" t="s">
        <v>107</v>
      </c>
      <c r="IJ28" s="8" t="s">
        <v>107</v>
      </c>
      <c r="IK28" s="8" t="s">
        <v>107</v>
      </c>
      <c r="IL28" s="8"/>
      <c r="IM28" s="8"/>
      <c r="IN28" s="8"/>
      <c r="IO28" s="8" t="s">
        <v>107</v>
      </c>
      <c r="IP28" s="8" t="s">
        <v>107</v>
      </c>
      <c r="IQ28" s="8"/>
      <c r="IR28" s="8"/>
      <c r="IS28" s="8"/>
      <c r="IT28" s="8"/>
      <c r="IU28" s="8"/>
      <c r="IV28" s="8"/>
      <c r="IW28" s="8"/>
      <c r="IX28" s="8">
        <v>0</v>
      </c>
      <c r="IY28" s="8" t="s">
        <v>107</v>
      </c>
      <c r="IZ28" s="8"/>
      <c r="JA28" s="8"/>
      <c r="JB28" s="8" t="s">
        <v>107</v>
      </c>
      <c r="JC28" s="8" t="s">
        <v>107</v>
      </c>
      <c r="JD28" s="8" t="s">
        <v>107</v>
      </c>
      <c r="JE28" s="967"/>
      <c r="JF28" s="8">
        <f t="shared" si="43"/>
        <v>0</v>
      </c>
      <c r="JG28" s="8"/>
      <c r="JH28" s="8" t="s">
        <v>107</v>
      </c>
      <c r="JI28" s="8" t="s">
        <v>107</v>
      </c>
      <c r="JJ28" s="8" t="s">
        <v>107</v>
      </c>
      <c r="JK28" s="8" t="s">
        <v>107</v>
      </c>
      <c r="JL28" s="8"/>
      <c r="JM28" s="8"/>
      <c r="JN28" s="8"/>
      <c r="JO28" s="8" t="s">
        <v>107</v>
      </c>
      <c r="JP28" s="8" t="s">
        <v>107</v>
      </c>
      <c r="JQ28" s="8"/>
      <c r="JR28" s="8"/>
      <c r="JS28" s="8"/>
      <c r="JT28" s="8"/>
      <c r="JU28" s="8"/>
      <c r="JV28" s="8"/>
      <c r="JW28" s="8"/>
      <c r="JX28" s="8">
        <v>0</v>
      </c>
      <c r="JY28" s="8" t="s">
        <v>107</v>
      </c>
      <c r="JZ28" s="8"/>
      <c r="KA28" s="8"/>
      <c r="KB28" s="8" t="s">
        <v>107</v>
      </c>
      <c r="KC28" s="8" t="s">
        <v>107</v>
      </c>
      <c r="KD28" s="8" t="s">
        <v>107</v>
      </c>
      <c r="KE28" s="967"/>
      <c r="KF28" s="8">
        <f t="shared" si="44"/>
        <v>0</v>
      </c>
      <c r="KG28" s="8"/>
      <c r="KH28" s="8" t="s">
        <v>107</v>
      </c>
      <c r="KI28" s="8" t="s">
        <v>107</v>
      </c>
      <c r="KJ28" s="8" t="s">
        <v>107</v>
      </c>
      <c r="KK28" s="8" t="s">
        <v>107</v>
      </c>
      <c r="KL28" s="8"/>
      <c r="KM28" s="8"/>
      <c r="KN28" s="8"/>
      <c r="KO28" s="8" t="s">
        <v>107</v>
      </c>
      <c r="KP28" s="8" t="s">
        <v>107</v>
      </c>
      <c r="KQ28" s="8"/>
      <c r="KR28" s="8"/>
      <c r="KS28" s="8"/>
      <c r="KT28" s="8"/>
      <c r="KU28" s="8"/>
      <c r="KV28" s="8"/>
      <c r="KW28" s="8"/>
      <c r="KX28" s="8">
        <v>0</v>
      </c>
      <c r="KY28" s="8" t="s">
        <v>107</v>
      </c>
      <c r="KZ28" s="8"/>
      <c r="LA28" s="8"/>
      <c r="LB28" s="8" t="s">
        <v>107</v>
      </c>
      <c r="LC28" s="8" t="s">
        <v>107</v>
      </c>
      <c r="LD28" s="8" t="s">
        <v>107</v>
      </c>
      <c r="LE28" s="967"/>
      <c r="LF28" s="8">
        <f t="shared" si="45"/>
        <v>0</v>
      </c>
      <c r="LG28" s="8"/>
      <c r="LH28" s="8" t="s">
        <v>107</v>
      </c>
      <c r="LI28" s="8" t="s">
        <v>107</v>
      </c>
      <c r="LJ28" s="8" t="s">
        <v>107</v>
      </c>
      <c r="LK28" s="8" t="s">
        <v>107</v>
      </c>
      <c r="LL28" s="8"/>
      <c r="LM28" s="8"/>
      <c r="LN28" s="8"/>
      <c r="LO28" s="8" t="s">
        <v>107</v>
      </c>
      <c r="LP28" s="8" t="s">
        <v>107</v>
      </c>
      <c r="LQ28" s="8"/>
      <c r="LR28" s="8"/>
      <c r="LS28" s="8"/>
      <c r="LT28" s="8"/>
      <c r="LU28" s="8"/>
      <c r="LV28" s="8"/>
      <c r="LW28" s="8"/>
      <c r="LX28" s="8">
        <v>0</v>
      </c>
      <c r="LY28" s="8" t="s">
        <v>107</v>
      </c>
      <c r="LZ28" s="8"/>
      <c r="MA28" s="8"/>
      <c r="MB28" s="8" t="s">
        <v>107</v>
      </c>
      <c r="MC28" s="8" t="s">
        <v>107</v>
      </c>
      <c r="MD28" s="8" t="s">
        <v>107</v>
      </c>
      <c r="ME28" s="967"/>
      <c r="MF28" s="8">
        <f t="shared" si="46"/>
        <v>0</v>
      </c>
      <c r="MG28" s="8"/>
      <c r="MH28" s="8" t="s">
        <v>107</v>
      </c>
      <c r="MI28" s="8" t="s">
        <v>107</v>
      </c>
      <c r="MJ28" s="8" t="s">
        <v>107</v>
      </c>
      <c r="MK28" s="8" t="s">
        <v>107</v>
      </c>
      <c r="ML28" s="8"/>
      <c r="MM28" s="8"/>
      <c r="MN28" s="8"/>
      <c r="MO28" s="8" t="s">
        <v>107</v>
      </c>
      <c r="MP28" s="8" t="s">
        <v>107</v>
      </c>
      <c r="MQ28" s="8"/>
      <c r="MR28" s="8"/>
      <c r="MS28" s="8"/>
      <c r="MT28" s="8"/>
      <c r="MU28" s="8"/>
      <c r="MV28" s="8"/>
      <c r="MW28" s="8"/>
      <c r="MX28" s="8">
        <v>0</v>
      </c>
      <c r="MY28" s="8" t="s">
        <v>107</v>
      </c>
      <c r="MZ28" s="8"/>
      <c r="NA28" s="8"/>
      <c r="NB28" s="8" t="s">
        <v>107</v>
      </c>
      <c r="NC28" s="8" t="s">
        <v>107</v>
      </c>
      <c r="ND28" s="8" t="s">
        <v>107</v>
      </c>
      <c r="NE28" s="967"/>
      <c r="NF28" s="8">
        <f t="shared" si="47"/>
        <v>0</v>
      </c>
      <c r="NG28" s="8"/>
      <c r="NH28" s="8" t="s">
        <v>107</v>
      </c>
      <c r="NI28" s="8" t="s">
        <v>107</v>
      </c>
      <c r="NJ28" s="8" t="s">
        <v>107</v>
      </c>
      <c r="NK28" s="8" t="s">
        <v>107</v>
      </c>
      <c r="NL28" s="8"/>
      <c r="NM28" s="8"/>
      <c r="NN28" s="8"/>
      <c r="NO28" s="8" t="s">
        <v>107</v>
      </c>
      <c r="NP28" s="8" t="s">
        <v>107</v>
      </c>
      <c r="NQ28" s="8"/>
      <c r="NR28" s="8"/>
      <c r="NS28" s="8"/>
      <c r="NT28" s="8"/>
      <c r="NU28" s="8"/>
      <c r="NV28" s="8"/>
      <c r="NW28" s="8"/>
      <c r="NX28" s="8">
        <v>0</v>
      </c>
      <c r="NY28" s="8" t="s">
        <v>107</v>
      </c>
      <c r="NZ28" s="8"/>
      <c r="OA28" s="8"/>
      <c r="OB28" s="8" t="s">
        <v>107</v>
      </c>
      <c r="OC28" s="8" t="s">
        <v>107</v>
      </c>
      <c r="OD28" s="8" t="s">
        <v>107</v>
      </c>
      <c r="OE28" s="967"/>
      <c r="OF28" s="8">
        <f t="shared" si="48"/>
        <v>0</v>
      </c>
      <c r="OG28" s="8"/>
      <c r="OH28" s="8" t="s">
        <v>107</v>
      </c>
      <c r="OI28" s="8" t="s">
        <v>107</v>
      </c>
      <c r="OJ28" s="8" t="s">
        <v>107</v>
      </c>
      <c r="OK28" s="8" t="s">
        <v>107</v>
      </c>
      <c r="OL28" s="8"/>
      <c r="OM28" s="8"/>
      <c r="ON28" s="8"/>
      <c r="OO28" s="8" t="s">
        <v>107</v>
      </c>
      <c r="OP28" s="8" t="s">
        <v>107</v>
      </c>
      <c r="OQ28" s="8"/>
      <c r="OR28" s="8"/>
      <c r="OS28" s="8"/>
      <c r="OT28" s="8"/>
      <c r="OU28" s="8"/>
      <c r="OV28" s="8"/>
      <c r="OW28" s="8"/>
      <c r="OX28" s="8">
        <v>0</v>
      </c>
      <c r="OY28" s="8" t="s">
        <v>107</v>
      </c>
      <c r="OZ28" s="8"/>
      <c r="PA28" s="8"/>
      <c r="PB28" s="8" t="s">
        <v>107</v>
      </c>
      <c r="PC28" s="8" t="s">
        <v>107</v>
      </c>
      <c r="PD28" s="8" t="s">
        <v>107</v>
      </c>
      <c r="PE28" s="967"/>
      <c r="PF28" s="8">
        <f t="shared" si="49"/>
        <v>0</v>
      </c>
      <c r="PG28" s="8"/>
      <c r="PH28" s="8" t="s">
        <v>107</v>
      </c>
      <c r="PI28" s="8" t="s">
        <v>107</v>
      </c>
      <c r="PJ28" s="8" t="s">
        <v>107</v>
      </c>
      <c r="PK28" s="8" t="s">
        <v>107</v>
      </c>
      <c r="PL28" s="8"/>
      <c r="PM28" s="8"/>
      <c r="PN28" s="8"/>
      <c r="PO28" s="8" t="s">
        <v>107</v>
      </c>
      <c r="PP28" s="8" t="s">
        <v>107</v>
      </c>
      <c r="PQ28" s="8"/>
      <c r="PR28" s="8"/>
      <c r="PS28" s="8"/>
      <c r="PT28" s="8"/>
      <c r="PU28" s="8"/>
      <c r="PV28" s="8"/>
      <c r="PW28" s="8"/>
      <c r="PX28" s="8">
        <v>0</v>
      </c>
      <c r="PY28" s="8" t="s">
        <v>107</v>
      </c>
      <c r="PZ28" s="8"/>
      <c r="QA28" s="8"/>
      <c r="QB28" s="8" t="s">
        <v>107</v>
      </c>
      <c r="QC28" s="8" t="s">
        <v>107</v>
      </c>
      <c r="QD28" s="8" t="s">
        <v>107</v>
      </c>
      <c r="QE28" s="967"/>
    </row>
    <row r="29" spans="2:447" x14ac:dyDescent="0.3">
      <c r="B29">
        <v>21</v>
      </c>
      <c r="C29" t="s">
        <v>681</v>
      </c>
      <c r="D29" t="s">
        <v>2110</v>
      </c>
      <c r="F29" s="8">
        <f t="shared" si="33"/>
        <v>25</v>
      </c>
      <c r="G29" s="8"/>
      <c r="H29" s="8" t="s">
        <v>107</v>
      </c>
      <c r="I29" s="8" t="s">
        <v>107</v>
      </c>
      <c r="J29" s="8" t="s">
        <v>107</v>
      </c>
      <c r="K29" s="8" t="s">
        <v>107</v>
      </c>
      <c r="L29" s="8" t="s">
        <v>107</v>
      </c>
      <c r="M29" s="8">
        <v>8</v>
      </c>
      <c r="N29" s="8" t="s">
        <v>107</v>
      </c>
      <c r="O29" s="8">
        <v>14</v>
      </c>
      <c r="P29" s="8">
        <v>3</v>
      </c>
      <c r="Q29" s="8" t="s">
        <v>107</v>
      </c>
      <c r="R29" s="8" t="s">
        <v>107</v>
      </c>
      <c r="S29" s="8" t="s">
        <v>107</v>
      </c>
      <c r="T29" s="8" t="s">
        <v>107</v>
      </c>
      <c r="U29" s="8" t="s">
        <v>107</v>
      </c>
      <c r="V29" s="8" t="s">
        <v>107</v>
      </c>
      <c r="W29" s="8" t="s">
        <v>107</v>
      </c>
      <c r="X29" s="8" t="s">
        <v>107</v>
      </c>
      <c r="Y29" s="8" t="s">
        <v>107</v>
      </c>
      <c r="Z29" s="8" t="s">
        <v>107</v>
      </c>
      <c r="AA29" s="8" t="s">
        <v>107</v>
      </c>
      <c r="AB29" s="8" t="s">
        <v>107</v>
      </c>
      <c r="AC29" s="8" t="s">
        <v>107</v>
      </c>
      <c r="AD29" s="8" t="s">
        <v>107</v>
      </c>
      <c r="AE29" s="967"/>
      <c r="AF29" s="8">
        <f t="shared" si="35"/>
        <v>3</v>
      </c>
      <c r="AG29" s="8"/>
      <c r="AH29" s="8" t="s">
        <v>107</v>
      </c>
      <c r="AI29" s="8" t="s">
        <v>107</v>
      </c>
      <c r="AJ29" s="8" t="s">
        <v>107</v>
      </c>
      <c r="AK29" s="8" t="s">
        <v>107</v>
      </c>
      <c r="AL29" s="8"/>
      <c r="AM29" s="8"/>
      <c r="AN29" s="8"/>
      <c r="AO29" s="8">
        <v>0</v>
      </c>
      <c r="AP29" s="8">
        <v>3</v>
      </c>
      <c r="AQ29" s="8"/>
      <c r="AR29" s="8"/>
      <c r="AS29" s="8"/>
      <c r="AT29" s="8"/>
      <c r="AU29" s="8"/>
      <c r="AV29" s="8"/>
      <c r="AW29" s="8"/>
      <c r="AX29" s="8" t="s">
        <v>107</v>
      </c>
      <c r="AY29" s="8" t="s">
        <v>107</v>
      </c>
      <c r="AZ29" s="8"/>
      <c r="BA29" s="8"/>
      <c r="BB29" s="8" t="s">
        <v>107</v>
      </c>
      <c r="BC29" s="8" t="s">
        <v>107</v>
      </c>
      <c r="BD29" s="8" t="s">
        <v>107</v>
      </c>
      <c r="BE29" s="967"/>
      <c r="BF29" s="8">
        <f t="shared" si="36"/>
        <v>3</v>
      </c>
      <c r="BG29" s="8"/>
      <c r="BH29" s="8" t="s">
        <v>107</v>
      </c>
      <c r="BI29" s="8"/>
      <c r="BJ29" s="8"/>
      <c r="BK29" s="8" t="s">
        <v>107</v>
      </c>
      <c r="BL29" s="8"/>
      <c r="BM29" s="8"/>
      <c r="BN29" s="8"/>
      <c r="BO29" s="8">
        <v>2</v>
      </c>
      <c r="BP29" s="8">
        <v>1</v>
      </c>
      <c r="BQ29" s="8"/>
      <c r="BR29" s="8"/>
      <c r="BS29" s="8"/>
      <c r="BT29" s="8"/>
      <c r="BU29" s="8"/>
      <c r="BV29" s="8"/>
      <c r="BW29" s="8"/>
      <c r="BX29" s="8" t="s">
        <v>107</v>
      </c>
      <c r="BY29" s="8" t="s">
        <v>107</v>
      </c>
      <c r="BZ29" s="8"/>
      <c r="CA29" s="8"/>
      <c r="CB29" s="8" t="s">
        <v>107</v>
      </c>
      <c r="CC29" s="8" t="s">
        <v>107</v>
      </c>
      <c r="CD29" s="8" t="s">
        <v>107</v>
      </c>
      <c r="CE29" s="967"/>
      <c r="CF29" s="8">
        <f t="shared" si="37"/>
        <v>6</v>
      </c>
      <c r="CG29" s="8"/>
      <c r="CH29" s="8" t="s">
        <v>107</v>
      </c>
      <c r="CI29" s="8"/>
      <c r="CJ29" s="8"/>
      <c r="CK29" s="8" t="s">
        <v>107</v>
      </c>
      <c r="CL29" s="8"/>
      <c r="CM29" s="8"/>
      <c r="CN29" s="8"/>
      <c r="CO29" s="8">
        <v>2</v>
      </c>
      <c r="CP29" s="8">
        <v>4</v>
      </c>
      <c r="CQ29" s="8"/>
      <c r="CR29" s="8"/>
      <c r="CS29" s="8"/>
      <c r="CT29" s="8"/>
      <c r="CU29" s="8"/>
      <c r="CV29" s="8"/>
      <c r="CW29" s="8"/>
      <c r="CX29" s="8" t="s">
        <v>107</v>
      </c>
      <c r="CY29" s="8" t="s">
        <v>107</v>
      </c>
      <c r="CZ29" s="8"/>
      <c r="DA29" s="8"/>
      <c r="DB29" s="8" t="s">
        <v>107</v>
      </c>
      <c r="DC29" s="8" t="s">
        <v>107</v>
      </c>
      <c r="DD29" s="8" t="s">
        <v>107</v>
      </c>
      <c r="DE29" s="967"/>
      <c r="DF29" s="8">
        <f t="shared" si="38"/>
        <v>0</v>
      </c>
      <c r="DG29" s="8"/>
      <c r="DH29" s="8" t="s">
        <v>107</v>
      </c>
      <c r="DI29" s="8" t="s">
        <v>107</v>
      </c>
      <c r="DJ29" s="8" t="s">
        <v>107</v>
      </c>
      <c r="DK29" s="8" t="s">
        <v>107</v>
      </c>
      <c r="DL29" s="8"/>
      <c r="DM29" s="8"/>
      <c r="DN29" s="8"/>
      <c r="DO29" s="8">
        <v>0</v>
      </c>
      <c r="DP29" s="8">
        <v>0</v>
      </c>
      <c r="DQ29" s="8"/>
      <c r="DR29" s="8"/>
      <c r="DS29" s="8"/>
      <c r="DT29" s="8"/>
      <c r="DU29" s="8"/>
      <c r="DV29" s="8"/>
      <c r="DW29" s="8"/>
      <c r="DX29" s="8" t="s">
        <v>107</v>
      </c>
      <c r="DY29" s="8" t="s">
        <v>107</v>
      </c>
      <c r="DZ29" s="8"/>
      <c r="EA29" s="8"/>
      <c r="EB29" s="8" t="s">
        <v>107</v>
      </c>
      <c r="EC29" s="8" t="s">
        <v>107</v>
      </c>
      <c r="ED29" s="8" t="s">
        <v>107</v>
      </c>
      <c r="EE29" s="967"/>
      <c r="EF29" s="8">
        <f t="shared" si="39"/>
        <v>0</v>
      </c>
      <c r="EG29" s="8"/>
      <c r="EH29" s="8" t="s">
        <v>107</v>
      </c>
      <c r="EI29" s="8" t="s">
        <v>107</v>
      </c>
      <c r="EJ29" s="8" t="s">
        <v>107</v>
      </c>
      <c r="EK29" s="8" t="s">
        <v>107</v>
      </c>
      <c r="EL29" s="8"/>
      <c r="EM29" s="8"/>
      <c r="EN29" s="8"/>
      <c r="EO29" s="8">
        <v>0</v>
      </c>
      <c r="EP29" s="8">
        <v>0</v>
      </c>
      <c r="EQ29" s="8"/>
      <c r="ER29" s="8"/>
      <c r="ES29" s="8"/>
      <c r="ET29" s="8"/>
      <c r="EU29" s="8"/>
      <c r="EV29" s="8"/>
      <c r="EW29" s="8"/>
      <c r="EX29" s="8" t="s">
        <v>107</v>
      </c>
      <c r="EY29" s="8" t="s">
        <v>107</v>
      </c>
      <c r="EZ29" s="8"/>
      <c r="FA29" s="8"/>
      <c r="FB29" s="8" t="s">
        <v>107</v>
      </c>
      <c r="FC29" s="8" t="s">
        <v>107</v>
      </c>
      <c r="FD29" s="8" t="s">
        <v>107</v>
      </c>
      <c r="FE29" s="967"/>
      <c r="FF29" s="8">
        <f t="shared" si="34"/>
        <v>0</v>
      </c>
      <c r="FG29" s="8"/>
      <c r="FH29" s="8" t="s">
        <v>107</v>
      </c>
      <c r="FI29" s="8" t="s">
        <v>107</v>
      </c>
      <c r="FJ29" s="8" t="s">
        <v>107</v>
      </c>
      <c r="FK29" s="8" t="s">
        <v>107</v>
      </c>
      <c r="FL29" s="8"/>
      <c r="FM29" s="8"/>
      <c r="FN29" s="8"/>
      <c r="FO29" s="8">
        <v>0</v>
      </c>
      <c r="FP29" s="8">
        <v>0</v>
      </c>
      <c r="FQ29" s="8"/>
      <c r="FR29" s="8"/>
      <c r="FS29" s="8"/>
      <c r="FT29" s="8"/>
      <c r="FU29" s="8"/>
      <c r="FV29" s="8"/>
      <c r="FW29" s="8"/>
      <c r="FX29" s="8" t="s">
        <v>107</v>
      </c>
      <c r="FY29" s="8" t="s">
        <v>107</v>
      </c>
      <c r="FZ29" s="8"/>
      <c r="GA29" s="8"/>
      <c r="GB29" s="8" t="s">
        <v>107</v>
      </c>
      <c r="GC29" s="8" t="s">
        <v>107</v>
      </c>
      <c r="GD29" s="8" t="s">
        <v>107</v>
      </c>
      <c r="GE29" s="967"/>
      <c r="GF29" s="8">
        <f t="shared" si="40"/>
        <v>0</v>
      </c>
      <c r="GG29" s="8"/>
      <c r="GH29" s="8" t="s">
        <v>107</v>
      </c>
      <c r="GI29" s="8" t="s">
        <v>107</v>
      </c>
      <c r="GJ29" s="8" t="s">
        <v>107</v>
      </c>
      <c r="GK29" s="8" t="s">
        <v>107</v>
      </c>
      <c r="GL29" s="8"/>
      <c r="GM29" s="8"/>
      <c r="GN29" s="8"/>
      <c r="GO29" s="8">
        <v>0</v>
      </c>
      <c r="GP29" s="8">
        <v>0</v>
      </c>
      <c r="GQ29" s="8"/>
      <c r="GR29" s="8"/>
      <c r="GS29" s="8"/>
      <c r="GT29" s="8"/>
      <c r="GU29" s="8"/>
      <c r="GV29" s="8"/>
      <c r="GW29" s="8"/>
      <c r="GX29" s="8" t="s">
        <v>107</v>
      </c>
      <c r="GY29" s="8" t="s">
        <v>107</v>
      </c>
      <c r="GZ29" s="8"/>
      <c r="HA29" s="8"/>
      <c r="HB29" s="8" t="s">
        <v>107</v>
      </c>
      <c r="HC29" s="8" t="s">
        <v>107</v>
      </c>
      <c r="HD29" s="8" t="s">
        <v>107</v>
      </c>
      <c r="HE29" s="967"/>
      <c r="HF29" s="8">
        <f t="shared" si="41"/>
        <v>0</v>
      </c>
      <c r="HG29" s="8"/>
      <c r="HH29" s="8" t="s">
        <v>107</v>
      </c>
      <c r="HI29" s="8" t="s">
        <v>107</v>
      </c>
      <c r="HJ29" s="8" t="s">
        <v>107</v>
      </c>
      <c r="HK29" s="8" t="s">
        <v>107</v>
      </c>
      <c r="HL29" s="8"/>
      <c r="HM29" s="8"/>
      <c r="HN29" s="8"/>
      <c r="HO29" s="8">
        <v>0</v>
      </c>
      <c r="HP29" s="8">
        <v>0</v>
      </c>
      <c r="HQ29" s="8"/>
      <c r="HR29" s="8"/>
      <c r="HS29" s="8"/>
      <c r="HT29" s="8"/>
      <c r="HU29" s="8"/>
      <c r="HV29" s="8"/>
      <c r="HW29" s="8"/>
      <c r="HX29" s="8" t="s">
        <v>107</v>
      </c>
      <c r="HY29" s="8" t="s">
        <v>107</v>
      </c>
      <c r="HZ29" s="8"/>
      <c r="IA29" s="8"/>
      <c r="IB29" s="8" t="s">
        <v>107</v>
      </c>
      <c r="IC29" s="8" t="s">
        <v>107</v>
      </c>
      <c r="ID29" s="8" t="s">
        <v>107</v>
      </c>
      <c r="IE29" s="967"/>
      <c r="IF29" s="8">
        <f t="shared" si="42"/>
        <v>0</v>
      </c>
      <c r="IG29" s="8"/>
      <c r="IH29" s="8" t="s">
        <v>107</v>
      </c>
      <c r="II29" s="8" t="s">
        <v>107</v>
      </c>
      <c r="IJ29" s="8" t="s">
        <v>107</v>
      </c>
      <c r="IK29" s="8" t="s">
        <v>107</v>
      </c>
      <c r="IL29" s="8"/>
      <c r="IM29" s="8"/>
      <c r="IN29" s="8"/>
      <c r="IO29" s="8">
        <v>0</v>
      </c>
      <c r="IP29" s="8">
        <v>0</v>
      </c>
      <c r="IQ29" s="8"/>
      <c r="IR29" s="8"/>
      <c r="IS29" s="8"/>
      <c r="IT29" s="8"/>
      <c r="IU29" s="8"/>
      <c r="IV29" s="8"/>
      <c r="IW29" s="8"/>
      <c r="IX29" s="8" t="s">
        <v>107</v>
      </c>
      <c r="IY29" s="8" t="s">
        <v>107</v>
      </c>
      <c r="IZ29" s="8"/>
      <c r="JA29" s="8"/>
      <c r="JB29" s="8" t="s">
        <v>107</v>
      </c>
      <c r="JC29" s="8" t="s">
        <v>107</v>
      </c>
      <c r="JD29" s="8" t="s">
        <v>107</v>
      </c>
      <c r="JE29" s="967"/>
      <c r="JF29" s="8">
        <f t="shared" si="43"/>
        <v>0</v>
      </c>
      <c r="JG29" s="8"/>
      <c r="JH29" s="8" t="s">
        <v>107</v>
      </c>
      <c r="JI29" s="8" t="s">
        <v>107</v>
      </c>
      <c r="JJ29" s="8" t="s">
        <v>107</v>
      </c>
      <c r="JK29" s="8" t="s">
        <v>107</v>
      </c>
      <c r="JL29" s="8"/>
      <c r="JM29" s="8"/>
      <c r="JN29" s="8"/>
      <c r="JO29" s="8">
        <v>0</v>
      </c>
      <c r="JP29" s="8">
        <v>0</v>
      </c>
      <c r="JQ29" s="8"/>
      <c r="JR29" s="8"/>
      <c r="JS29" s="8"/>
      <c r="JT29" s="8"/>
      <c r="JU29" s="8"/>
      <c r="JV29" s="8"/>
      <c r="JW29" s="8"/>
      <c r="JX29" s="8" t="s">
        <v>107</v>
      </c>
      <c r="JY29" s="8" t="s">
        <v>107</v>
      </c>
      <c r="JZ29" s="8"/>
      <c r="KA29" s="8"/>
      <c r="KB29" s="8" t="s">
        <v>107</v>
      </c>
      <c r="KC29" s="8" t="s">
        <v>107</v>
      </c>
      <c r="KD29" s="8" t="s">
        <v>107</v>
      </c>
      <c r="KE29" s="967"/>
      <c r="KF29" s="8">
        <f t="shared" si="44"/>
        <v>0</v>
      </c>
      <c r="KG29" s="8"/>
      <c r="KH29" s="8" t="s">
        <v>107</v>
      </c>
      <c r="KI29" s="8" t="s">
        <v>107</v>
      </c>
      <c r="KJ29" s="8" t="s">
        <v>107</v>
      </c>
      <c r="KK29" s="8" t="s">
        <v>107</v>
      </c>
      <c r="KL29" s="8"/>
      <c r="KM29" s="8"/>
      <c r="KN29" s="8"/>
      <c r="KO29" s="8">
        <v>0</v>
      </c>
      <c r="KP29" s="8">
        <v>0</v>
      </c>
      <c r="KQ29" s="8"/>
      <c r="KR29" s="8"/>
      <c r="KS29" s="8"/>
      <c r="KT29" s="8"/>
      <c r="KU29" s="8"/>
      <c r="KV29" s="8"/>
      <c r="KW29" s="8"/>
      <c r="KX29" s="8" t="s">
        <v>107</v>
      </c>
      <c r="KY29" s="8" t="s">
        <v>107</v>
      </c>
      <c r="KZ29" s="8"/>
      <c r="LA29" s="8"/>
      <c r="LB29" s="8" t="s">
        <v>107</v>
      </c>
      <c r="LC29" s="8" t="s">
        <v>107</v>
      </c>
      <c r="LD29" s="8" t="s">
        <v>107</v>
      </c>
      <c r="LE29" s="967"/>
      <c r="LF29" s="8">
        <f t="shared" si="45"/>
        <v>0</v>
      </c>
      <c r="LG29" s="8"/>
      <c r="LH29" s="8" t="s">
        <v>107</v>
      </c>
      <c r="LI29" s="8" t="s">
        <v>107</v>
      </c>
      <c r="LJ29" s="8" t="s">
        <v>107</v>
      </c>
      <c r="LK29" s="8" t="s">
        <v>107</v>
      </c>
      <c r="LL29" s="8"/>
      <c r="LM29" s="8"/>
      <c r="LN29" s="8"/>
      <c r="LO29" s="8">
        <v>0</v>
      </c>
      <c r="LP29" s="8">
        <v>0</v>
      </c>
      <c r="LQ29" s="8"/>
      <c r="LR29" s="8"/>
      <c r="LS29" s="8"/>
      <c r="LT29" s="8"/>
      <c r="LU29" s="8"/>
      <c r="LV29" s="8"/>
      <c r="LW29" s="8"/>
      <c r="LX29" s="8" t="s">
        <v>107</v>
      </c>
      <c r="LY29" s="8" t="s">
        <v>107</v>
      </c>
      <c r="LZ29" s="8"/>
      <c r="MA29" s="8"/>
      <c r="MB29" s="8" t="s">
        <v>107</v>
      </c>
      <c r="MC29" s="8" t="s">
        <v>107</v>
      </c>
      <c r="MD29" s="8" t="s">
        <v>107</v>
      </c>
      <c r="ME29" s="967"/>
      <c r="MF29" s="8">
        <f t="shared" si="46"/>
        <v>0</v>
      </c>
      <c r="MG29" s="8"/>
      <c r="MH29" s="8" t="s">
        <v>107</v>
      </c>
      <c r="MI29" s="8" t="s">
        <v>107</v>
      </c>
      <c r="MJ29" s="8" t="s">
        <v>107</v>
      </c>
      <c r="MK29" s="8" t="s">
        <v>107</v>
      </c>
      <c r="ML29" s="8"/>
      <c r="MM29" s="8"/>
      <c r="MN29" s="8"/>
      <c r="MO29" s="8">
        <v>0</v>
      </c>
      <c r="MP29" s="8">
        <v>0</v>
      </c>
      <c r="MQ29" s="8"/>
      <c r="MR29" s="8"/>
      <c r="MS29" s="8"/>
      <c r="MT29" s="8"/>
      <c r="MU29" s="8"/>
      <c r="MV29" s="8"/>
      <c r="MW29" s="8"/>
      <c r="MX29" s="8" t="s">
        <v>107</v>
      </c>
      <c r="MY29" s="8" t="s">
        <v>107</v>
      </c>
      <c r="MZ29" s="8"/>
      <c r="NA29" s="8"/>
      <c r="NB29" s="8" t="s">
        <v>107</v>
      </c>
      <c r="NC29" s="8" t="s">
        <v>107</v>
      </c>
      <c r="ND29" s="8" t="s">
        <v>107</v>
      </c>
      <c r="NE29" s="967"/>
      <c r="NF29" s="8">
        <f t="shared" si="47"/>
        <v>0</v>
      </c>
      <c r="NG29" s="8"/>
      <c r="NH29" s="8" t="s">
        <v>107</v>
      </c>
      <c r="NI29" s="8" t="s">
        <v>107</v>
      </c>
      <c r="NJ29" s="8" t="s">
        <v>107</v>
      </c>
      <c r="NK29" s="8" t="s">
        <v>107</v>
      </c>
      <c r="NL29" s="8"/>
      <c r="NM29" s="8"/>
      <c r="NN29" s="8"/>
      <c r="NO29" s="8">
        <v>0</v>
      </c>
      <c r="NP29" s="8">
        <v>0</v>
      </c>
      <c r="NQ29" s="8"/>
      <c r="NR29" s="8"/>
      <c r="NS29" s="8"/>
      <c r="NT29" s="8"/>
      <c r="NU29" s="8"/>
      <c r="NV29" s="8"/>
      <c r="NW29" s="8"/>
      <c r="NX29" s="8" t="s">
        <v>107</v>
      </c>
      <c r="NY29" s="8" t="s">
        <v>107</v>
      </c>
      <c r="NZ29" s="8"/>
      <c r="OA29" s="8"/>
      <c r="OB29" s="8" t="s">
        <v>107</v>
      </c>
      <c r="OC29" s="8" t="s">
        <v>107</v>
      </c>
      <c r="OD29" s="8" t="s">
        <v>107</v>
      </c>
      <c r="OE29" s="967"/>
      <c r="OF29" s="8">
        <f t="shared" si="48"/>
        <v>0</v>
      </c>
      <c r="OG29" s="8"/>
      <c r="OH29" s="8" t="s">
        <v>107</v>
      </c>
      <c r="OI29" s="8" t="s">
        <v>107</v>
      </c>
      <c r="OJ29" s="8" t="s">
        <v>107</v>
      </c>
      <c r="OK29" s="8" t="s">
        <v>107</v>
      </c>
      <c r="OL29" s="8"/>
      <c r="OM29" s="8"/>
      <c r="ON29" s="8"/>
      <c r="OO29" s="8">
        <v>0</v>
      </c>
      <c r="OP29" s="8">
        <v>0</v>
      </c>
      <c r="OQ29" s="8"/>
      <c r="OR29" s="8"/>
      <c r="OS29" s="8"/>
      <c r="OT29" s="8"/>
      <c r="OU29" s="8"/>
      <c r="OV29" s="8"/>
      <c r="OW29" s="8"/>
      <c r="OX29" s="8" t="s">
        <v>107</v>
      </c>
      <c r="OY29" s="8" t="s">
        <v>107</v>
      </c>
      <c r="OZ29" s="8"/>
      <c r="PA29" s="8"/>
      <c r="PB29" s="8" t="s">
        <v>107</v>
      </c>
      <c r="PC29" s="8" t="s">
        <v>107</v>
      </c>
      <c r="PD29" s="8" t="s">
        <v>107</v>
      </c>
      <c r="PE29" s="967"/>
      <c r="PF29" s="8">
        <f t="shared" si="49"/>
        <v>0</v>
      </c>
      <c r="PG29" s="8"/>
      <c r="PH29" s="8" t="s">
        <v>107</v>
      </c>
      <c r="PI29" s="8" t="s">
        <v>107</v>
      </c>
      <c r="PJ29" s="8" t="s">
        <v>107</v>
      </c>
      <c r="PK29" s="8" t="s">
        <v>107</v>
      </c>
      <c r="PL29" s="8"/>
      <c r="PM29" s="8"/>
      <c r="PN29" s="8"/>
      <c r="PO29" s="8">
        <v>0</v>
      </c>
      <c r="PP29" s="8">
        <v>0</v>
      </c>
      <c r="PQ29" s="8"/>
      <c r="PR29" s="8"/>
      <c r="PS29" s="8"/>
      <c r="PT29" s="8"/>
      <c r="PU29" s="8"/>
      <c r="PV29" s="8"/>
      <c r="PW29" s="8"/>
      <c r="PX29" s="8" t="s">
        <v>107</v>
      </c>
      <c r="PY29" s="8" t="s">
        <v>107</v>
      </c>
      <c r="PZ29" s="8"/>
      <c r="QA29" s="8"/>
      <c r="QB29" s="8" t="s">
        <v>107</v>
      </c>
      <c r="QC29" s="8" t="s">
        <v>107</v>
      </c>
      <c r="QD29" s="8" t="s">
        <v>107</v>
      </c>
      <c r="QE29" s="967"/>
    </row>
    <row r="30" spans="2:447" x14ac:dyDescent="0.3">
      <c r="B30">
        <v>22</v>
      </c>
      <c r="D30" t="s">
        <v>1804</v>
      </c>
      <c r="F30" s="8">
        <f t="shared" si="33"/>
        <v>164</v>
      </c>
      <c r="G30" s="8"/>
      <c r="H30" s="8" t="s">
        <v>107</v>
      </c>
      <c r="I30" s="8" t="s">
        <v>107</v>
      </c>
      <c r="J30" s="8" t="s">
        <v>107</v>
      </c>
      <c r="K30" s="8" t="s">
        <v>107</v>
      </c>
      <c r="L30" s="8">
        <v>1</v>
      </c>
      <c r="M30" s="8">
        <v>12</v>
      </c>
      <c r="N30" s="8" t="s">
        <v>107</v>
      </c>
      <c r="O30" s="8">
        <v>16</v>
      </c>
      <c r="P30" s="8">
        <v>3</v>
      </c>
      <c r="Q30" s="8">
        <v>3</v>
      </c>
      <c r="R30" s="8">
        <v>19</v>
      </c>
      <c r="S30" s="8">
        <v>17</v>
      </c>
      <c r="T30" s="8">
        <v>16</v>
      </c>
      <c r="U30" s="8"/>
      <c r="V30" s="8"/>
      <c r="W30" s="8"/>
      <c r="X30" s="8">
        <v>13</v>
      </c>
      <c r="Y30" s="8">
        <v>17</v>
      </c>
      <c r="Z30" s="8"/>
      <c r="AA30" s="8"/>
      <c r="AB30" s="8">
        <v>13</v>
      </c>
      <c r="AC30" s="8">
        <v>17</v>
      </c>
      <c r="AD30" s="8">
        <v>17</v>
      </c>
      <c r="AE30" s="967"/>
      <c r="AF30" s="8">
        <f t="shared" si="35"/>
        <v>42</v>
      </c>
      <c r="AG30" s="8"/>
      <c r="AH30" s="8" t="s">
        <v>107</v>
      </c>
      <c r="AI30" s="8" t="s">
        <v>107</v>
      </c>
      <c r="AJ30" s="8" t="s">
        <v>107</v>
      </c>
      <c r="AK30" s="8" t="s">
        <v>107</v>
      </c>
      <c r="AL30" s="8"/>
      <c r="AM30" s="8"/>
      <c r="AN30" s="8"/>
      <c r="AO30" s="8">
        <v>2</v>
      </c>
      <c r="AP30" s="8">
        <v>0</v>
      </c>
      <c r="AQ30" s="8">
        <v>0</v>
      </c>
      <c r="AR30" s="8">
        <v>6</v>
      </c>
      <c r="AS30" s="8">
        <v>3</v>
      </c>
      <c r="AT30" s="8">
        <v>2</v>
      </c>
      <c r="AU30" s="8"/>
      <c r="AV30" s="8"/>
      <c r="AW30" s="8"/>
      <c r="AX30" s="8">
        <v>2</v>
      </c>
      <c r="AY30" s="8">
        <v>3</v>
      </c>
      <c r="AZ30" s="8"/>
      <c r="BA30" s="8"/>
      <c r="BB30" s="8">
        <v>7</v>
      </c>
      <c r="BC30" s="8">
        <v>7</v>
      </c>
      <c r="BD30" s="8">
        <v>10</v>
      </c>
      <c r="BE30" s="967"/>
      <c r="BF30" s="8">
        <f t="shared" si="36"/>
        <v>34</v>
      </c>
      <c r="BG30" s="8"/>
      <c r="BH30" s="8" t="s">
        <v>107</v>
      </c>
      <c r="BI30" s="8"/>
      <c r="BJ30" s="8"/>
      <c r="BK30" s="8" t="s">
        <v>107</v>
      </c>
      <c r="BL30" s="8"/>
      <c r="BM30" s="8"/>
      <c r="BN30" s="8"/>
      <c r="BO30" s="8">
        <v>3</v>
      </c>
      <c r="BP30" s="8">
        <v>0</v>
      </c>
      <c r="BQ30" s="8">
        <v>0</v>
      </c>
      <c r="BR30" s="8">
        <v>7</v>
      </c>
      <c r="BS30" s="8">
        <v>4</v>
      </c>
      <c r="BT30" s="8">
        <v>1</v>
      </c>
      <c r="BU30" s="8"/>
      <c r="BV30" s="8"/>
      <c r="BW30" s="8"/>
      <c r="BX30" s="8">
        <v>1</v>
      </c>
      <c r="BY30" s="8">
        <v>5</v>
      </c>
      <c r="BZ30" s="8"/>
      <c r="CA30" s="8"/>
      <c r="CB30" s="8">
        <v>5</v>
      </c>
      <c r="CC30" s="8">
        <v>3</v>
      </c>
      <c r="CD30" s="8">
        <v>5</v>
      </c>
      <c r="CE30" s="967"/>
      <c r="CF30" s="8">
        <f t="shared" si="37"/>
        <v>76</v>
      </c>
      <c r="CG30" s="8"/>
      <c r="CH30" s="8" t="s">
        <v>107</v>
      </c>
      <c r="CI30" s="8"/>
      <c r="CJ30" s="8"/>
      <c r="CK30" s="8" t="s">
        <v>107</v>
      </c>
      <c r="CL30" s="8"/>
      <c r="CM30" s="8"/>
      <c r="CN30" s="8"/>
      <c r="CO30" s="8">
        <v>5</v>
      </c>
      <c r="CP30" s="8">
        <v>0</v>
      </c>
      <c r="CQ30" s="8">
        <v>0</v>
      </c>
      <c r="CR30" s="8">
        <v>13</v>
      </c>
      <c r="CS30" s="8">
        <v>7</v>
      </c>
      <c r="CT30" s="8">
        <v>3</v>
      </c>
      <c r="CU30" s="8"/>
      <c r="CV30" s="8"/>
      <c r="CW30" s="8"/>
      <c r="CX30" s="8">
        <v>3</v>
      </c>
      <c r="CY30" s="8">
        <v>8</v>
      </c>
      <c r="CZ30" s="8"/>
      <c r="DA30" s="8"/>
      <c r="DB30" s="8">
        <f t="shared" si="51"/>
        <v>12</v>
      </c>
      <c r="DC30" s="8">
        <f t="shared" si="52"/>
        <v>10</v>
      </c>
      <c r="DD30" s="8">
        <f t="shared" si="50"/>
        <v>15</v>
      </c>
      <c r="DE30" s="967"/>
      <c r="DF30" s="8">
        <f t="shared" si="38"/>
        <v>3</v>
      </c>
      <c r="DG30" s="8"/>
      <c r="DH30" s="8" t="s">
        <v>107</v>
      </c>
      <c r="DI30" s="8" t="s">
        <v>107</v>
      </c>
      <c r="DJ30" s="8" t="s">
        <v>107</v>
      </c>
      <c r="DK30" s="8" t="s">
        <v>107</v>
      </c>
      <c r="DL30" s="8"/>
      <c r="DM30" s="8"/>
      <c r="DN30" s="8"/>
      <c r="DO30" s="8">
        <v>1</v>
      </c>
      <c r="DP30" s="8">
        <v>0</v>
      </c>
      <c r="DQ30" s="8">
        <v>0</v>
      </c>
      <c r="DR30" s="8">
        <v>1</v>
      </c>
      <c r="DS30" s="8">
        <v>1</v>
      </c>
      <c r="DT30" s="8"/>
      <c r="DU30" s="8"/>
      <c r="DV30" s="8"/>
      <c r="DW30" s="8"/>
      <c r="DX30" s="8">
        <v>0</v>
      </c>
      <c r="DY30" s="8">
        <v>0</v>
      </c>
      <c r="DZ30" s="8"/>
      <c r="EA30" s="8"/>
      <c r="EB30" s="8">
        <v>0</v>
      </c>
      <c r="EC30" s="8">
        <v>0</v>
      </c>
      <c r="ED30" s="8">
        <v>0</v>
      </c>
      <c r="EE30" s="967"/>
      <c r="EF30" s="8">
        <f t="shared" si="39"/>
        <v>36</v>
      </c>
      <c r="EG30" s="8"/>
      <c r="EH30" s="8" t="s">
        <v>107</v>
      </c>
      <c r="EI30" s="8" t="s">
        <v>107</v>
      </c>
      <c r="EJ30" s="8" t="s">
        <v>107</v>
      </c>
      <c r="EK30" s="8" t="s">
        <v>107</v>
      </c>
      <c r="EL30" s="8"/>
      <c r="EM30" s="8"/>
      <c r="EN30" s="8"/>
      <c r="EO30" s="8">
        <v>2</v>
      </c>
      <c r="EP30" s="8">
        <v>0</v>
      </c>
      <c r="EQ30" s="8">
        <v>0</v>
      </c>
      <c r="ER30" s="8">
        <v>2</v>
      </c>
      <c r="ES30" s="8">
        <v>2</v>
      </c>
      <c r="ET30" s="8"/>
      <c r="EU30" s="8"/>
      <c r="EV30" s="8"/>
      <c r="EW30" s="8"/>
      <c r="EX30" s="8">
        <v>6</v>
      </c>
      <c r="EY30" s="8">
        <v>14</v>
      </c>
      <c r="EZ30" s="8"/>
      <c r="FA30" s="8"/>
      <c r="FB30" s="8">
        <v>6</v>
      </c>
      <c r="FC30" s="8">
        <v>2</v>
      </c>
      <c r="FD30" s="8">
        <v>2</v>
      </c>
      <c r="FE30" s="967"/>
      <c r="FF30" s="8">
        <f t="shared" si="34"/>
        <v>4</v>
      </c>
      <c r="FG30" s="8"/>
      <c r="FH30" s="8" t="s">
        <v>107</v>
      </c>
      <c r="FI30" s="8" t="s">
        <v>107</v>
      </c>
      <c r="FJ30" s="8" t="s">
        <v>107</v>
      </c>
      <c r="FK30" s="8" t="s">
        <v>107</v>
      </c>
      <c r="FL30" s="8"/>
      <c r="FM30" s="8"/>
      <c r="FN30" s="8"/>
      <c r="FO30" s="8">
        <v>0</v>
      </c>
      <c r="FP30" s="8">
        <v>0</v>
      </c>
      <c r="FQ30" s="8">
        <v>0</v>
      </c>
      <c r="FR30" s="8">
        <v>1</v>
      </c>
      <c r="FS30" s="8">
        <v>0</v>
      </c>
      <c r="FT30" s="8">
        <v>0</v>
      </c>
      <c r="FU30" s="8"/>
      <c r="FV30" s="8"/>
      <c r="FW30" s="8"/>
      <c r="FX30" s="8">
        <v>1</v>
      </c>
      <c r="FY30" s="8">
        <v>0</v>
      </c>
      <c r="FZ30" s="8"/>
      <c r="GA30" s="8"/>
      <c r="GB30" s="8">
        <v>2</v>
      </c>
      <c r="GC30" s="8">
        <v>0</v>
      </c>
      <c r="GD30" s="8">
        <v>0</v>
      </c>
      <c r="GE30" s="967"/>
      <c r="GF30" s="8">
        <f t="shared" si="40"/>
        <v>3</v>
      </c>
      <c r="GG30" s="8"/>
      <c r="GH30" s="8" t="s">
        <v>107</v>
      </c>
      <c r="GI30" s="8" t="s">
        <v>107</v>
      </c>
      <c r="GJ30" s="8" t="s">
        <v>107</v>
      </c>
      <c r="GK30" s="8" t="s">
        <v>107</v>
      </c>
      <c r="GL30" s="8"/>
      <c r="GM30" s="8"/>
      <c r="GN30" s="8"/>
      <c r="GO30" s="8">
        <v>0</v>
      </c>
      <c r="GP30" s="8">
        <v>0</v>
      </c>
      <c r="GQ30" s="8">
        <v>0</v>
      </c>
      <c r="GR30" s="8">
        <v>1</v>
      </c>
      <c r="GS30" s="8">
        <v>1</v>
      </c>
      <c r="GT30" s="8"/>
      <c r="GU30" s="8"/>
      <c r="GV30" s="8"/>
      <c r="GW30" s="8"/>
      <c r="GX30" s="8">
        <v>0</v>
      </c>
      <c r="GY30" s="8">
        <v>1</v>
      </c>
      <c r="GZ30" s="8"/>
      <c r="HA30" s="8"/>
      <c r="HB30" s="8">
        <v>0</v>
      </c>
      <c r="HC30" s="8">
        <v>0</v>
      </c>
      <c r="HD30" s="8">
        <v>0</v>
      </c>
      <c r="HE30" s="967"/>
      <c r="HF30" s="8">
        <f t="shared" si="41"/>
        <v>0</v>
      </c>
      <c r="HG30" s="8"/>
      <c r="HH30" s="8" t="s">
        <v>107</v>
      </c>
      <c r="HI30" s="8" t="s">
        <v>107</v>
      </c>
      <c r="HJ30" s="8" t="s">
        <v>107</v>
      </c>
      <c r="HK30" s="8" t="s">
        <v>107</v>
      </c>
      <c r="HL30" s="8"/>
      <c r="HM30" s="8"/>
      <c r="HN30" s="8"/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/>
      <c r="HU30" s="8"/>
      <c r="HV30" s="8"/>
      <c r="HW30" s="8"/>
      <c r="HX30" s="8">
        <v>0</v>
      </c>
      <c r="HY30" s="8">
        <v>0</v>
      </c>
      <c r="HZ30" s="8"/>
      <c r="IA30" s="8"/>
      <c r="IB30" s="8">
        <v>0</v>
      </c>
      <c r="IC30" s="8">
        <v>0</v>
      </c>
      <c r="ID30" s="8">
        <v>0</v>
      </c>
      <c r="IE30" s="967"/>
      <c r="IF30" s="8">
        <f t="shared" si="42"/>
        <v>0</v>
      </c>
      <c r="IG30" s="8"/>
      <c r="IH30" s="8" t="s">
        <v>107</v>
      </c>
      <c r="II30" s="8" t="s">
        <v>107</v>
      </c>
      <c r="IJ30" s="8" t="s">
        <v>107</v>
      </c>
      <c r="IK30" s="8" t="s">
        <v>107</v>
      </c>
      <c r="IL30" s="8"/>
      <c r="IM30" s="8"/>
      <c r="IN30" s="8"/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/>
      <c r="IU30" s="8"/>
      <c r="IV30" s="8"/>
      <c r="IW30" s="8"/>
      <c r="IX30" s="8">
        <v>0</v>
      </c>
      <c r="IY30" s="8">
        <v>0</v>
      </c>
      <c r="IZ30" s="8"/>
      <c r="JA30" s="8"/>
      <c r="JB30" s="8">
        <v>0</v>
      </c>
      <c r="JC30" s="8">
        <v>0</v>
      </c>
      <c r="JD30" s="8">
        <v>0</v>
      </c>
      <c r="JE30" s="967"/>
      <c r="JF30" s="8">
        <f t="shared" si="43"/>
        <v>0</v>
      </c>
      <c r="JG30" s="8"/>
      <c r="JH30" s="8" t="s">
        <v>107</v>
      </c>
      <c r="JI30" s="8" t="s">
        <v>107</v>
      </c>
      <c r="JJ30" s="8" t="s">
        <v>107</v>
      </c>
      <c r="JK30" s="8" t="s">
        <v>107</v>
      </c>
      <c r="JL30" s="8"/>
      <c r="JM30" s="8"/>
      <c r="JN30" s="8"/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/>
      <c r="JU30" s="8"/>
      <c r="JV30" s="8"/>
      <c r="JW30" s="8"/>
      <c r="JX30" s="8">
        <v>0</v>
      </c>
      <c r="JY30" s="8">
        <v>0</v>
      </c>
      <c r="JZ30" s="8"/>
      <c r="KA30" s="8"/>
      <c r="KB30" s="8">
        <v>0</v>
      </c>
      <c r="KC30" s="8">
        <v>0</v>
      </c>
      <c r="KD30" s="8">
        <v>0</v>
      </c>
      <c r="KE30" s="967"/>
      <c r="KF30" s="8">
        <f t="shared" si="44"/>
        <v>0</v>
      </c>
      <c r="KG30" s="8"/>
      <c r="KH30" s="8" t="s">
        <v>107</v>
      </c>
      <c r="KI30" s="8" t="s">
        <v>107</v>
      </c>
      <c r="KJ30" s="8" t="s">
        <v>107</v>
      </c>
      <c r="KK30" s="8" t="s">
        <v>107</v>
      </c>
      <c r="KL30" s="8"/>
      <c r="KM30" s="8"/>
      <c r="KN30" s="8"/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/>
      <c r="KU30" s="8"/>
      <c r="KV30" s="8"/>
      <c r="KW30" s="8"/>
      <c r="KX30" s="8">
        <v>0</v>
      </c>
      <c r="KY30" s="8">
        <v>0</v>
      </c>
      <c r="KZ30" s="8"/>
      <c r="LA30" s="8"/>
      <c r="LB30" s="8">
        <v>0</v>
      </c>
      <c r="LC30" s="8">
        <v>0</v>
      </c>
      <c r="LD30" s="8">
        <v>0</v>
      </c>
      <c r="LE30" s="967"/>
      <c r="LF30" s="8">
        <f t="shared" si="45"/>
        <v>1</v>
      </c>
      <c r="LG30" s="8"/>
      <c r="LH30" s="8" t="s">
        <v>107</v>
      </c>
      <c r="LI30" s="8" t="s">
        <v>107</v>
      </c>
      <c r="LJ30" s="8" t="s">
        <v>107</v>
      </c>
      <c r="LK30" s="8" t="s">
        <v>107</v>
      </c>
      <c r="LL30" s="8"/>
      <c r="LM30" s="8"/>
      <c r="LN30" s="8"/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/>
      <c r="LU30" s="8"/>
      <c r="LV30" s="8"/>
      <c r="LW30" s="8"/>
      <c r="LX30" s="8">
        <v>0</v>
      </c>
      <c r="LY30" s="8">
        <v>0</v>
      </c>
      <c r="LZ30" s="8"/>
      <c r="MA30" s="8"/>
      <c r="MB30" s="8">
        <v>0</v>
      </c>
      <c r="MC30" s="8">
        <v>0</v>
      </c>
      <c r="MD30" s="8">
        <v>1</v>
      </c>
      <c r="ME30" s="967"/>
      <c r="MF30" s="8">
        <f t="shared" si="46"/>
        <v>0</v>
      </c>
      <c r="MG30" s="8"/>
      <c r="MH30" s="8" t="s">
        <v>107</v>
      </c>
      <c r="MI30" s="8" t="s">
        <v>107</v>
      </c>
      <c r="MJ30" s="8" t="s">
        <v>107</v>
      </c>
      <c r="MK30" s="8" t="s">
        <v>107</v>
      </c>
      <c r="ML30" s="8"/>
      <c r="MM30" s="8"/>
      <c r="MN30" s="8"/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/>
      <c r="MU30" s="8"/>
      <c r="MV30" s="8"/>
      <c r="MW30" s="8"/>
      <c r="MX30" s="8">
        <v>0</v>
      </c>
      <c r="MY30" s="8">
        <v>0</v>
      </c>
      <c r="MZ30" s="8"/>
      <c r="NA30" s="8"/>
      <c r="NB30" s="8">
        <v>0</v>
      </c>
      <c r="NC30" s="8">
        <v>0</v>
      </c>
      <c r="ND30" s="8">
        <v>0</v>
      </c>
      <c r="NE30" s="967"/>
      <c r="NF30" s="8">
        <f t="shared" si="47"/>
        <v>1</v>
      </c>
      <c r="NG30" s="8"/>
      <c r="NH30" s="8" t="s">
        <v>107</v>
      </c>
      <c r="NI30" s="8" t="s">
        <v>107</v>
      </c>
      <c r="NJ30" s="8" t="s">
        <v>107</v>
      </c>
      <c r="NK30" s="8" t="s">
        <v>107</v>
      </c>
      <c r="NL30" s="8"/>
      <c r="NM30" s="8"/>
      <c r="NN30" s="8"/>
      <c r="NO30" s="8">
        <v>0</v>
      </c>
      <c r="NP30" s="8">
        <v>0</v>
      </c>
      <c r="NQ30" s="8">
        <v>0</v>
      </c>
      <c r="NR30" s="8">
        <v>0</v>
      </c>
      <c r="NS30" s="8">
        <v>0</v>
      </c>
      <c r="NT30" s="8"/>
      <c r="NU30" s="8"/>
      <c r="NV30" s="8"/>
      <c r="NW30" s="8"/>
      <c r="NX30" s="8">
        <v>0</v>
      </c>
      <c r="NY30" s="8">
        <v>0</v>
      </c>
      <c r="NZ30" s="8"/>
      <c r="OA30" s="8"/>
      <c r="OB30" s="8">
        <v>0</v>
      </c>
      <c r="OC30" s="8">
        <v>0</v>
      </c>
      <c r="OD30" s="8">
        <v>1</v>
      </c>
      <c r="OE30" s="967"/>
      <c r="OF30" s="8">
        <f t="shared" si="48"/>
        <v>0</v>
      </c>
      <c r="OG30" s="8"/>
      <c r="OH30" s="8" t="s">
        <v>107</v>
      </c>
      <c r="OI30" s="8" t="s">
        <v>107</v>
      </c>
      <c r="OJ30" s="8" t="s">
        <v>107</v>
      </c>
      <c r="OK30" s="8" t="s">
        <v>107</v>
      </c>
      <c r="OL30" s="8"/>
      <c r="OM30" s="8"/>
      <c r="ON30" s="8"/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/>
      <c r="OU30" s="8"/>
      <c r="OV30" s="8"/>
      <c r="OW30" s="8"/>
      <c r="OX30" s="8">
        <v>0</v>
      </c>
      <c r="OY30" s="8">
        <v>0</v>
      </c>
      <c r="OZ30" s="8"/>
      <c r="PA30" s="8"/>
      <c r="PB30" s="8">
        <v>0</v>
      </c>
      <c r="PC30" s="8">
        <v>0</v>
      </c>
      <c r="PD30" s="8">
        <v>0</v>
      </c>
      <c r="PE30" s="967"/>
      <c r="PF30" s="8">
        <f t="shared" si="49"/>
        <v>0</v>
      </c>
      <c r="PG30" s="8"/>
      <c r="PH30" s="8" t="s">
        <v>107</v>
      </c>
      <c r="PI30" s="8" t="s">
        <v>107</v>
      </c>
      <c r="PJ30" s="8" t="s">
        <v>107</v>
      </c>
      <c r="PK30" s="8" t="s">
        <v>107</v>
      </c>
      <c r="PL30" s="8"/>
      <c r="PM30" s="8"/>
      <c r="PN30" s="8"/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8"/>
      <c r="PU30" s="8"/>
      <c r="PV30" s="8"/>
      <c r="PW30" s="8"/>
      <c r="PX30" s="8">
        <v>0</v>
      </c>
      <c r="PY30" s="8">
        <v>0</v>
      </c>
      <c r="PZ30" s="8"/>
      <c r="QA30" s="8"/>
      <c r="QB30" s="8">
        <v>0</v>
      </c>
      <c r="QC30" s="8">
        <v>0</v>
      </c>
      <c r="QD30" s="8">
        <v>0</v>
      </c>
      <c r="QE30" s="967"/>
    </row>
    <row r="31" spans="2:447" x14ac:dyDescent="0.3">
      <c r="B31">
        <v>23</v>
      </c>
      <c r="D31" t="s">
        <v>2261</v>
      </c>
      <c r="F31" s="8">
        <f t="shared" si="33"/>
        <v>34</v>
      </c>
      <c r="G31" s="8"/>
      <c r="H31" s="8" t="s">
        <v>107</v>
      </c>
      <c r="I31" s="8" t="s">
        <v>107</v>
      </c>
      <c r="J31" s="8" t="s">
        <v>107</v>
      </c>
      <c r="K31" s="8" t="s">
        <v>107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 t="s">
        <v>107</v>
      </c>
      <c r="Y31" s="8" t="s">
        <v>107</v>
      </c>
      <c r="Z31" s="8"/>
      <c r="AA31" s="8"/>
      <c r="AB31" s="8" t="s">
        <v>107</v>
      </c>
      <c r="AC31" s="8">
        <v>15</v>
      </c>
      <c r="AD31" s="8">
        <v>19</v>
      </c>
      <c r="AE31" s="967"/>
      <c r="AF31" s="8">
        <f t="shared" si="35"/>
        <v>4</v>
      </c>
      <c r="AG31" s="8"/>
      <c r="AH31" s="8" t="s">
        <v>107</v>
      </c>
      <c r="AI31" s="8" t="s">
        <v>107</v>
      </c>
      <c r="AJ31" s="8" t="s">
        <v>107</v>
      </c>
      <c r="AK31" s="8" t="s">
        <v>107</v>
      </c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 t="s">
        <v>107</v>
      </c>
      <c r="AY31" s="8" t="s">
        <v>107</v>
      </c>
      <c r="AZ31" s="8"/>
      <c r="BA31" s="8"/>
      <c r="BB31" s="8" t="s">
        <v>107</v>
      </c>
      <c r="BC31" s="8">
        <v>3</v>
      </c>
      <c r="BD31" s="8">
        <v>1</v>
      </c>
      <c r="BE31" s="967"/>
      <c r="BF31" s="8">
        <f t="shared" si="36"/>
        <v>6</v>
      </c>
      <c r="BG31" s="8"/>
      <c r="BH31" s="8" t="s">
        <v>107</v>
      </c>
      <c r="BI31" s="8"/>
      <c r="BJ31" s="8"/>
      <c r="BK31" s="8" t="s">
        <v>107</v>
      </c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 t="s">
        <v>107</v>
      </c>
      <c r="BY31" s="8" t="s">
        <v>107</v>
      </c>
      <c r="BZ31" s="8"/>
      <c r="CA31" s="8"/>
      <c r="CB31" s="8" t="s">
        <v>107</v>
      </c>
      <c r="CC31" s="8">
        <v>1</v>
      </c>
      <c r="CD31" s="8">
        <v>5</v>
      </c>
      <c r="CE31" s="967"/>
      <c r="CF31" s="8">
        <f t="shared" si="37"/>
        <v>10</v>
      </c>
      <c r="CG31" s="8"/>
      <c r="CH31" s="8" t="s">
        <v>107</v>
      </c>
      <c r="CI31" s="8"/>
      <c r="CJ31" s="8"/>
      <c r="CK31" s="8" t="s">
        <v>107</v>
      </c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 t="s">
        <v>107</v>
      </c>
      <c r="CY31" s="8" t="s">
        <v>107</v>
      </c>
      <c r="CZ31" s="8"/>
      <c r="DA31" s="8"/>
      <c r="DB31" s="8" t="s">
        <v>107</v>
      </c>
      <c r="DC31" s="8">
        <f t="shared" si="52"/>
        <v>4</v>
      </c>
      <c r="DD31" s="8">
        <f t="shared" si="50"/>
        <v>6</v>
      </c>
      <c r="DE31" s="967"/>
      <c r="DF31" s="8">
        <f t="shared" si="38"/>
        <v>0</v>
      </c>
      <c r="DG31" s="8"/>
      <c r="DH31" s="8" t="s">
        <v>107</v>
      </c>
      <c r="DI31" s="8" t="s">
        <v>107</v>
      </c>
      <c r="DJ31" s="8" t="s">
        <v>107</v>
      </c>
      <c r="DK31" s="8" t="s">
        <v>107</v>
      </c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 t="s">
        <v>107</v>
      </c>
      <c r="DY31" s="8" t="s">
        <v>107</v>
      </c>
      <c r="DZ31" s="8"/>
      <c r="EA31" s="8"/>
      <c r="EB31" s="8" t="s">
        <v>107</v>
      </c>
      <c r="EC31" s="8">
        <v>0</v>
      </c>
      <c r="ED31" s="8">
        <v>0</v>
      </c>
      <c r="EE31" s="967"/>
      <c r="EF31" s="8">
        <f t="shared" si="39"/>
        <v>20</v>
      </c>
      <c r="EG31" s="8"/>
      <c r="EH31" s="8" t="s">
        <v>107</v>
      </c>
      <c r="EI31" s="8" t="s">
        <v>107</v>
      </c>
      <c r="EJ31" s="8" t="s">
        <v>107</v>
      </c>
      <c r="EK31" s="8" t="s">
        <v>107</v>
      </c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 t="s">
        <v>107</v>
      </c>
      <c r="EY31" s="8" t="s">
        <v>107</v>
      </c>
      <c r="EZ31" s="8"/>
      <c r="FA31" s="8"/>
      <c r="FB31" s="8" t="s">
        <v>107</v>
      </c>
      <c r="FC31" s="8">
        <v>10</v>
      </c>
      <c r="FD31" s="8">
        <v>10</v>
      </c>
      <c r="FE31" s="967"/>
      <c r="FF31" s="8">
        <f t="shared" si="34"/>
        <v>0</v>
      </c>
      <c r="FG31" s="8"/>
      <c r="FH31" s="8" t="s">
        <v>107</v>
      </c>
      <c r="FI31" s="8" t="s">
        <v>107</v>
      </c>
      <c r="FJ31" s="8" t="s">
        <v>107</v>
      </c>
      <c r="FK31" s="8" t="s">
        <v>107</v>
      </c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 t="s">
        <v>107</v>
      </c>
      <c r="FY31" s="8" t="s">
        <v>107</v>
      </c>
      <c r="FZ31" s="8"/>
      <c r="GA31" s="8"/>
      <c r="GB31" s="8" t="s">
        <v>107</v>
      </c>
      <c r="GC31" s="8">
        <v>0</v>
      </c>
      <c r="GD31" s="8">
        <v>0</v>
      </c>
      <c r="GE31" s="967"/>
      <c r="GF31" s="8">
        <f t="shared" si="40"/>
        <v>0</v>
      </c>
      <c r="GG31" s="8"/>
      <c r="GH31" s="8" t="s">
        <v>107</v>
      </c>
      <c r="GI31" s="8" t="s">
        <v>107</v>
      </c>
      <c r="GJ31" s="8" t="s">
        <v>107</v>
      </c>
      <c r="GK31" s="8" t="s">
        <v>107</v>
      </c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 t="s">
        <v>107</v>
      </c>
      <c r="GY31" s="8" t="s">
        <v>107</v>
      </c>
      <c r="GZ31" s="8"/>
      <c r="HA31" s="8"/>
      <c r="HB31" s="8" t="s">
        <v>107</v>
      </c>
      <c r="HC31" s="8">
        <v>0</v>
      </c>
      <c r="HD31" s="8">
        <v>0</v>
      </c>
      <c r="HE31" s="967"/>
      <c r="HF31" s="8">
        <f t="shared" si="41"/>
        <v>0</v>
      </c>
      <c r="HG31" s="8"/>
      <c r="HH31" s="8" t="s">
        <v>107</v>
      </c>
      <c r="HI31" s="8" t="s">
        <v>107</v>
      </c>
      <c r="HJ31" s="8" t="s">
        <v>107</v>
      </c>
      <c r="HK31" s="8" t="s">
        <v>107</v>
      </c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 t="s">
        <v>107</v>
      </c>
      <c r="HY31" s="8" t="s">
        <v>107</v>
      </c>
      <c r="HZ31" s="8"/>
      <c r="IA31" s="8"/>
      <c r="IB31" s="8" t="s">
        <v>107</v>
      </c>
      <c r="IC31" s="8">
        <v>0</v>
      </c>
      <c r="ID31" s="8">
        <v>0</v>
      </c>
      <c r="IE31" s="967"/>
      <c r="IF31" s="8">
        <f t="shared" si="42"/>
        <v>0</v>
      </c>
      <c r="IG31" s="8"/>
      <c r="IH31" s="8" t="s">
        <v>107</v>
      </c>
      <c r="II31" s="8" t="s">
        <v>107</v>
      </c>
      <c r="IJ31" s="8" t="s">
        <v>107</v>
      </c>
      <c r="IK31" s="8" t="s">
        <v>107</v>
      </c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 t="s">
        <v>107</v>
      </c>
      <c r="IY31" s="8" t="s">
        <v>107</v>
      </c>
      <c r="IZ31" s="8"/>
      <c r="JA31" s="8"/>
      <c r="JB31" s="8" t="s">
        <v>107</v>
      </c>
      <c r="JC31" s="8">
        <v>0</v>
      </c>
      <c r="JD31" s="8">
        <v>0</v>
      </c>
      <c r="JE31" s="967"/>
      <c r="JF31" s="8">
        <f t="shared" si="43"/>
        <v>0</v>
      </c>
      <c r="JG31" s="8"/>
      <c r="JH31" s="8" t="s">
        <v>107</v>
      </c>
      <c r="JI31" s="8" t="s">
        <v>107</v>
      </c>
      <c r="JJ31" s="8" t="s">
        <v>107</v>
      </c>
      <c r="JK31" s="8" t="s">
        <v>107</v>
      </c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 t="s">
        <v>107</v>
      </c>
      <c r="JY31" s="8" t="s">
        <v>107</v>
      </c>
      <c r="JZ31" s="8"/>
      <c r="KA31" s="8"/>
      <c r="KB31" s="8" t="s">
        <v>107</v>
      </c>
      <c r="KC31" s="8">
        <v>0</v>
      </c>
      <c r="KD31" s="8">
        <v>0</v>
      </c>
      <c r="KE31" s="967"/>
      <c r="KF31" s="8">
        <f t="shared" si="44"/>
        <v>0</v>
      </c>
      <c r="KG31" s="8"/>
      <c r="KH31" s="8" t="s">
        <v>107</v>
      </c>
      <c r="KI31" s="8" t="s">
        <v>107</v>
      </c>
      <c r="KJ31" s="8" t="s">
        <v>107</v>
      </c>
      <c r="KK31" s="8" t="s">
        <v>107</v>
      </c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 t="s">
        <v>107</v>
      </c>
      <c r="KY31" s="8" t="s">
        <v>107</v>
      </c>
      <c r="KZ31" s="8"/>
      <c r="LA31" s="8"/>
      <c r="LB31" s="8" t="s">
        <v>107</v>
      </c>
      <c r="LC31" s="8">
        <v>0</v>
      </c>
      <c r="LD31" s="8">
        <v>0</v>
      </c>
      <c r="LE31" s="967"/>
      <c r="LF31" s="8">
        <f t="shared" si="45"/>
        <v>0</v>
      </c>
      <c r="LG31" s="8"/>
      <c r="LH31" s="8" t="s">
        <v>107</v>
      </c>
      <c r="LI31" s="8" t="s">
        <v>107</v>
      </c>
      <c r="LJ31" s="8" t="s">
        <v>107</v>
      </c>
      <c r="LK31" s="8" t="s">
        <v>107</v>
      </c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 t="s">
        <v>107</v>
      </c>
      <c r="LY31" s="8" t="s">
        <v>107</v>
      </c>
      <c r="LZ31" s="8"/>
      <c r="MA31" s="8"/>
      <c r="MB31" s="8" t="s">
        <v>107</v>
      </c>
      <c r="MC31" s="8">
        <v>0</v>
      </c>
      <c r="MD31" s="8">
        <v>0</v>
      </c>
      <c r="ME31" s="967"/>
      <c r="MF31" s="8">
        <f t="shared" si="46"/>
        <v>0</v>
      </c>
      <c r="MG31" s="8"/>
      <c r="MH31" s="8" t="s">
        <v>107</v>
      </c>
      <c r="MI31" s="8" t="s">
        <v>107</v>
      </c>
      <c r="MJ31" s="8" t="s">
        <v>107</v>
      </c>
      <c r="MK31" s="8" t="s">
        <v>107</v>
      </c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 t="s">
        <v>107</v>
      </c>
      <c r="MY31" s="8" t="s">
        <v>107</v>
      </c>
      <c r="MZ31" s="8"/>
      <c r="NA31" s="8"/>
      <c r="NB31" s="8" t="s">
        <v>107</v>
      </c>
      <c r="NC31" s="8">
        <v>0</v>
      </c>
      <c r="ND31" s="8">
        <v>0</v>
      </c>
      <c r="NE31" s="967"/>
      <c r="NF31" s="8">
        <f t="shared" si="47"/>
        <v>0</v>
      </c>
      <c r="NG31" s="8"/>
      <c r="NH31" s="8" t="s">
        <v>107</v>
      </c>
      <c r="NI31" s="8" t="s">
        <v>107</v>
      </c>
      <c r="NJ31" s="8" t="s">
        <v>107</v>
      </c>
      <c r="NK31" s="8" t="s">
        <v>107</v>
      </c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 t="s">
        <v>107</v>
      </c>
      <c r="NY31" s="8" t="s">
        <v>107</v>
      </c>
      <c r="NZ31" s="8"/>
      <c r="OA31" s="8"/>
      <c r="OB31" s="8" t="s">
        <v>107</v>
      </c>
      <c r="OC31" s="8">
        <v>0</v>
      </c>
      <c r="OD31" s="8">
        <v>0</v>
      </c>
      <c r="OE31" s="967"/>
      <c r="OF31" s="8">
        <f t="shared" si="48"/>
        <v>0</v>
      </c>
      <c r="OG31" s="8"/>
      <c r="OH31" s="8" t="s">
        <v>107</v>
      </c>
      <c r="OI31" s="8" t="s">
        <v>107</v>
      </c>
      <c r="OJ31" s="8" t="s">
        <v>107</v>
      </c>
      <c r="OK31" s="8" t="s">
        <v>107</v>
      </c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 t="s">
        <v>107</v>
      </c>
      <c r="OY31" s="8" t="s">
        <v>107</v>
      </c>
      <c r="OZ31" s="8"/>
      <c r="PA31" s="8"/>
      <c r="PB31" s="8" t="s">
        <v>107</v>
      </c>
      <c r="PC31" s="8">
        <v>0</v>
      </c>
      <c r="PD31" s="8">
        <v>0</v>
      </c>
      <c r="PE31" s="967"/>
      <c r="PF31" s="8">
        <f t="shared" si="49"/>
        <v>0</v>
      </c>
      <c r="PG31" s="8"/>
      <c r="PH31" s="8" t="s">
        <v>107</v>
      </c>
      <c r="PI31" s="8" t="s">
        <v>107</v>
      </c>
      <c r="PJ31" s="8" t="s">
        <v>107</v>
      </c>
      <c r="PK31" s="8" t="s">
        <v>107</v>
      </c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 t="s">
        <v>107</v>
      </c>
      <c r="PY31" s="8" t="s">
        <v>107</v>
      </c>
      <c r="PZ31" s="8"/>
      <c r="QA31" s="8"/>
      <c r="QB31" s="8" t="s">
        <v>107</v>
      </c>
      <c r="QC31" s="8">
        <v>0</v>
      </c>
      <c r="QD31" s="8">
        <v>0</v>
      </c>
      <c r="QE31" s="967"/>
    </row>
    <row r="32" spans="2:447" x14ac:dyDescent="0.3">
      <c r="B32">
        <v>24</v>
      </c>
      <c r="D32" t="s">
        <v>2362</v>
      </c>
      <c r="F32" s="8">
        <f t="shared" si="33"/>
        <v>66</v>
      </c>
      <c r="G32" s="8"/>
      <c r="H32" s="8">
        <v>22</v>
      </c>
      <c r="I32" s="8">
        <v>4</v>
      </c>
      <c r="J32" s="8">
        <v>20</v>
      </c>
      <c r="K32" s="8">
        <v>20</v>
      </c>
      <c r="L32" s="8" t="s">
        <v>107</v>
      </c>
      <c r="M32" s="8" t="s">
        <v>107</v>
      </c>
      <c r="N32" s="8" t="s">
        <v>107</v>
      </c>
      <c r="O32" s="8" t="s">
        <v>107</v>
      </c>
      <c r="P32" s="8" t="s">
        <v>107</v>
      </c>
      <c r="Q32" s="8" t="s">
        <v>107</v>
      </c>
      <c r="R32" s="8" t="s">
        <v>107</v>
      </c>
      <c r="S32" s="8" t="s">
        <v>107</v>
      </c>
      <c r="T32" s="8" t="s">
        <v>107</v>
      </c>
      <c r="U32" s="8" t="s">
        <v>107</v>
      </c>
      <c r="V32" s="8" t="s">
        <v>107</v>
      </c>
      <c r="W32" s="8" t="s">
        <v>107</v>
      </c>
      <c r="X32" s="8" t="s">
        <v>107</v>
      </c>
      <c r="Y32" s="8" t="s">
        <v>107</v>
      </c>
      <c r="Z32" s="8" t="s">
        <v>107</v>
      </c>
      <c r="AA32" s="8" t="s">
        <v>107</v>
      </c>
      <c r="AB32" s="8" t="s">
        <v>107</v>
      </c>
      <c r="AC32" s="8" t="s">
        <v>107</v>
      </c>
      <c r="AD32" s="8" t="s">
        <v>107</v>
      </c>
      <c r="AE32" s="967"/>
      <c r="AF32" s="8">
        <f t="shared" si="35"/>
        <v>10</v>
      </c>
      <c r="AG32" s="8"/>
      <c r="AH32" s="8">
        <v>1</v>
      </c>
      <c r="AI32" s="8">
        <v>1</v>
      </c>
      <c r="AJ32" s="8">
        <v>4</v>
      </c>
      <c r="AK32" s="8">
        <v>4</v>
      </c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 t="s">
        <v>107</v>
      </c>
      <c r="AY32" s="8" t="s">
        <v>107</v>
      </c>
      <c r="AZ32" s="8"/>
      <c r="BA32" s="8"/>
      <c r="BB32" s="8"/>
      <c r="BC32" s="8"/>
      <c r="BD32" s="8"/>
      <c r="BE32" s="967"/>
      <c r="BF32" s="8">
        <f t="shared" si="36"/>
        <v>5</v>
      </c>
      <c r="BG32" s="8"/>
      <c r="BH32" s="8">
        <v>1</v>
      </c>
      <c r="BI32" s="8">
        <v>1</v>
      </c>
      <c r="BJ32" s="8">
        <v>2</v>
      </c>
      <c r="BK32" s="8">
        <v>1</v>
      </c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 t="s">
        <v>107</v>
      </c>
      <c r="BY32" s="8" t="s">
        <v>107</v>
      </c>
      <c r="BZ32" s="8"/>
      <c r="CA32" s="8"/>
      <c r="CB32" s="8"/>
      <c r="CC32" s="8"/>
      <c r="CD32" s="8"/>
      <c r="CE32" s="967"/>
      <c r="CF32" s="8">
        <f t="shared" si="37"/>
        <v>15</v>
      </c>
      <c r="CG32" s="8"/>
      <c r="CH32" s="8">
        <v>2</v>
      </c>
      <c r="CI32" s="8">
        <v>2</v>
      </c>
      <c r="CJ32" s="8">
        <v>6</v>
      </c>
      <c r="CK32" s="8">
        <v>5</v>
      </c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 t="s">
        <v>107</v>
      </c>
      <c r="CY32" s="8" t="s">
        <v>107</v>
      </c>
      <c r="CZ32" s="8"/>
      <c r="DA32" s="8"/>
      <c r="DB32" s="8"/>
      <c r="DC32" s="8"/>
      <c r="DD32" s="8"/>
      <c r="DE32" s="967"/>
      <c r="DF32" s="8">
        <f t="shared" si="38"/>
        <v>11</v>
      </c>
      <c r="DG32" s="8"/>
      <c r="DH32" s="8">
        <v>4</v>
      </c>
      <c r="DI32" s="8">
        <v>1</v>
      </c>
      <c r="DJ32" s="8">
        <v>3</v>
      </c>
      <c r="DK32" s="8">
        <v>3</v>
      </c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 t="s">
        <v>107</v>
      </c>
      <c r="DY32" s="8" t="s">
        <v>107</v>
      </c>
      <c r="DZ32" s="8"/>
      <c r="EA32" s="8"/>
      <c r="EB32" s="8"/>
      <c r="EC32" s="8"/>
      <c r="ED32" s="8"/>
      <c r="EE32" s="967"/>
      <c r="EF32" s="8">
        <f t="shared" si="39"/>
        <v>24</v>
      </c>
      <c r="EG32" s="8"/>
      <c r="EH32" s="8">
        <v>10</v>
      </c>
      <c r="EI32" s="8">
        <v>2</v>
      </c>
      <c r="EJ32" s="8">
        <v>6</v>
      </c>
      <c r="EK32" s="8">
        <v>6</v>
      </c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 t="s">
        <v>107</v>
      </c>
      <c r="EY32" s="8" t="s">
        <v>107</v>
      </c>
      <c r="EZ32" s="8"/>
      <c r="FA32" s="8"/>
      <c r="FB32" s="8"/>
      <c r="FC32" s="8"/>
      <c r="FD32" s="8"/>
      <c r="FE32" s="967"/>
      <c r="FF32" s="8">
        <f t="shared" si="34"/>
        <v>0</v>
      </c>
      <c r="FG32" s="8"/>
      <c r="FH32" s="8">
        <v>0</v>
      </c>
      <c r="FI32" s="8">
        <v>0</v>
      </c>
      <c r="FJ32" s="8">
        <v>0</v>
      </c>
      <c r="FK32" s="8">
        <v>0</v>
      </c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 t="s">
        <v>107</v>
      </c>
      <c r="FY32" s="8" t="s">
        <v>107</v>
      </c>
      <c r="FZ32" s="8"/>
      <c r="GA32" s="8"/>
      <c r="GB32" s="8"/>
      <c r="GC32" s="8"/>
      <c r="GD32" s="8"/>
      <c r="GE32" s="967"/>
      <c r="GF32" s="8">
        <f t="shared" si="40"/>
        <v>0</v>
      </c>
      <c r="GG32" s="8"/>
      <c r="GH32" s="8">
        <v>0</v>
      </c>
      <c r="GI32" s="8">
        <v>0</v>
      </c>
      <c r="GJ32" s="8">
        <v>0</v>
      </c>
      <c r="GK32" s="8">
        <v>0</v>
      </c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 t="s">
        <v>107</v>
      </c>
      <c r="GY32" s="8" t="s">
        <v>107</v>
      </c>
      <c r="GZ32" s="8"/>
      <c r="HA32" s="8"/>
      <c r="HB32" s="8"/>
      <c r="HC32" s="8"/>
      <c r="HD32" s="8"/>
      <c r="HE32" s="967"/>
      <c r="HF32" s="8">
        <f t="shared" si="41"/>
        <v>0</v>
      </c>
      <c r="HG32" s="8"/>
      <c r="HH32" s="8">
        <v>0</v>
      </c>
      <c r="HI32" s="8">
        <v>0</v>
      </c>
      <c r="HJ32" s="8">
        <v>0</v>
      </c>
      <c r="HK32" s="8">
        <v>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 t="s">
        <v>107</v>
      </c>
      <c r="HY32" s="8" t="s">
        <v>107</v>
      </c>
      <c r="HZ32" s="8"/>
      <c r="IA32" s="8"/>
      <c r="IB32" s="8"/>
      <c r="IC32" s="8"/>
      <c r="ID32" s="8"/>
      <c r="IE32" s="967"/>
      <c r="IF32" s="8">
        <f t="shared" si="42"/>
        <v>0</v>
      </c>
      <c r="IG32" s="8"/>
      <c r="IH32" s="8">
        <v>0</v>
      </c>
      <c r="II32" s="8">
        <v>0</v>
      </c>
      <c r="IJ32" s="8">
        <v>0</v>
      </c>
      <c r="IK32" s="8">
        <v>0</v>
      </c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 t="s">
        <v>107</v>
      </c>
      <c r="IY32" s="8" t="s">
        <v>107</v>
      </c>
      <c r="IZ32" s="8"/>
      <c r="JA32" s="8"/>
      <c r="JB32" s="8"/>
      <c r="JC32" s="8"/>
      <c r="JD32" s="8"/>
      <c r="JE32" s="967"/>
      <c r="JF32" s="8">
        <f t="shared" si="43"/>
        <v>0</v>
      </c>
      <c r="JG32" s="8"/>
      <c r="JH32" s="8">
        <v>0</v>
      </c>
      <c r="JI32" s="8">
        <v>0</v>
      </c>
      <c r="JJ32" s="8">
        <v>0</v>
      </c>
      <c r="JK32" s="8">
        <v>0</v>
      </c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 t="s">
        <v>107</v>
      </c>
      <c r="JY32" s="8" t="s">
        <v>107</v>
      </c>
      <c r="JZ32" s="8"/>
      <c r="KA32" s="8"/>
      <c r="KB32" s="8"/>
      <c r="KC32" s="8"/>
      <c r="KD32" s="8"/>
      <c r="KE32" s="967"/>
      <c r="KF32" s="8">
        <f t="shared" si="44"/>
        <v>0</v>
      </c>
      <c r="KG32" s="8"/>
      <c r="KH32" s="8">
        <v>0</v>
      </c>
      <c r="KI32" s="8">
        <v>0</v>
      </c>
      <c r="KJ32" s="8">
        <v>0</v>
      </c>
      <c r="KK32" s="8">
        <v>0</v>
      </c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 t="s">
        <v>107</v>
      </c>
      <c r="KY32" s="8" t="s">
        <v>107</v>
      </c>
      <c r="KZ32" s="8"/>
      <c r="LA32" s="8"/>
      <c r="LB32" s="8"/>
      <c r="LC32" s="8"/>
      <c r="LD32" s="8"/>
      <c r="LE32" s="967"/>
      <c r="LF32" s="8">
        <f t="shared" si="45"/>
        <v>0</v>
      </c>
      <c r="LG32" s="8"/>
      <c r="LH32" s="8">
        <v>0</v>
      </c>
      <c r="LI32" s="8">
        <v>0</v>
      </c>
      <c r="LJ32" s="8">
        <v>0</v>
      </c>
      <c r="LK32" s="8">
        <v>0</v>
      </c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 t="s">
        <v>107</v>
      </c>
      <c r="LY32" s="8" t="s">
        <v>107</v>
      </c>
      <c r="LZ32" s="8"/>
      <c r="MA32" s="8"/>
      <c r="MB32" s="8"/>
      <c r="MC32" s="8"/>
      <c r="MD32" s="8"/>
      <c r="ME32" s="967"/>
      <c r="MF32" s="8">
        <f t="shared" si="46"/>
        <v>0</v>
      </c>
      <c r="MG32" s="8"/>
      <c r="MH32" s="8">
        <v>0</v>
      </c>
      <c r="MI32" s="8">
        <v>0</v>
      </c>
      <c r="MJ32" s="8">
        <v>0</v>
      </c>
      <c r="MK32" s="8">
        <v>0</v>
      </c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 t="s">
        <v>107</v>
      </c>
      <c r="MY32" s="8" t="s">
        <v>107</v>
      </c>
      <c r="MZ32" s="8"/>
      <c r="NA32" s="8"/>
      <c r="NB32" s="8"/>
      <c r="NC32" s="8"/>
      <c r="ND32" s="8"/>
      <c r="NE32" s="967"/>
      <c r="NF32" s="8">
        <f t="shared" si="47"/>
        <v>0</v>
      </c>
      <c r="NG32" s="8"/>
      <c r="NH32" s="8">
        <v>0</v>
      </c>
      <c r="NI32" s="8">
        <v>0</v>
      </c>
      <c r="NJ32" s="8">
        <v>0</v>
      </c>
      <c r="NK32" s="8">
        <v>0</v>
      </c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 t="s">
        <v>107</v>
      </c>
      <c r="NY32" s="8" t="s">
        <v>107</v>
      </c>
      <c r="NZ32" s="8"/>
      <c r="OA32" s="8"/>
      <c r="OB32" s="8"/>
      <c r="OC32" s="8"/>
      <c r="OD32" s="8"/>
      <c r="OE32" s="967"/>
      <c r="OF32" s="8">
        <f t="shared" si="48"/>
        <v>0</v>
      </c>
      <c r="OG32" s="8"/>
      <c r="OH32" s="8">
        <v>0</v>
      </c>
      <c r="OI32" s="8">
        <v>0</v>
      </c>
      <c r="OJ32" s="8">
        <v>0</v>
      </c>
      <c r="OK32" s="8">
        <v>0</v>
      </c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 t="s">
        <v>107</v>
      </c>
      <c r="OY32" s="8" t="s">
        <v>107</v>
      </c>
      <c r="OZ32" s="8"/>
      <c r="PA32" s="8"/>
      <c r="PB32" s="8"/>
      <c r="PC32" s="8"/>
      <c r="PD32" s="8"/>
      <c r="PE32" s="967"/>
      <c r="PF32" s="8">
        <f t="shared" si="49"/>
        <v>0</v>
      </c>
      <c r="PG32" s="8"/>
      <c r="PH32" s="8">
        <v>0</v>
      </c>
      <c r="PI32" s="8">
        <v>0</v>
      </c>
      <c r="PJ32" s="8">
        <v>0</v>
      </c>
      <c r="PK32" s="8">
        <v>0</v>
      </c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 t="s">
        <v>107</v>
      </c>
      <c r="PY32" s="8" t="s">
        <v>107</v>
      </c>
      <c r="PZ32" s="8"/>
      <c r="QA32" s="8"/>
      <c r="QB32" s="8"/>
      <c r="QC32" s="8"/>
      <c r="QD32" s="8"/>
      <c r="QE32" s="967"/>
    </row>
    <row r="33" spans="2:447" x14ac:dyDescent="0.3">
      <c r="B33">
        <v>25</v>
      </c>
      <c r="D33" t="s">
        <v>2734</v>
      </c>
      <c r="F33" s="8">
        <f t="shared" si="33"/>
        <v>13</v>
      </c>
      <c r="G33" s="8"/>
      <c r="H33" s="8">
        <v>13</v>
      </c>
      <c r="I33" s="8" t="s">
        <v>107</v>
      </c>
      <c r="J33" s="8" t="s">
        <v>107</v>
      </c>
      <c r="K33" s="8" t="s">
        <v>107</v>
      </c>
      <c r="L33" s="8" t="s">
        <v>107</v>
      </c>
      <c r="M33" s="8" t="s">
        <v>107</v>
      </c>
      <c r="N33" s="8" t="s">
        <v>107</v>
      </c>
      <c r="O33" s="8" t="s">
        <v>107</v>
      </c>
      <c r="P33" s="8" t="s">
        <v>107</v>
      </c>
      <c r="Q33" s="8" t="s">
        <v>107</v>
      </c>
      <c r="R33" s="8" t="s">
        <v>107</v>
      </c>
      <c r="S33" s="8" t="s">
        <v>107</v>
      </c>
      <c r="T33" s="8" t="s">
        <v>107</v>
      </c>
      <c r="U33" s="8" t="s">
        <v>107</v>
      </c>
      <c r="V33" s="8" t="s">
        <v>107</v>
      </c>
      <c r="W33" s="8" t="s">
        <v>107</v>
      </c>
      <c r="X33" s="8" t="s">
        <v>107</v>
      </c>
      <c r="Y33" s="8" t="s">
        <v>107</v>
      </c>
      <c r="Z33" s="8" t="s">
        <v>107</v>
      </c>
      <c r="AA33" s="8" t="s">
        <v>107</v>
      </c>
      <c r="AB33" s="8" t="s">
        <v>107</v>
      </c>
      <c r="AC33" s="8" t="s">
        <v>107</v>
      </c>
      <c r="AD33" s="8" t="s">
        <v>107</v>
      </c>
      <c r="AE33" s="967"/>
      <c r="AF33" s="8">
        <f t="shared" si="35"/>
        <v>5</v>
      </c>
      <c r="AG33" s="8"/>
      <c r="AH33" s="8">
        <v>5</v>
      </c>
      <c r="AI33" s="8" t="s">
        <v>107</v>
      </c>
      <c r="AJ33" s="8" t="s">
        <v>107</v>
      </c>
      <c r="AK33" s="8" t="s">
        <v>107</v>
      </c>
      <c r="AL33" s="8" t="s">
        <v>107</v>
      </c>
      <c r="AM33" s="8" t="s">
        <v>107</v>
      </c>
      <c r="AN33" s="8" t="s">
        <v>107</v>
      </c>
      <c r="AO33" s="8" t="s">
        <v>107</v>
      </c>
      <c r="AP33" s="8" t="s">
        <v>107</v>
      </c>
      <c r="AQ33" s="8" t="s">
        <v>107</v>
      </c>
      <c r="AR33" s="8" t="s">
        <v>107</v>
      </c>
      <c r="AS33" s="8" t="s">
        <v>107</v>
      </c>
      <c r="AT33" s="8" t="s">
        <v>107</v>
      </c>
      <c r="AU33" s="8" t="s">
        <v>107</v>
      </c>
      <c r="AV33" s="8" t="s">
        <v>107</v>
      </c>
      <c r="AW33" s="8" t="s">
        <v>107</v>
      </c>
      <c r="AX33" s="8" t="s">
        <v>107</v>
      </c>
      <c r="AY33" s="8" t="s">
        <v>107</v>
      </c>
      <c r="AZ33" s="8" t="s">
        <v>107</v>
      </c>
      <c r="BA33" s="8" t="s">
        <v>107</v>
      </c>
      <c r="BB33" s="8" t="s">
        <v>107</v>
      </c>
      <c r="BC33" s="8" t="s">
        <v>107</v>
      </c>
      <c r="BD33" s="8" t="s">
        <v>107</v>
      </c>
      <c r="BE33" s="967"/>
      <c r="BF33" s="8">
        <f t="shared" si="36"/>
        <v>2</v>
      </c>
      <c r="BG33" s="8"/>
      <c r="BH33" s="8">
        <v>2</v>
      </c>
      <c r="BI33" s="8" t="s">
        <v>107</v>
      </c>
      <c r="BJ33" s="8" t="s">
        <v>107</v>
      </c>
      <c r="BK33" s="8" t="s">
        <v>107</v>
      </c>
      <c r="BL33" s="8" t="s">
        <v>107</v>
      </c>
      <c r="BM33" s="8" t="s">
        <v>107</v>
      </c>
      <c r="BN33" s="8" t="s">
        <v>107</v>
      </c>
      <c r="BO33" s="8" t="s">
        <v>107</v>
      </c>
      <c r="BP33" s="8" t="s">
        <v>107</v>
      </c>
      <c r="BQ33" s="8" t="s">
        <v>107</v>
      </c>
      <c r="BR33" s="8" t="s">
        <v>107</v>
      </c>
      <c r="BS33" s="8" t="s">
        <v>107</v>
      </c>
      <c r="BT33" s="8" t="s">
        <v>107</v>
      </c>
      <c r="BU33" s="8" t="s">
        <v>107</v>
      </c>
      <c r="BV33" s="8" t="s">
        <v>107</v>
      </c>
      <c r="BW33" s="8" t="s">
        <v>107</v>
      </c>
      <c r="BX33" s="8" t="s">
        <v>107</v>
      </c>
      <c r="BY33" s="8" t="s">
        <v>107</v>
      </c>
      <c r="BZ33" s="8" t="s">
        <v>107</v>
      </c>
      <c r="CA33" s="8" t="s">
        <v>107</v>
      </c>
      <c r="CB33" s="8" t="s">
        <v>107</v>
      </c>
      <c r="CC33" s="8" t="s">
        <v>107</v>
      </c>
      <c r="CD33" s="8" t="s">
        <v>107</v>
      </c>
      <c r="CE33" s="967"/>
      <c r="CF33" s="8">
        <f t="shared" si="37"/>
        <v>7</v>
      </c>
      <c r="CG33" s="8"/>
      <c r="CH33" s="8">
        <v>7</v>
      </c>
      <c r="CI33" s="8" t="s">
        <v>107</v>
      </c>
      <c r="CJ33" s="8" t="s">
        <v>107</v>
      </c>
      <c r="CK33" s="8" t="s">
        <v>107</v>
      </c>
      <c r="CL33" s="8" t="s">
        <v>107</v>
      </c>
      <c r="CM33" s="8" t="s">
        <v>107</v>
      </c>
      <c r="CN33" s="8" t="s">
        <v>107</v>
      </c>
      <c r="CO33" s="8" t="s">
        <v>107</v>
      </c>
      <c r="CP33" s="8" t="s">
        <v>107</v>
      </c>
      <c r="CQ33" s="8" t="s">
        <v>107</v>
      </c>
      <c r="CR33" s="8" t="s">
        <v>107</v>
      </c>
      <c r="CS33" s="8" t="s">
        <v>107</v>
      </c>
      <c r="CT33" s="8" t="s">
        <v>107</v>
      </c>
      <c r="CU33" s="8" t="s">
        <v>107</v>
      </c>
      <c r="CV33" s="8" t="s">
        <v>107</v>
      </c>
      <c r="CW33" s="8" t="s">
        <v>107</v>
      </c>
      <c r="CX33" s="8" t="s">
        <v>107</v>
      </c>
      <c r="CY33" s="8" t="s">
        <v>107</v>
      </c>
      <c r="CZ33" s="8" t="s">
        <v>107</v>
      </c>
      <c r="DA33" s="8" t="s">
        <v>107</v>
      </c>
      <c r="DB33" s="8" t="s">
        <v>107</v>
      </c>
      <c r="DC33" s="8" t="s">
        <v>107</v>
      </c>
      <c r="DD33" s="8" t="s">
        <v>107</v>
      </c>
      <c r="DE33" s="967"/>
      <c r="DF33" s="8">
        <f t="shared" si="38"/>
        <v>0</v>
      </c>
      <c r="DG33" s="8"/>
      <c r="DH33" s="8">
        <v>0</v>
      </c>
      <c r="DI33" s="8" t="s">
        <v>107</v>
      </c>
      <c r="DJ33" s="8" t="s">
        <v>107</v>
      </c>
      <c r="DK33" s="8" t="s">
        <v>107</v>
      </c>
      <c r="DL33" s="8" t="s">
        <v>107</v>
      </c>
      <c r="DM33" s="8" t="s">
        <v>107</v>
      </c>
      <c r="DN33" s="8" t="s">
        <v>107</v>
      </c>
      <c r="DO33" s="8" t="s">
        <v>107</v>
      </c>
      <c r="DP33" s="8" t="s">
        <v>107</v>
      </c>
      <c r="DQ33" s="8" t="s">
        <v>107</v>
      </c>
      <c r="DR33" s="8" t="s">
        <v>107</v>
      </c>
      <c r="DS33" s="8" t="s">
        <v>107</v>
      </c>
      <c r="DT33" s="8" t="s">
        <v>107</v>
      </c>
      <c r="DU33" s="8" t="s">
        <v>107</v>
      </c>
      <c r="DV33" s="8" t="s">
        <v>107</v>
      </c>
      <c r="DW33" s="8" t="s">
        <v>107</v>
      </c>
      <c r="DX33" s="8" t="s">
        <v>107</v>
      </c>
      <c r="DY33" s="8" t="s">
        <v>107</v>
      </c>
      <c r="DZ33" s="8" t="s">
        <v>107</v>
      </c>
      <c r="EA33" s="8" t="s">
        <v>107</v>
      </c>
      <c r="EB33" s="8" t="s">
        <v>107</v>
      </c>
      <c r="EC33" s="8" t="s">
        <v>107</v>
      </c>
      <c r="ED33" s="8" t="s">
        <v>107</v>
      </c>
      <c r="EE33" s="967"/>
      <c r="EF33" s="8">
        <f t="shared" si="39"/>
        <v>0</v>
      </c>
      <c r="EG33" s="8"/>
      <c r="EH33" s="8">
        <v>0</v>
      </c>
      <c r="EI33" s="8" t="s">
        <v>107</v>
      </c>
      <c r="EJ33" s="8" t="s">
        <v>107</v>
      </c>
      <c r="EK33" s="8" t="s">
        <v>107</v>
      </c>
      <c r="EL33" s="8" t="s">
        <v>107</v>
      </c>
      <c r="EM33" s="8" t="s">
        <v>107</v>
      </c>
      <c r="EN33" s="8" t="s">
        <v>107</v>
      </c>
      <c r="EO33" s="8" t="s">
        <v>107</v>
      </c>
      <c r="EP33" s="8" t="s">
        <v>107</v>
      </c>
      <c r="EQ33" s="8" t="s">
        <v>107</v>
      </c>
      <c r="ER33" s="8" t="s">
        <v>107</v>
      </c>
      <c r="ES33" s="8" t="s">
        <v>107</v>
      </c>
      <c r="ET33" s="8" t="s">
        <v>107</v>
      </c>
      <c r="EU33" s="8" t="s">
        <v>107</v>
      </c>
      <c r="EV33" s="8" t="s">
        <v>107</v>
      </c>
      <c r="EW33" s="8" t="s">
        <v>107</v>
      </c>
      <c r="EX33" s="8" t="s">
        <v>107</v>
      </c>
      <c r="EY33" s="8" t="s">
        <v>107</v>
      </c>
      <c r="EZ33" s="8" t="s">
        <v>107</v>
      </c>
      <c r="FA33" s="8" t="s">
        <v>107</v>
      </c>
      <c r="FB33" s="8" t="s">
        <v>107</v>
      </c>
      <c r="FC33" s="8" t="s">
        <v>107</v>
      </c>
      <c r="FD33" s="8" t="s">
        <v>107</v>
      </c>
      <c r="FE33" s="967"/>
      <c r="FF33" s="8">
        <f t="shared" si="34"/>
        <v>1</v>
      </c>
      <c r="FG33" s="8"/>
      <c r="FH33" s="8">
        <v>1</v>
      </c>
      <c r="FI33" s="8" t="s">
        <v>107</v>
      </c>
      <c r="FJ33" s="8" t="s">
        <v>107</v>
      </c>
      <c r="FK33" s="8" t="s">
        <v>107</v>
      </c>
      <c r="FL33" s="8" t="s">
        <v>107</v>
      </c>
      <c r="FM33" s="8" t="s">
        <v>107</v>
      </c>
      <c r="FN33" s="8" t="s">
        <v>107</v>
      </c>
      <c r="FO33" s="8" t="s">
        <v>107</v>
      </c>
      <c r="FP33" s="8" t="s">
        <v>107</v>
      </c>
      <c r="FQ33" s="8" t="s">
        <v>107</v>
      </c>
      <c r="FR33" s="8" t="s">
        <v>107</v>
      </c>
      <c r="FS33" s="8" t="s">
        <v>107</v>
      </c>
      <c r="FT33" s="8" t="s">
        <v>107</v>
      </c>
      <c r="FU33" s="8" t="s">
        <v>107</v>
      </c>
      <c r="FV33" s="8" t="s">
        <v>107</v>
      </c>
      <c r="FW33" s="8" t="s">
        <v>107</v>
      </c>
      <c r="FX33" s="8" t="s">
        <v>107</v>
      </c>
      <c r="FY33" s="8" t="s">
        <v>107</v>
      </c>
      <c r="FZ33" s="8" t="s">
        <v>107</v>
      </c>
      <c r="GA33" s="8" t="s">
        <v>107</v>
      </c>
      <c r="GB33" s="8" t="s">
        <v>107</v>
      </c>
      <c r="GC33" s="8" t="s">
        <v>107</v>
      </c>
      <c r="GD33" s="8" t="s">
        <v>107</v>
      </c>
      <c r="GE33" s="967"/>
      <c r="GF33" s="8">
        <f t="shared" si="40"/>
        <v>0</v>
      </c>
      <c r="GG33" s="8"/>
      <c r="GH33" s="8">
        <v>0</v>
      </c>
      <c r="GI33" s="8" t="s">
        <v>107</v>
      </c>
      <c r="GJ33" s="8" t="s">
        <v>107</v>
      </c>
      <c r="GK33" s="8" t="s">
        <v>107</v>
      </c>
      <c r="GL33" s="8" t="s">
        <v>107</v>
      </c>
      <c r="GM33" s="8" t="s">
        <v>107</v>
      </c>
      <c r="GN33" s="8" t="s">
        <v>107</v>
      </c>
      <c r="GO33" s="8" t="s">
        <v>107</v>
      </c>
      <c r="GP33" s="8" t="s">
        <v>107</v>
      </c>
      <c r="GQ33" s="8" t="s">
        <v>107</v>
      </c>
      <c r="GR33" s="8" t="s">
        <v>107</v>
      </c>
      <c r="GS33" s="8" t="s">
        <v>107</v>
      </c>
      <c r="GT33" s="8" t="s">
        <v>107</v>
      </c>
      <c r="GU33" s="8" t="s">
        <v>107</v>
      </c>
      <c r="GV33" s="8" t="s">
        <v>107</v>
      </c>
      <c r="GW33" s="8" t="s">
        <v>107</v>
      </c>
      <c r="GX33" s="8" t="s">
        <v>107</v>
      </c>
      <c r="GY33" s="8" t="s">
        <v>107</v>
      </c>
      <c r="GZ33" s="8" t="s">
        <v>107</v>
      </c>
      <c r="HA33" s="8" t="s">
        <v>107</v>
      </c>
      <c r="HB33" s="8" t="s">
        <v>107</v>
      </c>
      <c r="HC33" s="8" t="s">
        <v>107</v>
      </c>
      <c r="HD33" s="8" t="s">
        <v>107</v>
      </c>
      <c r="HE33" s="967"/>
      <c r="HF33" s="8">
        <f t="shared" si="41"/>
        <v>0</v>
      </c>
      <c r="HG33" s="8"/>
      <c r="HH33" s="8">
        <v>0</v>
      </c>
      <c r="HI33" s="8" t="s">
        <v>107</v>
      </c>
      <c r="HJ33" s="8" t="s">
        <v>107</v>
      </c>
      <c r="HK33" s="8" t="s">
        <v>107</v>
      </c>
      <c r="HL33" s="8" t="s">
        <v>107</v>
      </c>
      <c r="HM33" s="8" t="s">
        <v>107</v>
      </c>
      <c r="HN33" s="8" t="s">
        <v>107</v>
      </c>
      <c r="HO33" s="8" t="s">
        <v>107</v>
      </c>
      <c r="HP33" s="8" t="s">
        <v>107</v>
      </c>
      <c r="HQ33" s="8" t="s">
        <v>107</v>
      </c>
      <c r="HR33" s="8" t="s">
        <v>107</v>
      </c>
      <c r="HS33" s="8" t="s">
        <v>107</v>
      </c>
      <c r="HT33" s="8" t="s">
        <v>107</v>
      </c>
      <c r="HU33" s="8" t="s">
        <v>107</v>
      </c>
      <c r="HV33" s="8" t="s">
        <v>107</v>
      </c>
      <c r="HW33" s="8" t="s">
        <v>107</v>
      </c>
      <c r="HX33" s="8" t="s">
        <v>107</v>
      </c>
      <c r="HY33" s="8" t="s">
        <v>107</v>
      </c>
      <c r="HZ33" s="8" t="s">
        <v>107</v>
      </c>
      <c r="IA33" s="8" t="s">
        <v>107</v>
      </c>
      <c r="IB33" s="8" t="s">
        <v>107</v>
      </c>
      <c r="IC33" s="8" t="s">
        <v>107</v>
      </c>
      <c r="ID33" s="8" t="s">
        <v>107</v>
      </c>
      <c r="IE33" s="967"/>
      <c r="IF33" s="8">
        <f t="shared" si="42"/>
        <v>0</v>
      </c>
      <c r="IG33" s="8"/>
      <c r="IH33" s="8">
        <v>0</v>
      </c>
      <c r="II33" s="8" t="s">
        <v>107</v>
      </c>
      <c r="IJ33" s="8" t="s">
        <v>107</v>
      </c>
      <c r="IK33" s="8" t="s">
        <v>107</v>
      </c>
      <c r="IL33" s="8" t="s">
        <v>107</v>
      </c>
      <c r="IM33" s="8" t="s">
        <v>107</v>
      </c>
      <c r="IN33" s="8" t="s">
        <v>107</v>
      </c>
      <c r="IO33" s="8" t="s">
        <v>107</v>
      </c>
      <c r="IP33" s="8" t="s">
        <v>107</v>
      </c>
      <c r="IQ33" s="8" t="s">
        <v>107</v>
      </c>
      <c r="IR33" s="8" t="s">
        <v>107</v>
      </c>
      <c r="IS33" s="8" t="s">
        <v>107</v>
      </c>
      <c r="IT33" s="8" t="s">
        <v>107</v>
      </c>
      <c r="IU33" s="8" t="s">
        <v>107</v>
      </c>
      <c r="IV33" s="8" t="s">
        <v>107</v>
      </c>
      <c r="IW33" s="8" t="s">
        <v>107</v>
      </c>
      <c r="IX33" s="8" t="s">
        <v>107</v>
      </c>
      <c r="IY33" s="8" t="s">
        <v>107</v>
      </c>
      <c r="IZ33" s="8" t="s">
        <v>107</v>
      </c>
      <c r="JA33" s="8" t="s">
        <v>107</v>
      </c>
      <c r="JB33" s="8" t="s">
        <v>107</v>
      </c>
      <c r="JC33" s="8" t="s">
        <v>107</v>
      </c>
      <c r="JD33" s="8" t="s">
        <v>107</v>
      </c>
      <c r="JE33" s="967"/>
      <c r="JF33" s="8">
        <f t="shared" si="43"/>
        <v>0</v>
      </c>
      <c r="JG33" s="8"/>
      <c r="JH33" s="8">
        <v>0</v>
      </c>
      <c r="JI33" s="8" t="s">
        <v>107</v>
      </c>
      <c r="JJ33" s="8" t="s">
        <v>107</v>
      </c>
      <c r="JK33" s="8" t="s">
        <v>107</v>
      </c>
      <c r="JL33" s="8" t="s">
        <v>107</v>
      </c>
      <c r="JM33" s="8" t="s">
        <v>107</v>
      </c>
      <c r="JN33" s="8" t="s">
        <v>107</v>
      </c>
      <c r="JO33" s="8" t="s">
        <v>107</v>
      </c>
      <c r="JP33" s="8" t="s">
        <v>107</v>
      </c>
      <c r="JQ33" s="8" t="s">
        <v>107</v>
      </c>
      <c r="JR33" s="8" t="s">
        <v>107</v>
      </c>
      <c r="JS33" s="8" t="s">
        <v>107</v>
      </c>
      <c r="JT33" s="8" t="s">
        <v>107</v>
      </c>
      <c r="JU33" s="8" t="s">
        <v>107</v>
      </c>
      <c r="JV33" s="8" t="s">
        <v>107</v>
      </c>
      <c r="JW33" s="8" t="s">
        <v>107</v>
      </c>
      <c r="JX33" s="8" t="s">
        <v>107</v>
      </c>
      <c r="JY33" s="8" t="s">
        <v>107</v>
      </c>
      <c r="JZ33" s="8" t="s">
        <v>107</v>
      </c>
      <c r="KA33" s="8" t="s">
        <v>107</v>
      </c>
      <c r="KB33" s="8" t="s">
        <v>107</v>
      </c>
      <c r="KC33" s="8" t="s">
        <v>107</v>
      </c>
      <c r="KD33" s="8" t="s">
        <v>107</v>
      </c>
      <c r="KE33" s="967"/>
      <c r="KF33" s="8">
        <f t="shared" si="44"/>
        <v>0</v>
      </c>
      <c r="KG33" s="8"/>
      <c r="KH33" s="8">
        <v>0</v>
      </c>
      <c r="KI33" s="8" t="s">
        <v>107</v>
      </c>
      <c r="KJ33" s="8" t="s">
        <v>107</v>
      </c>
      <c r="KK33" s="8" t="s">
        <v>107</v>
      </c>
      <c r="KL33" s="8" t="s">
        <v>107</v>
      </c>
      <c r="KM33" s="8" t="s">
        <v>107</v>
      </c>
      <c r="KN33" s="8" t="s">
        <v>107</v>
      </c>
      <c r="KO33" s="8" t="s">
        <v>107</v>
      </c>
      <c r="KP33" s="8" t="s">
        <v>107</v>
      </c>
      <c r="KQ33" s="8" t="s">
        <v>107</v>
      </c>
      <c r="KR33" s="8" t="s">
        <v>107</v>
      </c>
      <c r="KS33" s="8" t="s">
        <v>107</v>
      </c>
      <c r="KT33" s="8" t="s">
        <v>107</v>
      </c>
      <c r="KU33" s="8" t="s">
        <v>107</v>
      </c>
      <c r="KV33" s="8" t="s">
        <v>107</v>
      </c>
      <c r="KW33" s="8" t="s">
        <v>107</v>
      </c>
      <c r="KX33" s="8" t="s">
        <v>107</v>
      </c>
      <c r="KY33" s="8" t="s">
        <v>107</v>
      </c>
      <c r="KZ33" s="8" t="s">
        <v>107</v>
      </c>
      <c r="LA33" s="8" t="s">
        <v>107</v>
      </c>
      <c r="LB33" s="8" t="s">
        <v>107</v>
      </c>
      <c r="LC33" s="8" t="s">
        <v>107</v>
      </c>
      <c r="LD33" s="8" t="s">
        <v>107</v>
      </c>
      <c r="LE33" s="967"/>
      <c r="LF33" s="8">
        <f t="shared" si="45"/>
        <v>0</v>
      </c>
      <c r="LG33" s="8"/>
      <c r="LH33" s="8">
        <v>0</v>
      </c>
      <c r="LI33" s="8" t="s">
        <v>107</v>
      </c>
      <c r="LJ33" s="8" t="s">
        <v>107</v>
      </c>
      <c r="LK33" s="8" t="s">
        <v>107</v>
      </c>
      <c r="LL33" s="8" t="s">
        <v>107</v>
      </c>
      <c r="LM33" s="8" t="s">
        <v>107</v>
      </c>
      <c r="LN33" s="8" t="s">
        <v>107</v>
      </c>
      <c r="LO33" s="8" t="s">
        <v>107</v>
      </c>
      <c r="LP33" s="8" t="s">
        <v>107</v>
      </c>
      <c r="LQ33" s="8" t="s">
        <v>107</v>
      </c>
      <c r="LR33" s="8" t="s">
        <v>107</v>
      </c>
      <c r="LS33" s="8" t="s">
        <v>107</v>
      </c>
      <c r="LT33" s="8" t="s">
        <v>107</v>
      </c>
      <c r="LU33" s="8" t="s">
        <v>107</v>
      </c>
      <c r="LV33" s="8" t="s">
        <v>107</v>
      </c>
      <c r="LW33" s="8" t="s">
        <v>107</v>
      </c>
      <c r="LX33" s="8" t="s">
        <v>107</v>
      </c>
      <c r="LY33" s="8" t="s">
        <v>107</v>
      </c>
      <c r="LZ33" s="8" t="s">
        <v>107</v>
      </c>
      <c r="MA33" s="8" t="s">
        <v>107</v>
      </c>
      <c r="MB33" s="8" t="s">
        <v>107</v>
      </c>
      <c r="MC33" s="8" t="s">
        <v>107</v>
      </c>
      <c r="MD33" s="8" t="s">
        <v>107</v>
      </c>
      <c r="ME33" s="967"/>
      <c r="MF33" s="8">
        <f t="shared" si="46"/>
        <v>0</v>
      </c>
      <c r="MG33" s="8"/>
      <c r="MH33" s="8">
        <v>0</v>
      </c>
      <c r="MI33" s="8" t="s">
        <v>107</v>
      </c>
      <c r="MJ33" s="8" t="s">
        <v>107</v>
      </c>
      <c r="MK33" s="8" t="s">
        <v>107</v>
      </c>
      <c r="ML33" s="8" t="s">
        <v>107</v>
      </c>
      <c r="MM33" s="8" t="s">
        <v>107</v>
      </c>
      <c r="MN33" s="8" t="s">
        <v>107</v>
      </c>
      <c r="MO33" s="8" t="s">
        <v>107</v>
      </c>
      <c r="MP33" s="8" t="s">
        <v>107</v>
      </c>
      <c r="MQ33" s="8" t="s">
        <v>107</v>
      </c>
      <c r="MR33" s="8" t="s">
        <v>107</v>
      </c>
      <c r="MS33" s="8" t="s">
        <v>107</v>
      </c>
      <c r="MT33" s="8" t="s">
        <v>107</v>
      </c>
      <c r="MU33" s="8" t="s">
        <v>107</v>
      </c>
      <c r="MV33" s="8" t="s">
        <v>107</v>
      </c>
      <c r="MW33" s="8" t="s">
        <v>107</v>
      </c>
      <c r="MX33" s="8" t="s">
        <v>107</v>
      </c>
      <c r="MY33" s="8" t="s">
        <v>107</v>
      </c>
      <c r="MZ33" s="8" t="s">
        <v>107</v>
      </c>
      <c r="NA33" s="8" t="s">
        <v>107</v>
      </c>
      <c r="NB33" s="8" t="s">
        <v>107</v>
      </c>
      <c r="NC33" s="8" t="s">
        <v>107</v>
      </c>
      <c r="ND33" s="8" t="s">
        <v>107</v>
      </c>
      <c r="NE33" s="967"/>
      <c r="NF33" s="8">
        <f t="shared" si="47"/>
        <v>0</v>
      </c>
      <c r="NG33" s="8"/>
      <c r="NH33" s="8">
        <v>0</v>
      </c>
      <c r="NI33" s="8" t="s">
        <v>107</v>
      </c>
      <c r="NJ33" s="8" t="s">
        <v>107</v>
      </c>
      <c r="NK33" s="8" t="s">
        <v>107</v>
      </c>
      <c r="NL33" s="8" t="s">
        <v>107</v>
      </c>
      <c r="NM33" s="8" t="s">
        <v>107</v>
      </c>
      <c r="NN33" s="8" t="s">
        <v>107</v>
      </c>
      <c r="NO33" s="8" t="s">
        <v>107</v>
      </c>
      <c r="NP33" s="8" t="s">
        <v>107</v>
      </c>
      <c r="NQ33" s="8" t="s">
        <v>107</v>
      </c>
      <c r="NR33" s="8" t="s">
        <v>107</v>
      </c>
      <c r="NS33" s="8" t="s">
        <v>107</v>
      </c>
      <c r="NT33" s="8" t="s">
        <v>107</v>
      </c>
      <c r="NU33" s="8" t="s">
        <v>107</v>
      </c>
      <c r="NV33" s="8" t="s">
        <v>107</v>
      </c>
      <c r="NW33" s="8" t="s">
        <v>107</v>
      </c>
      <c r="NX33" s="8" t="s">
        <v>107</v>
      </c>
      <c r="NY33" s="8" t="s">
        <v>107</v>
      </c>
      <c r="NZ33" s="8" t="s">
        <v>107</v>
      </c>
      <c r="OA33" s="8" t="s">
        <v>107</v>
      </c>
      <c r="OB33" s="8" t="s">
        <v>107</v>
      </c>
      <c r="OC33" s="8" t="s">
        <v>107</v>
      </c>
      <c r="OD33" s="8" t="s">
        <v>107</v>
      </c>
      <c r="OE33" s="967"/>
      <c r="OF33" s="8">
        <f t="shared" si="48"/>
        <v>0</v>
      </c>
      <c r="OG33" s="8"/>
      <c r="OH33" s="8">
        <v>0</v>
      </c>
      <c r="OI33" s="8" t="s">
        <v>107</v>
      </c>
      <c r="OJ33" s="8" t="s">
        <v>107</v>
      </c>
      <c r="OK33" s="8" t="s">
        <v>107</v>
      </c>
      <c r="OL33" s="8" t="s">
        <v>107</v>
      </c>
      <c r="OM33" s="8" t="s">
        <v>107</v>
      </c>
      <c r="ON33" s="8" t="s">
        <v>107</v>
      </c>
      <c r="OO33" s="8" t="s">
        <v>107</v>
      </c>
      <c r="OP33" s="8" t="s">
        <v>107</v>
      </c>
      <c r="OQ33" s="8" t="s">
        <v>107</v>
      </c>
      <c r="OR33" s="8" t="s">
        <v>107</v>
      </c>
      <c r="OS33" s="8" t="s">
        <v>107</v>
      </c>
      <c r="OT33" s="8" t="s">
        <v>107</v>
      </c>
      <c r="OU33" s="8" t="s">
        <v>107</v>
      </c>
      <c r="OV33" s="8" t="s">
        <v>107</v>
      </c>
      <c r="OW33" s="8" t="s">
        <v>107</v>
      </c>
      <c r="OX33" s="8" t="s">
        <v>107</v>
      </c>
      <c r="OY33" s="8" t="s">
        <v>107</v>
      </c>
      <c r="OZ33" s="8" t="s">
        <v>107</v>
      </c>
      <c r="PA33" s="8" t="s">
        <v>107</v>
      </c>
      <c r="PB33" s="8" t="s">
        <v>107</v>
      </c>
      <c r="PC33" s="8" t="s">
        <v>107</v>
      </c>
      <c r="PD33" s="8" t="s">
        <v>107</v>
      </c>
      <c r="PE33" s="967"/>
      <c r="PF33" s="8">
        <f t="shared" si="49"/>
        <v>0</v>
      </c>
      <c r="PG33" s="8"/>
      <c r="PH33" s="8">
        <v>0</v>
      </c>
      <c r="PI33" s="8" t="s">
        <v>107</v>
      </c>
      <c r="PJ33" s="8" t="s">
        <v>107</v>
      </c>
      <c r="PK33" s="8" t="s">
        <v>107</v>
      </c>
      <c r="PL33" s="8" t="s">
        <v>107</v>
      </c>
      <c r="PM33" s="8" t="s">
        <v>107</v>
      </c>
      <c r="PN33" s="8" t="s">
        <v>107</v>
      </c>
      <c r="PO33" s="8" t="s">
        <v>107</v>
      </c>
      <c r="PP33" s="8" t="s">
        <v>107</v>
      </c>
      <c r="PQ33" s="8" t="s">
        <v>107</v>
      </c>
      <c r="PR33" s="8" t="s">
        <v>107</v>
      </c>
      <c r="PS33" s="8" t="s">
        <v>107</v>
      </c>
      <c r="PT33" s="8" t="s">
        <v>107</v>
      </c>
      <c r="PU33" s="8" t="s">
        <v>107</v>
      </c>
      <c r="PV33" s="8" t="s">
        <v>107</v>
      </c>
      <c r="PW33" s="8" t="s">
        <v>107</v>
      </c>
      <c r="PX33" s="8" t="s">
        <v>107</v>
      </c>
      <c r="PY33" s="8" t="s">
        <v>107</v>
      </c>
      <c r="PZ33" s="8" t="s">
        <v>107</v>
      </c>
      <c r="QA33" s="8" t="s">
        <v>107</v>
      </c>
      <c r="QB33" s="8" t="s">
        <v>107</v>
      </c>
      <c r="QC33" s="8" t="s">
        <v>107</v>
      </c>
      <c r="QD33" s="8" t="s">
        <v>107</v>
      </c>
      <c r="QE33" s="967"/>
    </row>
    <row r="34" spans="2:447" x14ac:dyDescent="0.3">
      <c r="B34">
        <v>26</v>
      </c>
      <c r="D34" t="s">
        <v>1805</v>
      </c>
      <c r="F34" s="8">
        <f t="shared" si="33"/>
        <v>48</v>
      </c>
      <c r="G34" s="8"/>
      <c r="H34" s="8" t="s">
        <v>107</v>
      </c>
      <c r="I34" s="8" t="s">
        <v>107</v>
      </c>
      <c r="J34" s="8" t="s">
        <v>107</v>
      </c>
      <c r="K34" s="8" t="s">
        <v>107</v>
      </c>
      <c r="L34" s="8" t="s">
        <v>107</v>
      </c>
      <c r="M34" s="8" t="s">
        <v>107</v>
      </c>
      <c r="N34" s="8" t="s">
        <v>107</v>
      </c>
      <c r="O34" s="8" t="s">
        <v>107</v>
      </c>
      <c r="P34" s="8" t="s">
        <v>107</v>
      </c>
      <c r="Q34" s="8" t="s">
        <v>107</v>
      </c>
      <c r="R34" s="8" t="s">
        <v>107</v>
      </c>
      <c r="S34" s="8">
        <v>17</v>
      </c>
      <c r="T34" s="8">
        <v>16</v>
      </c>
      <c r="U34" s="8"/>
      <c r="V34" s="8"/>
      <c r="W34" s="8"/>
      <c r="X34" s="8">
        <v>15</v>
      </c>
      <c r="Y34" s="8" t="s">
        <v>107</v>
      </c>
      <c r="Z34" s="8"/>
      <c r="AA34" s="8"/>
      <c r="AB34" s="8" t="s">
        <v>107</v>
      </c>
      <c r="AC34" s="8" t="s">
        <v>107</v>
      </c>
      <c r="AD34" s="8" t="s">
        <v>107</v>
      </c>
      <c r="AE34" s="967"/>
      <c r="AF34" s="8">
        <f t="shared" si="35"/>
        <v>12</v>
      </c>
      <c r="AG34" s="8"/>
      <c r="AH34" s="8" t="s">
        <v>107</v>
      </c>
      <c r="AI34" s="8" t="s">
        <v>107</v>
      </c>
      <c r="AJ34" s="8" t="s">
        <v>107</v>
      </c>
      <c r="AK34" s="8" t="s">
        <v>107</v>
      </c>
      <c r="AL34" s="8"/>
      <c r="AM34" s="8"/>
      <c r="AN34" s="8"/>
      <c r="AO34" s="8" t="s">
        <v>107</v>
      </c>
      <c r="AP34" s="8" t="s">
        <v>107</v>
      </c>
      <c r="AQ34" s="8" t="s">
        <v>107</v>
      </c>
      <c r="AR34" s="8" t="s">
        <v>107</v>
      </c>
      <c r="AS34" s="8">
        <v>2</v>
      </c>
      <c r="AT34" s="8">
        <v>2</v>
      </c>
      <c r="AU34" s="8"/>
      <c r="AV34" s="8"/>
      <c r="AW34" s="8"/>
      <c r="AX34" s="8">
        <v>8</v>
      </c>
      <c r="AY34" s="8" t="s">
        <v>107</v>
      </c>
      <c r="AZ34" s="8"/>
      <c r="BA34" s="8"/>
      <c r="BB34" s="8" t="s">
        <v>107</v>
      </c>
      <c r="BC34" s="8" t="s">
        <v>107</v>
      </c>
      <c r="BD34" s="8" t="s">
        <v>107</v>
      </c>
      <c r="BE34" s="967"/>
      <c r="BF34" s="8">
        <f t="shared" si="36"/>
        <v>6</v>
      </c>
      <c r="BG34" s="8"/>
      <c r="BH34" s="8" t="s">
        <v>107</v>
      </c>
      <c r="BI34" s="8"/>
      <c r="BJ34" s="8"/>
      <c r="BK34" s="8" t="s">
        <v>107</v>
      </c>
      <c r="BL34" s="8"/>
      <c r="BM34" s="8"/>
      <c r="BN34" s="8"/>
      <c r="BO34" s="8" t="s">
        <v>107</v>
      </c>
      <c r="BP34" s="8" t="s">
        <v>107</v>
      </c>
      <c r="BQ34" s="8" t="s">
        <v>107</v>
      </c>
      <c r="BR34" s="8" t="s">
        <v>107</v>
      </c>
      <c r="BS34" s="8">
        <v>2</v>
      </c>
      <c r="BT34" s="8">
        <v>2</v>
      </c>
      <c r="BU34" s="8"/>
      <c r="BV34" s="8"/>
      <c r="BW34" s="8"/>
      <c r="BX34" s="8">
        <v>2</v>
      </c>
      <c r="BY34" s="8" t="s">
        <v>107</v>
      </c>
      <c r="BZ34" s="8"/>
      <c r="CA34" s="8"/>
      <c r="CB34" s="8" t="s">
        <v>107</v>
      </c>
      <c r="CC34" s="8" t="s">
        <v>107</v>
      </c>
      <c r="CD34" s="8" t="s">
        <v>107</v>
      </c>
      <c r="CE34" s="967"/>
      <c r="CF34" s="8">
        <f t="shared" si="37"/>
        <v>18</v>
      </c>
      <c r="CG34" s="8"/>
      <c r="CH34" s="8" t="s">
        <v>107</v>
      </c>
      <c r="CI34" s="8"/>
      <c r="CJ34" s="8"/>
      <c r="CK34" s="8" t="s">
        <v>107</v>
      </c>
      <c r="CL34" s="8"/>
      <c r="CM34" s="8"/>
      <c r="CN34" s="8"/>
      <c r="CO34" s="8" t="s">
        <v>107</v>
      </c>
      <c r="CP34" s="8" t="s">
        <v>107</v>
      </c>
      <c r="CQ34" s="8" t="s">
        <v>107</v>
      </c>
      <c r="CR34" s="8" t="s">
        <v>107</v>
      </c>
      <c r="CS34" s="8">
        <v>4</v>
      </c>
      <c r="CT34" s="8">
        <v>4</v>
      </c>
      <c r="CU34" s="8"/>
      <c r="CV34" s="8"/>
      <c r="CW34" s="8"/>
      <c r="CX34" s="8">
        <v>10</v>
      </c>
      <c r="CY34" s="8" t="s">
        <v>107</v>
      </c>
      <c r="CZ34" s="8"/>
      <c r="DA34" s="8"/>
      <c r="DB34" s="8" t="s">
        <v>107</v>
      </c>
      <c r="DC34" s="8" t="s">
        <v>107</v>
      </c>
      <c r="DD34" s="8" t="s">
        <v>107</v>
      </c>
      <c r="DE34" s="967"/>
      <c r="DF34" s="8">
        <f t="shared" si="38"/>
        <v>1</v>
      </c>
      <c r="DG34" s="8"/>
      <c r="DH34" s="8" t="s">
        <v>107</v>
      </c>
      <c r="DI34" s="8" t="s">
        <v>107</v>
      </c>
      <c r="DJ34" s="8" t="s">
        <v>107</v>
      </c>
      <c r="DK34" s="8" t="s">
        <v>107</v>
      </c>
      <c r="DL34" s="8"/>
      <c r="DM34" s="8"/>
      <c r="DN34" s="8"/>
      <c r="DO34" s="8" t="s">
        <v>107</v>
      </c>
      <c r="DP34" s="8" t="s">
        <v>107</v>
      </c>
      <c r="DQ34" s="8" t="s">
        <v>107</v>
      </c>
      <c r="DR34" s="8" t="s">
        <v>107</v>
      </c>
      <c r="DS34" s="8">
        <v>1</v>
      </c>
      <c r="DT34" s="8"/>
      <c r="DU34" s="8"/>
      <c r="DV34" s="8"/>
      <c r="DW34" s="8"/>
      <c r="DX34" s="8">
        <v>0</v>
      </c>
      <c r="DY34" s="8" t="s">
        <v>107</v>
      </c>
      <c r="DZ34" s="8"/>
      <c r="EA34" s="8"/>
      <c r="EB34" s="8" t="s">
        <v>107</v>
      </c>
      <c r="EC34" s="8" t="s">
        <v>107</v>
      </c>
      <c r="ED34" s="8" t="s">
        <v>107</v>
      </c>
      <c r="EE34" s="967"/>
      <c r="EF34" s="8">
        <f t="shared" si="39"/>
        <v>2</v>
      </c>
      <c r="EG34" s="8"/>
      <c r="EH34" s="8" t="s">
        <v>107</v>
      </c>
      <c r="EI34" s="8" t="s">
        <v>107</v>
      </c>
      <c r="EJ34" s="8" t="s">
        <v>107</v>
      </c>
      <c r="EK34" s="8" t="s">
        <v>107</v>
      </c>
      <c r="EL34" s="8"/>
      <c r="EM34" s="8"/>
      <c r="EN34" s="8"/>
      <c r="EO34" s="8" t="s">
        <v>107</v>
      </c>
      <c r="EP34" s="8" t="s">
        <v>107</v>
      </c>
      <c r="EQ34" s="8" t="s">
        <v>107</v>
      </c>
      <c r="ER34" s="8" t="s">
        <v>107</v>
      </c>
      <c r="ES34" s="8">
        <v>2</v>
      </c>
      <c r="ET34" s="8"/>
      <c r="EU34" s="8"/>
      <c r="EV34" s="8"/>
      <c r="EW34" s="8"/>
      <c r="EX34" s="8">
        <v>0</v>
      </c>
      <c r="EY34" s="8" t="s">
        <v>107</v>
      </c>
      <c r="EZ34" s="8"/>
      <c r="FA34" s="8"/>
      <c r="FB34" s="8" t="s">
        <v>107</v>
      </c>
      <c r="FC34" s="8" t="s">
        <v>107</v>
      </c>
      <c r="FD34" s="8" t="s">
        <v>107</v>
      </c>
      <c r="FE34" s="967"/>
      <c r="FF34" s="8">
        <f t="shared" si="34"/>
        <v>1</v>
      </c>
      <c r="FG34" s="8"/>
      <c r="FH34" s="8" t="s">
        <v>107</v>
      </c>
      <c r="FI34" s="8" t="s">
        <v>107</v>
      </c>
      <c r="FJ34" s="8" t="s">
        <v>107</v>
      </c>
      <c r="FK34" s="8" t="s">
        <v>107</v>
      </c>
      <c r="FL34" s="8"/>
      <c r="FM34" s="8"/>
      <c r="FN34" s="8"/>
      <c r="FO34" s="8" t="s">
        <v>107</v>
      </c>
      <c r="FP34" s="8" t="s">
        <v>107</v>
      </c>
      <c r="FQ34" s="8" t="s">
        <v>107</v>
      </c>
      <c r="FR34" s="8" t="s">
        <v>107</v>
      </c>
      <c r="FS34" s="8">
        <v>0</v>
      </c>
      <c r="FT34" s="8">
        <v>0</v>
      </c>
      <c r="FU34" s="8"/>
      <c r="FV34" s="8"/>
      <c r="FW34" s="8"/>
      <c r="FX34" s="8">
        <v>1</v>
      </c>
      <c r="FY34" s="8" t="s">
        <v>107</v>
      </c>
      <c r="FZ34" s="8"/>
      <c r="GA34" s="8"/>
      <c r="GB34" s="8" t="s">
        <v>107</v>
      </c>
      <c r="GC34" s="8" t="s">
        <v>107</v>
      </c>
      <c r="GD34" s="8" t="s">
        <v>107</v>
      </c>
      <c r="GE34" s="967"/>
      <c r="GF34" s="8">
        <f t="shared" si="40"/>
        <v>2</v>
      </c>
      <c r="GG34" s="8"/>
      <c r="GH34" s="8" t="s">
        <v>107</v>
      </c>
      <c r="GI34" s="8" t="s">
        <v>107</v>
      </c>
      <c r="GJ34" s="8" t="s">
        <v>107</v>
      </c>
      <c r="GK34" s="8" t="s">
        <v>107</v>
      </c>
      <c r="GL34" s="8"/>
      <c r="GM34" s="8"/>
      <c r="GN34" s="8"/>
      <c r="GO34" s="8" t="s">
        <v>107</v>
      </c>
      <c r="GP34" s="8" t="s">
        <v>107</v>
      </c>
      <c r="GQ34" s="8" t="s">
        <v>107</v>
      </c>
      <c r="GR34" s="8" t="s">
        <v>107</v>
      </c>
      <c r="GS34" s="8">
        <v>0</v>
      </c>
      <c r="GT34" s="8"/>
      <c r="GU34" s="8"/>
      <c r="GV34" s="8"/>
      <c r="GW34" s="8"/>
      <c r="GX34" s="8">
        <v>2</v>
      </c>
      <c r="GY34" s="8" t="s">
        <v>107</v>
      </c>
      <c r="GZ34" s="8"/>
      <c r="HA34" s="8"/>
      <c r="HB34" s="8" t="s">
        <v>107</v>
      </c>
      <c r="HC34" s="8" t="s">
        <v>107</v>
      </c>
      <c r="HD34" s="8" t="s">
        <v>107</v>
      </c>
      <c r="HE34" s="967"/>
      <c r="HF34" s="8">
        <f t="shared" si="41"/>
        <v>0</v>
      </c>
      <c r="HG34" s="8"/>
      <c r="HH34" s="8" t="s">
        <v>107</v>
      </c>
      <c r="HI34" s="8" t="s">
        <v>107</v>
      </c>
      <c r="HJ34" s="8" t="s">
        <v>107</v>
      </c>
      <c r="HK34" s="8" t="s">
        <v>107</v>
      </c>
      <c r="HL34" s="8"/>
      <c r="HM34" s="8"/>
      <c r="HN34" s="8"/>
      <c r="HO34" s="8" t="s">
        <v>107</v>
      </c>
      <c r="HP34" s="8" t="s">
        <v>107</v>
      </c>
      <c r="HQ34" s="8" t="s">
        <v>107</v>
      </c>
      <c r="HR34" s="8" t="s">
        <v>107</v>
      </c>
      <c r="HS34" s="8">
        <v>0</v>
      </c>
      <c r="HT34" s="8"/>
      <c r="HU34" s="8"/>
      <c r="HV34" s="8"/>
      <c r="HW34" s="8"/>
      <c r="HX34" s="8">
        <v>0</v>
      </c>
      <c r="HY34" s="8" t="s">
        <v>107</v>
      </c>
      <c r="HZ34" s="8"/>
      <c r="IA34" s="8"/>
      <c r="IB34" s="8" t="s">
        <v>107</v>
      </c>
      <c r="IC34" s="8" t="s">
        <v>107</v>
      </c>
      <c r="ID34" s="8" t="s">
        <v>107</v>
      </c>
      <c r="IE34" s="967"/>
      <c r="IF34" s="8">
        <f t="shared" si="42"/>
        <v>0</v>
      </c>
      <c r="IG34" s="8"/>
      <c r="IH34" s="8" t="s">
        <v>107</v>
      </c>
      <c r="II34" s="8" t="s">
        <v>107</v>
      </c>
      <c r="IJ34" s="8" t="s">
        <v>107</v>
      </c>
      <c r="IK34" s="8" t="s">
        <v>107</v>
      </c>
      <c r="IL34" s="8"/>
      <c r="IM34" s="8"/>
      <c r="IN34" s="8"/>
      <c r="IO34" s="8" t="s">
        <v>107</v>
      </c>
      <c r="IP34" s="8" t="s">
        <v>107</v>
      </c>
      <c r="IQ34" s="8" t="s">
        <v>107</v>
      </c>
      <c r="IR34" s="8" t="s">
        <v>107</v>
      </c>
      <c r="IS34" s="8">
        <v>0</v>
      </c>
      <c r="IT34" s="8"/>
      <c r="IU34" s="8"/>
      <c r="IV34" s="8"/>
      <c r="IW34" s="8"/>
      <c r="IX34" s="8">
        <v>0</v>
      </c>
      <c r="IY34" s="8" t="s">
        <v>107</v>
      </c>
      <c r="IZ34" s="8"/>
      <c r="JA34" s="8"/>
      <c r="JB34" s="8" t="s">
        <v>107</v>
      </c>
      <c r="JC34" s="8" t="s">
        <v>107</v>
      </c>
      <c r="JD34" s="8" t="s">
        <v>107</v>
      </c>
      <c r="JE34" s="967"/>
      <c r="JF34" s="8">
        <f t="shared" si="43"/>
        <v>0</v>
      </c>
      <c r="JG34" s="8"/>
      <c r="JH34" s="8" t="s">
        <v>107</v>
      </c>
      <c r="JI34" s="8" t="s">
        <v>107</v>
      </c>
      <c r="JJ34" s="8" t="s">
        <v>107</v>
      </c>
      <c r="JK34" s="8" t="s">
        <v>107</v>
      </c>
      <c r="JL34" s="8"/>
      <c r="JM34" s="8"/>
      <c r="JN34" s="8"/>
      <c r="JO34" s="8" t="s">
        <v>107</v>
      </c>
      <c r="JP34" s="8" t="s">
        <v>107</v>
      </c>
      <c r="JQ34" s="8" t="s">
        <v>107</v>
      </c>
      <c r="JR34" s="8" t="s">
        <v>107</v>
      </c>
      <c r="JS34" s="8">
        <v>0</v>
      </c>
      <c r="JT34" s="8"/>
      <c r="JU34" s="8"/>
      <c r="JV34" s="8"/>
      <c r="JW34" s="8"/>
      <c r="JX34" s="8">
        <v>0</v>
      </c>
      <c r="JY34" s="8" t="s">
        <v>107</v>
      </c>
      <c r="JZ34" s="8"/>
      <c r="KA34" s="8"/>
      <c r="KB34" s="8" t="s">
        <v>107</v>
      </c>
      <c r="KC34" s="8" t="s">
        <v>107</v>
      </c>
      <c r="KD34" s="8" t="s">
        <v>107</v>
      </c>
      <c r="KE34" s="967"/>
      <c r="KF34" s="8">
        <f t="shared" si="44"/>
        <v>0</v>
      </c>
      <c r="KG34" s="8"/>
      <c r="KH34" s="8" t="s">
        <v>107</v>
      </c>
      <c r="KI34" s="8" t="s">
        <v>107</v>
      </c>
      <c r="KJ34" s="8" t="s">
        <v>107</v>
      </c>
      <c r="KK34" s="8" t="s">
        <v>107</v>
      </c>
      <c r="KL34" s="8"/>
      <c r="KM34" s="8"/>
      <c r="KN34" s="8"/>
      <c r="KO34" s="8" t="s">
        <v>107</v>
      </c>
      <c r="KP34" s="8" t="s">
        <v>107</v>
      </c>
      <c r="KQ34" s="8" t="s">
        <v>107</v>
      </c>
      <c r="KR34" s="8" t="s">
        <v>107</v>
      </c>
      <c r="KS34" s="8">
        <v>0</v>
      </c>
      <c r="KT34" s="8"/>
      <c r="KU34" s="8"/>
      <c r="KV34" s="8"/>
      <c r="KW34" s="8"/>
      <c r="KX34" s="8">
        <v>0</v>
      </c>
      <c r="KY34" s="8" t="s">
        <v>107</v>
      </c>
      <c r="KZ34" s="8"/>
      <c r="LA34" s="8"/>
      <c r="LB34" s="8" t="s">
        <v>107</v>
      </c>
      <c r="LC34" s="8" t="s">
        <v>107</v>
      </c>
      <c r="LD34" s="8" t="s">
        <v>107</v>
      </c>
      <c r="LE34" s="967"/>
      <c r="LF34" s="8">
        <f t="shared" si="45"/>
        <v>0</v>
      </c>
      <c r="LG34" s="8"/>
      <c r="LH34" s="8" t="s">
        <v>107</v>
      </c>
      <c r="LI34" s="8" t="s">
        <v>107</v>
      </c>
      <c r="LJ34" s="8" t="s">
        <v>107</v>
      </c>
      <c r="LK34" s="8" t="s">
        <v>107</v>
      </c>
      <c r="LL34" s="8"/>
      <c r="LM34" s="8"/>
      <c r="LN34" s="8"/>
      <c r="LO34" s="8" t="s">
        <v>107</v>
      </c>
      <c r="LP34" s="8" t="s">
        <v>107</v>
      </c>
      <c r="LQ34" s="8" t="s">
        <v>107</v>
      </c>
      <c r="LR34" s="8" t="s">
        <v>107</v>
      </c>
      <c r="LS34" s="8">
        <v>0</v>
      </c>
      <c r="LT34" s="8"/>
      <c r="LU34" s="8"/>
      <c r="LV34" s="8"/>
      <c r="LW34" s="8"/>
      <c r="LX34" s="8">
        <v>0</v>
      </c>
      <c r="LY34" s="8" t="s">
        <v>107</v>
      </c>
      <c r="LZ34" s="8"/>
      <c r="MA34" s="8"/>
      <c r="MB34" s="8" t="s">
        <v>107</v>
      </c>
      <c r="MC34" s="8" t="s">
        <v>107</v>
      </c>
      <c r="MD34" s="8" t="s">
        <v>107</v>
      </c>
      <c r="ME34" s="967"/>
      <c r="MF34" s="8">
        <f t="shared" si="46"/>
        <v>0</v>
      </c>
      <c r="MG34" s="8"/>
      <c r="MH34" s="8" t="s">
        <v>107</v>
      </c>
      <c r="MI34" s="8" t="s">
        <v>107</v>
      </c>
      <c r="MJ34" s="8" t="s">
        <v>107</v>
      </c>
      <c r="MK34" s="8" t="s">
        <v>107</v>
      </c>
      <c r="ML34" s="8"/>
      <c r="MM34" s="8"/>
      <c r="MN34" s="8"/>
      <c r="MO34" s="8" t="s">
        <v>107</v>
      </c>
      <c r="MP34" s="8" t="s">
        <v>107</v>
      </c>
      <c r="MQ34" s="8" t="s">
        <v>107</v>
      </c>
      <c r="MR34" s="8" t="s">
        <v>107</v>
      </c>
      <c r="MS34" s="8">
        <v>0</v>
      </c>
      <c r="MT34" s="8"/>
      <c r="MU34" s="8"/>
      <c r="MV34" s="8"/>
      <c r="MW34" s="8"/>
      <c r="MX34" s="8">
        <v>0</v>
      </c>
      <c r="MY34" s="8" t="s">
        <v>107</v>
      </c>
      <c r="MZ34" s="8"/>
      <c r="NA34" s="8"/>
      <c r="NB34" s="8" t="s">
        <v>107</v>
      </c>
      <c r="NC34" s="8" t="s">
        <v>107</v>
      </c>
      <c r="ND34" s="8" t="s">
        <v>107</v>
      </c>
      <c r="NE34" s="967"/>
      <c r="NF34" s="8">
        <f t="shared" si="47"/>
        <v>1</v>
      </c>
      <c r="NG34" s="8"/>
      <c r="NH34" s="8" t="s">
        <v>107</v>
      </c>
      <c r="NI34" s="8" t="s">
        <v>107</v>
      </c>
      <c r="NJ34" s="8" t="s">
        <v>107</v>
      </c>
      <c r="NK34" s="8" t="s">
        <v>107</v>
      </c>
      <c r="NL34" s="8"/>
      <c r="NM34" s="8"/>
      <c r="NN34" s="8"/>
      <c r="NO34" s="8" t="s">
        <v>107</v>
      </c>
      <c r="NP34" s="8" t="s">
        <v>107</v>
      </c>
      <c r="NQ34" s="8" t="s">
        <v>107</v>
      </c>
      <c r="NR34" s="8" t="s">
        <v>107</v>
      </c>
      <c r="NS34" s="8">
        <v>0</v>
      </c>
      <c r="NT34" s="8"/>
      <c r="NU34" s="8"/>
      <c r="NV34" s="8"/>
      <c r="NW34" s="8"/>
      <c r="NX34" s="8">
        <v>1</v>
      </c>
      <c r="NY34" s="8" t="s">
        <v>107</v>
      </c>
      <c r="NZ34" s="8"/>
      <c r="OA34" s="8"/>
      <c r="OB34" s="8" t="s">
        <v>107</v>
      </c>
      <c r="OC34" s="8" t="s">
        <v>107</v>
      </c>
      <c r="OD34" s="8" t="s">
        <v>107</v>
      </c>
      <c r="OE34" s="967"/>
      <c r="OF34" s="8">
        <f t="shared" si="48"/>
        <v>0</v>
      </c>
      <c r="OG34" s="8"/>
      <c r="OH34" s="8" t="s">
        <v>107</v>
      </c>
      <c r="OI34" s="8" t="s">
        <v>107</v>
      </c>
      <c r="OJ34" s="8" t="s">
        <v>107</v>
      </c>
      <c r="OK34" s="8" t="s">
        <v>107</v>
      </c>
      <c r="OL34" s="8"/>
      <c r="OM34" s="8"/>
      <c r="ON34" s="8"/>
      <c r="OO34" s="8" t="s">
        <v>107</v>
      </c>
      <c r="OP34" s="8" t="s">
        <v>107</v>
      </c>
      <c r="OQ34" s="8" t="s">
        <v>107</v>
      </c>
      <c r="OR34" s="8" t="s">
        <v>107</v>
      </c>
      <c r="OS34" s="8">
        <v>0</v>
      </c>
      <c r="OT34" s="8"/>
      <c r="OU34" s="8"/>
      <c r="OV34" s="8"/>
      <c r="OW34" s="8"/>
      <c r="OX34" s="8">
        <v>0</v>
      </c>
      <c r="OY34" s="8" t="s">
        <v>107</v>
      </c>
      <c r="OZ34" s="8"/>
      <c r="PA34" s="8"/>
      <c r="PB34" s="8" t="s">
        <v>107</v>
      </c>
      <c r="PC34" s="8" t="s">
        <v>107</v>
      </c>
      <c r="PD34" s="8" t="s">
        <v>107</v>
      </c>
      <c r="PE34" s="967"/>
      <c r="PF34" s="8">
        <f t="shared" si="49"/>
        <v>0</v>
      </c>
      <c r="PG34" s="8"/>
      <c r="PH34" s="8" t="s">
        <v>107</v>
      </c>
      <c r="PI34" s="8" t="s">
        <v>107</v>
      </c>
      <c r="PJ34" s="8" t="s">
        <v>107</v>
      </c>
      <c r="PK34" s="8" t="s">
        <v>107</v>
      </c>
      <c r="PL34" s="8"/>
      <c r="PM34" s="8"/>
      <c r="PN34" s="8"/>
      <c r="PO34" s="8" t="s">
        <v>107</v>
      </c>
      <c r="PP34" s="8" t="s">
        <v>107</v>
      </c>
      <c r="PQ34" s="8" t="s">
        <v>107</v>
      </c>
      <c r="PR34" s="8" t="s">
        <v>107</v>
      </c>
      <c r="PS34" s="8">
        <v>0</v>
      </c>
      <c r="PT34" s="8"/>
      <c r="PU34" s="8"/>
      <c r="PV34" s="8"/>
      <c r="PW34" s="8"/>
      <c r="PX34" s="8">
        <v>0</v>
      </c>
      <c r="PY34" s="8" t="s">
        <v>107</v>
      </c>
      <c r="PZ34" s="8"/>
      <c r="QA34" s="8"/>
      <c r="QB34" s="8" t="s">
        <v>107</v>
      </c>
      <c r="QC34" s="8" t="s">
        <v>107</v>
      </c>
      <c r="QD34" s="8" t="s">
        <v>107</v>
      </c>
      <c r="QE34" s="967"/>
    </row>
    <row r="35" spans="2:447" x14ac:dyDescent="0.3">
      <c r="B35">
        <v>27</v>
      </c>
      <c r="D35" t="s">
        <v>2001</v>
      </c>
      <c r="F35" s="8">
        <f t="shared" si="33"/>
        <v>40</v>
      </c>
      <c r="G35" s="8"/>
      <c r="H35" s="8" t="s">
        <v>107</v>
      </c>
      <c r="I35" s="8" t="s">
        <v>107</v>
      </c>
      <c r="J35" s="8" t="s">
        <v>107</v>
      </c>
      <c r="K35" s="8" t="s">
        <v>107</v>
      </c>
      <c r="L35" s="8" t="s">
        <v>107</v>
      </c>
      <c r="M35" s="8" t="s">
        <v>107</v>
      </c>
      <c r="N35" s="8" t="s">
        <v>107</v>
      </c>
      <c r="O35" s="8" t="s">
        <v>107</v>
      </c>
      <c r="P35" s="8" t="s">
        <v>107</v>
      </c>
      <c r="Q35" s="8" t="s">
        <v>107</v>
      </c>
      <c r="R35" s="8" t="s">
        <v>107</v>
      </c>
      <c r="S35" s="8" t="s">
        <v>107</v>
      </c>
      <c r="T35" s="8" t="s">
        <v>107</v>
      </c>
      <c r="U35" s="8"/>
      <c r="V35" s="8"/>
      <c r="W35" s="8"/>
      <c r="X35" s="8">
        <v>11</v>
      </c>
      <c r="Y35" s="8">
        <v>13</v>
      </c>
      <c r="Z35" s="8"/>
      <c r="AA35" s="8"/>
      <c r="AB35" s="8">
        <v>16</v>
      </c>
      <c r="AC35" s="8" t="s">
        <v>107</v>
      </c>
      <c r="AD35" s="8" t="s">
        <v>107</v>
      </c>
      <c r="AE35" s="967"/>
      <c r="AF35" s="8">
        <f t="shared" si="35"/>
        <v>8</v>
      </c>
      <c r="AG35" s="8"/>
      <c r="AH35" s="8" t="s">
        <v>107</v>
      </c>
      <c r="AI35" s="8" t="s">
        <v>107</v>
      </c>
      <c r="AJ35" s="8" t="s">
        <v>107</v>
      </c>
      <c r="AK35" s="8" t="s">
        <v>107</v>
      </c>
      <c r="AL35" s="8"/>
      <c r="AM35" s="8"/>
      <c r="AN35" s="8"/>
      <c r="AO35" s="8" t="s">
        <v>107</v>
      </c>
      <c r="AP35" s="8" t="s">
        <v>107</v>
      </c>
      <c r="AQ35" s="8"/>
      <c r="AR35" s="8"/>
      <c r="AS35" s="8"/>
      <c r="AT35" s="8"/>
      <c r="AU35" s="8"/>
      <c r="AV35" s="8"/>
      <c r="AW35" s="8"/>
      <c r="AX35" s="8">
        <v>1</v>
      </c>
      <c r="AY35" s="8">
        <v>2</v>
      </c>
      <c r="AZ35" s="8"/>
      <c r="BA35" s="8"/>
      <c r="BB35" s="8">
        <v>5</v>
      </c>
      <c r="BC35" s="8" t="s">
        <v>107</v>
      </c>
      <c r="BD35" s="8" t="s">
        <v>107</v>
      </c>
      <c r="BE35" s="967"/>
      <c r="BF35" s="8">
        <f t="shared" si="36"/>
        <v>13</v>
      </c>
      <c r="BG35" s="8"/>
      <c r="BH35" s="8" t="s">
        <v>107</v>
      </c>
      <c r="BI35" s="8"/>
      <c r="BJ35" s="8"/>
      <c r="BK35" s="8" t="s">
        <v>107</v>
      </c>
      <c r="BL35" s="8"/>
      <c r="BM35" s="8"/>
      <c r="BN35" s="8"/>
      <c r="BO35" s="8" t="s">
        <v>107</v>
      </c>
      <c r="BP35" s="8" t="s">
        <v>107</v>
      </c>
      <c r="BQ35" s="8"/>
      <c r="BR35" s="8"/>
      <c r="BS35" s="8"/>
      <c r="BT35" s="8"/>
      <c r="BU35" s="8"/>
      <c r="BV35" s="8"/>
      <c r="BW35" s="8"/>
      <c r="BX35" s="8">
        <v>6</v>
      </c>
      <c r="BY35" s="8">
        <v>2</v>
      </c>
      <c r="BZ35" s="8"/>
      <c r="CA35" s="8"/>
      <c r="CB35" s="8">
        <v>5</v>
      </c>
      <c r="CC35" s="8" t="s">
        <v>107</v>
      </c>
      <c r="CD35" s="8" t="s">
        <v>107</v>
      </c>
      <c r="CE35" s="967"/>
      <c r="CF35" s="8">
        <f t="shared" si="37"/>
        <v>21</v>
      </c>
      <c r="CG35" s="8"/>
      <c r="CH35" s="8" t="s">
        <v>107</v>
      </c>
      <c r="CI35" s="8"/>
      <c r="CJ35" s="8"/>
      <c r="CK35" s="8" t="s">
        <v>107</v>
      </c>
      <c r="CL35" s="8"/>
      <c r="CM35" s="8"/>
      <c r="CN35" s="8"/>
      <c r="CO35" s="8" t="s">
        <v>107</v>
      </c>
      <c r="CP35" s="8" t="s">
        <v>107</v>
      </c>
      <c r="CQ35" s="8"/>
      <c r="CR35" s="8"/>
      <c r="CS35" s="8"/>
      <c r="CT35" s="8"/>
      <c r="CU35" s="8"/>
      <c r="CV35" s="8"/>
      <c r="CW35" s="8"/>
      <c r="CX35" s="8">
        <v>7</v>
      </c>
      <c r="CY35" s="8">
        <v>4</v>
      </c>
      <c r="CZ35" s="8"/>
      <c r="DA35" s="8"/>
      <c r="DB35" s="8">
        <f t="shared" si="51"/>
        <v>10</v>
      </c>
      <c r="DC35" s="8" t="s">
        <v>107</v>
      </c>
      <c r="DD35" s="8" t="s">
        <v>107</v>
      </c>
      <c r="DE35" s="967"/>
      <c r="DF35" s="8">
        <f t="shared" si="38"/>
        <v>0</v>
      </c>
      <c r="DG35" s="8"/>
      <c r="DH35" s="8" t="s">
        <v>107</v>
      </c>
      <c r="DI35" s="8" t="s">
        <v>107</v>
      </c>
      <c r="DJ35" s="8" t="s">
        <v>107</v>
      </c>
      <c r="DK35" s="8" t="s">
        <v>107</v>
      </c>
      <c r="DL35" s="8"/>
      <c r="DM35" s="8"/>
      <c r="DN35" s="8"/>
      <c r="DO35" s="8" t="s">
        <v>107</v>
      </c>
      <c r="DP35" s="8" t="s">
        <v>107</v>
      </c>
      <c r="DQ35" s="8"/>
      <c r="DR35" s="8"/>
      <c r="DS35" s="8"/>
      <c r="DT35" s="8"/>
      <c r="DU35" s="8"/>
      <c r="DV35" s="8"/>
      <c r="DW35" s="8"/>
      <c r="DX35" s="8">
        <v>0</v>
      </c>
      <c r="DY35" s="8">
        <v>0</v>
      </c>
      <c r="DZ35" s="8"/>
      <c r="EA35" s="8"/>
      <c r="EB35" s="8">
        <v>0</v>
      </c>
      <c r="EC35" s="8" t="s">
        <v>107</v>
      </c>
      <c r="ED35" s="8" t="s">
        <v>107</v>
      </c>
      <c r="EE35" s="967"/>
      <c r="EF35" s="8">
        <f t="shared" si="39"/>
        <v>53</v>
      </c>
      <c r="EG35" s="8"/>
      <c r="EH35" s="8" t="s">
        <v>107</v>
      </c>
      <c r="EI35" s="8" t="s">
        <v>107</v>
      </c>
      <c r="EJ35" s="8" t="s">
        <v>107</v>
      </c>
      <c r="EK35" s="8" t="s">
        <v>107</v>
      </c>
      <c r="EL35" s="8"/>
      <c r="EM35" s="8"/>
      <c r="EN35" s="8"/>
      <c r="EO35" s="8" t="s">
        <v>107</v>
      </c>
      <c r="EP35" s="8" t="s">
        <v>107</v>
      </c>
      <c r="EQ35" s="8"/>
      <c r="ER35" s="8"/>
      <c r="ES35" s="8"/>
      <c r="ET35" s="8"/>
      <c r="EU35" s="8"/>
      <c r="EV35" s="8"/>
      <c r="EW35" s="8"/>
      <c r="EX35" s="8">
        <v>2</v>
      </c>
      <c r="EY35" s="8">
        <v>33</v>
      </c>
      <c r="EZ35" s="8"/>
      <c r="FA35" s="8"/>
      <c r="FB35" s="8">
        <v>18</v>
      </c>
      <c r="FC35" s="8" t="s">
        <v>107</v>
      </c>
      <c r="FD35" s="8" t="s">
        <v>107</v>
      </c>
      <c r="FE35" s="967"/>
      <c r="FF35" s="8">
        <f t="shared" si="34"/>
        <v>2</v>
      </c>
      <c r="FG35" s="8"/>
      <c r="FH35" s="8" t="s">
        <v>107</v>
      </c>
      <c r="FI35" s="8" t="s">
        <v>107</v>
      </c>
      <c r="FJ35" s="8" t="s">
        <v>107</v>
      </c>
      <c r="FK35" s="8" t="s">
        <v>107</v>
      </c>
      <c r="FL35" s="8"/>
      <c r="FM35" s="8"/>
      <c r="FN35" s="8"/>
      <c r="FO35" s="8" t="s">
        <v>107</v>
      </c>
      <c r="FP35" s="8" t="s">
        <v>107</v>
      </c>
      <c r="FQ35" s="8"/>
      <c r="FR35" s="8"/>
      <c r="FS35" s="8"/>
      <c r="FT35" s="8"/>
      <c r="FU35" s="8"/>
      <c r="FV35" s="8"/>
      <c r="FW35" s="8"/>
      <c r="FX35" s="8">
        <v>0</v>
      </c>
      <c r="FY35" s="8">
        <v>1</v>
      </c>
      <c r="FZ35" s="8"/>
      <c r="GA35" s="8"/>
      <c r="GB35" s="8">
        <v>1</v>
      </c>
      <c r="GC35" s="8" t="s">
        <v>107</v>
      </c>
      <c r="GD35" s="8" t="s">
        <v>107</v>
      </c>
      <c r="GE35" s="967"/>
      <c r="GF35" s="8">
        <f t="shared" si="40"/>
        <v>1</v>
      </c>
      <c r="GG35" s="8"/>
      <c r="GH35" s="8" t="s">
        <v>107</v>
      </c>
      <c r="GI35" s="8" t="s">
        <v>107</v>
      </c>
      <c r="GJ35" s="8" t="s">
        <v>107</v>
      </c>
      <c r="GK35" s="8" t="s">
        <v>107</v>
      </c>
      <c r="GL35" s="8"/>
      <c r="GM35" s="8"/>
      <c r="GN35" s="8"/>
      <c r="GO35" s="8" t="s">
        <v>107</v>
      </c>
      <c r="GP35" s="8" t="s">
        <v>107</v>
      </c>
      <c r="GQ35" s="8"/>
      <c r="GR35" s="8"/>
      <c r="GS35" s="8"/>
      <c r="GT35" s="8"/>
      <c r="GU35" s="8"/>
      <c r="GV35" s="8"/>
      <c r="GW35" s="8"/>
      <c r="GX35" s="8">
        <v>0</v>
      </c>
      <c r="GY35" s="8">
        <v>0</v>
      </c>
      <c r="GZ35" s="8"/>
      <c r="HA35" s="8"/>
      <c r="HB35" s="8">
        <v>1</v>
      </c>
      <c r="HC35" s="8" t="s">
        <v>107</v>
      </c>
      <c r="HD35" s="8" t="s">
        <v>107</v>
      </c>
      <c r="HE35" s="967"/>
      <c r="HF35" s="8">
        <f t="shared" si="41"/>
        <v>0</v>
      </c>
      <c r="HG35" s="8"/>
      <c r="HH35" s="8" t="s">
        <v>107</v>
      </c>
      <c r="HI35" s="8" t="s">
        <v>107</v>
      </c>
      <c r="HJ35" s="8" t="s">
        <v>107</v>
      </c>
      <c r="HK35" s="8" t="s">
        <v>107</v>
      </c>
      <c r="HL35" s="8"/>
      <c r="HM35" s="8"/>
      <c r="HN35" s="8"/>
      <c r="HO35" s="8" t="s">
        <v>107</v>
      </c>
      <c r="HP35" s="8" t="s">
        <v>107</v>
      </c>
      <c r="HQ35" s="8"/>
      <c r="HR35" s="8"/>
      <c r="HS35" s="8"/>
      <c r="HT35" s="8"/>
      <c r="HU35" s="8"/>
      <c r="HV35" s="8"/>
      <c r="HW35" s="8"/>
      <c r="HX35" s="8">
        <v>0</v>
      </c>
      <c r="HY35" s="8">
        <v>0</v>
      </c>
      <c r="HZ35" s="8"/>
      <c r="IA35" s="8"/>
      <c r="IB35" s="8">
        <v>0</v>
      </c>
      <c r="IC35" s="8" t="s">
        <v>107</v>
      </c>
      <c r="ID35" s="8" t="s">
        <v>107</v>
      </c>
      <c r="IE35" s="967"/>
      <c r="IF35" s="8">
        <f t="shared" si="42"/>
        <v>0</v>
      </c>
      <c r="IG35" s="8"/>
      <c r="IH35" s="8" t="s">
        <v>107</v>
      </c>
      <c r="II35" s="8" t="s">
        <v>107</v>
      </c>
      <c r="IJ35" s="8" t="s">
        <v>107</v>
      </c>
      <c r="IK35" s="8" t="s">
        <v>107</v>
      </c>
      <c r="IL35" s="8"/>
      <c r="IM35" s="8"/>
      <c r="IN35" s="8"/>
      <c r="IO35" s="8" t="s">
        <v>107</v>
      </c>
      <c r="IP35" s="8" t="s">
        <v>107</v>
      </c>
      <c r="IQ35" s="8"/>
      <c r="IR35" s="8"/>
      <c r="IS35" s="8"/>
      <c r="IT35" s="8"/>
      <c r="IU35" s="8"/>
      <c r="IV35" s="8"/>
      <c r="IW35" s="8"/>
      <c r="IX35" s="8">
        <v>0</v>
      </c>
      <c r="IY35" s="8">
        <v>0</v>
      </c>
      <c r="IZ35" s="8"/>
      <c r="JA35" s="8"/>
      <c r="JB35" s="8">
        <v>0</v>
      </c>
      <c r="JC35" s="8" t="s">
        <v>107</v>
      </c>
      <c r="JD35" s="8" t="s">
        <v>107</v>
      </c>
      <c r="JE35" s="967"/>
      <c r="JF35" s="8">
        <f t="shared" si="43"/>
        <v>0</v>
      </c>
      <c r="JG35" s="8"/>
      <c r="JH35" s="8" t="s">
        <v>107</v>
      </c>
      <c r="JI35" s="8" t="s">
        <v>107</v>
      </c>
      <c r="JJ35" s="8" t="s">
        <v>107</v>
      </c>
      <c r="JK35" s="8" t="s">
        <v>107</v>
      </c>
      <c r="JL35" s="8"/>
      <c r="JM35" s="8"/>
      <c r="JN35" s="8"/>
      <c r="JO35" s="8" t="s">
        <v>107</v>
      </c>
      <c r="JP35" s="8" t="s">
        <v>107</v>
      </c>
      <c r="JQ35" s="8"/>
      <c r="JR35" s="8"/>
      <c r="JS35" s="8"/>
      <c r="JT35" s="8"/>
      <c r="JU35" s="8"/>
      <c r="JV35" s="8"/>
      <c r="JW35" s="8"/>
      <c r="JX35" s="8">
        <v>0</v>
      </c>
      <c r="JY35" s="8">
        <v>0</v>
      </c>
      <c r="JZ35" s="8"/>
      <c r="KA35" s="8"/>
      <c r="KB35" s="8">
        <v>0</v>
      </c>
      <c r="KC35" s="8" t="s">
        <v>107</v>
      </c>
      <c r="KD35" s="8" t="s">
        <v>107</v>
      </c>
      <c r="KE35" s="967"/>
      <c r="KF35" s="8">
        <f t="shared" si="44"/>
        <v>0</v>
      </c>
      <c r="KG35" s="8"/>
      <c r="KH35" s="8" t="s">
        <v>107</v>
      </c>
      <c r="KI35" s="8" t="s">
        <v>107</v>
      </c>
      <c r="KJ35" s="8" t="s">
        <v>107</v>
      </c>
      <c r="KK35" s="8" t="s">
        <v>107</v>
      </c>
      <c r="KL35" s="8"/>
      <c r="KM35" s="8"/>
      <c r="KN35" s="8"/>
      <c r="KO35" s="8" t="s">
        <v>107</v>
      </c>
      <c r="KP35" s="8" t="s">
        <v>107</v>
      </c>
      <c r="KQ35" s="8"/>
      <c r="KR35" s="8"/>
      <c r="KS35" s="8"/>
      <c r="KT35" s="8"/>
      <c r="KU35" s="8"/>
      <c r="KV35" s="8"/>
      <c r="KW35" s="8"/>
      <c r="KX35" s="8">
        <v>0</v>
      </c>
      <c r="KY35" s="8">
        <v>0</v>
      </c>
      <c r="KZ35" s="8"/>
      <c r="LA35" s="8"/>
      <c r="LB35" s="8">
        <v>0</v>
      </c>
      <c r="LC35" s="8" t="s">
        <v>107</v>
      </c>
      <c r="LD35" s="8" t="s">
        <v>107</v>
      </c>
      <c r="LE35" s="967"/>
      <c r="LF35" s="8">
        <f t="shared" si="45"/>
        <v>0</v>
      </c>
      <c r="LG35" s="8"/>
      <c r="LH35" s="8" t="s">
        <v>107</v>
      </c>
      <c r="LI35" s="8" t="s">
        <v>107</v>
      </c>
      <c r="LJ35" s="8" t="s">
        <v>107</v>
      </c>
      <c r="LK35" s="8" t="s">
        <v>107</v>
      </c>
      <c r="LL35" s="8"/>
      <c r="LM35" s="8"/>
      <c r="LN35" s="8"/>
      <c r="LO35" s="8" t="s">
        <v>107</v>
      </c>
      <c r="LP35" s="8" t="s">
        <v>107</v>
      </c>
      <c r="LQ35" s="8"/>
      <c r="LR35" s="8"/>
      <c r="LS35" s="8"/>
      <c r="LT35" s="8"/>
      <c r="LU35" s="8"/>
      <c r="LV35" s="8"/>
      <c r="LW35" s="8"/>
      <c r="LX35" s="8">
        <v>0</v>
      </c>
      <c r="LY35" s="8">
        <v>0</v>
      </c>
      <c r="LZ35" s="8"/>
      <c r="MA35" s="8"/>
      <c r="MB35" s="8">
        <v>0</v>
      </c>
      <c r="MC35" s="8" t="s">
        <v>107</v>
      </c>
      <c r="MD35" s="8" t="s">
        <v>107</v>
      </c>
      <c r="ME35" s="967"/>
      <c r="MF35" s="8">
        <f t="shared" si="46"/>
        <v>0</v>
      </c>
      <c r="MG35" s="8"/>
      <c r="MH35" s="8" t="s">
        <v>107</v>
      </c>
      <c r="MI35" s="8" t="s">
        <v>107</v>
      </c>
      <c r="MJ35" s="8" t="s">
        <v>107</v>
      </c>
      <c r="MK35" s="8" t="s">
        <v>107</v>
      </c>
      <c r="ML35" s="8"/>
      <c r="MM35" s="8"/>
      <c r="MN35" s="8"/>
      <c r="MO35" s="8" t="s">
        <v>107</v>
      </c>
      <c r="MP35" s="8" t="s">
        <v>107</v>
      </c>
      <c r="MQ35" s="8"/>
      <c r="MR35" s="8"/>
      <c r="MS35" s="8"/>
      <c r="MT35" s="8"/>
      <c r="MU35" s="8"/>
      <c r="MV35" s="8"/>
      <c r="MW35" s="8"/>
      <c r="MX35" s="8">
        <v>0</v>
      </c>
      <c r="MY35" s="8">
        <v>0</v>
      </c>
      <c r="MZ35" s="8"/>
      <c r="NA35" s="8"/>
      <c r="NB35" s="8">
        <v>0</v>
      </c>
      <c r="NC35" s="8" t="s">
        <v>107</v>
      </c>
      <c r="ND35" s="8" t="s">
        <v>107</v>
      </c>
      <c r="NE35" s="967"/>
      <c r="NF35" s="8">
        <f t="shared" si="47"/>
        <v>0</v>
      </c>
      <c r="NG35" s="8"/>
      <c r="NH35" s="8" t="s">
        <v>107</v>
      </c>
      <c r="NI35" s="8" t="s">
        <v>107</v>
      </c>
      <c r="NJ35" s="8" t="s">
        <v>107</v>
      </c>
      <c r="NK35" s="8" t="s">
        <v>107</v>
      </c>
      <c r="NL35" s="8"/>
      <c r="NM35" s="8"/>
      <c r="NN35" s="8"/>
      <c r="NO35" s="8" t="s">
        <v>107</v>
      </c>
      <c r="NP35" s="8" t="s">
        <v>107</v>
      </c>
      <c r="NQ35" s="8"/>
      <c r="NR35" s="8"/>
      <c r="NS35" s="8"/>
      <c r="NT35" s="8"/>
      <c r="NU35" s="8"/>
      <c r="NV35" s="8"/>
      <c r="NW35" s="8"/>
      <c r="NX35" s="8">
        <v>0</v>
      </c>
      <c r="NY35" s="8">
        <v>0</v>
      </c>
      <c r="NZ35" s="8"/>
      <c r="OA35" s="8"/>
      <c r="OB35" s="8">
        <v>0</v>
      </c>
      <c r="OC35" s="8" t="s">
        <v>107</v>
      </c>
      <c r="OD35" s="8" t="s">
        <v>107</v>
      </c>
      <c r="OE35" s="967"/>
      <c r="OF35" s="8">
        <f t="shared" si="48"/>
        <v>0</v>
      </c>
      <c r="OG35" s="8"/>
      <c r="OH35" s="8" t="s">
        <v>107</v>
      </c>
      <c r="OI35" s="8" t="s">
        <v>107</v>
      </c>
      <c r="OJ35" s="8" t="s">
        <v>107</v>
      </c>
      <c r="OK35" s="8" t="s">
        <v>107</v>
      </c>
      <c r="OL35" s="8"/>
      <c r="OM35" s="8"/>
      <c r="ON35" s="8"/>
      <c r="OO35" s="8" t="s">
        <v>107</v>
      </c>
      <c r="OP35" s="8" t="s">
        <v>107</v>
      </c>
      <c r="OQ35" s="8"/>
      <c r="OR35" s="8"/>
      <c r="OS35" s="8"/>
      <c r="OT35" s="8"/>
      <c r="OU35" s="8"/>
      <c r="OV35" s="8"/>
      <c r="OW35" s="8"/>
      <c r="OX35" s="8">
        <v>0</v>
      </c>
      <c r="OY35" s="8">
        <v>0</v>
      </c>
      <c r="OZ35" s="8"/>
      <c r="PA35" s="8"/>
      <c r="PB35" s="8">
        <v>0</v>
      </c>
      <c r="PC35" s="8" t="s">
        <v>107</v>
      </c>
      <c r="PD35" s="8" t="s">
        <v>107</v>
      </c>
      <c r="PE35" s="967"/>
      <c r="PF35" s="8">
        <f t="shared" si="49"/>
        <v>0</v>
      </c>
      <c r="PG35" s="8"/>
      <c r="PH35" s="8" t="s">
        <v>107</v>
      </c>
      <c r="PI35" s="8" t="s">
        <v>107</v>
      </c>
      <c r="PJ35" s="8" t="s">
        <v>107</v>
      </c>
      <c r="PK35" s="8" t="s">
        <v>107</v>
      </c>
      <c r="PL35" s="8"/>
      <c r="PM35" s="8"/>
      <c r="PN35" s="8"/>
      <c r="PO35" s="8" t="s">
        <v>107</v>
      </c>
      <c r="PP35" s="8" t="s">
        <v>107</v>
      </c>
      <c r="PQ35" s="8"/>
      <c r="PR35" s="8"/>
      <c r="PS35" s="8"/>
      <c r="PT35" s="8"/>
      <c r="PU35" s="8"/>
      <c r="PV35" s="8"/>
      <c r="PW35" s="8"/>
      <c r="PX35" s="8">
        <v>0</v>
      </c>
      <c r="PY35" s="8">
        <v>0</v>
      </c>
      <c r="PZ35" s="8"/>
      <c r="QA35" s="8"/>
      <c r="QB35" s="8">
        <v>0</v>
      </c>
      <c r="QC35" s="8" t="s">
        <v>107</v>
      </c>
      <c r="QD35" s="8" t="s">
        <v>107</v>
      </c>
      <c r="QE35" s="967"/>
    </row>
    <row r="36" spans="2:447" x14ac:dyDescent="0.3">
      <c r="B36">
        <v>28</v>
      </c>
      <c r="C36" t="s">
        <v>681</v>
      </c>
      <c r="D36" t="s">
        <v>1806</v>
      </c>
      <c r="F36" s="8">
        <f t="shared" si="33"/>
        <v>81</v>
      </c>
      <c r="G36" s="8"/>
      <c r="H36" s="8" t="s">
        <v>107</v>
      </c>
      <c r="I36" s="8" t="s">
        <v>107</v>
      </c>
      <c r="J36" s="8" t="s">
        <v>107</v>
      </c>
      <c r="K36" s="8" t="s">
        <v>107</v>
      </c>
      <c r="L36" s="8">
        <v>1</v>
      </c>
      <c r="M36" s="8">
        <v>18</v>
      </c>
      <c r="N36" s="8">
        <v>2</v>
      </c>
      <c r="O36" s="8">
        <v>16</v>
      </c>
      <c r="P36" s="8">
        <v>3</v>
      </c>
      <c r="Q36" s="8">
        <v>3</v>
      </c>
      <c r="R36" s="8">
        <v>21</v>
      </c>
      <c r="S36" s="8">
        <v>17</v>
      </c>
      <c r="T36" s="8" t="s">
        <v>107</v>
      </c>
      <c r="U36" s="8"/>
      <c r="V36" s="8"/>
      <c r="W36" s="8"/>
      <c r="X36" s="8" t="s">
        <v>107</v>
      </c>
      <c r="Y36" s="8" t="s">
        <v>107</v>
      </c>
      <c r="Z36" s="8"/>
      <c r="AA36" s="8"/>
      <c r="AB36" s="8" t="s">
        <v>107</v>
      </c>
      <c r="AC36" s="8" t="s">
        <v>107</v>
      </c>
      <c r="AD36" s="8" t="s">
        <v>107</v>
      </c>
      <c r="AE36" s="967"/>
      <c r="AF36" s="8">
        <f t="shared" si="35"/>
        <v>0</v>
      </c>
      <c r="AG36" s="8"/>
      <c r="AH36" s="8" t="s">
        <v>107</v>
      </c>
      <c r="AI36" s="8" t="s">
        <v>107</v>
      </c>
      <c r="AJ36" s="8" t="s">
        <v>107</v>
      </c>
      <c r="AK36" s="8" t="s">
        <v>107</v>
      </c>
      <c r="AL36" s="8"/>
      <c r="AM36" s="8"/>
      <c r="AN36" s="8"/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 t="s">
        <v>107</v>
      </c>
      <c r="AU36" s="8"/>
      <c r="AV36" s="8"/>
      <c r="AW36" s="8"/>
      <c r="AX36" s="8" t="s">
        <v>107</v>
      </c>
      <c r="AY36" s="8" t="s">
        <v>107</v>
      </c>
      <c r="AZ36" s="8"/>
      <c r="BA36" s="8"/>
      <c r="BB36" s="8" t="s">
        <v>107</v>
      </c>
      <c r="BC36" s="8" t="s">
        <v>107</v>
      </c>
      <c r="BD36" s="8" t="s">
        <v>107</v>
      </c>
      <c r="BE36" s="967"/>
      <c r="BF36" s="8">
        <f t="shared" si="36"/>
        <v>0</v>
      </c>
      <c r="BG36" s="8"/>
      <c r="BH36" s="8" t="s">
        <v>107</v>
      </c>
      <c r="BI36" s="8"/>
      <c r="BJ36" s="8"/>
      <c r="BK36" s="8" t="s">
        <v>107</v>
      </c>
      <c r="BL36" s="8"/>
      <c r="BM36" s="8"/>
      <c r="BN36" s="8"/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 t="s">
        <v>107</v>
      </c>
      <c r="BU36" s="8"/>
      <c r="BV36" s="8"/>
      <c r="BW36" s="8"/>
      <c r="BX36" s="8" t="s">
        <v>107</v>
      </c>
      <c r="BY36" s="8" t="s">
        <v>107</v>
      </c>
      <c r="BZ36" s="8"/>
      <c r="CA36" s="8"/>
      <c r="CB36" s="8" t="s">
        <v>107</v>
      </c>
      <c r="CC36" s="8" t="s">
        <v>107</v>
      </c>
      <c r="CD36" s="8" t="s">
        <v>107</v>
      </c>
      <c r="CE36" s="967"/>
      <c r="CF36" s="8">
        <f t="shared" si="37"/>
        <v>0</v>
      </c>
      <c r="CG36" s="8"/>
      <c r="CH36" s="8" t="s">
        <v>107</v>
      </c>
      <c r="CI36" s="8"/>
      <c r="CJ36" s="8"/>
      <c r="CK36" s="8" t="s">
        <v>107</v>
      </c>
      <c r="CL36" s="8"/>
      <c r="CM36" s="8"/>
      <c r="CN36" s="8"/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 t="s">
        <v>107</v>
      </c>
      <c r="CU36" s="8"/>
      <c r="CV36" s="8"/>
      <c r="CW36" s="8"/>
      <c r="CX36" s="8" t="s">
        <v>107</v>
      </c>
      <c r="CY36" s="8" t="s">
        <v>107</v>
      </c>
      <c r="CZ36" s="8"/>
      <c r="DA36" s="8"/>
      <c r="DB36" s="8" t="s">
        <v>107</v>
      </c>
      <c r="DC36" s="8" t="s">
        <v>107</v>
      </c>
      <c r="DD36" s="8" t="s">
        <v>107</v>
      </c>
      <c r="DE36" s="967"/>
      <c r="DF36" s="8">
        <f t="shared" si="38"/>
        <v>1</v>
      </c>
      <c r="DG36" s="8"/>
      <c r="DH36" s="8" t="s">
        <v>107</v>
      </c>
      <c r="DI36" s="8" t="s">
        <v>107</v>
      </c>
      <c r="DJ36" s="8" t="s">
        <v>107</v>
      </c>
      <c r="DK36" s="8" t="s">
        <v>107</v>
      </c>
      <c r="DL36" s="8"/>
      <c r="DM36" s="8"/>
      <c r="DN36" s="8"/>
      <c r="DO36" s="8">
        <v>0</v>
      </c>
      <c r="DP36" s="8">
        <v>0</v>
      </c>
      <c r="DQ36" s="8">
        <v>0</v>
      </c>
      <c r="DR36" s="8">
        <v>1</v>
      </c>
      <c r="DS36" s="8">
        <v>0</v>
      </c>
      <c r="DT36" s="8" t="s">
        <v>107</v>
      </c>
      <c r="DU36" s="8"/>
      <c r="DV36" s="8"/>
      <c r="DW36" s="8"/>
      <c r="DX36" s="8" t="s">
        <v>107</v>
      </c>
      <c r="DY36" s="8" t="s">
        <v>107</v>
      </c>
      <c r="DZ36" s="8"/>
      <c r="EA36" s="8"/>
      <c r="EB36" s="8" t="s">
        <v>107</v>
      </c>
      <c r="EC36" s="8" t="s">
        <v>107</v>
      </c>
      <c r="ED36" s="8" t="s">
        <v>107</v>
      </c>
      <c r="EE36" s="967"/>
      <c r="EF36" s="8">
        <f t="shared" si="39"/>
        <v>2</v>
      </c>
      <c r="EG36" s="8"/>
      <c r="EH36" s="8" t="s">
        <v>107</v>
      </c>
      <c r="EI36" s="8" t="s">
        <v>107</v>
      </c>
      <c r="EJ36" s="8" t="s">
        <v>107</v>
      </c>
      <c r="EK36" s="8" t="s">
        <v>107</v>
      </c>
      <c r="EL36" s="8"/>
      <c r="EM36" s="8"/>
      <c r="EN36" s="8"/>
      <c r="EO36" s="8">
        <v>0</v>
      </c>
      <c r="EP36" s="8">
        <v>0</v>
      </c>
      <c r="EQ36" s="8">
        <v>0</v>
      </c>
      <c r="ER36" s="8">
        <v>2</v>
      </c>
      <c r="ES36" s="8">
        <v>0</v>
      </c>
      <c r="ET36" s="8" t="s">
        <v>107</v>
      </c>
      <c r="EU36" s="8"/>
      <c r="EV36" s="8"/>
      <c r="EW36" s="8"/>
      <c r="EX36" s="8" t="s">
        <v>107</v>
      </c>
      <c r="EY36" s="8" t="s">
        <v>107</v>
      </c>
      <c r="EZ36" s="8"/>
      <c r="FA36" s="8"/>
      <c r="FB36" s="8" t="s">
        <v>107</v>
      </c>
      <c r="FC36" s="8" t="s">
        <v>107</v>
      </c>
      <c r="FD36" s="8" t="s">
        <v>107</v>
      </c>
      <c r="FE36" s="967"/>
      <c r="FF36" s="8">
        <f t="shared" si="34"/>
        <v>0</v>
      </c>
      <c r="FG36" s="8"/>
      <c r="FH36" s="8" t="s">
        <v>107</v>
      </c>
      <c r="FI36" s="8" t="s">
        <v>107</v>
      </c>
      <c r="FJ36" s="8" t="s">
        <v>107</v>
      </c>
      <c r="FK36" s="8" t="s">
        <v>107</v>
      </c>
      <c r="FL36" s="8"/>
      <c r="FM36" s="8"/>
      <c r="FN36" s="8"/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 t="s">
        <v>107</v>
      </c>
      <c r="FU36" s="8"/>
      <c r="FV36" s="8"/>
      <c r="FW36" s="8"/>
      <c r="FX36" s="8" t="s">
        <v>107</v>
      </c>
      <c r="FY36" s="8" t="s">
        <v>107</v>
      </c>
      <c r="FZ36" s="8"/>
      <c r="GA36" s="8"/>
      <c r="GB36" s="8" t="s">
        <v>107</v>
      </c>
      <c r="GC36" s="8" t="s">
        <v>107</v>
      </c>
      <c r="GD36" s="8" t="s">
        <v>107</v>
      </c>
      <c r="GE36" s="967"/>
      <c r="GF36" s="8">
        <f t="shared" si="40"/>
        <v>0</v>
      </c>
      <c r="GG36" s="8"/>
      <c r="GH36" s="8" t="s">
        <v>107</v>
      </c>
      <c r="GI36" s="8" t="s">
        <v>107</v>
      </c>
      <c r="GJ36" s="8" t="s">
        <v>107</v>
      </c>
      <c r="GK36" s="8" t="s">
        <v>107</v>
      </c>
      <c r="GL36" s="8"/>
      <c r="GM36" s="8"/>
      <c r="GN36" s="8"/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/>
      <c r="GU36" s="8"/>
      <c r="GV36" s="8"/>
      <c r="GW36" s="8"/>
      <c r="GX36" s="8" t="s">
        <v>107</v>
      </c>
      <c r="GY36" s="8" t="s">
        <v>107</v>
      </c>
      <c r="GZ36" s="8"/>
      <c r="HA36" s="8"/>
      <c r="HB36" s="8" t="s">
        <v>107</v>
      </c>
      <c r="HC36" s="8" t="s">
        <v>107</v>
      </c>
      <c r="HD36" s="8" t="s">
        <v>107</v>
      </c>
      <c r="HE36" s="967"/>
      <c r="HF36" s="8">
        <f t="shared" si="41"/>
        <v>0</v>
      </c>
      <c r="HG36" s="8"/>
      <c r="HH36" s="8" t="s">
        <v>107</v>
      </c>
      <c r="HI36" s="8" t="s">
        <v>107</v>
      </c>
      <c r="HJ36" s="8" t="s">
        <v>107</v>
      </c>
      <c r="HK36" s="8" t="s">
        <v>107</v>
      </c>
      <c r="HL36" s="8"/>
      <c r="HM36" s="8"/>
      <c r="HN36" s="8"/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/>
      <c r="HU36" s="8"/>
      <c r="HV36" s="8"/>
      <c r="HW36" s="8"/>
      <c r="HX36" s="8" t="s">
        <v>107</v>
      </c>
      <c r="HY36" s="8" t="s">
        <v>107</v>
      </c>
      <c r="HZ36" s="8"/>
      <c r="IA36" s="8"/>
      <c r="IB36" s="8" t="s">
        <v>107</v>
      </c>
      <c r="IC36" s="8" t="s">
        <v>107</v>
      </c>
      <c r="ID36" s="8" t="s">
        <v>107</v>
      </c>
      <c r="IE36" s="967"/>
      <c r="IF36" s="8">
        <f t="shared" si="42"/>
        <v>0</v>
      </c>
      <c r="IG36" s="8"/>
      <c r="IH36" s="8" t="s">
        <v>107</v>
      </c>
      <c r="II36" s="8" t="s">
        <v>107</v>
      </c>
      <c r="IJ36" s="8" t="s">
        <v>107</v>
      </c>
      <c r="IK36" s="8" t="s">
        <v>107</v>
      </c>
      <c r="IL36" s="8"/>
      <c r="IM36" s="8"/>
      <c r="IN36" s="8"/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/>
      <c r="IU36" s="8"/>
      <c r="IV36" s="8"/>
      <c r="IW36" s="8"/>
      <c r="IX36" s="8" t="s">
        <v>107</v>
      </c>
      <c r="IY36" s="8" t="s">
        <v>107</v>
      </c>
      <c r="IZ36" s="8"/>
      <c r="JA36" s="8"/>
      <c r="JB36" s="8" t="s">
        <v>107</v>
      </c>
      <c r="JC36" s="8" t="s">
        <v>107</v>
      </c>
      <c r="JD36" s="8" t="s">
        <v>107</v>
      </c>
      <c r="JE36" s="967"/>
      <c r="JF36" s="8">
        <f t="shared" si="43"/>
        <v>0</v>
      </c>
      <c r="JG36" s="8"/>
      <c r="JH36" s="8" t="s">
        <v>107</v>
      </c>
      <c r="JI36" s="8" t="s">
        <v>107</v>
      </c>
      <c r="JJ36" s="8" t="s">
        <v>107</v>
      </c>
      <c r="JK36" s="8" t="s">
        <v>107</v>
      </c>
      <c r="JL36" s="8"/>
      <c r="JM36" s="8"/>
      <c r="JN36" s="8"/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/>
      <c r="JU36" s="8"/>
      <c r="JV36" s="8"/>
      <c r="JW36" s="8"/>
      <c r="JX36" s="8" t="s">
        <v>107</v>
      </c>
      <c r="JY36" s="8" t="s">
        <v>107</v>
      </c>
      <c r="JZ36" s="8"/>
      <c r="KA36" s="8"/>
      <c r="KB36" s="8" t="s">
        <v>107</v>
      </c>
      <c r="KC36" s="8" t="s">
        <v>107</v>
      </c>
      <c r="KD36" s="8" t="s">
        <v>107</v>
      </c>
      <c r="KE36" s="967"/>
      <c r="KF36" s="8">
        <f t="shared" si="44"/>
        <v>0</v>
      </c>
      <c r="KG36" s="8"/>
      <c r="KH36" s="8" t="s">
        <v>107</v>
      </c>
      <c r="KI36" s="8" t="s">
        <v>107</v>
      </c>
      <c r="KJ36" s="8" t="s">
        <v>107</v>
      </c>
      <c r="KK36" s="8" t="s">
        <v>107</v>
      </c>
      <c r="KL36" s="8"/>
      <c r="KM36" s="8"/>
      <c r="KN36" s="8"/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/>
      <c r="KU36" s="8"/>
      <c r="KV36" s="8"/>
      <c r="KW36" s="8"/>
      <c r="KX36" s="8" t="s">
        <v>107</v>
      </c>
      <c r="KY36" s="8" t="s">
        <v>107</v>
      </c>
      <c r="KZ36" s="8"/>
      <c r="LA36" s="8"/>
      <c r="LB36" s="8" t="s">
        <v>107</v>
      </c>
      <c r="LC36" s="8" t="s">
        <v>107</v>
      </c>
      <c r="LD36" s="8" t="s">
        <v>107</v>
      </c>
      <c r="LE36" s="967"/>
      <c r="LF36" s="8">
        <f t="shared" si="45"/>
        <v>0</v>
      </c>
      <c r="LG36" s="8"/>
      <c r="LH36" s="8" t="s">
        <v>107</v>
      </c>
      <c r="LI36" s="8" t="s">
        <v>107</v>
      </c>
      <c r="LJ36" s="8" t="s">
        <v>107</v>
      </c>
      <c r="LK36" s="8" t="s">
        <v>107</v>
      </c>
      <c r="LL36" s="8"/>
      <c r="LM36" s="8"/>
      <c r="LN36" s="8"/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/>
      <c r="LU36" s="8"/>
      <c r="LV36" s="8"/>
      <c r="LW36" s="8"/>
      <c r="LX36" s="8" t="s">
        <v>107</v>
      </c>
      <c r="LY36" s="8" t="s">
        <v>107</v>
      </c>
      <c r="LZ36" s="8"/>
      <c r="MA36" s="8"/>
      <c r="MB36" s="8" t="s">
        <v>107</v>
      </c>
      <c r="MC36" s="8" t="s">
        <v>107</v>
      </c>
      <c r="MD36" s="8" t="s">
        <v>107</v>
      </c>
      <c r="ME36" s="967"/>
      <c r="MF36" s="8">
        <f t="shared" si="46"/>
        <v>0</v>
      </c>
      <c r="MG36" s="8"/>
      <c r="MH36" s="8" t="s">
        <v>107</v>
      </c>
      <c r="MI36" s="8" t="s">
        <v>107</v>
      </c>
      <c r="MJ36" s="8" t="s">
        <v>107</v>
      </c>
      <c r="MK36" s="8" t="s">
        <v>107</v>
      </c>
      <c r="ML36" s="8"/>
      <c r="MM36" s="8"/>
      <c r="MN36" s="8"/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/>
      <c r="MU36" s="8"/>
      <c r="MV36" s="8"/>
      <c r="MW36" s="8"/>
      <c r="MX36" s="8" t="s">
        <v>107</v>
      </c>
      <c r="MY36" s="8" t="s">
        <v>107</v>
      </c>
      <c r="MZ36" s="8"/>
      <c r="NA36" s="8"/>
      <c r="NB36" s="8" t="s">
        <v>107</v>
      </c>
      <c r="NC36" s="8" t="s">
        <v>107</v>
      </c>
      <c r="ND36" s="8" t="s">
        <v>107</v>
      </c>
      <c r="NE36" s="967"/>
      <c r="NF36" s="8">
        <f t="shared" si="47"/>
        <v>0</v>
      </c>
      <c r="NG36" s="8"/>
      <c r="NH36" s="8" t="s">
        <v>107</v>
      </c>
      <c r="NI36" s="8" t="s">
        <v>107</v>
      </c>
      <c r="NJ36" s="8" t="s">
        <v>107</v>
      </c>
      <c r="NK36" s="8" t="s">
        <v>107</v>
      </c>
      <c r="NL36" s="8"/>
      <c r="NM36" s="8"/>
      <c r="NN36" s="8"/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/>
      <c r="NU36" s="8"/>
      <c r="NV36" s="8"/>
      <c r="NW36" s="8"/>
      <c r="NX36" s="8" t="s">
        <v>107</v>
      </c>
      <c r="NY36" s="8" t="s">
        <v>107</v>
      </c>
      <c r="NZ36" s="8"/>
      <c r="OA36" s="8"/>
      <c r="OB36" s="8" t="s">
        <v>107</v>
      </c>
      <c r="OC36" s="8" t="s">
        <v>107</v>
      </c>
      <c r="OD36" s="8" t="s">
        <v>107</v>
      </c>
      <c r="OE36" s="967"/>
      <c r="OF36" s="8">
        <f t="shared" si="48"/>
        <v>0</v>
      </c>
      <c r="OG36" s="8"/>
      <c r="OH36" s="8" t="s">
        <v>107</v>
      </c>
      <c r="OI36" s="8" t="s">
        <v>107</v>
      </c>
      <c r="OJ36" s="8" t="s">
        <v>107</v>
      </c>
      <c r="OK36" s="8" t="s">
        <v>107</v>
      </c>
      <c r="OL36" s="8"/>
      <c r="OM36" s="8"/>
      <c r="ON36" s="8"/>
      <c r="OO36" s="8">
        <v>0</v>
      </c>
      <c r="OP36" s="8">
        <v>0</v>
      </c>
      <c r="OQ36" s="8">
        <v>0</v>
      </c>
      <c r="OR36" s="8">
        <v>0</v>
      </c>
      <c r="OS36" s="8">
        <v>0</v>
      </c>
      <c r="OT36" s="8"/>
      <c r="OU36" s="8"/>
      <c r="OV36" s="8"/>
      <c r="OW36" s="8"/>
      <c r="OX36" s="8" t="s">
        <v>107</v>
      </c>
      <c r="OY36" s="8" t="s">
        <v>107</v>
      </c>
      <c r="OZ36" s="8"/>
      <c r="PA36" s="8"/>
      <c r="PB36" s="8" t="s">
        <v>107</v>
      </c>
      <c r="PC36" s="8" t="s">
        <v>107</v>
      </c>
      <c r="PD36" s="8" t="s">
        <v>107</v>
      </c>
      <c r="PE36" s="967"/>
      <c r="PF36" s="8">
        <f t="shared" si="49"/>
        <v>0</v>
      </c>
      <c r="PG36" s="8"/>
      <c r="PH36" s="8" t="s">
        <v>107</v>
      </c>
      <c r="PI36" s="8" t="s">
        <v>107</v>
      </c>
      <c r="PJ36" s="8" t="s">
        <v>107</v>
      </c>
      <c r="PK36" s="8" t="s">
        <v>107</v>
      </c>
      <c r="PL36" s="8"/>
      <c r="PM36" s="8"/>
      <c r="PN36" s="8"/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8"/>
      <c r="PU36" s="8"/>
      <c r="PV36" s="8"/>
      <c r="PW36" s="8"/>
      <c r="PX36" s="8" t="s">
        <v>107</v>
      </c>
      <c r="PY36" s="8" t="s">
        <v>107</v>
      </c>
      <c r="PZ36" s="8"/>
      <c r="QA36" s="8"/>
      <c r="QB36" s="8" t="s">
        <v>107</v>
      </c>
      <c r="QC36" s="8" t="s">
        <v>107</v>
      </c>
      <c r="QD36" s="8" t="s">
        <v>107</v>
      </c>
      <c r="QE36" s="967"/>
    </row>
    <row r="37" spans="2:447" x14ac:dyDescent="0.3">
      <c r="B37">
        <v>29</v>
      </c>
      <c r="D37" t="s">
        <v>1810</v>
      </c>
      <c r="F37" s="8">
        <f t="shared" si="33"/>
        <v>17</v>
      </c>
      <c r="G37" s="8"/>
      <c r="H37" s="8" t="s">
        <v>107</v>
      </c>
      <c r="I37" s="8" t="s">
        <v>107</v>
      </c>
      <c r="J37" s="8" t="s">
        <v>107</v>
      </c>
      <c r="K37" s="8" t="s">
        <v>107</v>
      </c>
      <c r="L37" s="8" t="s">
        <v>107</v>
      </c>
      <c r="M37" s="8" t="s">
        <v>107</v>
      </c>
      <c r="N37" s="8" t="s">
        <v>107</v>
      </c>
      <c r="O37" s="8" t="s">
        <v>107</v>
      </c>
      <c r="P37" s="8" t="s">
        <v>107</v>
      </c>
      <c r="Q37" s="8" t="s">
        <v>107</v>
      </c>
      <c r="R37" s="8" t="s">
        <v>107</v>
      </c>
      <c r="S37" s="8">
        <v>17</v>
      </c>
      <c r="T37" s="8" t="s">
        <v>107</v>
      </c>
      <c r="U37" s="8"/>
      <c r="V37" s="8"/>
      <c r="W37" s="8"/>
      <c r="X37" s="8" t="s">
        <v>107</v>
      </c>
      <c r="Y37" s="8" t="s">
        <v>107</v>
      </c>
      <c r="Z37" s="8"/>
      <c r="AA37" s="8"/>
      <c r="AB37" s="8" t="s">
        <v>107</v>
      </c>
      <c r="AC37" s="8" t="s">
        <v>107</v>
      </c>
      <c r="AD37" s="8" t="s">
        <v>107</v>
      </c>
      <c r="AE37" s="967"/>
      <c r="AF37" s="8">
        <f t="shared" si="35"/>
        <v>5</v>
      </c>
      <c r="AG37" s="8"/>
      <c r="AH37" s="8" t="s">
        <v>107</v>
      </c>
      <c r="AI37" s="8" t="s">
        <v>107</v>
      </c>
      <c r="AJ37" s="8" t="s">
        <v>107</v>
      </c>
      <c r="AK37" s="8" t="s">
        <v>107</v>
      </c>
      <c r="AL37" s="8"/>
      <c r="AM37" s="8"/>
      <c r="AN37" s="8"/>
      <c r="AO37" s="8" t="s">
        <v>107</v>
      </c>
      <c r="AP37" s="8" t="s">
        <v>107</v>
      </c>
      <c r="AQ37" s="8" t="s">
        <v>107</v>
      </c>
      <c r="AR37" s="8" t="s">
        <v>107</v>
      </c>
      <c r="AS37" s="8">
        <v>5</v>
      </c>
      <c r="AT37" s="8" t="s">
        <v>107</v>
      </c>
      <c r="AU37" s="8"/>
      <c r="AV37" s="8"/>
      <c r="AW37" s="8"/>
      <c r="AX37" s="8" t="s">
        <v>107</v>
      </c>
      <c r="AY37" s="8" t="s">
        <v>107</v>
      </c>
      <c r="AZ37" s="8"/>
      <c r="BA37" s="8"/>
      <c r="BB37" s="8" t="s">
        <v>107</v>
      </c>
      <c r="BC37" s="8" t="s">
        <v>107</v>
      </c>
      <c r="BD37" s="8" t="s">
        <v>107</v>
      </c>
      <c r="BE37" s="967"/>
      <c r="BF37" s="8">
        <f t="shared" si="36"/>
        <v>4</v>
      </c>
      <c r="BG37" s="8"/>
      <c r="BH37" s="8" t="s">
        <v>107</v>
      </c>
      <c r="BI37" s="8"/>
      <c r="BJ37" s="8"/>
      <c r="BK37" s="8" t="s">
        <v>107</v>
      </c>
      <c r="BL37" s="8"/>
      <c r="BM37" s="8"/>
      <c r="BN37" s="8"/>
      <c r="BO37" s="8" t="s">
        <v>107</v>
      </c>
      <c r="BP37" s="8" t="s">
        <v>107</v>
      </c>
      <c r="BQ37" s="8" t="s">
        <v>107</v>
      </c>
      <c r="BR37" s="8" t="s">
        <v>107</v>
      </c>
      <c r="BS37" s="8">
        <v>4</v>
      </c>
      <c r="BT37" s="8" t="s">
        <v>107</v>
      </c>
      <c r="BU37" s="8"/>
      <c r="BV37" s="8"/>
      <c r="BW37" s="8"/>
      <c r="BX37" s="8" t="s">
        <v>107</v>
      </c>
      <c r="BY37" s="8" t="s">
        <v>107</v>
      </c>
      <c r="BZ37" s="8"/>
      <c r="CA37" s="8"/>
      <c r="CB37" s="8" t="s">
        <v>107</v>
      </c>
      <c r="CC37" s="8" t="s">
        <v>107</v>
      </c>
      <c r="CD37" s="8" t="s">
        <v>107</v>
      </c>
      <c r="CE37" s="967"/>
      <c r="CF37" s="8">
        <f t="shared" si="37"/>
        <v>9</v>
      </c>
      <c r="CG37" s="8"/>
      <c r="CH37" s="8" t="s">
        <v>107</v>
      </c>
      <c r="CI37" s="8"/>
      <c r="CJ37" s="8"/>
      <c r="CK37" s="8" t="s">
        <v>107</v>
      </c>
      <c r="CL37" s="8"/>
      <c r="CM37" s="8"/>
      <c r="CN37" s="8"/>
      <c r="CO37" s="8" t="s">
        <v>107</v>
      </c>
      <c r="CP37" s="8" t="s">
        <v>107</v>
      </c>
      <c r="CQ37" s="8" t="s">
        <v>107</v>
      </c>
      <c r="CR37" s="8" t="s">
        <v>107</v>
      </c>
      <c r="CS37" s="8">
        <v>9</v>
      </c>
      <c r="CT37" s="8" t="s">
        <v>107</v>
      </c>
      <c r="CU37" s="8"/>
      <c r="CV37" s="8"/>
      <c r="CW37" s="8"/>
      <c r="CX37" s="8" t="s">
        <v>107</v>
      </c>
      <c r="CY37" s="8" t="s">
        <v>107</v>
      </c>
      <c r="CZ37" s="8"/>
      <c r="DA37" s="8"/>
      <c r="DB37" s="8" t="s">
        <v>107</v>
      </c>
      <c r="DC37" s="8" t="s">
        <v>107</v>
      </c>
      <c r="DD37" s="8" t="s">
        <v>107</v>
      </c>
      <c r="DE37" s="967"/>
      <c r="DF37" s="8">
        <f t="shared" si="38"/>
        <v>0</v>
      </c>
      <c r="DG37" s="8"/>
      <c r="DH37" s="8" t="s">
        <v>107</v>
      </c>
      <c r="DI37" s="8" t="s">
        <v>107</v>
      </c>
      <c r="DJ37" s="8" t="s">
        <v>107</v>
      </c>
      <c r="DK37" s="8" t="s">
        <v>107</v>
      </c>
      <c r="DL37" s="8"/>
      <c r="DM37" s="8"/>
      <c r="DN37" s="8"/>
      <c r="DO37" s="8" t="s">
        <v>107</v>
      </c>
      <c r="DP37" s="8" t="s">
        <v>107</v>
      </c>
      <c r="DQ37" s="8" t="s">
        <v>107</v>
      </c>
      <c r="DR37" s="8" t="s">
        <v>107</v>
      </c>
      <c r="DS37" s="8">
        <v>0</v>
      </c>
      <c r="DT37" s="8" t="s">
        <v>107</v>
      </c>
      <c r="DU37" s="8"/>
      <c r="DV37" s="8"/>
      <c r="DW37" s="8"/>
      <c r="DX37" s="8" t="s">
        <v>107</v>
      </c>
      <c r="DY37" s="8" t="s">
        <v>107</v>
      </c>
      <c r="DZ37" s="8"/>
      <c r="EA37" s="8"/>
      <c r="EB37" s="8" t="s">
        <v>107</v>
      </c>
      <c r="EC37" s="8" t="s">
        <v>107</v>
      </c>
      <c r="ED37" s="8" t="s">
        <v>107</v>
      </c>
      <c r="EE37" s="967"/>
      <c r="EF37" s="8">
        <f t="shared" si="39"/>
        <v>0</v>
      </c>
      <c r="EG37" s="8"/>
      <c r="EH37" s="8" t="s">
        <v>107</v>
      </c>
      <c r="EI37" s="8" t="s">
        <v>107</v>
      </c>
      <c r="EJ37" s="8" t="s">
        <v>107</v>
      </c>
      <c r="EK37" s="8" t="s">
        <v>107</v>
      </c>
      <c r="EL37" s="8"/>
      <c r="EM37" s="8"/>
      <c r="EN37" s="8"/>
      <c r="EO37" s="8" t="s">
        <v>107</v>
      </c>
      <c r="EP37" s="8" t="s">
        <v>107</v>
      </c>
      <c r="EQ37" s="8" t="s">
        <v>107</v>
      </c>
      <c r="ER37" s="8" t="s">
        <v>107</v>
      </c>
      <c r="ES37" s="8">
        <v>0</v>
      </c>
      <c r="ET37" s="8" t="s">
        <v>107</v>
      </c>
      <c r="EU37" s="8"/>
      <c r="EV37" s="8"/>
      <c r="EW37" s="8"/>
      <c r="EX37" s="8" t="s">
        <v>107</v>
      </c>
      <c r="EY37" s="8" t="s">
        <v>107</v>
      </c>
      <c r="EZ37" s="8"/>
      <c r="FA37" s="8"/>
      <c r="FB37" s="8" t="s">
        <v>107</v>
      </c>
      <c r="FC37" s="8" t="s">
        <v>107</v>
      </c>
      <c r="FD37" s="8" t="s">
        <v>107</v>
      </c>
      <c r="FE37" s="967"/>
      <c r="FF37" s="8">
        <f t="shared" si="34"/>
        <v>0</v>
      </c>
      <c r="FG37" s="8"/>
      <c r="FH37" s="8" t="s">
        <v>107</v>
      </c>
      <c r="FI37" s="8" t="s">
        <v>107</v>
      </c>
      <c r="FJ37" s="8" t="s">
        <v>107</v>
      </c>
      <c r="FK37" s="8" t="s">
        <v>107</v>
      </c>
      <c r="FL37" s="8"/>
      <c r="FM37" s="8"/>
      <c r="FN37" s="8"/>
      <c r="FO37" s="8" t="s">
        <v>107</v>
      </c>
      <c r="FP37" s="8" t="s">
        <v>107</v>
      </c>
      <c r="FQ37" s="8" t="s">
        <v>107</v>
      </c>
      <c r="FR37" s="8" t="s">
        <v>107</v>
      </c>
      <c r="FS37" s="8">
        <v>0</v>
      </c>
      <c r="FT37" s="8" t="s">
        <v>107</v>
      </c>
      <c r="FU37" s="8"/>
      <c r="FV37" s="8"/>
      <c r="FW37" s="8"/>
      <c r="FX37" s="8" t="s">
        <v>107</v>
      </c>
      <c r="FY37" s="8" t="s">
        <v>107</v>
      </c>
      <c r="FZ37" s="8"/>
      <c r="GA37" s="8"/>
      <c r="GB37" s="8" t="s">
        <v>107</v>
      </c>
      <c r="GC37" s="8" t="s">
        <v>107</v>
      </c>
      <c r="GD37" s="8" t="s">
        <v>107</v>
      </c>
      <c r="GE37" s="967"/>
      <c r="GF37" s="8">
        <f t="shared" si="40"/>
        <v>0</v>
      </c>
      <c r="GG37" s="8"/>
      <c r="GH37" s="8" t="s">
        <v>107</v>
      </c>
      <c r="GI37" s="8" t="s">
        <v>107</v>
      </c>
      <c r="GJ37" s="8" t="s">
        <v>107</v>
      </c>
      <c r="GK37" s="8" t="s">
        <v>107</v>
      </c>
      <c r="GL37" s="8"/>
      <c r="GM37" s="8"/>
      <c r="GN37" s="8"/>
      <c r="GO37" s="8" t="s">
        <v>107</v>
      </c>
      <c r="GP37" s="8" t="s">
        <v>107</v>
      </c>
      <c r="GQ37" s="8" t="s">
        <v>107</v>
      </c>
      <c r="GR37" s="8" t="s">
        <v>107</v>
      </c>
      <c r="GS37" s="8">
        <v>0</v>
      </c>
      <c r="GT37" s="8"/>
      <c r="GU37" s="8"/>
      <c r="GV37" s="8"/>
      <c r="GW37" s="8"/>
      <c r="GX37" s="8" t="s">
        <v>107</v>
      </c>
      <c r="GY37" s="8" t="s">
        <v>107</v>
      </c>
      <c r="GZ37" s="8"/>
      <c r="HA37" s="8"/>
      <c r="HB37" s="8" t="s">
        <v>107</v>
      </c>
      <c r="HC37" s="8" t="s">
        <v>107</v>
      </c>
      <c r="HD37" s="8" t="s">
        <v>107</v>
      </c>
      <c r="HE37" s="967"/>
      <c r="HF37" s="8">
        <f t="shared" si="41"/>
        <v>0</v>
      </c>
      <c r="HG37" s="8"/>
      <c r="HH37" s="8" t="s">
        <v>107</v>
      </c>
      <c r="HI37" s="8" t="s">
        <v>107</v>
      </c>
      <c r="HJ37" s="8" t="s">
        <v>107</v>
      </c>
      <c r="HK37" s="8" t="s">
        <v>107</v>
      </c>
      <c r="HL37" s="8"/>
      <c r="HM37" s="8"/>
      <c r="HN37" s="8"/>
      <c r="HO37" s="8" t="s">
        <v>107</v>
      </c>
      <c r="HP37" s="8" t="s">
        <v>107</v>
      </c>
      <c r="HQ37" s="8" t="s">
        <v>107</v>
      </c>
      <c r="HR37" s="8" t="s">
        <v>107</v>
      </c>
      <c r="HS37" s="8">
        <v>0</v>
      </c>
      <c r="HT37" s="8"/>
      <c r="HU37" s="8"/>
      <c r="HV37" s="8"/>
      <c r="HW37" s="8"/>
      <c r="HX37" s="8" t="s">
        <v>107</v>
      </c>
      <c r="HY37" s="8" t="s">
        <v>107</v>
      </c>
      <c r="HZ37" s="8"/>
      <c r="IA37" s="8"/>
      <c r="IB37" s="8" t="s">
        <v>107</v>
      </c>
      <c r="IC37" s="8" t="s">
        <v>107</v>
      </c>
      <c r="ID37" s="8" t="s">
        <v>107</v>
      </c>
      <c r="IE37" s="967"/>
      <c r="IF37" s="8">
        <f t="shared" si="42"/>
        <v>0</v>
      </c>
      <c r="IG37" s="8"/>
      <c r="IH37" s="8" t="s">
        <v>107</v>
      </c>
      <c r="II37" s="8" t="s">
        <v>107</v>
      </c>
      <c r="IJ37" s="8" t="s">
        <v>107</v>
      </c>
      <c r="IK37" s="8" t="s">
        <v>107</v>
      </c>
      <c r="IL37" s="8"/>
      <c r="IM37" s="8"/>
      <c r="IN37" s="8"/>
      <c r="IO37" s="8" t="s">
        <v>107</v>
      </c>
      <c r="IP37" s="8" t="s">
        <v>107</v>
      </c>
      <c r="IQ37" s="8" t="s">
        <v>107</v>
      </c>
      <c r="IR37" s="8" t="s">
        <v>107</v>
      </c>
      <c r="IS37" s="8">
        <v>0</v>
      </c>
      <c r="IT37" s="8"/>
      <c r="IU37" s="8"/>
      <c r="IV37" s="8"/>
      <c r="IW37" s="8"/>
      <c r="IX37" s="8" t="s">
        <v>107</v>
      </c>
      <c r="IY37" s="8" t="s">
        <v>107</v>
      </c>
      <c r="IZ37" s="8"/>
      <c r="JA37" s="8"/>
      <c r="JB37" s="8" t="s">
        <v>107</v>
      </c>
      <c r="JC37" s="8" t="s">
        <v>107</v>
      </c>
      <c r="JD37" s="8" t="s">
        <v>107</v>
      </c>
      <c r="JE37" s="967"/>
      <c r="JF37" s="8">
        <f t="shared" si="43"/>
        <v>0</v>
      </c>
      <c r="JG37" s="8"/>
      <c r="JH37" s="8" t="s">
        <v>107</v>
      </c>
      <c r="JI37" s="8" t="s">
        <v>107</v>
      </c>
      <c r="JJ37" s="8" t="s">
        <v>107</v>
      </c>
      <c r="JK37" s="8" t="s">
        <v>107</v>
      </c>
      <c r="JL37" s="8"/>
      <c r="JM37" s="8"/>
      <c r="JN37" s="8"/>
      <c r="JO37" s="8" t="s">
        <v>107</v>
      </c>
      <c r="JP37" s="8" t="s">
        <v>107</v>
      </c>
      <c r="JQ37" s="8" t="s">
        <v>107</v>
      </c>
      <c r="JR37" s="8" t="s">
        <v>107</v>
      </c>
      <c r="JS37" s="8">
        <v>0</v>
      </c>
      <c r="JT37" s="8"/>
      <c r="JU37" s="8"/>
      <c r="JV37" s="8"/>
      <c r="JW37" s="8"/>
      <c r="JX37" s="8" t="s">
        <v>107</v>
      </c>
      <c r="JY37" s="8" t="s">
        <v>107</v>
      </c>
      <c r="JZ37" s="8"/>
      <c r="KA37" s="8"/>
      <c r="KB37" s="8" t="s">
        <v>107</v>
      </c>
      <c r="KC37" s="8" t="s">
        <v>107</v>
      </c>
      <c r="KD37" s="8" t="s">
        <v>107</v>
      </c>
      <c r="KE37" s="967"/>
      <c r="KF37" s="8">
        <f t="shared" si="44"/>
        <v>0</v>
      </c>
      <c r="KG37" s="8"/>
      <c r="KH37" s="8" t="s">
        <v>107</v>
      </c>
      <c r="KI37" s="8" t="s">
        <v>107</v>
      </c>
      <c r="KJ37" s="8" t="s">
        <v>107</v>
      </c>
      <c r="KK37" s="8" t="s">
        <v>107</v>
      </c>
      <c r="KL37" s="8"/>
      <c r="KM37" s="8"/>
      <c r="KN37" s="8"/>
      <c r="KO37" s="8" t="s">
        <v>107</v>
      </c>
      <c r="KP37" s="8" t="s">
        <v>107</v>
      </c>
      <c r="KQ37" s="8" t="s">
        <v>107</v>
      </c>
      <c r="KR37" s="8" t="s">
        <v>107</v>
      </c>
      <c r="KS37" s="8">
        <v>0</v>
      </c>
      <c r="KT37" s="8"/>
      <c r="KU37" s="8"/>
      <c r="KV37" s="8"/>
      <c r="KW37" s="8"/>
      <c r="KX37" s="8" t="s">
        <v>107</v>
      </c>
      <c r="KY37" s="8" t="s">
        <v>107</v>
      </c>
      <c r="KZ37" s="8"/>
      <c r="LA37" s="8"/>
      <c r="LB37" s="8" t="s">
        <v>107</v>
      </c>
      <c r="LC37" s="8" t="s">
        <v>107</v>
      </c>
      <c r="LD37" s="8" t="s">
        <v>107</v>
      </c>
      <c r="LE37" s="967"/>
      <c r="LF37" s="8">
        <f t="shared" si="45"/>
        <v>0</v>
      </c>
      <c r="LG37" s="8"/>
      <c r="LH37" s="8" t="s">
        <v>107</v>
      </c>
      <c r="LI37" s="8" t="s">
        <v>107</v>
      </c>
      <c r="LJ37" s="8" t="s">
        <v>107</v>
      </c>
      <c r="LK37" s="8" t="s">
        <v>107</v>
      </c>
      <c r="LL37" s="8"/>
      <c r="LM37" s="8"/>
      <c r="LN37" s="8"/>
      <c r="LO37" s="8" t="s">
        <v>107</v>
      </c>
      <c r="LP37" s="8" t="s">
        <v>107</v>
      </c>
      <c r="LQ37" s="8" t="s">
        <v>107</v>
      </c>
      <c r="LR37" s="8" t="s">
        <v>107</v>
      </c>
      <c r="LS37" s="8">
        <v>0</v>
      </c>
      <c r="LT37" s="8"/>
      <c r="LU37" s="8"/>
      <c r="LV37" s="8"/>
      <c r="LW37" s="8"/>
      <c r="LX37" s="8" t="s">
        <v>107</v>
      </c>
      <c r="LY37" s="8" t="s">
        <v>107</v>
      </c>
      <c r="LZ37" s="8"/>
      <c r="MA37" s="8"/>
      <c r="MB37" s="8" t="s">
        <v>107</v>
      </c>
      <c r="MC37" s="8" t="s">
        <v>107</v>
      </c>
      <c r="MD37" s="8" t="s">
        <v>107</v>
      </c>
      <c r="ME37" s="967"/>
      <c r="MF37" s="8">
        <f t="shared" si="46"/>
        <v>0</v>
      </c>
      <c r="MG37" s="8"/>
      <c r="MH37" s="8" t="s">
        <v>107</v>
      </c>
      <c r="MI37" s="8" t="s">
        <v>107</v>
      </c>
      <c r="MJ37" s="8" t="s">
        <v>107</v>
      </c>
      <c r="MK37" s="8" t="s">
        <v>107</v>
      </c>
      <c r="ML37" s="8"/>
      <c r="MM37" s="8"/>
      <c r="MN37" s="8"/>
      <c r="MO37" s="8" t="s">
        <v>107</v>
      </c>
      <c r="MP37" s="8" t="s">
        <v>107</v>
      </c>
      <c r="MQ37" s="8" t="s">
        <v>107</v>
      </c>
      <c r="MR37" s="8" t="s">
        <v>107</v>
      </c>
      <c r="MS37" s="8">
        <v>0</v>
      </c>
      <c r="MT37" s="8"/>
      <c r="MU37" s="8"/>
      <c r="MV37" s="8"/>
      <c r="MW37" s="8"/>
      <c r="MX37" s="8" t="s">
        <v>107</v>
      </c>
      <c r="MY37" s="8" t="s">
        <v>107</v>
      </c>
      <c r="MZ37" s="8"/>
      <c r="NA37" s="8"/>
      <c r="NB37" s="8" t="s">
        <v>107</v>
      </c>
      <c r="NC37" s="8" t="s">
        <v>107</v>
      </c>
      <c r="ND37" s="8" t="s">
        <v>107</v>
      </c>
      <c r="NE37" s="967"/>
      <c r="NF37" s="8">
        <f t="shared" si="47"/>
        <v>0</v>
      </c>
      <c r="NG37" s="8"/>
      <c r="NH37" s="8" t="s">
        <v>107</v>
      </c>
      <c r="NI37" s="8" t="s">
        <v>107</v>
      </c>
      <c r="NJ37" s="8" t="s">
        <v>107</v>
      </c>
      <c r="NK37" s="8" t="s">
        <v>107</v>
      </c>
      <c r="NL37" s="8"/>
      <c r="NM37" s="8"/>
      <c r="NN37" s="8"/>
      <c r="NO37" s="8" t="s">
        <v>107</v>
      </c>
      <c r="NP37" s="8" t="s">
        <v>107</v>
      </c>
      <c r="NQ37" s="8" t="s">
        <v>107</v>
      </c>
      <c r="NR37" s="8" t="s">
        <v>107</v>
      </c>
      <c r="NS37" s="8">
        <v>0</v>
      </c>
      <c r="NT37" s="8"/>
      <c r="NU37" s="8"/>
      <c r="NV37" s="8"/>
      <c r="NW37" s="8"/>
      <c r="NX37" s="8" t="s">
        <v>107</v>
      </c>
      <c r="NY37" s="8" t="s">
        <v>107</v>
      </c>
      <c r="NZ37" s="8"/>
      <c r="OA37" s="8"/>
      <c r="OB37" s="8" t="s">
        <v>107</v>
      </c>
      <c r="OC37" s="8" t="s">
        <v>107</v>
      </c>
      <c r="OD37" s="8" t="s">
        <v>107</v>
      </c>
      <c r="OE37" s="967"/>
      <c r="OF37" s="8">
        <f t="shared" si="48"/>
        <v>0</v>
      </c>
      <c r="OG37" s="8"/>
      <c r="OH37" s="8" t="s">
        <v>107</v>
      </c>
      <c r="OI37" s="8" t="s">
        <v>107</v>
      </c>
      <c r="OJ37" s="8" t="s">
        <v>107</v>
      </c>
      <c r="OK37" s="8" t="s">
        <v>107</v>
      </c>
      <c r="OL37" s="8"/>
      <c r="OM37" s="8"/>
      <c r="ON37" s="8"/>
      <c r="OO37" s="8" t="s">
        <v>107</v>
      </c>
      <c r="OP37" s="8" t="s">
        <v>107</v>
      </c>
      <c r="OQ37" s="8" t="s">
        <v>107</v>
      </c>
      <c r="OR37" s="8" t="s">
        <v>107</v>
      </c>
      <c r="OS37" s="8">
        <v>0</v>
      </c>
      <c r="OT37" s="8"/>
      <c r="OU37" s="8"/>
      <c r="OV37" s="8"/>
      <c r="OW37" s="8"/>
      <c r="OX37" s="8" t="s">
        <v>107</v>
      </c>
      <c r="OY37" s="8" t="s">
        <v>107</v>
      </c>
      <c r="OZ37" s="8"/>
      <c r="PA37" s="8"/>
      <c r="PB37" s="8" t="s">
        <v>107</v>
      </c>
      <c r="PC37" s="8" t="s">
        <v>107</v>
      </c>
      <c r="PD37" s="8" t="s">
        <v>107</v>
      </c>
      <c r="PE37" s="967"/>
      <c r="PF37" s="8">
        <f t="shared" si="49"/>
        <v>0</v>
      </c>
      <c r="PG37" s="8"/>
      <c r="PH37" s="8" t="s">
        <v>107</v>
      </c>
      <c r="PI37" s="8" t="s">
        <v>107</v>
      </c>
      <c r="PJ37" s="8" t="s">
        <v>107</v>
      </c>
      <c r="PK37" s="8" t="s">
        <v>107</v>
      </c>
      <c r="PL37" s="8"/>
      <c r="PM37" s="8"/>
      <c r="PN37" s="8"/>
      <c r="PO37" s="8" t="s">
        <v>107</v>
      </c>
      <c r="PP37" s="8" t="s">
        <v>107</v>
      </c>
      <c r="PQ37" s="8" t="s">
        <v>107</v>
      </c>
      <c r="PR37" s="8" t="s">
        <v>107</v>
      </c>
      <c r="PS37" s="8">
        <v>0</v>
      </c>
      <c r="PT37" s="8"/>
      <c r="PU37" s="8"/>
      <c r="PV37" s="8"/>
      <c r="PW37" s="8"/>
      <c r="PX37" s="8" t="s">
        <v>107</v>
      </c>
      <c r="PY37" s="8" t="s">
        <v>107</v>
      </c>
      <c r="PZ37" s="8"/>
      <c r="QA37" s="8"/>
      <c r="QB37" s="8" t="s">
        <v>107</v>
      </c>
      <c r="QC37" s="8" t="s">
        <v>107</v>
      </c>
      <c r="QD37" s="8" t="s">
        <v>107</v>
      </c>
      <c r="QE37" s="967"/>
    </row>
    <row r="38" spans="2:447" x14ac:dyDescent="0.3">
      <c r="B38">
        <v>30</v>
      </c>
      <c r="D38" t="s">
        <v>1807</v>
      </c>
      <c r="F38" s="8">
        <f t="shared" si="33"/>
        <v>60</v>
      </c>
      <c r="G38" s="8"/>
      <c r="H38" s="8" t="s">
        <v>107</v>
      </c>
      <c r="I38" s="8" t="s">
        <v>107</v>
      </c>
      <c r="J38" s="8" t="s">
        <v>107</v>
      </c>
      <c r="K38" s="8" t="s">
        <v>107</v>
      </c>
      <c r="L38" s="8" t="s">
        <v>107</v>
      </c>
      <c r="M38" s="8" t="s">
        <v>107</v>
      </c>
      <c r="N38" s="8" t="s">
        <v>107</v>
      </c>
      <c r="O38" s="8">
        <v>6</v>
      </c>
      <c r="P38" s="8" t="s">
        <v>107</v>
      </c>
      <c r="Q38" s="8">
        <v>3</v>
      </c>
      <c r="R38" s="8">
        <v>18</v>
      </c>
      <c r="S38" s="8">
        <v>17</v>
      </c>
      <c r="T38" s="8">
        <v>16</v>
      </c>
      <c r="U38" s="8"/>
      <c r="V38" s="8"/>
      <c r="W38" s="8"/>
      <c r="X38" s="8" t="s">
        <v>107</v>
      </c>
      <c r="Y38" s="8" t="s">
        <v>107</v>
      </c>
      <c r="Z38" s="8"/>
      <c r="AA38" s="8"/>
      <c r="AB38" s="8" t="s">
        <v>107</v>
      </c>
      <c r="AC38" s="8" t="s">
        <v>107</v>
      </c>
      <c r="AD38" s="8" t="s">
        <v>107</v>
      </c>
      <c r="AE38" s="967"/>
      <c r="AF38" s="8">
        <f t="shared" si="35"/>
        <v>1</v>
      </c>
      <c r="AG38" s="8"/>
      <c r="AH38" s="8" t="s">
        <v>107</v>
      </c>
      <c r="AI38" s="8" t="s">
        <v>107</v>
      </c>
      <c r="AJ38" s="8" t="s">
        <v>107</v>
      </c>
      <c r="AK38" s="8" t="s">
        <v>107</v>
      </c>
      <c r="AL38" s="8"/>
      <c r="AM38" s="8"/>
      <c r="AN38" s="8"/>
      <c r="AO38" s="8">
        <v>0</v>
      </c>
      <c r="AP38" s="8" t="s">
        <v>107</v>
      </c>
      <c r="AQ38" s="8">
        <v>0</v>
      </c>
      <c r="AR38" s="8">
        <v>1</v>
      </c>
      <c r="AS38" s="8">
        <v>0</v>
      </c>
      <c r="AT38" s="8">
        <v>0</v>
      </c>
      <c r="AU38" s="8"/>
      <c r="AV38" s="8"/>
      <c r="AW38" s="8"/>
      <c r="AX38" s="8" t="s">
        <v>107</v>
      </c>
      <c r="AY38" s="8" t="s">
        <v>107</v>
      </c>
      <c r="AZ38" s="8"/>
      <c r="BA38" s="8"/>
      <c r="BB38" s="8" t="s">
        <v>107</v>
      </c>
      <c r="BC38" s="8" t="s">
        <v>107</v>
      </c>
      <c r="BD38" s="8" t="s">
        <v>107</v>
      </c>
      <c r="BE38" s="967"/>
      <c r="BF38" s="8">
        <f t="shared" si="36"/>
        <v>17</v>
      </c>
      <c r="BG38" s="8"/>
      <c r="BH38" s="8" t="s">
        <v>107</v>
      </c>
      <c r="BI38" s="8"/>
      <c r="BJ38" s="8"/>
      <c r="BK38" s="8" t="s">
        <v>107</v>
      </c>
      <c r="BL38" s="8"/>
      <c r="BM38" s="8"/>
      <c r="BN38" s="8"/>
      <c r="BO38" s="8">
        <v>1</v>
      </c>
      <c r="BP38" s="8" t="s">
        <v>107</v>
      </c>
      <c r="BQ38" s="8">
        <v>1</v>
      </c>
      <c r="BR38" s="8">
        <v>2</v>
      </c>
      <c r="BS38" s="8">
        <v>8</v>
      </c>
      <c r="BT38" s="8">
        <v>5</v>
      </c>
      <c r="BU38" s="8"/>
      <c r="BV38" s="8"/>
      <c r="BW38" s="8"/>
      <c r="BX38" s="8" t="s">
        <v>107</v>
      </c>
      <c r="BY38" s="8" t="s">
        <v>107</v>
      </c>
      <c r="BZ38" s="8"/>
      <c r="CA38" s="8"/>
      <c r="CB38" s="8" t="s">
        <v>107</v>
      </c>
      <c r="CC38" s="8" t="s">
        <v>107</v>
      </c>
      <c r="CD38" s="8" t="s">
        <v>107</v>
      </c>
      <c r="CE38" s="967"/>
      <c r="CF38" s="8">
        <f t="shared" si="37"/>
        <v>18</v>
      </c>
      <c r="CG38" s="8"/>
      <c r="CH38" s="8" t="s">
        <v>107</v>
      </c>
      <c r="CI38" s="8"/>
      <c r="CJ38" s="8"/>
      <c r="CK38" s="8" t="s">
        <v>107</v>
      </c>
      <c r="CL38" s="8"/>
      <c r="CM38" s="8"/>
      <c r="CN38" s="8"/>
      <c r="CO38" s="8">
        <v>1</v>
      </c>
      <c r="CP38" s="8" t="s">
        <v>107</v>
      </c>
      <c r="CQ38" s="8">
        <v>1</v>
      </c>
      <c r="CR38" s="8">
        <v>3</v>
      </c>
      <c r="CS38" s="8">
        <v>8</v>
      </c>
      <c r="CT38" s="8">
        <v>5</v>
      </c>
      <c r="CU38" s="8"/>
      <c r="CV38" s="8"/>
      <c r="CW38" s="8"/>
      <c r="CX38" s="8" t="s">
        <v>107</v>
      </c>
      <c r="CY38" s="8" t="s">
        <v>107</v>
      </c>
      <c r="CZ38" s="8"/>
      <c r="DA38" s="8"/>
      <c r="DB38" s="8" t="s">
        <v>107</v>
      </c>
      <c r="DC38" s="8" t="s">
        <v>107</v>
      </c>
      <c r="DD38" s="8" t="s">
        <v>107</v>
      </c>
      <c r="DE38" s="967"/>
      <c r="DF38" s="8">
        <f t="shared" si="38"/>
        <v>3</v>
      </c>
      <c r="DG38" s="8"/>
      <c r="DH38" s="8" t="s">
        <v>107</v>
      </c>
      <c r="DI38" s="8" t="s">
        <v>107</v>
      </c>
      <c r="DJ38" s="8" t="s">
        <v>107</v>
      </c>
      <c r="DK38" s="8" t="s">
        <v>107</v>
      </c>
      <c r="DL38" s="8"/>
      <c r="DM38" s="8"/>
      <c r="DN38" s="8"/>
      <c r="DO38" s="8">
        <v>0</v>
      </c>
      <c r="DP38" s="8" t="s">
        <v>107</v>
      </c>
      <c r="DQ38" s="8">
        <v>1</v>
      </c>
      <c r="DR38" s="8">
        <v>1</v>
      </c>
      <c r="DS38" s="8">
        <v>1</v>
      </c>
      <c r="DT38" s="8"/>
      <c r="DU38" s="8"/>
      <c r="DV38" s="8"/>
      <c r="DW38" s="8"/>
      <c r="DX38" s="8" t="s">
        <v>107</v>
      </c>
      <c r="DY38" s="8" t="s">
        <v>107</v>
      </c>
      <c r="DZ38" s="8"/>
      <c r="EA38" s="8"/>
      <c r="EB38" s="8" t="s">
        <v>107</v>
      </c>
      <c r="EC38" s="8" t="s">
        <v>107</v>
      </c>
      <c r="ED38" s="8" t="s">
        <v>107</v>
      </c>
      <c r="EE38" s="967"/>
      <c r="EF38" s="8">
        <f t="shared" si="39"/>
        <v>6</v>
      </c>
      <c r="EG38" s="8"/>
      <c r="EH38" s="8" t="s">
        <v>107</v>
      </c>
      <c r="EI38" s="8" t="s">
        <v>107</v>
      </c>
      <c r="EJ38" s="8" t="s">
        <v>107</v>
      </c>
      <c r="EK38" s="8" t="s">
        <v>107</v>
      </c>
      <c r="EL38" s="8"/>
      <c r="EM38" s="8"/>
      <c r="EN38" s="8"/>
      <c r="EO38" s="8">
        <v>0</v>
      </c>
      <c r="EP38" s="8" t="s">
        <v>107</v>
      </c>
      <c r="EQ38" s="8">
        <v>2</v>
      </c>
      <c r="ER38" s="8">
        <v>2</v>
      </c>
      <c r="ES38" s="8">
        <v>2</v>
      </c>
      <c r="ET38" s="8"/>
      <c r="EU38" s="8"/>
      <c r="EV38" s="8"/>
      <c r="EW38" s="8"/>
      <c r="EX38" s="8" t="s">
        <v>107</v>
      </c>
      <c r="EY38" s="8" t="s">
        <v>107</v>
      </c>
      <c r="EZ38" s="8"/>
      <c r="FA38" s="8"/>
      <c r="FB38" s="8" t="s">
        <v>107</v>
      </c>
      <c r="FC38" s="8" t="s">
        <v>107</v>
      </c>
      <c r="FD38" s="8" t="s">
        <v>107</v>
      </c>
      <c r="FE38" s="967"/>
      <c r="FF38" s="8">
        <f t="shared" si="34"/>
        <v>1</v>
      </c>
      <c r="FG38" s="8"/>
      <c r="FH38" s="8" t="s">
        <v>107</v>
      </c>
      <c r="FI38" s="8" t="s">
        <v>107</v>
      </c>
      <c r="FJ38" s="8" t="s">
        <v>107</v>
      </c>
      <c r="FK38" s="8" t="s">
        <v>107</v>
      </c>
      <c r="FL38" s="8"/>
      <c r="FM38" s="8"/>
      <c r="FN38" s="8"/>
      <c r="FO38" s="8">
        <v>0</v>
      </c>
      <c r="FP38" s="8" t="s">
        <v>107</v>
      </c>
      <c r="FQ38" s="8">
        <v>0</v>
      </c>
      <c r="FR38" s="8">
        <v>1</v>
      </c>
      <c r="FS38" s="8">
        <v>0</v>
      </c>
      <c r="FT38" s="8">
        <v>0</v>
      </c>
      <c r="FU38" s="8"/>
      <c r="FV38" s="8"/>
      <c r="FW38" s="8"/>
      <c r="FX38" s="8" t="s">
        <v>107</v>
      </c>
      <c r="FY38" s="8" t="s">
        <v>107</v>
      </c>
      <c r="FZ38" s="8"/>
      <c r="GA38" s="8"/>
      <c r="GB38" s="8" t="s">
        <v>107</v>
      </c>
      <c r="GC38" s="8" t="s">
        <v>107</v>
      </c>
      <c r="GD38" s="8" t="s">
        <v>107</v>
      </c>
      <c r="GE38" s="967"/>
      <c r="GF38" s="8">
        <f t="shared" si="40"/>
        <v>0</v>
      </c>
      <c r="GG38" s="8"/>
      <c r="GH38" s="8" t="s">
        <v>107</v>
      </c>
      <c r="GI38" s="8" t="s">
        <v>107</v>
      </c>
      <c r="GJ38" s="8" t="s">
        <v>107</v>
      </c>
      <c r="GK38" s="8" t="s">
        <v>107</v>
      </c>
      <c r="GL38" s="8"/>
      <c r="GM38" s="8"/>
      <c r="GN38" s="8"/>
      <c r="GO38" s="8">
        <v>0</v>
      </c>
      <c r="GP38" s="8" t="s">
        <v>107</v>
      </c>
      <c r="GQ38" s="8">
        <v>0</v>
      </c>
      <c r="GR38" s="8">
        <v>0</v>
      </c>
      <c r="GS38" s="8">
        <v>0</v>
      </c>
      <c r="GT38" s="8"/>
      <c r="GU38" s="8"/>
      <c r="GV38" s="8"/>
      <c r="GW38" s="8"/>
      <c r="GX38" s="8" t="s">
        <v>107</v>
      </c>
      <c r="GY38" s="8" t="s">
        <v>107</v>
      </c>
      <c r="GZ38" s="8"/>
      <c r="HA38" s="8"/>
      <c r="HB38" s="8" t="s">
        <v>107</v>
      </c>
      <c r="HC38" s="8" t="s">
        <v>107</v>
      </c>
      <c r="HD38" s="8" t="s">
        <v>107</v>
      </c>
      <c r="HE38" s="967"/>
      <c r="HF38" s="8">
        <f t="shared" si="41"/>
        <v>0</v>
      </c>
      <c r="HG38" s="8"/>
      <c r="HH38" s="8" t="s">
        <v>107</v>
      </c>
      <c r="HI38" s="8" t="s">
        <v>107</v>
      </c>
      <c r="HJ38" s="8" t="s">
        <v>107</v>
      </c>
      <c r="HK38" s="8" t="s">
        <v>107</v>
      </c>
      <c r="HL38" s="8"/>
      <c r="HM38" s="8"/>
      <c r="HN38" s="8"/>
      <c r="HO38" s="8">
        <v>0</v>
      </c>
      <c r="HP38" s="8" t="s">
        <v>107</v>
      </c>
      <c r="HQ38" s="8">
        <v>0</v>
      </c>
      <c r="HR38" s="8">
        <v>0</v>
      </c>
      <c r="HS38" s="8">
        <v>0</v>
      </c>
      <c r="HT38" s="8"/>
      <c r="HU38" s="8"/>
      <c r="HV38" s="8"/>
      <c r="HW38" s="8"/>
      <c r="HX38" s="8" t="s">
        <v>107</v>
      </c>
      <c r="HY38" s="8" t="s">
        <v>107</v>
      </c>
      <c r="HZ38" s="8"/>
      <c r="IA38" s="8"/>
      <c r="IB38" s="8" t="s">
        <v>107</v>
      </c>
      <c r="IC38" s="8" t="s">
        <v>107</v>
      </c>
      <c r="ID38" s="8" t="s">
        <v>107</v>
      </c>
      <c r="IE38" s="967"/>
      <c r="IF38" s="8">
        <f t="shared" si="42"/>
        <v>0</v>
      </c>
      <c r="IG38" s="8"/>
      <c r="IH38" s="8" t="s">
        <v>107</v>
      </c>
      <c r="II38" s="8" t="s">
        <v>107</v>
      </c>
      <c r="IJ38" s="8" t="s">
        <v>107</v>
      </c>
      <c r="IK38" s="8" t="s">
        <v>107</v>
      </c>
      <c r="IL38" s="8"/>
      <c r="IM38" s="8"/>
      <c r="IN38" s="8"/>
      <c r="IO38" s="8">
        <v>0</v>
      </c>
      <c r="IP38" s="8" t="s">
        <v>107</v>
      </c>
      <c r="IQ38" s="8">
        <v>0</v>
      </c>
      <c r="IR38" s="8">
        <v>0</v>
      </c>
      <c r="IS38" s="8">
        <v>0</v>
      </c>
      <c r="IT38" s="8"/>
      <c r="IU38" s="8"/>
      <c r="IV38" s="8"/>
      <c r="IW38" s="8"/>
      <c r="IX38" s="8" t="s">
        <v>107</v>
      </c>
      <c r="IY38" s="8" t="s">
        <v>107</v>
      </c>
      <c r="IZ38" s="8"/>
      <c r="JA38" s="8"/>
      <c r="JB38" s="8" t="s">
        <v>107</v>
      </c>
      <c r="JC38" s="8" t="s">
        <v>107</v>
      </c>
      <c r="JD38" s="8" t="s">
        <v>107</v>
      </c>
      <c r="JE38" s="967"/>
      <c r="JF38" s="8">
        <f t="shared" si="43"/>
        <v>0</v>
      </c>
      <c r="JG38" s="8"/>
      <c r="JH38" s="8" t="s">
        <v>107</v>
      </c>
      <c r="JI38" s="8" t="s">
        <v>107</v>
      </c>
      <c r="JJ38" s="8" t="s">
        <v>107</v>
      </c>
      <c r="JK38" s="8" t="s">
        <v>107</v>
      </c>
      <c r="JL38" s="8"/>
      <c r="JM38" s="8"/>
      <c r="JN38" s="8"/>
      <c r="JO38" s="8">
        <v>0</v>
      </c>
      <c r="JP38" s="8" t="s">
        <v>107</v>
      </c>
      <c r="JQ38" s="8">
        <v>0</v>
      </c>
      <c r="JR38" s="8">
        <v>0</v>
      </c>
      <c r="JS38" s="8">
        <v>0</v>
      </c>
      <c r="JT38" s="8"/>
      <c r="JU38" s="8"/>
      <c r="JV38" s="8"/>
      <c r="JW38" s="8"/>
      <c r="JX38" s="8" t="s">
        <v>107</v>
      </c>
      <c r="JY38" s="8" t="s">
        <v>107</v>
      </c>
      <c r="JZ38" s="8"/>
      <c r="KA38" s="8"/>
      <c r="KB38" s="8" t="s">
        <v>107</v>
      </c>
      <c r="KC38" s="8" t="s">
        <v>107</v>
      </c>
      <c r="KD38" s="8" t="s">
        <v>107</v>
      </c>
      <c r="KE38" s="967"/>
      <c r="KF38" s="8">
        <f t="shared" si="44"/>
        <v>0</v>
      </c>
      <c r="KG38" s="8"/>
      <c r="KH38" s="8" t="s">
        <v>107</v>
      </c>
      <c r="KI38" s="8" t="s">
        <v>107</v>
      </c>
      <c r="KJ38" s="8" t="s">
        <v>107</v>
      </c>
      <c r="KK38" s="8" t="s">
        <v>107</v>
      </c>
      <c r="KL38" s="8"/>
      <c r="KM38" s="8"/>
      <c r="KN38" s="8"/>
      <c r="KO38" s="8">
        <v>0</v>
      </c>
      <c r="KP38" s="8" t="s">
        <v>107</v>
      </c>
      <c r="KQ38" s="8">
        <v>0</v>
      </c>
      <c r="KR38" s="8">
        <v>0</v>
      </c>
      <c r="KS38" s="8">
        <v>0</v>
      </c>
      <c r="KT38" s="8"/>
      <c r="KU38" s="8"/>
      <c r="KV38" s="8"/>
      <c r="KW38" s="8"/>
      <c r="KX38" s="8" t="s">
        <v>107</v>
      </c>
      <c r="KY38" s="8" t="s">
        <v>107</v>
      </c>
      <c r="KZ38" s="8"/>
      <c r="LA38" s="8"/>
      <c r="LB38" s="8" t="s">
        <v>107</v>
      </c>
      <c r="LC38" s="8" t="s">
        <v>107</v>
      </c>
      <c r="LD38" s="8" t="s">
        <v>107</v>
      </c>
      <c r="LE38" s="967"/>
      <c r="LF38" s="8">
        <f t="shared" si="45"/>
        <v>0</v>
      </c>
      <c r="LG38" s="8"/>
      <c r="LH38" s="8" t="s">
        <v>107</v>
      </c>
      <c r="LI38" s="8" t="s">
        <v>107</v>
      </c>
      <c r="LJ38" s="8" t="s">
        <v>107</v>
      </c>
      <c r="LK38" s="8" t="s">
        <v>107</v>
      </c>
      <c r="LL38" s="8"/>
      <c r="LM38" s="8"/>
      <c r="LN38" s="8"/>
      <c r="LO38" s="8">
        <v>0</v>
      </c>
      <c r="LP38" s="8" t="s">
        <v>107</v>
      </c>
      <c r="LQ38" s="8">
        <v>0</v>
      </c>
      <c r="LR38" s="8">
        <v>0</v>
      </c>
      <c r="LS38" s="8">
        <v>0</v>
      </c>
      <c r="LT38" s="8"/>
      <c r="LU38" s="8"/>
      <c r="LV38" s="8"/>
      <c r="LW38" s="8"/>
      <c r="LX38" s="8" t="s">
        <v>107</v>
      </c>
      <c r="LY38" s="8" t="s">
        <v>107</v>
      </c>
      <c r="LZ38" s="8"/>
      <c r="MA38" s="8"/>
      <c r="MB38" s="8" t="s">
        <v>107</v>
      </c>
      <c r="MC38" s="8" t="s">
        <v>107</v>
      </c>
      <c r="MD38" s="8" t="s">
        <v>107</v>
      </c>
      <c r="ME38" s="967"/>
      <c r="MF38" s="8">
        <f t="shared" si="46"/>
        <v>0</v>
      </c>
      <c r="MG38" s="8"/>
      <c r="MH38" s="8" t="s">
        <v>107</v>
      </c>
      <c r="MI38" s="8" t="s">
        <v>107</v>
      </c>
      <c r="MJ38" s="8" t="s">
        <v>107</v>
      </c>
      <c r="MK38" s="8" t="s">
        <v>107</v>
      </c>
      <c r="ML38" s="8"/>
      <c r="MM38" s="8"/>
      <c r="MN38" s="8"/>
      <c r="MO38" s="8">
        <v>0</v>
      </c>
      <c r="MP38" s="8" t="s">
        <v>107</v>
      </c>
      <c r="MQ38" s="8">
        <v>0</v>
      </c>
      <c r="MR38" s="8">
        <v>0</v>
      </c>
      <c r="MS38" s="8">
        <v>0</v>
      </c>
      <c r="MT38" s="8"/>
      <c r="MU38" s="8"/>
      <c r="MV38" s="8"/>
      <c r="MW38" s="8"/>
      <c r="MX38" s="8" t="s">
        <v>107</v>
      </c>
      <c r="MY38" s="8" t="s">
        <v>107</v>
      </c>
      <c r="MZ38" s="8"/>
      <c r="NA38" s="8"/>
      <c r="NB38" s="8" t="s">
        <v>107</v>
      </c>
      <c r="NC38" s="8" t="s">
        <v>107</v>
      </c>
      <c r="ND38" s="8" t="s">
        <v>107</v>
      </c>
      <c r="NE38" s="967"/>
      <c r="NF38" s="8">
        <f t="shared" si="47"/>
        <v>0</v>
      </c>
      <c r="NG38" s="8"/>
      <c r="NH38" s="8" t="s">
        <v>107</v>
      </c>
      <c r="NI38" s="8" t="s">
        <v>107</v>
      </c>
      <c r="NJ38" s="8" t="s">
        <v>107</v>
      </c>
      <c r="NK38" s="8" t="s">
        <v>107</v>
      </c>
      <c r="NL38" s="8"/>
      <c r="NM38" s="8"/>
      <c r="NN38" s="8"/>
      <c r="NO38" s="8">
        <v>0</v>
      </c>
      <c r="NP38" s="8" t="s">
        <v>107</v>
      </c>
      <c r="NQ38" s="8">
        <v>0</v>
      </c>
      <c r="NR38" s="8">
        <v>0</v>
      </c>
      <c r="NS38" s="8">
        <v>0</v>
      </c>
      <c r="NT38" s="8"/>
      <c r="NU38" s="8"/>
      <c r="NV38" s="8"/>
      <c r="NW38" s="8"/>
      <c r="NX38" s="8" t="s">
        <v>107</v>
      </c>
      <c r="NY38" s="8" t="s">
        <v>107</v>
      </c>
      <c r="NZ38" s="8"/>
      <c r="OA38" s="8"/>
      <c r="OB38" s="8" t="s">
        <v>107</v>
      </c>
      <c r="OC38" s="8" t="s">
        <v>107</v>
      </c>
      <c r="OD38" s="8" t="s">
        <v>107</v>
      </c>
      <c r="OE38" s="967"/>
      <c r="OF38" s="8">
        <f t="shared" si="48"/>
        <v>0</v>
      </c>
      <c r="OG38" s="8"/>
      <c r="OH38" s="8" t="s">
        <v>107</v>
      </c>
      <c r="OI38" s="8" t="s">
        <v>107</v>
      </c>
      <c r="OJ38" s="8" t="s">
        <v>107</v>
      </c>
      <c r="OK38" s="8" t="s">
        <v>107</v>
      </c>
      <c r="OL38" s="8"/>
      <c r="OM38" s="8"/>
      <c r="ON38" s="8"/>
      <c r="OO38" s="8">
        <v>0</v>
      </c>
      <c r="OP38" s="8" t="s">
        <v>107</v>
      </c>
      <c r="OQ38" s="8">
        <v>0</v>
      </c>
      <c r="OR38" s="8">
        <v>0</v>
      </c>
      <c r="OS38" s="8">
        <v>0</v>
      </c>
      <c r="OT38" s="8"/>
      <c r="OU38" s="8"/>
      <c r="OV38" s="8"/>
      <c r="OW38" s="8"/>
      <c r="OX38" s="8" t="s">
        <v>107</v>
      </c>
      <c r="OY38" s="8" t="s">
        <v>107</v>
      </c>
      <c r="OZ38" s="8"/>
      <c r="PA38" s="8"/>
      <c r="PB38" s="8" t="s">
        <v>107</v>
      </c>
      <c r="PC38" s="8" t="s">
        <v>107</v>
      </c>
      <c r="PD38" s="8" t="s">
        <v>107</v>
      </c>
      <c r="PE38" s="967"/>
      <c r="PF38" s="8">
        <f t="shared" si="49"/>
        <v>0</v>
      </c>
      <c r="PG38" s="8"/>
      <c r="PH38" s="8" t="s">
        <v>107</v>
      </c>
      <c r="PI38" s="8" t="s">
        <v>107</v>
      </c>
      <c r="PJ38" s="8" t="s">
        <v>107</v>
      </c>
      <c r="PK38" s="8" t="s">
        <v>107</v>
      </c>
      <c r="PL38" s="8"/>
      <c r="PM38" s="8"/>
      <c r="PN38" s="8"/>
      <c r="PO38" s="8">
        <v>0</v>
      </c>
      <c r="PP38" s="8" t="s">
        <v>107</v>
      </c>
      <c r="PQ38" s="8">
        <v>0</v>
      </c>
      <c r="PR38" s="8">
        <v>0</v>
      </c>
      <c r="PS38" s="8">
        <v>0</v>
      </c>
      <c r="PT38" s="8"/>
      <c r="PU38" s="8"/>
      <c r="PV38" s="8"/>
      <c r="PW38" s="8"/>
      <c r="PX38" s="8" t="s">
        <v>107</v>
      </c>
      <c r="PY38" s="8" t="s">
        <v>107</v>
      </c>
      <c r="PZ38" s="8"/>
      <c r="QA38" s="8"/>
      <c r="QB38" s="8" t="s">
        <v>107</v>
      </c>
      <c r="QC38" s="8" t="s">
        <v>107</v>
      </c>
      <c r="QD38" s="8" t="s">
        <v>107</v>
      </c>
      <c r="QE38" s="967"/>
    </row>
    <row r="39" spans="2:447" x14ac:dyDescent="0.3">
      <c r="B39">
        <v>31</v>
      </c>
      <c r="D39" t="s">
        <v>1808</v>
      </c>
      <c r="F39" s="8">
        <f t="shared" si="33"/>
        <v>33</v>
      </c>
      <c r="G39" s="8"/>
      <c r="H39" s="8" t="s">
        <v>107</v>
      </c>
      <c r="I39" s="8" t="s">
        <v>107</v>
      </c>
      <c r="J39" s="8" t="s">
        <v>107</v>
      </c>
      <c r="K39" s="8" t="s">
        <v>107</v>
      </c>
      <c r="L39" s="8" t="s">
        <v>107</v>
      </c>
      <c r="M39" s="8" t="s">
        <v>107</v>
      </c>
      <c r="N39" s="8" t="s">
        <v>107</v>
      </c>
      <c r="O39" s="8" t="s">
        <v>107</v>
      </c>
      <c r="P39" s="8" t="s">
        <v>107</v>
      </c>
      <c r="Q39" s="8" t="s">
        <v>107</v>
      </c>
      <c r="R39" s="8" t="s">
        <v>107</v>
      </c>
      <c r="S39" s="8">
        <v>17</v>
      </c>
      <c r="T39" s="8">
        <v>16</v>
      </c>
      <c r="U39" s="8"/>
      <c r="V39" s="8"/>
      <c r="W39" s="8"/>
      <c r="X39" s="8" t="s">
        <v>107</v>
      </c>
      <c r="Y39" s="8" t="s">
        <v>107</v>
      </c>
      <c r="Z39" s="8"/>
      <c r="AA39" s="8"/>
      <c r="AB39" s="8" t="s">
        <v>107</v>
      </c>
      <c r="AC39" s="8" t="s">
        <v>107</v>
      </c>
      <c r="AD39" s="8" t="s">
        <v>107</v>
      </c>
      <c r="AE39" s="967"/>
      <c r="AF39" s="8">
        <f t="shared" si="35"/>
        <v>3</v>
      </c>
      <c r="AG39" s="8"/>
      <c r="AH39" s="8" t="s">
        <v>107</v>
      </c>
      <c r="AI39" s="8" t="s">
        <v>107</v>
      </c>
      <c r="AJ39" s="8" t="s">
        <v>107</v>
      </c>
      <c r="AK39" s="8" t="s">
        <v>107</v>
      </c>
      <c r="AL39" s="8"/>
      <c r="AM39" s="8"/>
      <c r="AN39" s="8"/>
      <c r="AO39" s="8" t="s">
        <v>107</v>
      </c>
      <c r="AP39" s="8" t="s">
        <v>107</v>
      </c>
      <c r="AQ39" s="8" t="s">
        <v>107</v>
      </c>
      <c r="AR39" s="8" t="s">
        <v>107</v>
      </c>
      <c r="AS39" s="8" t="s">
        <v>107</v>
      </c>
      <c r="AT39" s="8">
        <v>3</v>
      </c>
      <c r="AU39" s="8"/>
      <c r="AV39" s="8"/>
      <c r="AW39" s="8"/>
      <c r="AX39" s="8" t="s">
        <v>107</v>
      </c>
      <c r="AY39" s="8" t="s">
        <v>107</v>
      </c>
      <c r="AZ39" s="8"/>
      <c r="BA39" s="8"/>
      <c r="BB39" s="8" t="s">
        <v>107</v>
      </c>
      <c r="BC39" s="8" t="s">
        <v>107</v>
      </c>
      <c r="BD39" s="8" t="s">
        <v>107</v>
      </c>
      <c r="BE39" s="967"/>
      <c r="BF39" s="8">
        <f t="shared" si="36"/>
        <v>2</v>
      </c>
      <c r="BG39" s="8"/>
      <c r="BH39" s="8" t="s">
        <v>107</v>
      </c>
      <c r="BI39" s="8"/>
      <c r="BJ39" s="8"/>
      <c r="BK39" s="8" t="s">
        <v>107</v>
      </c>
      <c r="BL39" s="8"/>
      <c r="BM39" s="8"/>
      <c r="BN39" s="8"/>
      <c r="BO39" s="8" t="s">
        <v>107</v>
      </c>
      <c r="BP39" s="8" t="s">
        <v>107</v>
      </c>
      <c r="BQ39" s="8" t="s">
        <v>107</v>
      </c>
      <c r="BR39" s="8" t="s">
        <v>107</v>
      </c>
      <c r="BS39" s="8" t="s">
        <v>107</v>
      </c>
      <c r="BT39" s="8">
        <v>2</v>
      </c>
      <c r="BU39" s="8"/>
      <c r="BV39" s="8"/>
      <c r="BW39" s="8"/>
      <c r="BX39" s="8" t="s">
        <v>107</v>
      </c>
      <c r="BY39" s="8" t="s">
        <v>107</v>
      </c>
      <c r="BZ39" s="8"/>
      <c r="CA39" s="8"/>
      <c r="CB39" s="8" t="s">
        <v>107</v>
      </c>
      <c r="CC39" s="8" t="s">
        <v>107</v>
      </c>
      <c r="CD39" s="8" t="s">
        <v>107</v>
      </c>
      <c r="CE39" s="967"/>
      <c r="CF39" s="8">
        <f t="shared" si="37"/>
        <v>5</v>
      </c>
      <c r="CG39" s="8"/>
      <c r="CH39" s="8" t="s">
        <v>107</v>
      </c>
      <c r="CI39" s="8"/>
      <c r="CJ39" s="8"/>
      <c r="CK39" s="8" t="s">
        <v>107</v>
      </c>
      <c r="CL39" s="8"/>
      <c r="CM39" s="8"/>
      <c r="CN39" s="8"/>
      <c r="CO39" s="8" t="s">
        <v>107</v>
      </c>
      <c r="CP39" s="8" t="s">
        <v>107</v>
      </c>
      <c r="CQ39" s="8" t="s">
        <v>107</v>
      </c>
      <c r="CR39" s="8" t="s">
        <v>107</v>
      </c>
      <c r="CS39" s="8" t="s">
        <v>107</v>
      </c>
      <c r="CT39" s="8">
        <v>5</v>
      </c>
      <c r="CU39" s="8"/>
      <c r="CV39" s="8"/>
      <c r="CW39" s="8"/>
      <c r="CX39" s="8" t="s">
        <v>107</v>
      </c>
      <c r="CY39" s="8" t="s">
        <v>107</v>
      </c>
      <c r="CZ39" s="8"/>
      <c r="DA39" s="8"/>
      <c r="DB39" s="8" t="s">
        <v>107</v>
      </c>
      <c r="DC39" s="8" t="s">
        <v>107</v>
      </c>
      <c r="DD39" s="8" t="s">
        <v>107</v>
      </c>
      <c r="DE39" s="967"/>
      <c r="DF39" s="8">
        <f t="shared" si="38"/>
        <v>0</v>
      </c>
      <c r="DG39" s="8"/>
      <c r="DH39" s="8" t="s">
        <v>107</v>
      </c>
      <c r="DI39" s="8" t="s">
        <v>107</v>
      </c>
      <c r="DJ39" s="8" t="s">
        <v>107</v>
      </c>
      <c r="DK39" s="8" t="s">
        <v>107</v>
      </c>
      <c r="DL39" s="8"/>
      <c r="DM39" s="8"/>
      <c r="DN39" s="8"/>
      <c r="DO39" s="8" t="s">
        <v>107</v>
      </c>
      <c r="DP39" s="8" t="s">
        <v>107</v>
      </c>
      <c r="DQ39" s="8" t="s">
        <v>107</v>
      </c>
      <c r="DR39" s="8" t="s">
        <v>107</v>
      </c>
      <c r="DS39" s="8" t="s">
        <v>107</v>
      </c>
      <c r="DT39" s="8"/>
      <c r="DU39" s="8"/>
      <c r="DV39" s="8"/>
      <c r="DW39" s="8"/>
      <c r="DX39" s="8" t="s">
        <v>107</v>
      </c>
      <c r="DY39" s="8" t="s">
        <v>107</v>
      </c>
      <c r="DZ39" s="8"/>
      <c r="EA39" s="8"/>
      <c r="EB39" s="8" t="s">
        <v>107</v>
      </c>
      <c r="EC39" s="8" t="s">
        <v>107</v>
      </c>
      <c r="ED39" s="8" t="s">
        <v>107</v>
      </c>
      <c r="EE39" s="967"/>
      <c r="EF39" s="8">
        <f t="shared" si="39"/>
        <v>0</v>
      </c>
      <c r="EG39" s="8"/>
      <c r="EH39" s="8" t="s">
        <v>107</v>
      </c>
      <c r="EI39" s="8" t="s">
        <v>107</v>
      </c>
      <c r="EJ39" s="8" t="s">
        <v>107</v>
      </c>
      <c r="EK39" s="8" t="s">
        <v>107</v>
      </c>
      <c r="EL39" s="8"/>
      <c r="EM39" s="8"/>
      <c r="EN39" s="8"/>
      <c r="EO39" s="8" t="s">
        <v>107</v>
      </c>
      <c r="EP39" s="8" t="s">
        <v>107</v>
      </c>
      <c r="EQ39" s="8" t="s">
        <v>107</v>
      </c>
      <c r="ER39" s="8" t="s">
        <v>107</v>
      </c>
      <c r="ES39" s="8" t="s">
        <v>107</v>
      </c>
      <c r="ET39" s="8"/>
      <c r="EU39" s="8"/>
      <c r="EV39" s="8"/>
      <c r="EW39" s="8"/>
      <c r="EX39" s="8" t="s">
        <v>107</v>
      </c>
      <c r="EY39" s="8" t="s">
        <v>107</v>
      </c>
      <c r="EZ39" s="8"/>
      <c r="FA39" s="8"/>
      <c r="FB39" s="8" t="s">
        <v>107</v>
      </c>
      <c r="FC39" s="8" t="s">
        <v>107</v>
      </c>
      <c r="FD39" s="8" t="s">
        <v>107</v>
      </c>
      <c r="FE39" s="967"/>
      <c r="FF39" s="8">
        <f t="shared" si="34"/>
        <v>0</v>
      </c>
      <c r="FG39" s="8"/>
      <c r="FH39" s="8" t="s">
        <v>107</v>
      </c>
      <c r="FI39" s="8" t="s">
        <v>107</v>
      </c>
      <c r="FJ39" s="8" t="s">
        <v>107</v>
      </c>
      <c r="FK39" s="8" t="s">
        <v>107</v>
      </c>
      <c r="FL39" s="8"/>
      <c r="FM39" s="8"/>
      <c r="FN39" s="8"/>
      <c r="FO39" s="8" t="s">
        <v>107</v>
      </c>
      <c r="FP39" s="8" t="s">
        <v>107</v>
      </c>
      <c r="FQ39" s="8" t="s">
        <v>107</v>
      </c>
      <c r="FR39" s="8" t="s">
        <v>107</v>
      </c>
      <c r="FS39" s="8" t="s">
        <v>107</v>
      </c>
      <c r="FT39" s="8">
        <v>0</v>
      </c>
      <c r="FU39" s="8"/>
      <c r="FV39" s="8"/>
      <c r="FW39" s="8"/>
      <c r="FX39" s="8" t="s">
        <v>107</v>
      </c>
      <c r="FY39" s="8" t="s">
        <v>107</v>
      </c>
      <c r="FZ39" s="8"/>
      <c r="GA39" s="8"/>
      <c r="GB39" s="8" t="s">
        <v>107</v>
      </c>
      <c r="GC39" s="8" t="s">
        <v>107</v>
      </c>
      <c r="GD39" s="8" t="s">
        <v>107</v>
      </c>
      <c r="GE39" s="967"/>
      <c r="GF39" s="8">
        <f t="shared" si="40"/>
        <v>0</v>
      </c>
      <c r="GG39" s="8"/>
      <c r="GH39" s="8" t="s">
        <v>107</v>
      </c>
      <c r="GI39" s="8" t="s">
        <v>107</v>
      </c>
      <c r="GJ39" s="8" t="s">
        <v>107</v>
      </c>
      <c r="GK39" s="8" t="s">
        <v>107</v>
      </c>
      <c r="GL39" s="8"/>
      <c r="GM39" s="8"/>
      <c r="GN39" s="8"/>
      <c r="GO39" s="8" t="s">
        <v>107</v>
      </c>
      <c r="GP39" s="8" t="s">
        <v>107</v>
      </c>
      <c r="GQ39" s="8" t="s">
        <v>107</v>
      </c>
      <c r="GR39" s="8" t="s">
        <v>107</v>
      </c>
      <c r="GS39" s="8" t="s">
        <v>107</v>
      </c>
      <c r="GT39" s="8"/>
      <c r="GU39" s="8"/>
      <c r="GV39" s="8"/>
      <c r="GW39" s="8"/>
      <c r="GX39" s="8" t="s">
        <v>107</v>
      </c>
      <c r="GY39" s="8" t="s">
        <v>107</v>
      </c>
      <c r="GZ39" s="8"/>
      <c r="HA39" s="8"/>
      <c r="HB39" s="8" t="s">
        <v>107</v>
      </c>
      <c r="HC39" s="8" t="s">
        <v>107</v>
      </c>
      <c r="HD39" s="8" t="s">
        <v>107</v>
      </c>
      <c r="HE39" s="967"/>
      <c r="HF39" s="8">
        <f t="shared" si="41"/>
        <v>0</v>
      </c>
      <c r="HG39" s="8"/>
      <c r="HH39" s="8" t="s">
        <v>107</v>
      </c>
      <c r="HI39" s="8" t="s">
        <v>107</v>
      </c>
      <c r="HJ39" s="8" t="s">
        <v>107</v>
      </c>
      <c r="HK39" s="8" t="s">
        <v>107</v>
      </c>
      <c r="HL39" s="8"/>
      <c r="HM39" s="8"/>
      <c r="HN39" s="8"/>
      <c r="HO39" s="8" t="s">
        <v>107</v>
      </c>
      <c r="HP39" s="8" t="s">
        <v>107</v>
      </c>
      <c r="HQ39" s="8" t="s">
        <v>107</v>
      </c>
      <c r="HR39" s="8" t="s">
        <v>107</v>
      </c>
      <c r="HS39" s="8" t="s">
        <v>107</v>
      </c>
      <c r="HT39" s="8"/>
      <c r="HU39" s="8"/>
      <c r="HV39" s="8"/>
      <c r="HW39" s="8"/>
      <c r="HX39" s="8" t="s">
        <v>107</v>
      </c>
      <c r="HY39" s="8" t="s">
        <v>107</v>
      </c>
      <c r="HZ39" s="8"/>
      <c r="IA39" s="8"/>
      <c r="IB39" s="8" t="s">
        <v>107</v>
      </c>
      <c r="IC39" s="8" t="s">
        <v>107</v>
      </c>
      <c r="ID39" s="8" t="s">
        <v>107</v>
      </c>
      <c r="IE39" s="967"/>
      <c r="IF39" s="8">
        <f t="shared" si="42"/>
        <v>0</v>
      </c>
      <c r="IG39" s="8"/>
      <c r="IH39" s="8" t="s">
        <v>107</v>
      </c>
      <c r="II39" s="8" t="s">
        <v>107</v>
      </c>
      <c r="IJ39" s="8" t="s">
        <v>107</v>
      </c>
      <c r="IK39" s="8" t="s">
        <v>107</v>
      </c>
      <c r="IL39" s="8"/>
      <c r="IM39" s="8"/>
      <c r="IN39" s="8"/>
      <c r="IO39" s="8" t="s">
        <v>107</v>
      </c>
      <c r="IP39" s="8" t="s">
        <v>107</v>
      </c>
      <c r="IQ39" s="8" t="s">
        <v>107</v>
      </c>
      <c r="IR39" s="8" t="s">
        <v>107</v>
      </c>
      <c r="IS39" s="8" t="s">
        <v>107</v>
      </c>
      <c r="IT39" s="8"/>
      <c r="IU39" s="8"/>
      <c r="IV39" s="8"/>
      <c r="IW39" s="8"/>
      <c r="IX39" s="8" t="s">
        <v>107</v>
      </c>
      <c r="IY39" s="8" t="s">
        <v>107</v>
      </c>
      <c r="IZ39" s="8"/>
      <c r="JA39" s="8"/>
      <c r="JB39" s="8" t="s">
        <v>107</v>
      </c>
      <c r="JC39" s="8" t="s">
        <v>107</v>
      </c>
      <c r="JD39" s="8" t="s">
        <v>107</v>
      </c>
      <c r="JE39" s="967"/>
      <c r="JF39" s="8">
        <f t="shared" si="43"/>
        <v>0</v>
      </c>
      <c r="JG39" s="8"/>
      <c r="JH39" s="8" t="s">
        <v>107</v>
      </c>
      <c r="JI39" s="8" t="s">
        <v>107</v>
      </c>
      <c r="JJ39" s="8" t="s">
        <v>107</v>
      </c>
      <c r="JK39" s="8" t="s">
        <v>107</v>
      </c>
      <c r="JL39" s="8"/>
      <c r="JM39" s="8"/>
      <c r="JN39" s="8"/>
      <c r="JO39" s="8" t="s">
        <v>107</v>
      </c>
      <c r="JP39" s="8" t="s">
        <v>107</v>
      </c>
      <c r="JQ39" s="8" t="s">
        <v>107</v>
      </c>
      <c r="JR39" s="8" t="s">
        <v>107</v>
      </c>
      <c r="JS39" s="8" t="s">
        <v>107</v>
      </c>
      <c r="JT39" s="8"/>
      <c r="JU39" s="8"/>
      <c r="JV39" s="8"/>
      <c r="JW39" s="8"/>
      <c r="JX39" s="8" t="s">
        <v>107</v>
      </c>
      <c r="JY39" s="8" t="s">
        <v>107</v>
      </c>
      <c r="JZ39" s="8"/>
      <c r="KA39" s="8"/>
      <c r="KB39" s="8" t="s">
        <v>107</v>
      </c>
      <c r="KC39" s="8" t="s">
        <v>107</v>
      </c>
      <c r="KD39" s="8" t="s">
        <v>107</v>
      </c>
      <c r="KE39" s="967"/>
      <c r="KF39" s="8">
        <f t="shared" si="44"/>
        <v>0</v>
      </c>
      <c r="KG39" s="8"/>
      <c r="KH39" s="8" t="s">
        <v>107</v>
      </c>
      <c r="KI39" s="8" t="s">
        <v>107</v>
      </c>
      <c r="KJ39" s="8" t="s">
        <v>107</v>
      </c>
      <c r="KK39" s="8" t="s">
        <v>107</v>
      </c>
      <c r="KL39" s="8"/>
      <c r="KM39" s="8"/>
      <c r="KN39" s="8"/>
      <c r="KO39" s="8" t="s">
        <v>107</v>
      </c>
      <c r="KP39" s="8" t="s">
        <v>107</v>
      </c>
      <c r="KQ39" s="8" t="s">
        <v>107</v>
      </c>
      <c r="KR39" s="8" t="s">
        <v>107</v>
      </c>
      <c r="KS39" s="8" t="s">
        <v>107</v>
      </c>
      <c r="KT39" s="8"/>
      <c r="KU39" s="8"/>
      <c r="KV39" s="8"/>
      <c r="KW39" s="8"/>
      <c r="KX39" s="8" t="s">
        <v>107</v>
      </c>
      <c r="KY39" s="8" t="s">
        <v>107</v>
      </c>
      <c r="KZ39" s="8"/>
      <c r="LA39" s="8"/>
      <c r="LB39" s="8" t="s">
        <v>107</v>
      </c>
      <c r="LC39" s="8" t="s">
        <v>107</v>
      </c>
      <c r="LD39" s="8" t="s">
        <v>107</v>
      </c>
      <c r="LE39" s="967"/>
      <c r="LF39" s="8">
        <f t="shared" si="45"/>
        <v>0</v>
      </c>
      <c r="LG39" s="8"/>
      <c r="LH39" s="8" t="s">
        <v>107</v>
      </c>
      <c r="LI39" s="8" t="s">
        <v>107</v>
      </c>
      <c r="LJ39" s="8" t="s">
        <v>107</v>
      </c>
      <c r="LK39" s="8" t="s">
        <v>107</v>
      </c>
      <c r="LL39" s="8"/>
      <c r="LM39" s="8"/>
      <c r="LN39" s="8"/>
      <c r="LO39" s="8" t="s">
        <v>107</v>
      </c>
      <c r="LP39" s="8" t="s">
        <v>107</v>
      </c>
      <c r="LQ39" s="8" t="s">
        <v>107</v>
      </c>
      <c r="LR39" s="8" t="s">
        <v>107</v>
      </c>
      <c r="LS39" s="8" t="s">
        <v>107</v>
      </c>
      <c r="LT39" s="8"/>
      <c r="LU39" s="8"/>
      <c r="LV39" s="8"/>
      <c r="LW39" s="8"/>
      <c r="LX39" s="8" t="s">
        <v>107</v>
      </c>
      <c r="LY39" s="8" t="s">
        <v>107</v>
      </c>
      <c r="LZ39" s="8"/>
      <c r="MA39" s="8"/>
      <c r="MB39" s="8" t="s">
        <v>107</v>
      </c>
      <c r="MC39" s="8" t="s">
        <v>107</v>
      </c>
      <c r="MD39" s="8" t="s">
        <v>107</v>
      </c>
      <c r="ME39" s="967"/>
      <c r="MF39" s="8">
        <f t="shared" si="46"/>
        <v>0</v>
      </c>
      <c r="MG39" s="8"/>
      <c r="MH39" s="8" t="s">
        <v>107</v>
      </c>
      <c r="MI39" s="8" t="s">
        <v>107</v>
      </c>
      <c r="MJ39" s="8" t="s">
        <v>107</v>
      </c>
      <c r="MK39" s="8" t="s">
        <v>107</v>
      </c>
      <c r="ML39" s="8"/>
      <c r="MM39" s="8"/>
      <c r="MN39" s="8"/>
      <c r="MO39" s="8" t="s">
        <v>107</v>
      </c>
      <c r="MP39" s="8" t="s">
        <v>107</v>
      </c>
      <c r="MQ39" s="8" t="s">
        <v>107</v>
      </c>
      <c r="MR39" s="8" t="s">
        <v>107</v>
      </c>
      <c r="MS39" s="8" t="s">
        <v>107</v>
      </c>
      <c r="MT39" s="8"/>
      <c r="MU39" s="8"/>
      <c r="MV39" s="8"/>
      <c r="MW39" s="8"/>
      <c r="MX39" s="8" t="s">
        <v>107</v>
      </c>
      <c r="MY39" s="8" t="s">
        <v>107</v>
      </c>
      <c r="MZ39" s="8"/>
      <c r="NA39" s="8"/>
      <c r="NB39" s="8" t="s">
        <v>107</v>
      </c>
      <c r="NC39" s="8" t="s">
        <v>107</v>
      </c>
      <c r="ND39" s="8" t="s">
        <v>107</v>
      </c>
      <c r="NE39" s="967"/>
      <c r="NF39" s="8">
        <f t="shared" si="47"/>
        <v>0</v>
      </c>
      <c r="NG39" s="8"/>
      <c r="NH39" s="8" t="s">
        <v>107</v>
      </c>
      <c r="NI39" s="8" t="s">
        <v>107</v>
      </c>
      <c r="NJ39" s="8" t="s">
        <v>107</v>
      </c>
      <c r="NK39" s="8" t="s">
        <v>107</v>
      </c>
      <c r="NL39" s="8"/>
      <c r="NM39" s="8"/>
      <c r="NN39" s="8"/>
      <c r="NO39" s="8" t="s">
        <v>107</v>
      </c>
      <c r="NP39" s="8" t="s">
        <v>107</v>
      </c>
      <c r="NQ39" s="8" t="s">
        <v>107</v>
      </c>
      <c r="NR39" s="8" t="s">
        <v>107</v>
      </c>
      <c r="NS39" s="8" t="s">
        <v>107</v>
      </c>
      <c r="NT39" s="8"/>
      <c r="NU39" s="8"/>
      <c r="NV39" s="8"/>
      <c r="NW39" s="8"/>
      <c r="NX39" s="8" t="s">
        <v>107</v>
      </c>
      <c r="NY39" s="8" t="s">
        <v>107</v>
      </c>
      <c r="NZ39" s="8"/>
      <c r="OA39" s="8"/>
      <c r="OB39" s="8" t="s">
        <v>107</v>
      </c>
      <c r="OC39" s="8" t="s">
        <v>107</v>
      </c>
      <c r="OD39" s="8" t="s">
        <v>107</v>
      </c>
      <c r="OE39" s="967"/>
      <c r="OF39" s="8">
        <f t="shared" si="48"/>
        <v>0</v>
      </c>
      <c r="OG39" s="8"/>
      <c r="OH39" s="8" t="s">
        <v>107</v>
      </c>
      <c r="OI39" s="8" t="s">
        <v>107</v>
      </c>
      <c r="OJ39" s="8" t="s">
        <v>107</v>
      </c>
      <c r="OK39" s="8" t="s">
        <v>107</v>
      </c>
      <c r="OL39" s="8"/>
      <c r="OM39" s="8"/>
      <c r="ON39" s="8"/>
      <c r="OO39" s="8" t="s">
        <v>107</v>
      </c>
      <c r="OP39" s="8" t="s">
        <v>107</v>
      </c>
      <c r="OQ39" s="8" t="s">
        <v>107</v>
      </c>
      <c r="OR39" s="8" t="s">
        <v>107</v>
      </c>
      <c r="OS39" s="8" t="s">
        <v>107</v>
      </c>
      <c r="OT39" s="8"/>
      <c r="OU39" s="8"/>
      <c r="OV39" s="8"/>
      <c r="OW39" s="8"/>
      <c r="OX39" s="8" t="s">
        <v>107</v>
      </c>
      <c r="OY39" s="8" t="s">
        <v>107</v>
      </c>
      <c r="OZ39" s="8"/>
      <c r="PA39" s="8"/>
      <c r="PB39" s="8" t="s">
        <v>107</v>
      </c>
      <c r="PC39" s="8" t="s">
        <v>107</v>
      </c>
      <c r="PD39" s="8" t="s">
        <v>107</v>
      </c>
      <c r="PE39" s="967"/>
      <c r="PF39" s="8">
        <f t="shared" si="49"/>
        <v>0</v>
      </c>
      <c r="PG39" s="8"/>
      <c r="PH39" s="8" t="s">
        <v>107</v>
      </c>
      <c r="PI39" s="8" t="s">
        <v>107</v>
      </c>
      <c r="PJ39" s="8" t="s">
        <v>107</v>
      </c>
      <c r="PK39" s="8" t="s">
        <v>107</v>
      </c>
      <c r="PL39" s="8"/>
      <c r="PM39" s="8"/>
      <c r="PN39" s="8"/>
      <c r="PO39" s="8" t="s">
        <v>107</v>
      </c>
      <c r="PP39" s="8" t="s">
        <v>107</v>
      </c>
      <c r="PQ39" s="8" t="s">
        <v>107</v>
      </c>
      <c r="PR39" s="8" t="s">
        <v>107</v>
      </c>
      <c r="PS39" s="8" t="s">
        <v>107</v>
      </c>
      <c r="PT39" s="8"/>
      <c r="PU39" s="8"/>
      <c r="PV39" s="8"/>
      <c r="PW39" s="8"/>
      <c r="PX39" s="8" t="s">
        <v>107</v>
      </c>
      <c r="PY39" s="8" t="s">
        <v>107</v>
      </c>
      <c r="PZ39" s="8"/>
      <c r="QA39" s="8"/>
      <c r="QB39" s="8" t="s">
        <v>107</v>
      </c>
      <c r="QC39" s="8" t="s">
        <v>107</v>
      </c>
      <c r="QD39" s="8" t="s">
        <v>107</v>
      </c>
      <c r="QE39" s="967"/>
    </row>
    <row r="40" spans="2:447" x14ac:dyDescent="0.3">
      <c r="B40">
        <v>32</v>
      </c>
      <c r="D40" t="s">
        <v>1995</v>
      </c>
      <c r="F40" s="8">
        <f t="shared" si="33"/>
        <v>40</v>
      </c>
      <c r="G40" s="8"/>
      <c r="H40" s="8" t="s">
        <v>107</v>
      </c>
      <c r="I40" s="8" t="s">
        <v>107</v>
      </c>
      <c r="J40" s="8" t="s">
        <v>107</v>
      </c>
      <c r="K40" s="8" t="s">
        <v>107</v>
      </c>
      <c r="L40" s="8" t="s">
        <v>107</v>
      </c>
      <c r="M40" s="8" t="s">
        <v>107</v>
      </c>
      <c r="N40" s="8" t="s">
        <v>107</v>
      </c>
      <c r="O40" s="8" t="s">
        <v>107</v>
      </c>
      <c r="P40" s="8" t="s">
        <v>107</v>
      </c>
      <c r="Q40" s="8" t="s">
        <v>107</v>
      </c>
      <c r="R40" s="8" t="s">
        <v>107</v>
      </c>
      <c r="S40" s="8" t="s">
        <v>107</v>
      </c>
      <c r="T40" s="8" t="s">
        <v>107</v>
      </c>
      <c r="U40" s="8"/>
      <c r="V40" s="8"/>
      <c r="W40" s="8"/>
      <c r="X40" s="8">
        <v>7</v>
      </c>
      <c r="Y40" s="8">
        <v>18</v>
      </c>
      <c r="Z40" s="8"/>
      <c r="AA40" s="8"/>
      <c r="AB40" s="1087">
        <v>15</v>
      </c>
      <c r="AC40" s="8" t="s">
        <v>107</v>
      </c>
      <c r="AD40" s="8" t="s">
        <v>107</v>
      </c>
      <c r="AE40" s="967"/>
      <c r="AF40" s="8">
        <f t="shared" si="35"/>
        <v>19</v>
      </c>
      <c r="AG40" s="8"/>
      <c r="AH40" s="8" t="s">
        <v>107</v>
      </c>
      <c r="AI40" s="8" t="s">
        <v>107</v>
      </c>
      <c r="AJ40" s="8" t="s">
        <v>107</v>
      </c>
      <c r="AK40" s="8" t="s">
        <v>107</v>
      </c>
      <c r="AL40" s="8"/>
      <c r="AM40" s="8"/>
      <c r="AN40" s="8"/>
      <c r="AO40" s="8" t="s">
        <v>107</v>
      </c>
      <c r="AP40" s="8" t="s">
        <v>107</v>
      </c>
      <c r="AQ40" s="8"/>
      <c r="AR40" s="8"/>
      <c r="AS40" s="8"/>
      <c r="AT40" s="8"/>
      <c r="AU40" s="8"/>
      <c r="AV40" s="8"/>
      <c r="AW40" s="8"/>
      <c r="AX40" s="8">
        <v>4</v>
      </c>
      <c r="AY40" s="8">
        <v>9</v>
      </c>
      <c r="AZ40" s="8"/>
      <c r="BA40" s="8"/>
      <c r="BB40" s="8">
        <v>6</v>
      </c>
      <c r="BC40" s="8" t="s">
        <v>107</v>
      </c>
      <c r="BD40" s="8" t="s">
        <v>107</v>
      </c>
      <c r="BE40" s="967"/>
      <c r="BF40" s="8">
        <f t="shared" si="36"/>
        <v>8</v>
      </c>
      <c r="BG40" s="8"/>
      <c r="BH40" s="8" t="s">
        <v>107</v>
      </c>
      <c r="BI40" s="8"/>
      <c r="BJ40" s="8"/>
      <c r="BK40" s="8" t="s">
        <v>107</v>
      </c>
      <c r="BL40" s="8"/>
      <c r="BM40" s="8"/>
      <c r="BN40" s="8"/>
      <c r="BO40" s="8" t="s">
        <v>107</v>
      </c>
      <c r="BP40" s="8" t="s">
        <v>107</v>
      </c>
      <c r="BQ40" s="8"/>
      <c r="BR40" s="8"/>
      <c r="BS40" s="8"/>
      <c r="BT40" s="8"/>
      <c r="BU40" s="8"/>
      <c r="BV40" s="8"/>
      <c r="BW40" s="8"/>
      <c r="BX40" s="8">
        <v>1</v>
      </c>
      <c r="BY40" s="8">
        <v>2</v>
      </c>
      <c r="BZ40" s="8"/>
      <c r="CA40" s="8"/>
      <c r="CB40" s="8">
        <v>5</v>
      </c>
      <c r="CC40" s="8" t="s">
        <v>107</v>
      </c>
      <c r="CD40" s="8" t="s">
        <v>107</v>
      </c>
      <c r="CE40" s="967"/>
      <c r="CF40" s="8">
        <f t="shared" si="37"/>
        <v>27</v>
      </c>
      <c r="CG40" s="8"/>
      <c r="CH40" s="8" t="s">
        <v>107</v>
      </c>
      <c r="CI40" s="8"/>
      <c r="CJ40" s="8"/>
      <c r="CK40" s="8" t="s">
        <v>107</v>
      </c>
      <c r="CL40" s="8"/>
      <c r="CM40" s="8"/>
      <c r="CN40" s="8"/>
      <c r="CO40" s="8" t="s">
        <v>107</v>
      </c>
      <c r="CP40" s="8" t="s">
        <v>107</v>
      </c>
      <c r="CQ40" s="8"/>
      <c r="CR40" s="8"/>
      <c r="CS40" s="8"/>
      <c r="CT40" s="8"/>
      <c r="CU40" s="8"/>
      <c r="CV40" s="8"/>
      <c r="CW40" s="8"/>
      <c r="CX40" s="8">
        <v>5</v>
      </c>
      <c r="CY40" s="8">
        <v>11</v>
      </c>
      <c r="CZ40" s="8"/>
      <c r="DA40" s="8"/>
      <c r="DB40" s="8">
        <f t="shared" si="51"/>
        <v>11</v>
      </c>
      <c r="DC40" s="8" t="s">
        <v>107</v>
      </c>
      <c r="DD40" s="8" t="s">
        <v>107</v>
      </c>
      <c r="DE40" s="967"/>
      <c r="DF40" s="8">
        <f t="shared" si="38"/>
        <v>0</v>
      </c>
      <c r="DG40" s="8"/>
      <c r="DH40" s="8" t="s">
        <v>107</v>
      </c>
      <c r="DI40" s="8" t="s">
        <v>107</v>
      </c>
      <c r="DJ40" s="8" t="s">
        <v>107</v>
      </c>
      <c r="DK40" s="8" t="s">
        <v>107</v>
      </c>
      <c r="DL40" s="8"/>
      <c r="DM40" s="8"/>
      <c r="DN40" s="8"/>
      <c r="DO40" s="8" t="s">
        <v>107</v>
      </c>
      <c r="DP40" s="8" t="s">
        <v>107</v>
      </c>
      <c r="DQ40" s="8"/>
      <c r="DR40" s="8"/>
      <c r="DS40" s="8"/>
      <c r="DT40" s="8"/>
      <c r="DU40" s="8"/>
      <c r="DV40" s="8"/>
      <c r="DW40" s="8"/>
      <c r="DX40" s="8">
        <v>0</v>
      </c>
      <c r="DY40" s="8">
        <v>0</v>
      </c>
      <c r="DZ40" s="8"/>
      <c r="EA40" s="8"/>
      <c r="EB40" s="8">
        <v>0</v>
      </c>
      <c r="EC40" s="8" t="s">
        <v>107</v>
      </c>
      <c r="ED40" s="8" t="s">
        <v>107</v>
      </c>
      <c r="EE40" s="967"/>
      <c r="EF40" s="8">
        <f t="shared" si="39"/>
        <v>4</v>
      </c>
      <c r="EG40" s="8"/>
      <c r="EH40" s="8" t="s">
        <v>107</v>
      </c>
      <c r="EI40" s="8" t="s">
        <v>107</v>
      </c>
      <c r="EJ40" s="8" t="s">
        <v>107</v>
      </c>
      <c r="EK40" s="8" t="s">
        <v>107</v>
      </c>
      <c r="EL40" s="8"/>
      <c r="EM40" s="8"/>
      <c r="EN40" s="8"/>
      <c r="EO40" s="8" t="s">
        <v>107</v>
      </c>
      <c r="EP40" s="8" t="s">
        <v>107</v>
      </c>
      <c r="EQ40" s="8"/>
      <c r="ER40" s="8"/>
      <c r="ES40" s="8"/>
      <c r="ET40" s="8"/>
      <c r="EU40" s="8"/>
      <c r="EV40" s="8"/>
      <c r="EW40" s="8"/>
      <c r="EX40" s="8">
        <v>0</v>
      </c>
      <c r="EY40" s="8">
        <v>2</v>
      </c>
      <c r="EZ40" s="8"/>
      <c r="FA40" s="8"/>
      <c r="FB40" s="8">
        <v>2</v>
      </c>
      <c r="FC40" s="8" t="s">
        <v>107</v>
      </c>
      <c r="FD40" s="8" t="s">
        <v>107</v>
      </c>
      <c r="FE40" s="967"/>
      <c r="FF40" s="8">
        <f t="shared" si="34"/>
        <v>1</v>
      </c>
      <c r="FG40" s="8"/>
      <c r="FH40" s="8" t="s">
        <v>107</v>
      </c>
      <c r="FI40" s="8" t="s">
        <v>107</v>
      </c>
      <c r="FJ40" s="8" t="s">
        <v>107</v>
      </c>
      <c r="FK40" s="8" t="s">
        <v>107</v>
      </c>
      <c r="FL40" s="8"/>
      <c r="FM40" s="8"/>
      <c r="FN40" s="8"/>
      <c r="FO40" s="8" t="s">
        <v>107</v>
      </c>
      <c r="FP40" s="8" t="s">
        <v>107</v>
      </c>
      <c r="FQ40" s="8"/>
      <c r="FR40" s="8"/>
      <c r="FS40" s="8"/>
      <c r="FT40" s="8"/>
      <c r="FU40" s="8"/>
      <c r="FV40" s="8"/>
      <c r="FW40" s="8"/>
      <c r="FX40" s="8">
        <v>0</v>
      </c>
      <c r="FY40" s="8">
        <v>1</v>
      </c>
      <c r="FZ40" s="8"/>
      <c r="GA40" s="8"/>
      <c r="GB40" s="8">
        <v>0</v>
      </c>
      <c r="GC40" s="8" t="s">
        <v>107</v>
      </c>
      <c r="GD40" s="8" t="s">
        <v>107</v>
      </c>
      <c r="GE40" s="967"/>
      <c r="GF40" s="8">
        <f t="shared" si="40"/>
        <v>2</v>
      </c>
      <c r="GG40" s="8"/>
      <c r="GH40" s="8" t="s">
        <v>107</v>
      </c>
      <c r="GI40" s="8" t="s">
        <v>107</v>
      </c>
      <c r="GJ40" s="8" t="s">
        <v>107</v>
      </c>
      <c r="GK40" s="8" t="s">
        <v>107</v>
      </c>
      <c r="GL40" s="8"/>
      <c r="GM40" s="8"/>
      <c r="GN40" s="8"/>
      <c r="GO40" s="8" t="s">
        <v>107</v>
      </c>
      <c r="GP40" s="8" t="s">
        <v>107</v>
      </c>
      <c r="GQ40" s="8"/>
      <c r="GR40" s="8"/>
      <c r="GS40" s="8"/>
      <c r="GT40" s="8"/>
      <c r="GU40" s="8"/>
      <c r="GV40" s="8"/>
      <c r="GW40" s="8"/>
      <c r="GX40" s="8">
        <v>0</v>
      </c>
      <c r="GY40" s="8">
        <v>2</v>
      </c>
      <c r="GZ40" s="8"/>
      <c r="HA40" s="8"/>
      <c r="HB40" s="8">
        <v>0</v>
      </c>
      <c r="HC40" s="8" t="s">
        <v>107</v>
      </c>
      <c r="HD40" s="8" t="s">
        <v>107</v>
      </c>
      <c r="HE40" s="967"/>
      <c r="HF40" s="8">
        <f t="shared" si="41"/>
        <v>0</v>
      </c>
      <c r="HG40" s="8"/>
      <c r="HH40" s="8" t="s">
        <v>107</v>
      </c>
      <c r="HI40" s="8" t="s">
        <v>107</v>
      </c>
      <c r="HJ40" s="8" t="s">
        <v>107</v>
      </c>
      <c r="HK40" s="8" t="s">
        <v>107</v>
      </c>
      <c r="HL40" s="8"/>
      <c r="HM40" s="8"/>
      <c r="HN40" s="8"/>
      <c r="HO40" s="8" t="s">
        <v>107</v>
      </c>
      <c r="HP40" s="8" t="s">
        <v>107</v>
      </c>
      <c r="HQ40" s="8"/>
      <c r="HR40" s="8"/>
      <c r="HS40" s="8"/>
      <c r="HT40" s="8"/>
      <c r="HU40" s="8"/>
      <c r="HV40" s="8"/>
      <c r="HW40" s="8"/>
      <c r="HX40" s="8">
        <v>0</v>
      </c>
      <c r="HY40" s="8">
        <v>0</v>
      </c>
      <c r="HZ40" s="8"/>
      <c r="IA40" s="8"/>
      <c r="IB40" s="8">
        <v>0</v>
      </c>
      <c r="IC40" s="8" t="s">
        <v>107</v>
      </c>
      <c r="ID40" s="8" t="s">
        <v>107</v>
      </c>
      <c r="IE40" s="967"/>
      <c r="IF40" s="8">
        <f t="shared" si="42"/>
        <v>0</v>
      </c>
      <c r="IG40" s="8"/>
      <c r="IH40" s="8" t="s">
        <v>107</v>
      </c>
      <c r="II40" s="8" t="s">
        <v>107</v>
      </c>
      <c r="IJ40" s="8" t="s">
        <v>107</v>
      </c>
      <c r="IK40" s="8" t="s">
        <v>107</v>
      </c>
      <c r="IL40" s="8"/>
      <c r="IM40" s="8"/>
      <c r="IN40" s="8"/>
      <c r="IO40" s="8" t="s">
        <v>107</v>
      </c>
      <c r="IP40" s="8" t="s">
        <v>107</v>
      </c>
      <c r="IQ40" s="8"/>
      <c r="IR40" s="8"/>
      <c r="IS40" s="8"/>
      <c r="IT40" s="8"/>
      <c r="IU40" s="8"/>
      <c r="IV40" s="8"/>
      <c r="IW40" s="8"/>
      <c r="IX40" s="8">
        <v>0</v>
      </c>
      <c r="IY40" s="8">
        <v>0</v>
      </c>
      <c r="IZ40" s="8"/>
      <c r="JA40" s="8"/>
      <c r="JB40" s="8">
        <v>0</v>
      </c>
      <c r="JC40" s="8" t="s">
        <v>107</v>
      </c>
      <c r="JD40" s="8" t="s">
        <v>107</v>
      </c>
      <c r="JE40" s="967"/>
      <c r="JF40" s="8">
        <f t="shared" si="43"/>
        <v>0</v>
      </c>
      <c r="JG40" s="8"/>
      <c r="JH40" s="8" t="s">
        <v>107</v>
      </c>
      <c r="JI40" s="8" t="s">
        <v>107</v>
      </c>
      <c r="JJ40" s="8" t="s">
        <v>107</v>
      </c>
      <c r="JK40" s="8" t="s">
        <v>107</v>
      </c>
      <c r="JL40" s="8"/>
      <c r="JM40" s="8"/>
      <c r="JN40" s="8"/>
      <c r="JO40" s="8" t="s">
        <v>107</v>
      </c>
      <c r="JP40" s="8" t="s">
        <v>107</v>
      </c>
      <c r="JQ40" s="8"/>
      <c r="JR40" s="8"/>
      <c r="JS40" s="8"/>
      <c r="JT40" s="8"/>
      <c r="JU40" s="8"/>
      <c r="JV40" s="8"/>
      <c r="JW40" s="8"/>
      <c r="JX40" s="8">
        <v>0</v>
      </c>
      <c r="JY40" s="8">
        <v>0</v>
      </c>
      <c r="JZ40" s="8"/>
      <c r="KA40" s="8"/>
      <c r="KB40" s="8">
        <v>0</v>
      </c>
      <c r="KC40" s="8" t="s">
        <v>107</v>
      </c>
      <c r="KD40" s="8" t="s">
        <v>107</v>
      </c>
      <c r="KE40" s="967"/>
      <c r="KF40" s="8">
        <f t="shared" si="44"/>
        <v>0</v>
      </c>
      <c r="KG40" s="8"/>
      <c r="KH40" s="8" t="s">
        <v>107</v>
      </c>
      <c r="KI40" s="8" t="s">
        <v>107</v>
      </c>
      <c r="KJ40" s="8" t="s">
        <v>107</v>
      </c>
      <c r="KK40" s="8" t="s">
        <v>107</v>
      </c>
      <c r="KL40" s="8"/>
      <c r="KM40" s="8"/>
      <c r="KN40" s="8"/>
      <c r="KO40" s="8" t="s">
        <v>107</v>
      </c>
      <c r="KP40" s="8" t="s">
        <v>107</v>
      </c>
      <c r="KQ40" s="8"/>
      <c r="KR40" s="8"/>
      <c r="KS40" s="8"/>
      <c r="KT40" s="8"/>
      <c r="KU40" s="8"/>
      <c r="KV40" s="8"/>
      <c r="KW40" s="8"/>
      <c r="KX40" s="8">
        <v>0</v>
      </c>
      <c r="KY40" s="8">
        <v>0</v>
      </c>
      <c r="KZ40" s="8"/>
      <c r="LA40" s="8"/>
      <c r="LB40" s="8">
        <v>0</v>
      </c>
      <c r="LC40" s="8" t="s">
        <v>107</v>
      </c>
      <c r="LD40" s="8" t="s">
        <v>107</v>
      </c>
      <c r="LE40" s="967"/>
      <c r="LF40" s="8">
        <f t="shared" si="45"/>
        <v>0</v>
      </c>
      <c r="LG40" s="8"/>
      <c r="LH40" s="8" t="s">
        <v>107</v>
      </c>
      <c r="LI40" s="8" t="s">
        <v>107</v>
      </c>
      <c r="LJ40" s="8" t="s">
        <v>107</v>
      </c>
      <c r="LK40" s="8" t="s">
        <v>107</v>
      </c>
      <c r="LL40" s="8"/>
      <c r="LM40" s="8"/>
      <c r="LN40" s="8"/>
      <c r="LO40" s="8" t="s">
        <v>107</v>
      </c>
      <c r="LP40" s="8" t="s">
        <v>107</v>
      </c>
      <c r="LQ40" s="8"/>
      <c r="LR40" s="8"/>
      <c r="LS40" s="8"/>
      <c r="LT40" s="8"/>
      <c r="LU40" s="8"/>
      <c r="LV40" s="8"/>
      <c r="LW40" s="8"/>
      <c r="LX40" s="8">
        <v>0</v>
      </c>
      <c r="LY40" s="8">
        <v>0</v>
      </c>
      <c r="LZ40" s="8"/>
      <c r="MA40" s="8"/>
      <c r="MB40" s="8">
        <v>0</v>
      </c>
      <c r="MC40" s="8" t="s">
        <v>107</v>
      </c>
      <c r="MD40" s="8" t="s">
        <v>107</v>
      </c>
      <c r="ME40" s="967"/>
      <c r="MF40" s="8">
        <f t="shared" si="46"/>
        <v>0</v>
      </c>
      <c r="MG40" s="8"/>
      <c r="MH40" s="8" t="s">
        <v>107</v>
      </c>
      <c r="MI40" s="8" t="s">
        <v>107</v>
      </c>
      <c r="MJ40" s="8" t="s">
        <v>107</v>
      </c>
      <c r="MK40" s="8" t="s">
        <v>107</v>
      </c>
      <c r="ML40" s="8"/>
      <c r="MM40" s="8"/>
      <c r="MN40" s="8"/>
      <c r="MO40" s="8" t="s">
        <v>107</v>
      </c>
      <c r="MP40" s="8" t="s">
        <v>107</v>
      </c>
      <c r="MQ40" s="8"/>
      <c r="MR40" s="8"/>
      <c r="MS40" s="8"/>
      <c r="MT40" s="8"/>
      <c r="MU40" s="8"/>
      <c r="MV40" s="8"/>
      <c r="MW40" s="8"/>
      <c r="MX40" s="8">
        <v>0</v>
      </c>
      <c r="MY40" s="8">
        <v>0</v>
      </c>
      <c r="MZ40" s="8"/>
      <c r="NA40" s="8"/>
      <c r="NB40" s="8">
        <v>0</v>
      </c>
      <c r="NC40" s="8" t="s">
        <v>107</v>
      </c>
      <c r="ND40" s="8" t="s">
        <v>107</v>
      </c>
      <c r="NE40" s="967"/>
      <c r="NF40" s="8">
        <f t="shared" si="47"/>
        <v>0</v>
      </c>
      <c r="NG40" s="8"/>
      <c r="NH40" s="8" t="s">
        <v>107</v>
      </c>
      <c r="NI40" s="8" t="s">
        <v>107</v>
      </c>
      <c r="NJ40" s="8" t="s">
        <v>107</v>
      </c>
      <c r="NK40" s="8" t="s">
        <v>107</v>
      </c>
      <c r="NL40" s="8"/>
      <c r="NM40" s="8"/>
      <c r="NN40" s="8"/>
      <c r="NO40" s="8" t="s">
        <v>107</v>
      </c>
      <c r="NP40" s="8" t="s">
        <v>107</v>
      </c>
      <c r="NQ40" s="8"/>
      <c r="NR40" s="8"/>
      <c r="NS40" s="8"/>
      <c r="NT40" s="8"/>
      <c r="NU40" s="8"/>
      <c r="NV40" s="8"/>
      <c r="NW40" s="8"/>
      <c r="NX40" s="8">
        <v>0</v>
      </c>
      <c r="NY40" s="8">
        <v>0</v>
      </c>
      <c r="NZ40" s="8"/>
      <c r="OA40" s="8"/>
      <c r="OB40" s="8">
        <v>0</v>
      </c>
      <c r="OC40" s="8" t="s">
        <v>107</v>
      </c>
      <c r="OD40" s="8" t="s">
        <v>107</v>
      </c>
      <c r="OE40" s="967"/>
      <c r="OF40" s="8">
        <f t="shared" si="48"/>
        <v>0</v>
      </c>
      <c r="OG40" s="8"/>
      <c r="OH40" s="8" t="s">
        <v>107</v>
      </c>
      <c r="OI40" s="8" t="s">
        <v>107</v>
      </c>
      <c r="OJ40" s="8" t="s">
        <v>107</v>
      </c>
      <c r="OK40" s="8" t="s">
        <v>107</v>
      </c>
      <c r="OL40" s="8"/>
      <c r="OM40" s="8"/>
      <c r="ON40" s="8"/>
      <c r="OO40" s="8" t="s">
        <v>107</v>
      </c>
      <c r="OP40" s="8" t="s">
        <v>107</v>
      </c>
      <c r="OQ40" s="8"/>
      <c r="OR40" s="8"/>
      <c r="OS40" s="8"/>
      <c r="OT40" s="8"/>
      <c r="OU40" s="8"/>
      <c r="OV40" s="8"/>
      <c r="OW40" s="8"/>
      <c r="OX40" s="8">
        <v>0</v>
      </c>
      <c r="OY40" s="8">
        <v>0</v>
      </c>
      <c r="OZ40" s="8"/>
      <c r="PA40" s="8"/>
      <c r="PB40" s="8">
        <v>0</v>
      </c>
      <c r="PC40" s="8" t="s">
        <v>107</v>
      </c>
      <c r="PD40" s="8" t="s">
        <v>107</v>
      </c>
      <c r="PE40" s="967"/>
      <c r="PF40" s="8">
        <f t="shared" si="49"/>
        <v>0</v>
      </c>
      <c r="PG40" s="8"/>
      <c r="PH40" s="8" t="s">
        <v>107</v>
      </c>
      <c r="PI40" s="8" t="s">
        <v>107</v>
      </c>
      <c r="PJ40" s="8" t="s">
        <v>107</v>
      </c>
      <c r="PK40" s="8" t="s">
        <v>107</v>
      </c>
      <c r="PL40" s="8"/>
      <c r="PM40" s="8"/>
      <c r="PN40" s="8"/>
      <c r="PO40" s="8" t="s">
        <v>107</v>
      </c>
      <c r="PP40" s="8" t="s">
        <v>107</v>
      </c>
      <c r="PQ40" s="8"/>
      <c r="PR40" s="8"/>
      <c r="PS40" s="8"/>
      <c r="PT40" s="8"/>
      <c r="PU40" s="8"/>
      <c r="PV40" s="8"/>
      <c r="PW40" s="8"/>
      <c r="PX40" s="8">
        <v>0</v>
      </c>
      <c r="PY40" s="8">
        <v>0</v>
      </c>
      <c r="PZ40" s="8"/>
      <c r="QA40" s="8"/>
      <c r="QB40" s="8">
        <v>0</v>
      </c>
      <c r="QC40" s="8" t="s">
        <v>107</v>
      </c>
      <c r="QD40" s="8" t="s">
        <v>107</v>
      </c>
      <c r="QE40" s="967"/>
    </row>
    <row r="41" spans="2:447" x14ac:dyDescent="0.3">
      <c r="B41">
        <v>33</v>
      </c>
      <c r="D41" t="s">
        <v>2363</v>
      </c>
      <c r="F41" s="8">
        <f t="shared" si="33"/>
        <v>55</v>
      </c>
      <c r="G41" s="8"/>
      <c r="H41" s="8">
        <v>21</v>
      </c>
      <c r="I41" s="8">
        <v>4</v>
      </c>
      <c r="J41" s="8">
        <v>20</v>
      </c>
      <c r="K41" s="8">
        <v>10</v>
      </c>
      <c r="L41" s="8" t="s">
        <v>107</v>
      </c>
      <c r="M41" s="8" t="s">
        <v>107</v>
      </c>
      <c r="N41" s="8" t="s">
        <v>107</v>
      </c>
      <c r="O41" s="8" t="s">
        <v>107</v>
      </c>
      <c r="P41" s="8" t="s">
        <v>107</v>
      </c>
      <c r="Q41" s="8" t="s">
        <v>107</v>
      </c>
      <c r="R41" s="8" t="s">
        <v>107</v>
      </c>
      <c r="S41" s="8" t="s">
        <v>107</v>
      </c>
      <c r="T41" s="8" t="s">
        <v>107</v>
      </c>
      <c r="U41" s="8" t="s">
        <v>107</v>
      </c>
      <c r="V41" s="8" t="s">
        <v>107</v>
      </c>
      <c r="W41" s="8" t="s">
        <v>107</v>
      </c>
      <c r="X41" s="8" t="s">
        <v>107</v>
      </c>
      <c r="Y41" s="8" t="s">
        <v>107</v>
      </c>
      <c r="Z41" s="8" t="s">
        <v>107</v>
      </c>
      <c r="AA41" s="8" t="s">
        <v>107</v>
      </c>
      <c r="AB41" s="8" t="s">
        <v>107</v>
      </c>
      <c r="AC41" s="8" t="s">
        <v>107</v>
      </c>
      <c r="AD41" s="8" t="s">
        <v>107</v>
      </c>
      <c r="AE41" s="967"/>
      <c r="AF41" s="8">
        <f t="shared" si="35"/>
        <v>8</v>
      </c>
      <c r="AG41" s="8"/>
      <c r="AH41" s="8">
        <v>2</v>
      </c>
      <c r="AI41" s="8">
        <v>0</v>
      </c>
      <c r="AJ41" s="8">
        <v>5</v>
      </c>
      <c r="AK41" s="8">
        <v>1</v>
      </c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 t="s">
        <v>107</v>
      </c>
      <c r="AY41" s="8" t="s">
        <v>107</v>
      </c>
      <c r="AZ41" s="8"/>
      <c r="BA41" s="8"/>
      <c r="BB41" s="8"/>
      <c r="BC41" s="8"/>
      <c r="BD41" s="8"/>
      <c r="BE41" s="967"/>
      <c r="BF41" s="8">
        <f t="shared" si="36"/>
        <v>13</v>
      </c>
      <c r="BG41" s="8"/>
      <c r="BH41" s="8">
        <v>9</v>
      </c>
      <c r="BI41" s="8">
        <v>0</v>
      </c>
      <c r="BJ41" s="8">
        <v>4</v>
      </c>
      <c r="BK41" s="8">
        <v>0</v>
      </c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 t="s">
        <v>107</v>
      </c>
      <c r="BY41" s="8" t="s">
        <v>107</v>
      </c>
      <c r="BZ41" s="8"/>
      <c r="CA41" s="8"/>
      <c r="CB41" s="8"/>
      <c r="CC41" s="8"/>
      <c r="CD41" s="8"/>
      <c r="CE41" s="967"/>
      <c r="CF41" s="8">
        <f t="shared" si="37"/>
        <v>21</v>
      </c>
      <c r="CG41" s="8"/>
      <c r="CH41" s="8">
        <v>11</v>
      </c>
      <c r="CI41" s="8">
        <v>0</v>
      </c>
      <c r="CJ41" s="8">
        <v>9</v>
      </c>
      <c r="CK41" s="8">
        <v>1</v>
      </c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 t="s">
        <v>107</v>
      </c>
      <c r="CY41" s="8" t="s">
        <v>107</v>
      </c>
      <c r="CZ41" s="8"/>
      <c r="DA41" s="8"/>
      <c r="DB41" s="8"/>
      <c r="DC41" s="8"/>
      <c r="DD41" s="8"/>
      <c r="DE41" s="967"/>
      <c r="DF41" s="8">
        <f t="shared" si="38"/>
        <v>9</v>
      </c>
      <c r="DG41" s="8"/>
      <c r="DH41" s="8">
        <v>0</v>
      </c>
      <c r="DI41" s="8">
        <v>0</v>
      </c>
      <c r="DJ41" s="8">
        <v>5</v>
      </c>
      <c r="DK41" s="8">
        <v>4</v>
      </c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 t="s">
        <v>107</v>
      </c>
      <c r="DY41" s="8" t="s">
        <v>107</v>
      </c>
      <c r="DZ41" s="8"/>
      <c r="EA41" s="8"/>
      <c r="EB41" s="8"/>
      <c r="EC41" s="8"/>
      <c r="ED41" s="8"/>
      <c r="EE41" s="967"/>
      <c r="EF41" s="8">
        <f t="shared" si="39"/>
        <v>18</v>
      </c>
      <c r="EG41" s="8"/>
      <c r="EH41" s="8">
        <v>0</v>
      </c>
      <c r="EI41" s="8">
        <v>0</v>
      </c>
      <c r="EJ41" s="8">
        <v>10</v>
      </c>
      <c r="EK41" s="8">
        <v>8</v>
      </c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 t="s">
        <v>107</v>
      </c>
      <c r="EY41" s="8" t="s">
        <v>107</v>
      </c>
      <c r="EZ41" s="8"/>
      <c r="FA41" s="8"/>
      <c r="FB41" s="8"/>
      <c r="FC41" s="8"/>
      <c r="FD41" s="8"/>
      <c r="FE41" s="967"/>
      <c r="FF41" s="8">
        <f t="shared" si="34"/>
        <v>2</v>
      </c>
      <c r="FG41" s="8"/>
      <c r="FH41" s="8">
        <v>0</v>
      </c>
      <c r="FI41" s="8">
        <v>0</v>
      </c>
      <c r="FJ41" s="8">
        <v>2</v>
      </c>
      <c r="FK41" s="8">
        <v>0</v>
      </c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 t="s">
        <v>107</v>
      </c>
      <c r="FY41" s="8" t="s">
        <v>107</v>
      </c>
      <c r="FZ41" s="8"/>
      <c r="GA41" s="8"/>
      <c r="GB41" s="8"/>
      <c r="GC41" s="8"/>
      <c r="GD41" s="8"/>
      <c r="GE41" s="967"/>
      <c r="GF41" s="8">
        <f t="shared" si="40"/>
        <v>0</v>
      </c>
      <c r="GG41" s="8"/>
      <c r="GH41" s="8">
        <v>0</v>
      </c>
      <c r="GI41" s="8">
        <v>0</v>
      </c>
      <c r="GJ41" s="8">
        <v>0</v>
      </c>
      <c r="GK41" s="8">
        <v>0</v>
      </c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 t="s">
        <v>107</v>
      </c>
      <c r="GY41" s="8" t="s">
        <v>107</v>
      </c>
      <c r="GZ41" s="8"/>
      <c r="HA41" s="8"/>
      <c r="HB41" s="8"/>
      <c r="HC41" s="8"/>
      <c r="HD41" s="8"/>
      <c r="HE41" s="967"/>
      <c r="HF41" s="8">
        <f t="shared" si="41"/>
        <v>0</v>
      </c>
      <c r="HG41" s="8"/>
      <c r="HH41" s="8">
        <v>0</v>
      </c>
      <c r="HI41" s="8">
        <v>0</v>
      </c>
      <c r="HJ41" s="8">
        <v>0</v>
      </c>
      <c r="HK41" s="8">
        <v>0</v>
      </c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 t="s">
        <v>107</v>
      </c>
      <c r="HY41" s="8" t="s">
        <v>107</v>
      </c>
      <c r="HZ41" s="8"/>
      <c r="IA41" s="8"/>
      <c r="IB41" s="8"/>
      <c r="IC41" s="8"/>
      <c r="ID41" s="8"/>
      <c r="IE41" s="967"/>
      <c r="IF41" s="8">
        <f t="shared" si="42"/>
        <v>0</v>
      </c>
      <c r="IG41" s="8"/>
      <c r="IH41" s="8">
        <v>0</v>
      </c>
      <c r="II41" s="8">
        <v>0</v>
      </c>
      <c r="IJ41" s="8">
        <v>0</v>
      </c>
      <c r="IK41" s="8">
        <v>0</v>
      </c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 t="s">
        <v>107</v>
      </c>
      <c r="IY41" s="8" t="s">
        <v>107</v>
      </c>
      <c r="IZ41" s="8"/>
      <c r="JA41" s="8"/>
      <c r="JB41" s="8"/>
      <c r="JC41" s="8"/>
      <c r="JD41" s="8"/>
      <c r="JE41" s="967"/>
      <c r="JF41" s="8">
        <f t="shared" si="43"/>
        <v>0</v>
      </c>
      <c r="JG41" s="8"/>
      <c r="JH41" s="8">
        <v>0</v>
      </c>
      <c r="JI41" s="8">
        <v>0</v>
      </c>
      <c r="JJ41" s="8">
        <v>0</v>
      </c>
      <c r="JK41" s="8">
        <v>0</v>
      </c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 t="s">
        <v>107</v>
      </c>
      <c r="JY41" s="8" t="s">
        <v>107</v>
      </c>
      <c r="JZ41" s="8"/>
      <c r="KA41" s="8"/>
      <c r="KB41" s="8"/>
      <c r="KC41" s="8"/>
      <c r="KD41" s="8"/>
      <c r="KE41" s="967"/>
      <c r="KF41" s="8">
        <f t="shared" si="44"/>
        <v>0</v>
      </c>
      <c r="KG41" s="8"/>
      <c r="KH41" s="8">
        <v>0</v>
      </c>
      <c r="KI41" s="8">
        <v>0</v>
      </c>
      <c r="KJ41" s="8">
        <v>0</v>
      </c>
      <c r="KK41" s="8">
        <v>0</v>
      </c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 t="s">
        <v>107</v>
      </c>
      <c r="KY41" s="8" t="s">
        <v>107</v>
      </c>
      <c r="KZ41" s="8"/>
      <c r="LA41" s="8"/>
      <c r="LB41" s="8"/>
      <c r="LC41" s="8"/>
      <c r="LD41" s="8"/>
      <c r="LE41" s="967"/>
      <c r="LF41" s="8">
        <f t="shared" si="45"/>
        <v>0</v>
      </c>
      <c r="LG41" s="8"/>
      <c r="LH41" s="8">
        <v>0</v>
      </c>
      <c r="LI41" s="8">
        <v>0</v>
      </c>
      <c r="LJ41" s="8">
        <v>0</v>
      </c>
      <c r="LK41" s="8">
        <v>0</v>
      </c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 t="s">
        <v>107</v>
      </c>
      <c r="LY41" s="8" t="s">
        <v>107</v>
      </c>
      <c r="LZ41" s="8"/>
      <c r="MA41" s="8"/>
      <c r="MB41" s="8"/>
      <c r="MC41" s="8"/>
      <c r="MD41" s="8"/>
      <c r="ME41" s="967"/>
      <c r="MF41" s="8">
        <f t="shared" si="46"/>
        <v>0</v>
      </c>
      <c r="MG41" s="8"/>
      <c r="MH41" s="8">
        <v>0</v>
      </c>
      <c r="MI41" s="8">
        <v>0</v>
      </c>
      <c r="MJ41" s="8">
        <v>0</v>
      </c>
      <c r="MK41" s="8">
        <v>0</v>
      </c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 t="s">
        <v>107</v>
      </c>
      <c r="MY41" s="8" t="s">
        <v>107</v>
      </c>
      <c r="MZ41" s="8"/>
      <c r="NA41" s="8"/>
      <c r="NB41" s="8"/>
      <c r="NC41" s="8"/>
      <c r="ND41" s="8"/>
      <c r="NE41" s="967"/>
      <c r="NF41" s="8">
        <f t="shared" si="47"/>
        <v>0</v>
      </c>
      <c r="NG41" s="8"/>
      <c r="NH41" s="8">
        <v>0</v>
      </c>
      <c r="NI41" s="8">
        <v>0</v>
      </c>
      <c r="NJ41" s="8">
        <v>0</v>
      </c>
      <c r="NK41" s="8">
        <v>0</v>
      </c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 t="s">
        <v>107</v>
      </c>
      <c r="NY41" s="8" t="s">
        <v>107</v>
      </c>
      <c r="NZ41" s="8"/>
      <c r="OA41" s="8"/>
      <c r="OB41" s="8"/>
      <c r="OC41" s="8"/>
      <c r="OD41" s="8"/>
      <c r="OE41" s="967"/>
      <c r="OF41" s="8">
        <f t="shared" si="48"/>
        <v>0</v>
      </c>
      <c r="OG41" s="8"/>
      <c r="OH41" s="8">
        <v>0</v>
      </c>
      <c r="OI41" s="8">
        <v>0</v>
      </c>
      <c r="OJ41" s="8">
        <v>0</v>
      </c>
      <c r="OK41" s="8">
        <v>0</v>
      </c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 t="s">
        <v>107</v>
      </c>
      <c r="OY41" s="8" t="s">
        <v>107</v>
      </c>
      <c r="OZ41" s="8"/>
      <c r="PA41" s="8"/>
      <c r="PB41" s="8"/>
      <c r="PC41" s="8"/>
      <c r="PD41" s="8"/>
      <c r="PE41" s="967"/>
      <c r="PF41" s="8">
        <f t="shared" si="49"/>
        <v>0</v>
      </c>
      <c r="PG41" s="8"/>
      <c r="PH41" s="8">
        <v>0</v>
      </c>
      <c r="PI41" s="8">
        <v>0</v>
      </c>
      <c r="PJ41" s="8">
        <v>0</v>
      </c>
      <c r="PK41" s="8">
        <v>0</v>
      </c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 t="s">
        <v>107</v>
      </c>
      <c r="PY41" s="8" t="s">
        <v>107</v>
      </c>
      <c r="PZ41" s="8"/>
      <c r="QA41" s="8"/>
      <c r="QB41" s="8"/>
      <c r="QC41" s="8"/>
      <c r="QD41" s="8"/>
      <c r="QE41" s="967"/>
    </row>
    <row r="42" spans="2:447" x14ac:dyDescent="0.3">
      <c r="B42">
        <v>34</v>
      </c>
      <c r="C42" t="s">
        <v>681</v>
      </c>
      <c r="D42" t="s">
        <v>1992</v>
      </c>
      <c r="F42" s="8">
        <f t="shared" si="33"/>
        <v>15</v>
      </c>
      <c r="G42" s="8"/>
      <c r="H42" s="8" t="s">
        <v>107</v>
      </c>
      <c r="I42" s="8" t="s">
        <v>107</v>
      </c>
      <c r="J42" s="8" t="s">
        <v>107</v>
      </c>
      <c r="K42" s="8" t="s">
        <v>107</v>
      </c>
      <c r="L42" s="8" t="s">
        <v>107</v>
      </c>
      <c r="M42" s="8" t="s">
        <v>107</v>
      </c>
      <c r="N42" s="8" t="s">
        <v>107</v>
      </c>
      <c r="O42" s="8" t="s">
        <v>107</v>
      </c>
      <c r="P42" s="8" t="s">
        <v>107</v>
      </c>
      <c r="Q42" s="8" t="s">
        <v>107</v>
      </c>
      <c r="R42" s="8" t="s">
        <v>107</v>
      </c>
      <c r="S42" s="8" t="s">
        <v>107</v>
      </c>
      <c r="T42" s="8" t="s">
        <v>107</v>
      </c>
      <c r="U42" s="8"/>
      <c r="V42" s="8"/>
      <c r="W42" s="8"/>
      <c r="X42" s="8">
        <v>15</v>
      </c>
      <c r="Y42" s="8" t="s">
        <v>107</v>
      </c>
      <c r="Z42" s="8"/>
      <c r="AA42" s="8"/>
      <c r="AB42" s="8" t="s">
        <v>107</v>
      </c>
      <c r="AC42" s="8" t="s">
        <v>107</v>
      </c>
      <c r="AD42" s="8" t="s">
        <v>107</v>
      </c>
      <c r="AE42" s="967"/>
      <c r="AF42" s="8">
        <f t="shared" si="35"/>
        <v>0</v>
      </c>
      <c r="AG42" s="8"/>
      <c r="AH42" s="8" t="s">
        <v>107</v>
      </c>
      <c r="AI42" s="8" t="s">
        <v>107</v>
      </c>
      <c r="AJ42" s="8" t="s">
        <v>107</v>
      </c>
      <c r="AK42" s="8" t="s">
        <v>107</v>
      </c>
      <c r="AL42" s="8"/>
      <c r="AM42" s="8"/>
      <c r="AN42" s="8"/>
      <c r="AO42" s="8" t="s">
        <v>107</v>
      </c>
      <c r="AP42" s="8" t="s">
        <v>107</v>
      </c>
      <c r="AQ42" s="8"/>
      <c r="AR42" s="8"/>
      <c r="AS42" s="8"/>
      <c r="AT42" s="8"/>
      <c r="AU42" s="8"/>
      <c r="AV42" s="8"/>
      <c r="AW42" s="8"/>
      <c r="AX42" s="8">
        <v>0</v>
      </c>
      <c r="AY42" s="8" t="s">
        <v>107</v>
      </c>
      <c r="AZ42" s="8"/>
      <c r="BA42" s="8"/>
      <c r="BB42" s="8" t="s">
        <v>107</v>
      </c>
      <c r="BC42" s="8" t="s">
        <v>107</v>
      </c>
      <c r="BD42" s="8" t="s">
        <v>107</v>
      </c>
      <c r="BE42" s="967"/>
      <c r="BF42" s="8">
        <f t="shared" si="36"/>
        <v>1</v>
      </c>
      <c r="BG42" s="8"/>
      <c r="BH42" s="8" t="s">
        <v>107</v>
      </c>
      <c r="BI42" s="8"/>
      <c r="BJ42" s="8"/>
      <c r="BK42" s="8" t="s">
        <v>107</v>
      </c>
      <c r="BL42" s="8"/>
      <c r="BM42" s="8"/>
      <c r="BN42" s="8"/>
      <c r="BO42" s="8" t="s">
        <v>107</v>
      </c>
      <c r="BP42" s="8" t="s">
        <v>107</v>
      </c>
      <c r="BQ42" s="8"/>
      <c r="BR42" s="8"/>
      <c r="BS42" s="8"/>
      <c r="BT42" s="8"/>
      <c r="BU42" s="8"/>
      <c r="BV42" s="8"/>
      <c r="BW42" s="8"/>
      <c r="BX42" s="8">
        <v>1</v>
      </c>
      <c r="BY42" s="8" t="s">
        <v>107</v>
      </c>
      <c r="BZ42" s="8"/>
      <c r="CA42" s="8"/>
      <c r="CB42" s="8" t="s">
        <v>107</v>
      </c>
      <c r="CC42" s="8" t="s">
        <v>107</v>
      </c>
      <c r="CD42" s="8" t="s">
        <v>107</v>
      </c>
      <c r="CE42" s="967"/>
      <c r="CF42" s="8">
        <f t="shared" si="37"/>
        <v>1</v>
      </c>
      <c r="CG42" s="8"/>
      <c r="CH42" s="8" t="s">
        <v>107</v>
      </c>
      <c r="CI42" s="8"/>
      <c r="CJ42" s="8"/>
      <c r="CK42" s="8" t="s">
        <v>107</v>
      </c>
      <c r="CL42" s="8"/>
      <c r="CM42" s="8"/>
      <c r="CN42" s="8"/>
      <c r="CO42" s="8" t="s">
        <v>107</v>
      </c>
      <c r="CP42" s="8" t="s">
        <v>107</v>
      </c>
      <c r="CQ42" s="8"/>
      <c r="CR42" s="8"/>
      <c r="CS42" s="8"/>
      <c r="CT42" s="8"/>
      <c r="CU42" s="8"/>
      <c r="CV42" s="8"/>
      <c r="CW42" s="8"/>
      <c r="CX42" s="8">
        <v>1</v>
      </c>
      <c r="CY42" s="8" t="s">
        <v>107</v>
      </c>
      <c r="CZ42" s="8"/>
      <c r="DA42" s="8"/>
      <c r="DB42" s="8" t="s">
        <v>107</v>
      </c>
      <c r="DC42" s="8" t="s">
        <v>107</v>
      </c>
      <c r="DD42" s="8" t="s">
        <v>107</v>
      </c>
      <c r="DE42" s="967"/>
      <c r="DF42" s="8">
        <f t="shared" si="38"/>
        <v>0</v>
      </c>
      <c r="DG42" s="8"/>
      <c r="DH42" s="8" t="s">
        <v>107</v>
      </c>
      <c r="DI42" s="8" t="s">
        <v>107</v>
      </c>
      <c r="DJ42" s="8" t="s">
        <v>107</v>
      </c>
      <c r="DK42" s="8" t="s">
        <v>107</v>
      </c>
      <c r="DL42" s="8"/>
      <c r="DM42" s="8"/>
      <c r="DN42" s="8"/>
      <c r="DO42" s="8" t="s">
        <v>107</v>
      </c>
      <c r="DP42" s="8" t="s">
        <v>107</v>
      </c>
      <c r="DQ42" s="8"/>
      <c r="DR42" s="8"/>
      <c r="DS42" s="8"/>
      <c r="DT42" s="8"/>
      <c r="DU42" s="8"/>
      <c r="DV42" s="8"/>
      <c r="DW42" s="8"/>
      <c r="DX42" s="8">
        <v>0</v>
      </c>
      <c r="DY42" s="8" t="s">
        <v>107</v>
      </c>
      <c r="DZ42" s="8"/>
      <c r="EA42" s="8"/>
      <c r="EB42" s="8" t="s">
        <v>107</v>
      </c>
      <c r="EC42" s="8" t="s">
        <v>107</v>
      </c>
      <c r="ED42" s="8" t="s">
        <v>107</v>
      </c>
      <c r="EE42" s="967"/>
      <c r="EF42" s="8">
        <f t="shared" si="39"/>
        <v>0</v>
      </c>
      <c r="EG42" s="8"/>
      <c r="EH42" s="8" t="s">
        <v>107</v>
      </c>
      <c r="EI42" s="8" t="s">
        <v>107</v>
      </c>
      <c r="EJ42" s="8" t="s">
        <v>107</v>
      </c>
      <c r="EK42" s="8" t="s">
        <v>107</v>
      </c>
      <c r="EL42" s="8"/>
      <c r="EM42" s="8"/>
      <c r="EN42" s="8"/>
      <c r="EO42" s="8" t="s">
        <v>107</v>
      </c>
      <c r="EP42" s="8" t="s">
        <v>107</v>
      </c>
      <c r="EQ42" s="8"/>
      <c r="ER42" s="8"/>
      <c r="ES42" s="8"/>
      <c r="ET42" s="8"/>
      <c r="EU42" s="8"/>
      <c r="EV42" s="8"/>
      <c r="EW42" s="8"/>
      <c r="EX42" s="8">
        <v>0</v>
      </c>
      <c r="EY42" s="8" t="s">
        <v>107</v>
      </c>
      <c r="EZ42" s="8"/>
      <c r="FA42" s="8"/>
      <c r="FB42" s="8" t="s">
        <v>107</v>
      </c>
      <c r="FC42" s="8" t="s">
        <v>107</v>
      </c>
      <c r="FD42" s="8" t="s">
        <v>107</v>
      </c>
      <c r="FE42" s="967"/>
      <c r="FF42" s="8">
        <f t="shared" si="34"/>
        <v>0</v>
      </c>
      <c r="FG42" s="8"/>
      <c r="FH42" s="8" t="s">
        <v>107</v>
      </c>
      <c r="FI42" s="8" t="s">
        <v>107</v>
      </c>
      <c r="FJ42" s="8" t="s">
        <v>107</v>
      </c>
      <c r="FK42" s="8" t="s">
        <v>107</v>
      </c>
      <c r="FL42" s="8"/>
      <c r="FM42" s="8"/>
      <c r="FN42" s="8"/>
      <c r="FO42" s="8" t="s">
        <v>107</v>
      </c>
      <c r="FP42" s="8" t="s">
        <v>107</v>
      </c>
      <c r="FQ42" s="8"/>
      <c r="FR42" s="8"/>
      <c r="FS42" s="8"/>
      <c r="FT42" s="8"/>
      <c r="FU42" s="8"/>
      <c r="FV42" s="8"/>
      <c r="FW42" s="8"/>
      <c r="FX42" s="8">
        <v>0</v>
      </c>
      <c r="FY42" s="8" t="s">
        <v>107</v>
      </c>
      <c r="FZ42" s="8"/>
      <c r="GA42" s="8"/>
      <c r="GB42" s="8" t="s">
        <v>107</v>
      </c>
      <c r="GC42" s="8" t="s">
        <v>107</v>
      </c>
      <c r="GD42" s="8" t="s">
        <v>107</v>
      </c>
      <c r="GE42" s="967"/>
      <c r="GF42" s="8">
        <f t="shared" si="40"/>
        <v>0</v>
      </c>
      <c r="GG42" s="8"/>
      <c r="GH42" s="8" t="s">
        <v>107</v>
      </c>
      <c r="GI42" s="8" t="s">
        <v>107</v>
      </c>
      <c r="GJ42" s="8" t="s">
        <v>107</v>
      </c>
      <c r="GK42" s="8" t="s">
        <v>107</v>
      </c>
      <c r="GL42" s="8"/>
      <c r="GM42" s="8"/>
      <c r="GN42" s="8"/>
      <c r="GO42" s="8" t="s">
        <v>107</v>
      </c>
      <c r="GP42" s="8" t="s">
        <v>107</v>
      </c>
      <c r="GQ42" s="8"/>
      <c r="GR42" s="8"/>
      <c r="GS42" s="8"/>
      <c r="GT42" s="8"/>
      <c r="GU42" s="8"/>
      <c r="GV42" s="8"/>
      <c r="GW42" s="8"/>
      <c r="GX42" s="8">
        <v>0</v>
      </c>
      <c r="GY42" s="8" t="s">
        <v>107</v>
      </c>
      <c r="GZ42" s="8"/>
      <c r="HA42" s="8"/>
      <c r="HB42" s="8" t="s">
        <v>107</v>
      </c>
      <c r="HC42" s="8" t="s">
        <v>107</v>
      </c>
      <c r="HD42" s="8" t="s">
        <v>107</v>
      </c>
      <c r="HE42" s="967"/>
      <c r="HF42" s="8">
        <f t="shared" si="41"/>
        <v>0</v>
      </c>
      <c r="HG42" s="8"/>
      <c r="HH42" s="8" t="s">
        <v>107</v>
      </c>
      <c r="HI42" s="8" t="s">
        <v>107</v>
      </c>
      <c r="HJ42" s="8" t="s">
        <v>107</v>
      </c>
      <c r="HK42" s="8" t="s">
        <v>107</v>
      </c>
      <c r="HL42" s="8"/>
      <c r="HM42" s="8"/>
      <c r="HN42" s="8"/>
      <c r="HO42" s="8" t="s">
        <v>107</v>
      </c>
      <c r="HP42" s="8" t="s">
        <v>107</v>
      </c>
      <c r="HQ42" s="8"/>
      <c r="HR42" s="8"/>
      <c r="HS42" s="8"/>
      <c r="HT42" s="8"/>
      <c r="HU42" s="8"/>
      <c r="HV42" s="8"/>
      <c r="HW42" s="8"/>
      <c r="HX42" s="8">
        <v>0</v>
      </c>
      <c r="HY42" s="8" t="s">
        <v>107</v>
      </c>
      <c r="HZ42" s="8"/>
      <c r="IA42" s="8"/>
      <c r="IB42" s="8" t="s">
        <v>107</v>
      </c>
      <c r="IC42" s="8" t="s">
        <v>107</v>
      </c>
      <c r="ID42" s="8" t="s">
        <v>107</v>
      </c>
      <c r="IE42" s="967"/>
      <c r="IF42" s="8">
        <f t="shared" si="42"/>
        <v>0</v>
      </c>
      <c r="IG42" s="8"/>
      <c r="IH42" s="8" t="s">
        <v>107</v>
      </c>
      <c r="II42" s="8" t="s">
        <v>107</v>
      </c>
      <c r="IJ42" s="8" t="s">
        <v>107</v>
      </c>
      <c r="IK42" s="8" t="s">
        <v>107</v>
      </c>
      <c r="IL42" s="8"/>
      <c r="IM42" s="8"/>
      <c r="IN42" s="8"/>
      <c r="IO42" s="8" t="s">
        <v>107</v>
      </c>
      <c r="IP42" s="8" t="s">
        <v>107</v>
      </c>
      <c r="IQ42" s="8"/>
      <c r="IR42" s="8"/>
      <c r="IS42" s="8"/>
      <c r="IT42" s="8"/>
      <c r="IU42" s="8"/>
      <c r="IV42" s="8"/>
      <c r="IW42" s="8"/>
      <c r="IX42" s="8">
        <v>0</v>
      </c>
      <c r="IY42" s="8" t="s">
        <v>107</v>
      </c>
      <c r="IZ42" s="8"/>
      <c r="JA42" s="8"/>
      <c r="JB42" s="8" t="s">
        <v>107</v>
      </c>
      <c r="JC42" s="8" t="s">
        <v>107</v>
      </c>
      <c r="JD42" s="8" t="s">
        <v>107</v>
      </c>
      <c r="JE42" s="967"/>
      <c r="JF42" s="8">
        <f t="shared" si="43"/>
        <v>0</v>
      </c>
      <c r="JG42" s="8"/>
      <c r="JH42" s="8" t="s">
        <v>107</v>
      </c>
      <c r="JI42" s="8" t="s">
        <v>107</v>
      </c>
      <c r="JJ42" s="8" t="s">
        <v>107</v>
      </c>
      <c r="JK42" s="8" t="s">
        <v>107</v>
      </c>
      <c r="JL42" s="8"/>
      <c r="JM42" s="8"/>
      <c r="JN42" s="8"/>
      <c r="JO42" s="8" t="s">
        <v>107</v>
      </c>
      <c r="JP42" s="8" t="s">
        <v>107</v>
      </c>
      <c r="JQ42" s="8"/>
      <c r="JR42" s="8"/>
      <c r="JS42" s="8"/>
      <c r="JT42" s="8"/>
      <c r="JU42" s="8"/>
      <c r="JV42" s="8"/>
      <c r="JW42" s="8"/>
      <c r="JX42" s="8">
        <v>0</v>
      </c>
      <c r="JY42" s="8" t="s">
        <v>107</v>
      </c>
      <c r="JZ42" s="8"/>
      <c r="KA42" s="8"/>
      <c r="KB42" s="8" t="s">
        <v>107</v>
      </c>
      <c r="KC42" s="8" t="s">
        <v>107</v>
      </c>
      <c r="KD42" s="8" t="s">
        <v>107</v>
      </c>
      <c r="KE42" s="967"/>
      <c r="KF42" s="8">
        <f t="shared" si="44"/>
        <v>1</v>
      </c>
      <c r="KG42" s="8"/>
      <c r="KH42" s="8" t="s">
        <v>107</v>
      </c>
      <c r="KI42" s="8" t="s">
        <v>107</v>
      </c>
      <c r="KJ42" s="8" t="s">
        <v>107</v>
      </c>
      <c r="KK42" s="8" t="s">
        <v>107</v>
      </c>
      <c r="KL42" s="8"/>
      <c r="KM42" s="8"/>
      <c r="KN42" s="8"/>
      <c r="KO42" s="8" t="s">
        <v>107</v>
      </c>
      <c r="KP42" s="8" t="s">
        <v>107</v>
      </c>
      <c r="KQ42" s="8"/>
      <c r="KR42" s="8"/>
      <c r="KS42" s="8"/>
      <c r="KT42" s="8"/>
      <c r="KU42" s="8"/>
      <c r="KV42" s="8"/>
      <c r="KW42" s="8"/>
      <c r="KX42" s="8">
        <v>1</v>
      </c>
      <c r="KY42" s="8" t="s">
        <v>107</v>
      </c>
      <c r="KZ42" s="8"/>
      <c r="LA42" s="8"/>
      <c r="LB42" s="8" t="s">
        <v>107</v>
      </c>
      <c r="LC42" s="8" t="s">
        <v>107</v>
      </c>
      <c r="LD42" s="8" t="s">
        <v>107</v>
      </c>
      <c r="LE42" s="967"/>
      <c r="LF42" s="8">
        <f t="shared" si="45"/>
        <v>0</v>
      </c>
      <c r="LG42" s="8"/>
      <c r="LH42" s="8" t="s">
        <v>107</v>
      </c>
      <c r="LI42" s="8" t="s">
        <v>107</v>
      </c>
      <c r="LJ42" s="8" t="s">
        <v>107</v>
      </c>
      <c r="LK42" s="8" t="s">
        <v>107</v>
      </c>
      <c r="LL42" s="8"/>
      <c r="LM42" s="8"/>
      <c r="LN42" s="8"/>
      <c r="LO42" s="8" t="s">
        <v>107</v>
      </c>
      <c r="LP42" s="8" t="s">
        <v>107</v>
      </c>
      <c r="LQ42" s="8"/>
      <c r="LR42" s="8"/>
      <c r="LS42" s="8"/>
      <c r="LT42" s="8"/>
      <c r="LU42" s="8"/>
      <c r="LV42" s="8"/>
      <c r="LW42" s="8"/>
      <c r="LX42" s="8">
        <v>0</v>
      </c>
      <c r="LY42" s="8" t="s">
        <v>107</v>
      </c>
      <c r="LZ42" s="8"/>
      <c r="MA42" s="8"/>
      <c r="MB42" s="8" t="s">
        <v>107</v>
      </c>
      <c r="MC42" s="8" t="s">
        <v>107</v>
      </c>
      <c r="MD42" s="8" t="s">
        <v>107</v>
      </c>
      <c r="ME42" s="967"/>
      <c r="MF42" s="8">
        <f t="shared" si="46"/>
        <v>0</v>
      </c>
      <c r="MG42" s="8"/>
      <c r="MH42" s="8" t="s">
        <v>107</v>
      </c>
      <c r="MI42" s="8" t="s">
        <v>107</v>
      </c>
      <c r="MJ42" s="8" t="s">
        <v>107</v>
      </c>
      <c r="MK42" s="8" t="s">
        <v>107</v>
      </c>
      <c r="ML42" s="8"/>
      <c r="MM42" s="8"/>
      <c r="MN42" s="8"/>
      <c r="MO42" s="8" t="s">
        <v>107</v>
      </c>
      <c r="MP42" s="8" t="s">
        <v>107</v>
      </c>
      <c r="MQ42" s="8"/>
      <c r="MR42" s="8"/>
      <c r="MS42" s="8"/>
      <c r="MT42" s="8"/>
      <c r="MU42" s="8"/>
      <c r="MV42" s="8"/>
      <c r="MW42" s="8"/>
      <c r="MX42" s="8">
        <v>0</v>
      </c>
      <c r="MY42" s="8" t="s">
        <v>107</v>
      </c>
      <c r="MZ42" s="8"/>
      <c r="NA42" s="8"/>
      <c r="NB42" s="8" t="s">
        <v>107</v>
      </c>
      <c r="NC42" s="8" t="s">
        <v>107</v>
      </c>
      <c r="ND42" s="8" t="s">
        <v>107</v>
      </c>
      <c r="NE42" s="967"/>
      <c r="NF42" s="8">
        <f t="shared" si="47"/>
        <v>0</v>
      </c>
      <c r="NG42" s="8"/>
      <c r="NH42" s="8" t="s">
        <v>107</v>
      </c>
      <c r="NI42" s="8" t="s">
        <v>107</v>
      </c>
      <c r="NJ42" s="8" t="s">
        <v>107</v>
      </c>
      <c r="NK42" s="8" t="s">
        <v>107</v>
      </c>
      <c r="NL42" s="8"/>
      <c r="NM42" s="8"/>
      <c r="NN42" s="8"/>
      <c r="NO42" s="8" t="s">
        <v>107</v>
      </c>
      <c r="NP42" s="8" t="s">
        <v>107</v>
      </c>
      <c r="NQ42" s="8"/>
      <c r="NR42" s="8"/>
      <c r="NS42" s="8"/>
      <c r="NT42" s="8"/>
      <c r="NU42" s="8"/>
      <c r="NV42" s="8"/>
      <c r="NW42" s="8"/>
      <c r="NX42" s="8">
        <v>0</v>
      </c>
      <c r="NY42" s="8" t="s">
        <v>107</v>
      </c>
      <c r="NZ42" s="8"/>
      <c r="OA42" s="8"/>
      <c r="OB42" s="8" t="s">
        <v>107</v>
      </c>
      <c r="OC42" s="8" t="s">
        <v>107</v>
      </c>
      <c r="OD42" s="8" t="s">
        <v>107</v>
      </c>
      <c r="OE42" s="967"/>
      <c r="OF42" s="8">
        <f t="shared" si="48"/>
        <v>0</v>
      </c>
      <c r="OG42" s="8"/>
      <c r="OH42" s="8" t="s">
        <v>107</v>
      </c>
      <c r="OI42" s="8" t="s">
        <v>107</v>
      </c>
      <c r="OJ42" s="8" t="s">
        <v>107</v>
      </c>
      <c r="OK42" s="8" t="s">
        <v>107</v>
      </c>
      <c r="OL42" s="8"/>
      <c r="OM42" s="8"/>
      <c r="ON42" s="8"/>
      <c r="OO42" s="8" t="s">
        <v>107</v>
      </c>
      <c r="OP42" s="8" t="s">
        <v>107</v>
      </c>
      <c r="OQ42" s="8"/>
      <c r="OR42" s="8"/>
      <c r="OS42" s="8"/>
      <c r="OT42" s="8"/>
      <c r="OU42" s="8"/>
      <c r="OV42" s="8"/>
      <c r="OW42" s="8"/>
      <c r="OX42" s="8">
        <v>0</v>
      </c>
      <c r="OY42" s="8" t="s">
        <v>107</v>
      </c>
      <c r="OZ42" s="8"/>
      <c r="PA42" s="8"/>
      <c r="PB42" s="8" t="s">
        <v>107</v>
      </c>
      <c r="PC42" s="8" t="s">
        <v>107</v>
      </c>
      <c r="PD42" s="8" t="s">
        <v>107</v>
      </c>
      <c r="PE42" s="967"/>
      <c r="PF42" s="8">
        <f t="shared" si="49"/>
        <v>0</v>
      </c>
      <c r="PG42" s="8"/>
      <c r="PH42" s="8" t="s">
        <v>107</v>
      </c>
      <c r="PI42" s="8" t="s">
        <v>107</v>
      </c>
      <c r="PJ42" s="8" t="s">
        <v>107</v>
      </c>
      <c r="PK42" s="8" t="s">
        <v>107</v>
      </c>
      <c r="PL42" s="8"/>
      <c r="PM42" s="8"/>
      <c r="PN42" s="8"/>
      <c r="PO42" s="8" t="s">
        <v>107</v>
      </c>
      <c r="PP42" s="8" t="s">
        <v>107</v>
      </c>
      <c r="PQ42" s="8"/>
      <c r="PR42" s="8"/>
      <c r="PS42" s="8"/>
      <c r="PT42" s="8"/>
      <c r="PU42" s="8"/>
      <c r="PV42" s="8"/>
      <c r="PW42" s="8"/>
      <c r="PX42" s="8">
        <v>0</v>
      </c>
      <c r="PY42" s="8" t="s">
        <v>107</v>
      </c>
      <c r="PZ42" s="8"/>
      <c r="QA42" s="8"/>
      <c r="QB42" s="8" t="s">
        <v>107</v>
      </c>
      <c r="QC42" s="8" t="s">
        <v>107</v>
      </c>
      <c r="QD42" s="8" t="s">
        <v>107</v>
      </c>
      <c r="QE42" s="967"/>
    </row>
    <row r="43" spans="2:447" x14ac:dyDescent="0.3">
      <c r="B43">
        <v>35</v>
      </c>
      <c r="D43" t="s">
        <v>1809</v>
      </c>
      <c r="F43" s="8">
        <f t="shared" si="33"/>
        <v>121</v>
      </c>
      <c r="G43" s="8"/>
      <c r="H43" s="8" t="s">
        <v>107</v>
      </c>
      <c r="I43" s="8" t="s">
        <v>107</v>
      </c>
      <c r="J43" s="8" t="s">
        <v>107</v>
      </c>
      <c r="K43" s="8" t="s">
        <v>107</v>
      </c>
      <c r="L43" s="8" t="s">
        <v>107</v>
      </c>
      <c r="M43" s="8" t="s">
        <v>107</v>
      </c>
      <c r="N43" s="8" t="s">
        <v>107</v>
      </c>
      <c r="O43" s="8">
        <v>3</v>
      </c>
      <c r="P43" s="8">
        <v>3</v>
      </c>
      <c r="Q43" s="8">
        <v>3</v>
      </c>
      <c r="R43" s="8">
        <v>16</v>
      </c>
      <c r="S43" s="8">
        <v>17</v>
      </c>
      <c r="T43" s="8">
        <v>16</v>
      </c>
      <c r="U43" s="8"/>
      <c r="V43" s="8"/>
      <c r="W43" s="8"/>
      <c r="X43" s="8" t="s">
        <v>107</v>
      </c>
      <c r="Y43" s="8">
        <v>14</v>
      </c>
      <c r="Z43" s="8"/>
      <c r="AA43" s="8"/>
      <c r="AB43" s="8">
        <v>16</v>
      </c>
      <c r="AC43" s="8">
        <v>12</v>
      </c>
      <c r="AD43" s="8">
        <v>21</v>
      </c>
      <c r="AE43" s="967"/>
      <c r="AF43" s="8">
        <f t="shared" si="35"/>
        <v>54</v>
      </c>
      <c r="AG43" s="8"/>
      <c r="AH43" s="8" t="s">
        <v>107</v>
      </c>
      <c r="AI43" s="8" t="s">
        <v>107</v>
      </c>
      <c r="AJ43" s="8" t="s">
        <v>107</v>
      </c>
      <c r="AK43" s="8" t="s">
        <v>107</v>
      </c>
      <c r="AL43" s="8"/>
      <c r="AM43" s="8"/>
      <c r="AN43" s="8"/>
      <c r="AO43" s="8">
        <v>0</v>
      </c>
      <c r="AP43" s="8">
        <v>3</v>
      </c>
      <c r="AQ43" s="8">
        <v>0</v>
      </c>
      <c r="AR43" s="8">
        <v>4</v>
      </c>
      <c r="AS43" s="8">
        <v>5</v>
      </c>
      <c r="AT43" s="8">
        <v>7</v>
      </c>
      <c r="AU43" s="8"/>
      <c r="AV43" s="8"/>
      <c r="AW43" s="8"/>
      <c r="AX43" s="8" t="s">
        <v>107</v>
      </c>
      <c r="AY43" s="8">
        <v>0</v>
      </c>
      <c r="AZ43" s="8"/>
      <c r="BA43" s="8"/>
      <c r="BB43" s="8">
        <v>13</v>
      </c>
      <c r="BC43" s="8">
        <v>5</v>
      </c>
      <c r="BD43" s="8">
        <v>17</v>
      </c>
      <c r="BE43" s="967"/>
      <c r="BF43" s="8">
        <f t="shared" si="36"/>
        <v>29</v>
      </c>
      <c r="BG43" s="8"/>
      <c r="BH43" s="8" t="s">
        <v>107</v>
      </c>
      <c r="BI43" s="8"/>
      <c r="BJ43" s="8"/>
      <c r="BK43" s="8" t="s">
        <v>107</v>
      </c>
      <c r="BL43" s="8"/>
      <c r="BM43" s="8"/>
      <c r="BN43" s="8"/>
      <c r="BO43" s="8">
        <v>0</v>
      </c>
      <c r="BP43" s="8">
        <v>2</v>
      </c>
      <c r="BQ43" s="8">
        <v>0</v>
      </c>
      <c r="BR43" s="8">
        <v>2</v>
      </c>
      <c r="BS43" s="8">
        <v>3</v>
      </c>
      <c r="BT43" s="8">
        <v>2</v>
      </c>
      <c r="BU43" s="8"/>
      <c r="BV43" s="8"/>
      <c r="BW43" s="8"/>
      <c r="BX43" s="8" t="s">
        <v>107</v>
      </c>
      <c r="BY43" s="8">
        <v>0</v>
      </c>
      <c r="BZ43" s="8"/>
      <c r="CA43" s="8"/>
      <c r="CB43" s="8">
        <v>10</v>
      </c>
      <c r="CC43" s="8">
        <v>3</v>
      </c>
      <c r="CD43" s="8">
        <v>7</v>
      </c>
      <c r="CE43" s="967"/>
      <c r="CF43" s="8">
        <f t="shared" si="37"/>
        <v>83</v>
      </c>
      <c r="CG43" s="8"/>
      <c r="CH43" s="8" t="s">
        <v>107</v>
      </c>
      <c r="CI43" s="8"/>
      <c r="CJ43" s="8"/>
      <c r="CK43" s="8"/>
      <c r="CL43" s="8"/>
      <c r="CM43" s="8"/>
      <c r="CN43" s="8"/>
      <c r="CO43" s="8">
        <v>0</v>
      </c>
      <c r="CP43" s="8">
        <v>5</v>
      </c>
      <c r="CQ43" s="8">
        <v>0</v>
      </c>
      <c r="CR43" s="8">
        <v>6</v>
      </c>
      <c r="CS43" s="8">
        <v>8</v>
      </c>
      <c r="CT43" s="8">
        <v>9</v>
      </c>
      <c r="CU43" s="8"/>
      <c r="CV43" s="8"/>
      <c r="CW43" s="8"/>
      <c r="CX43" s="8" t="s">
        <v>107</v>
      </c>
      <c r="CY43" s="8">
        <v>0</v>
      </c>
      <c r="CZ43" s="8"/>
      <c r="DA43" s="8"/>
      <c r="DB43" s="8">
        <f t="shared" si="51"/>
        <v>23</v>
      </c>
      <c r="DC43" s="8">
        <f t="shared" si="52"/>
        <v>8</v>
      </c>
      <c r="DD43" s="8">
        <f t="shared" si="50"/>
        <v>24</v>
      </c>
      <c r="DE43" s="967"/>
      <c r="DF43" s="8">
        <f t="shared" si="38"/>
        <v>4</v>
      </c>
      <c r="DG43" s="8"/>
      <c r="DH43" s="8" t="s">
        <v>107</v>
      </c>
      <c r="DI43" s="8" t="s">
        <v>107</v>
      </c>
      <c r="DJ43" s="8" t="s">
        <v>107</v>
      </c>
      <c r="DK43" s="8" t="s">
        <v>107</v>
      </c>
      <c r="DL43" s="8"/>
      <c r="DM43" s="8"/>
      <c r="DN43" s="8"/>
      <c r="DO43" s="8">
        <v>0</v>
      </c>
      <c r="DP43" s="8">
        <v>0</v>
      </c>
      <c r="DQ43" s="8">
        <v>0</v>
      </c>
      <c r="DR43" s="8">
        <v>2</v>
      </c>
      <c r="DS43" s="8">
        <v>2</v>
      </c>
      <c r="DT43" s="8"/>
      <c r="DU43" s="8"/>
      <c r="DV43" s="8"/>
      <c r="DW43" s="8"/>
      <c r="DX43" s="8" t="s">
        <v>107</v>
      </c>
      <c r="DY43" s="8">
        <v>0</v>
      </c>
      <c r="DZ43" s="8"/>
      <c r="EA43" s="8"/>
      <c r="EB43" s="8">
        <v>0</v>
      </c>
      <c r="EC43" s="8">
        <v>0</v>
      </c>
      <c r="ED43" s="8">
        <v>0</v>
      </c>
      <c r="EE43" s="967"/>
      <c r="EF43" s="8">
        <f t="shared" si="39"/>
        <v>18</v>
      </c>
      <c r="EG43" s="8"/>
      <c r="EH43" s="8" t="s">
        <v>107</v>
      </c>
      <c r="EI43" s="8" t="s">
        <v>107</v>
      </c>
      <c r="EJ43" s="8" t="s">
        <v>107</v>
      </c>
      <c r="EK43" s="8" t="s">
        <v>107</v>
      </c>
      <c r="EL43" s="8"/>
      <c r="EM43" s="8"/>
      <c r="EN43" s="8"/>
      <c r="EO43" s="8">
        <v>0</v>
      </c>
      <c r="EP43" s="8">
        <v>0</v>
      </c>
      <c r="EQ43" s="8">
        <v>0</v>
      </c>
      <c r="ER43" s="8">
        <v>4</v>
      </c>
      <c r="ES43" s="8">
        <v>4</v>
      </c>
      <c r="ET43" s="8"/>
      <c r="EU43" s="8"/>
      <c r="EV43" s="8"/>
      <c r="EW43" s="8"/>
      <c r="EX43" s="8" t="s">
        <v>107</v>
      </c>
      <c r="EY43" s="8">
        <v>0</v>
      </c>
      <c r="EZ43" s="8"/>
      <c r="FA43" s="8"/>
      <c r="FB43" s="8">
        <v>2</v>
      </c>
      <c r="FC43" s="8">
        <v>0</v>
      </c>
      <c r="FD43" s="8">
        <v>8</v>
      </c>
      <c r="FE43" s="967"/>
      <c r="FF43" s="8">
        <f t="shared" si="34"/>
        <v>5</v>
      </c>
      <c r="FG43" s="8"/>
      <c r="FH43" s="8" t="s">
        <v>107</v>
      </c>
      <c r="FI43" s="8" t="s">
        <v>107</v>
      </c>
      <c r="FJ43" s="8" t="s">
        <v>107</v>
      </c>
      <c r="FK43" s="8" t="s">
        <v>107</v>
      </c>
      <c r="FL43" s="8"/>
      <c r="FM43" s="8"/>
      <c r="FN43" s="8"/>
      <c r="FO43" s="8">
        <v>0</v>
      </c>
      <c r="FP43" s="8">
        <v>0</v>
      </c>
      <c r="FQ43" s="8">
        <v>0</v>
      </c>
      <c r="FR43" s="8">
        <v>0</v>
      </c>
      <c r="FS43" s="8">
        <v>1</v>
      </c>
      <c r="FT43" s="8">
        <v>0</v>
      </c>
      <c r="FU43" s="8"/>
      <c r="FV43" s="8"/>
      <c r="FW43" s="8"/>
      <c r="FX43" s="8" t="s">
        <v>107</v>
      </c>
      <c r="FY43" s="8">
        <v>0</v>
      </c>
      <c r="FZ43" s="8"/>
      <c r="GA43" s="8"/>
      <c r="GB43" s="8">
        <v>1</v>
      </c>
      <c r="GC43" s="8">
        <v>1</v>
      </c>
      <c r="GD43" s="8">
        <v>2</v>
      </c>
      <c r="GE43" s="967"/>
      <c r="GF43" s="8">
        <f t="shared" si="40"/>
        <v>6</v>
      </c>
      <c r="GG43" s="8"/>
      <c r="GH43" s="8" t="s">
        <v>107</v>
      </c>
      <c r="GI43" s="8" t="s">
        <v>107</v>
      </c>
      <c r="GJ43" s="8" t="s">
        <v>107</v>
      </c>
      <c r="GK43" s="8" t="s">
        <v>107</v>
      </c>
      <c r="GL43" s="8"/>
      <c r="GM43" s="8"/>
      <c r="GN43" s="8"/>
      <c r="GO43" s="8">
        <v>0</v>
      </c>
      <c r="GP43" s="8">
        <v>0</v>
      </c>
      <c r="GQ43" s="8">
        <v>0</v>
      </c>
      <c r="GR43" s="8">
        <v>0</v>
      </c>
      <c r="GS43" s="8">
        <v>1</v>
      </c>
      <c r="GT43" s="8"/>
      <c r="GU43" s="8"/>
      <c r="GV43" s="8"/>
      <c r="GW43" s="8"/>
      <c r="GX43" s="8" t="s">
        <v>107</v>
      </c>
      <c r="GY43" s="8">
        <v>0</v>
      </c>
      <c r="GZ43" s="8"/>
      <c r="HA43" s="8"/>
      <c r="HB43" s="8">
        <v>3</v>
      </c>
      <c r="HC43" s="8">
        <v>1</v>
      </c>
      <c r="HD43" s="8">
        <v>1</v>
      </c>
      <c r="HE43" s="967"/>
      <c r="HF43" s="8">
        <f t="shared" si="41"/>
        <v>0</v>
      </c>
      <c r="HG43" s="8"/>
      <c r="HH43" s="8" t="s">
        <v>107</v>
      </c>
      <c r="HI43" s="8" t="s">
        <v>107</v>
      </c>
      <c r="HJ43" s="8" t="s">
        <v>107</v>
      </c>
      <c r="HK43" s="8" t="s">
        <v>107</v>
      </c>
      <c r="HL43" s="8"/>
      <c r="HM43" s="8"/>
      <c r="HN43" s="8"/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/>
      <c r="HU43" s="8"/>
      <c r="HV43" s="8"/>
      <c r="HW43" s="8"/>
      <c r="HX43" s="8" t="s">
        <v>107</v>
      </c>
      <c r="HY43" s="8">
        <v>0</v>
      </c>
      <c r="HZ43" s="8"/>
      <c r="IA43" s="8"/>
      <c r="IB43" s="8">
        <v>0</v>
      </c>
      <c r="IC43" s="8">
        <v>0</v>
      </c>
      <c r="ID43" s="8">
        <v>0</v>
      </c>
      <c r="IE43" s="967"/>
      <c r="IF43" s="8">
        <f t="shared" si="42"/>
        <v>0</v>
      </c>
      <c r="IG43" s="8"/>
      <c r="IH43" s="8" t="s">
        <v>107</v>
      </c>
      <c r="II43" s="8" t="s">
        <v>107</v>
      </c>
      <c r="IJ43" s="8" t="s">
        <v>107</v>
      </c>
      <c r="IK43" s="8" t="s">
        <v>107</v>
      </c>
      <c r="IL43" s="8"/>
      <c r="IM43" s="8"/>
      <c r="IN43" s="8"/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/>
      <c r="IU43" s="8"/>
      <c r="IV43" s="8"/>
      <c r="IW43" s="8"/>
      <c r="IX43" s="8" t="s">
        <v>107</v>
      </c>
      <c r="IY43" s="8">
        <v>0</v>
      </c>
      <c r="IZ43" s="8"/>
      <c r="JA43" s="8"/>
      <c r="JB43" s="8">
        <v>0</v>
      </c>
      <c r="JC43" s="8">
        <v>0</v>
      </c>
      <c r="JD43" s="8">
        <v>0</v>
      </c>
      <c r="JE43" s="967"/>
      <c r="JF43" s="8">
        <f t="shared" si="43"/>
        <v>1</v>
      </c>
      <c r="JG43" s="8"/>
      <c r="JH43" s="8" t="s">
        <v>107</v>
      </c>
      <c r="JI43" s="8" t="s">
        <v>107</v>
      </c>
      <c r="JJ43" s="8" t="s">
        <v>107</v>
      </c>
      <c r="JK43" s="8" t="s">
        <v>107</v>
      </c>
      <c r="JL43" s="8"/>
      <c r="JM43" s="8"/>
      <c r="JN43" s="8"/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/>
      <c r="JU43" s="8"/>
      <c r="JV43" s="8"/>
      <c r="JW43" s="8"/>
      <c r="JX43" s="8" t="s">
        <v>107</v>
      </c>
      <c r="JY43" s="8">
        <v>0</v>
      </c>
      <c r="JZ43" s="8"/>
      <c r="KA43" s="8"/>
      <c r="KB43" s="8">
        <v>0</v>
      </c>
      <c r="KC43" s="8">
        <v>0</v>
      </c>
      <c r="KD43" s="8">
        <v>1</v>
      </c>
      <c r="KE43" s="967"/>
      <c r="KF43" s="8">
        <f t="shared" si="44"/>
        <v>0</v>
      </c>
      <c r="KG43" s="8"/>
      <c r="KH43" s="8" t="s">
        <v>107</v>
      </c>
      <c r="KI43" s="8" t="s">
        <v>107</v>
      </c>
      <c r="KJ43" s="8" t="s">
        <v>107</v>
      </c>
      <c r="KK43" s="8" t="s">
        <v>107</v>
      </c>
      <c r="KL43" s="8"/>
      <c r="KM43" s="8"/>
      <c r="KN43" s="8"/>
      <c r="KO43" s="8">
        <v>0</v>
      </c>
      <c r="KP43" s="8">
        <v>0</v>
      </c>
      <c r="KQ43" s="8">
        <v>0</v>
      </c>
      <c r="KR43" s="8">
        <v>0</v>
      </c>
      <c r="KS43" s="8">
        <v>0</v>
      </c>
      <c r="KT43" s="8"/>
      <c r="KU43" s="8"/>
      <c r="KV43" s="8"/>
      <c r="KW43" s="8"/>
      <c r="KX43" s="8" t="s">
        <v>107</v>
      </c>
      <c r="KY43" s="8">
        <v>0</v>
      </c>
      <c r="KZ43" s="8"/>
      <c r="LA43" s="8"/>
      <c r="LB43" s="8">
        <v>0</v>
      </c>
      <c r="LC43" s="8">
        <v>0</v>
      </c>
      <c r="LD43" s="8">
        <v>0</v>
      </c>
      <c r="LE43" s="967"/>
      <c r="LF43" s="8">
        <f t="shared" si="45"/>
        <v>0</v>
      </c>
      <c r="LG43" s="8"/>
      <c r="LH43" s="8" t="s">
        <v>107</v>
      </c>
      <c r="LI43" s="8" t="s">
        <v>107</v>
      </c>
      <c r="LJ43" s="8" t="s">
        <v>107</v>
      </c>
      <c r="LK43" s="8" t="s">
        <v>107</v>
      </c>
      <c r="LL43" s="8"/>
      <c r="LM43" s="8"/>
      <c r="LN43" s="8"/>
      <c r="LO43" s="8">
        <v>0</v>
      </c>
      <c r="LP43" s="8">
        <v>0</v>
      </c>
      <c r="LQ43" s="8">
        <v>0</v>
      </c>
      <c r="LR43" s="8">
        <v>0</v>
      </c>
      <c r="LS43" s="8">
        <v>0</v>
      </c>
      <c r="LT43" s="8"/>
      <c r="LU43" s="8"/>
      <c r="LV43" s="8"/>
      <c r="LW43" s="8"/>
      <c r="LX43" s="8" t="s">
        <v>107</v>
      </c>
      <c r="LY43" s="8">
        <v>0</v>
      </c>
      <c r="LZ43" s="8"/>
      <c r="MA43" s="8"/>
      <c r="MB43" s="8">
        <v>0</v>
      </c>
      <c r="MC43" s="8">
        <v>0</v>
      </c>
      <c r="MD43" s="8">
        <v>0</v>
      </c>
      <c r="ME43" s="967"/>
      <c r="MF43" s="8">
        <f t="shared" si="46"/>
        <v>0</v>
      </c>
      <c r="MG43" s="8"/>
      <c r="MH43" s="8" t="s">
        <v>107</v>
      </c>
      <c r="MI43" s="8" t="s">
        <v>107</v>
      </c>
      <c r="MJ43" s="8" t="s">
        <v>107</v>
      </c>
      <c r="MK43" s="8" t="s">
        <v>107</v>
      </c>
      <c r="ML43" s="8"/>
      <c r="MM43" s="8"/>
      <c r="MN43" s="8"/>
      <c r="MO43" s="8">
        <v>0</v>
      </c>
      <c r="MP43" s="8">
        <v>0</v>
      </c>
      <c r="MQ43" s="8">
        <v>0</v>
      </c>
      <c r="MR43" s="8">
        <v>0</v>
      </c>
      <c r="MS43" s="8">
        <v>0</v>
      </c>
      <c r="MT43" s="8"/>
      <c r="MU43" s="8"/>
      <c r="MV43" s="8"/>
      <c r="MW43" s="8"/>
      <c r="MX43" s="8" t="s">
        <v>107</v>
      </c>
      <c r="MY43" s="8">
        <v>0</v>
      </c>
      <c r="MZ43" s="8"/>
      <c r="NA43" s="8"/>
      <c r="NB43" s="8">
        <v>0</v>
      </c>
      <c r="NC43" s="8">
        <v>0</v>
      </c>
      <c r="ND43" s="8">
        <v>0</v>
      </c>
      <c r="NE43" s="967"/>
      <c r="NF43" s="8">
        <f t="shared" si="47"/>
        <v>0</v>
      </c>
      <c r="NG43" s="8"/>
      <c r="NH43" s="8" t="s">
        <v>107</v>
      </c>
      <c r="NI43" s="8" t="s">
        <v>107</v>
      </c>
      <c r="NJ43" s="8" t="s">
        <v>107</v>
      </c>
      <c r="NK43" s="8" t="s">
        <v>107</v>
      </c>
      <c r="NL43" s="8"/>
      <c r="NM43" s="8"/>
      <c r="NN43" s="8"/>
      <c r="NO43" s="8">
        <v>0</v>
      </c>
      <c r="NP43" s="8">
        <v>0</v>
      </c>
      <c r="NQ43" s="8">
        <v>0</v>
      </c>
      <c r="NR43" s="8">
        <v>0</v>
      </c>
      <c r="NS43" s="8">
        <v>0</v>
      </c>
      <c r="NT43" s="8"/>
      <c r="NU43" s="8"/>
      <c r="NV43" s="8"/>
      <c r="NW43" s="8"/>
      <c r="NX43" s="8" t="s">
        <v>107</v>
      </c>
      <c r="NY43" s="8">
        <v>0</v>
      </c>
      <c r="NZ43" s="8"/>
      <c r="OA43" s="8"/>
      <c r="OB43" s="8">
        <v>0</v>
      </c>
      <c r="OC43" s="8">
        <v>0</v>
      </c>
      <c r="OD43" s="8">
        <v>0</v>
      </c>
      <c r="OE43" s="967"/>
      <c r="OF43" s="8">
        <f t="shared" si="48"/>
        <v>0</v>
      </c>
      <c r="OG43" s="8"/>
      <c r="OH43" s="8" t="s">
        <v>107</v>
      </c>
      <c r="OI43" s="8" t="s">
        <v>107</v>
      </c>
      <c r="OJ43" s="8" t="s">
        <v>107</v>
      </c>
      <c r="OK43" s="8" t="s">
        <v>107</v>
      </c>
      <c r="OL43" s="8"/>
      <c r="OM43" s="8"/>
      <c r="ON43" s="8"/>
      <c r="OO43" s="8">
        <v>0</v>
      </c>
      <c r="OP43" s="8">
        <v>0</v>
      </c>
      <c r="OQ43" s="8">
        <v>0</v>
      </c>
      <c r="OR43" s="8">
        <v>0</v>
      </c>
      <c r="OS43" s="8">
        <v>0</v>
      </c>
      <c r="OT43" s="8"/>
      <c r="OU43" s="8"/>
      <c r="OV43" s="8"/>
      <c r="OW43" s="8"/>
      <c r="OX43" s="8" t="s">
        <v>107</v>
      </c>
      <c r="OY43" s="8">
        <v>0</v>
      </c>
      <c r="OZ43" s="8"/>
      <c r="PA43" s="8"/>
      <c r="PB43" s="8">
        <v>0</v>
      </c>
      <c r="PC43" s="8">
        <v>0</v>
      </c>
      <c r="PD43" s="8">
        <v>0</v>
      </c>
      <c r="PE43" s="967"/>
      <c r="PF43" s="8">
        <f t="shared" si="49"/>
        <v>0</v>
      </c>
      <c r="PG43" s="8"/>
      <c r="PH43" s="8" t="s">
        <v>107</v>
      </c>
      <c r="PI43" s="8" t="s">
        <v>107</v>
      </c>
      <c r="PJ43" s="8" t="s">
        <v>107</v>
      </c>
      <c r="PK43" s="8" t="s">
        <v>107</v>
      </c>
      <c r="PL43" s="8"/>
      <c r="PM43" s="8"/>
      <c r="PN43" s="8"/>
      <c r="PO43" s="8">
        <v>0</v>
      </c>
      <c r="PP43" s="8">
        <v>0</v>
      </c>
      <c r="PQ43" s="8">
        <v>0</v>
      </c>
      <c r="PR43" s="8">
        <v>0</v>
      </c>
      <c r="PS43" s="8">
        <v>0</v>
      </c>
      <c r="PT43" s="8"/>
      <c r="PU43" s="8"/>
      <c r="PV43" s="8"/>
      <c r="PW43" s="8"/>
      <c r="PX43" s="8" t="s">
        <v>107</v>
      </c>
      <c r="PY43" s="8">
        <v>0</v>
      </c>
      <c r="PZ43" s="8"/>
      <c r="QA43" s="8"/>
      <c r="QB43" s="8">
        <v>0</v>
      </c>
      <c r="QC43" s="8">
        <v>0</v>
      </c>
      <c r="QD43" s="8">
        <v>0</v>
      </c>
      <c r="QE43" s="967"/>
    </row>
    <row r="44" spans="2:447" x14ac:dyDescent="0.3">
      <c r="B44">
        <v>36</v>
      </c>
      <c r="D44" t="s">
        <v>1811</v>
      </c>
      <c r="F44" s="8">
        <f t="shared" si="33"/>
        <v>18</v>
      </c>
      <c r="G44" s="8"/>
      <c r="H44" s="8" t="s">
        <v>107</v>
      </c>
      <c r="I44" s="8" t="s">
        <v>107</v>
      </c>
      <c r="J44" s="8" t="s">
        <v>107</v>
      </c>
      <c r="K44" s="8" t="s">
        <v>107</v>
      </c>
      <c r="L44" s="8" t="s">
        <v>107</v>
      </c>
      <c r="M44" s="8" t="s">
        <v>107</v>
      </c>
      <c r="N44" s="8" t="s">
        <v>107</v>
      </c>
      <c r="O44" s="8" t="s">
        <v>107</v>
      </c>
      <c r="P44" s="8" t="s">
        <v>107</v>
      </c>
      <c r="Q44" s="8" t="s">
        <v>107</v>
      </c>
      <c r="R44" s="8" t="s">
        <v>107</v>
      </c>
      <c r="S44" s="8">
        <v>2</v>
      </c>
      <c r="T44" s="8">
        <v>16</v>
      </c>
      <c r="U44" s="8"/>
      <c r="V44" s="8"/>
      <c r="W44" s="8"/>
      <c r="X44" s="8" t="s">
        <v>107</v>
      </c>
      <c r="Y44" s="8" t="s">
        <v>107</v>
      </c>
      <c r="Z44" s="8"/>
      <c r="AA44" s="8"/>
      <c r="AB44" s="8" t="s">
        <v>107</v>
      </c>
      <c r="AC44" s="8" t="s">
        <v>107</v>
      </c>
      <c r="AD44" s="8" t="s">
        <v>107</v>
      </c>
      <c r="AE44" s="967"/>
      <c r="AF44" s="8">
        <f t="shared" si="35"/>
        <v>3</v>
      </c>
      <c r="AG44" s="8"/>
      <c r="AH44" s="8" t="s">
        <v>107</v>
      </c>
      <c r="AI44" s="8" t="s">
        <v>107</v>
      </c>
      <c r="AJ44" s="8" t="s">
        <v>107</v>
      </c>
      <c r="AK44" s="8" t="s">
        <v>107</v>
      </c>
      <c r="AL44" s="8"/>
      <c r="AM44" s="8"/>
      <c r="AN44" s="8"/>
      <c r="AO44" s="8" t="s">
        <v>107</v>
      </c>
      <c r="AP44" s="8" t="s">
        <v>107</v>
      </c>
      <c r="AQ44" s="8" t="s">
        <v>107</v>
      </c>
      <c r="AR44" s="8" t="s">
        <v>107</v>
      </c>
      <c r="AS44" s="8">
        <v>1</v>
      </c>
      <c r="AT44" s="8">
        <v>2</v>
      </c>
      <c r="AU44" s="8"/>
      <c r="AV44" s="8"/>
      <c r="AW44" s="8"/>
      <c r="AX44" s="8" t="s">
        <v>107</v>
      </c>
      <c r="AY44" s="8" t="s">
        <v>107</v>
      </c>
      <c r="AZ44" s="8"/>
      <c r="BA44" s="8"/>
      <c r="BB44" s="8" t="s">
        <v>107</v>
      </c>
      <c r="BC44" s="8" t="s">
        <v>107</v>
      </c>
      <c r="BD44" s="8" t="s">
        <v>107</v>
      </c>
      <c r="BE44" s="967"/>
      <c r="BF44" s="8">
        <f t="shared" si="36"/>
        <v>1</v>
      </c>
      <c r="BG44" s="8"/>
      <c r="BH44" s="8" t="s">
        <v>107</v>
      </c>
      <c r="BI44" s="8"/>
      <c r="BJ44" s="8"/>
      <c r="BK44" s="8" t="s">
        <v>107</v>
      </c>
      <c r="BL44" s="8"/>
      <c r="BM44" s="8"/>
      <c r="BN44" s="8"/>
      <c r="BO44" s="8" t="s">
        <v>107</v>
      </c>
      <c r="BP44" s="8" t="s">
        <v>107</v>
      </c>
      <c r="BQ44" s="8" t="s">
        <v>107</v>
      </c>
      <c r="BR44" s="8" t="s">
        <v>107</v>
      </c>
      <c r="BS44" s="8">
        <v>0</v>
      </c>
      <c r="BT44" s="8">
        <v>1</v>
      </c>
      <c r="BU44" s="8"/>
      <c r="BV44" s="8"/>
      <c r="BW44" s="8"/>
      <c r="BX44" s="8" t="s">
        <v>107</v>
      </c>
      <c r="BY44" s="8" t="s">
        <v>107</v>
      </c>
      <c r="BZ44" s="8"/>
      <c r="CA44" s="8"/>
      <c r="CB44" s="8" t="s">
        <v>107</v>
      </c>
      <c r="CC44" s="8" t="s">
        <v>107</v>
      </c>
      <c r="CD44" s="8" t="s">
        <v>107</v>
      </c>
      <c r="CE44" s="967"/>
      <c r="CF44" s="8">
        <f t="shared" si="37"/>
        <v>4</v>
      </c>
      <c r="CG44" s="8"/>
      <c r="CH44" s="8" t="s">
        <v>107</v>
      </c>
      <c r="CI44" s="8"/>
      <c r="CJ44" s="8"/>
      <c r="CK44" s="8" t="s">
        <v>107</v>
      </c>
      <c r="CL44" s="8"/>
      <c r="CM44" s="8"/>
      <c r="CN44" s="8"/>
      <c r="CO44" s="8" t="s">
        <v>107</v>
      </c>
      <c r="CP44" s="8" t="s">
        <v>107</v>
      </c>
      <c r="CQ44" s="8" t="s">
        <v>107</v>
      </c>
      <c r="CR44" s="8" t="s">
        <v>107</v>
      </c>
      <c r="CS44" s="8">
        <v>1</v>
      </c>
      <c r="CT44" s="8">
        <v>3</v>
      </c>
      <c r="CU44" s="8"/>
      <c r="CV44" s="8"/>
      <c r="CW44" s="8"/>
      <c r="CX44" s="8" t="s">
        <v>107</v>
      </c>
      <c r="CY44" s="8" t="s">
        <v>107</v>
      </c>
      <c r="CZ44" s="8"/>
      <c r="DA44" s="8"/>
      <c r="DB44" s="8" t="s">
        <v>107</v>
      </c>
      <c r="DC44" s="8" t="s">
        <v>107</v>
      </c>
      <c r="DD44" s="8" t="s">
        <v>107</v>
      </c>
      <c r="DE44" s="967"/>
      <c r="DF44" s="8">
        <f t="shared" si="38"/>
        <v>0</v>
      </c>
      <c r="DG44" s="8"/>
      <c r="DH44" s="8" t="s">
        <v>107</v>
      </c>
      <c r="DI44" s="8" t="s">
        <v>107</v>
      </c>
      <c r="DJ44" s="8" t="s">
        <v>107</v>
      </c>
      <c r="DK44" s="8" t="s">
        <v>107</v>
      </c>
      <c r="DL44" s="8"/>
      <c r="DM44" s="8"/>
      <c r="DN44" s="8"/>
      <c r="DO44" s="8" t="s">
        <v>107</v>
      </c>
      <c r="DP44" s="8" t="s">
        <v>107</v>
      </c>
      <c r="DQ44" s="8" t="s">
        <v>107</v>
      </c>
      <c r="DR44" s="8" t="s">
        <v>107</v>
      </c>
      <c r="DS44" s="8">
        <v>0</v>
      </c>
      <c r="DT44" s="8"/>
      <c r="DU44" s="8"/>
      <c r="DV44" s="8"/>
      <c r="DW44" s="8"/>
      <c r="DX44" s="8" t="s">
        <v>107</v>
      </c>
      <c r="DY44" s="8" t="s">
        <v>107</v>
      </c>
      <c r="DZ44" s="8"/>
      <c r="EA44" s="8"/>
      <c r="EB44" s="8" t="s">
        <v>107</v>
      </c>
      <c r="EC44" s="8" t="s">
        <v>107</v>
      </c>
      <c r="ED44" s="8" t="s">
        <v>107</v>
      </c>
      <c r="EE44" s="967"/>
      <c r="EF44" s="8">
        <f t="shared" si="39"/>
        <v>0</v>
      </c>
      <c r="EG44" s="8"/>
      <c r="EH44" s="8" t="s">
        <v>107</v>
      </c>
      <c r="EI44" s="8" t="s">
        <v>107</v>
      </c>
      <c r="EJ44" s="8" t="s">
        <v>107</v>
      </c>
      <c r="EK44" s="8" t="s">
        <v>107</v>
      </c>
      <c r="EL44" s="8"/>
      <c r="EM44" s="8"/>
      <c r="EN44" s="8"/>
      <c r="EO44" s="8" t="s">
        <v>107</v>
      </c>
      <c r="EP44" s="8" t="s">
        <v>107</v>
      </c>
      <c r="EQ44" s="8" t="s">
        <v>107</v>
      </c>
      <c r="ER44" s="8" t="s">
        <v>107</v>
      </c>
      <c r="ES44" s="8">
        <v>0</v>
      </c>
      <c r="ET44" s="8"/>
      <c r="EU44" s="8"/>
      <c r="EV44" s="8"/>
      <c r="EW44" s="8"/>
      <c r="EX44" s="8" t="s">
        <v>107</v>
      </c>
      <c r="EY44" s="8" t="s">
        <v>107</v>
      </c>
      <c r="EZ44" s="8"/>
      <c r="FA44" s="8"/>
      <c r="FB44" s="8" t="s">
        <v>107</v>
      </c>
      <c r="FC44" s="8" t="s">
        <v>107</v>
      </c>
      <c r="FD44" s="8" t="s">
        <v>107</v>
      </c>
      <c r="FE44" s="967"/>
      <c r="FF44" s="8">
        <f t="shared" si="34"/>
        <v>1</v>
      </c>
      <c r="FG44" s="8"/>
      <c r="FH44" s="8" t="s">
        <v>107</v>
      </c>
      <c r="FI44" s="8" t="s">
        <v>107</v>
      </c>
      <c r="FJ44" s="8" t="s">
        <v>107</v>
      </c>
      <c r="FK44" s="8" t="s">
        <v>107</v>
      </c>
      <c r="FL44" s="8"/>
      <c r="FM44" s="8"/>
      <c r="FN44" s="8"/>
      <c r="FO44" s="8" t="s">
        <v>107</v>
      </c>
      <c r="FP44" s="8" t="s">
        <v>107</v>
      </c>
      <c r="FQ44" s="8" t="s">
        <v>107</v>
      </c>
      <c r="FR44" s="8" t="s">
        <v>107</v>
      </c>
      <c r="FS44" s="8">
        <v>0</v>
      </c>
      <c r="FT44" s="8">
        <v>1</v>
      </c>
      <c r="FU44" s="8"/>
      <c r="FV44" s="8"/>
      <c r="FW44" s="8"/>
      <c r="FX44" s="8" t="s">
        <v>107</v>
      </c>
      <c r="FY44" s="8" t="s">
        <v>107</v>
      </c>
      <c r="FZ44" s="8"/>
      <c r="GA44" s="8"/>
      <c r="GB44" s="8" t="s">
        <v>107</v>
      </c>
      <c r="GC44" s="8" t="s">
        <v>107</v>
      </c>
      <c r="GD44" s="8" t="s">
        <v>107</v>
      </c>
      <c r="GE44" s="967"/>
      <c r="GF44" s="8">
        <f t="shared" si="40"/>
        <v>0</v>
      </c>
      <c r="GG44" s="8"/>
      <c r="GH44" s="8" t="s">
        <v>107</v>
      </c>
      <c r="GI44" s="8" t="s">
        <v>107</v>
      </c>
      <c r="GJ44" s="8" t="s">
        <v>107</v>
      </c>
      <c r="GK44" s="8" t="s">
        <v>107</v>
      </c>
      <c r="GL44" s="8"/>
      <c r="GM44" s="8"/>
      <c r="GN44" s="8"/>
      <c r="GO44" s="8" t="s">
        <v>107</v>
      </c>
      <c r="GP44" s="8" t="s">
        <v>107</v>
      </c>
      <c r="GQ44" s="8" t="s">
        <v>107</v>
      </c>
      <c r="GR44" s="8" t="s">
        <v>107</v>
      </c>
      <c r="GS44" s="8">
        <v>0</v>
      </c>
      <c r="GT44" s="8"/>
      <c r="GU44" s="8"/>
      <c r="GV44" s="8"/>
      <c r="GW44" s="8"/>
      <c r="GX44" s="8" t="s">
        <v>107</v>
      </c>
      <c r="GY44" s="8" t="s">
        <v>107</v>
      </c>
      <c r="GZ44" s="8"/>
      <c r="HA44" s="8"/>
      <c r="HB44" s="8" t="s">
        <v>107</v>
      </c>
      <c r="HC44" s="8" t="s">
        <v>107</v>
      </c>
      <c r="HD44" s="8" t="s">
        <v>107</v>
      </c>
      <c r="HE44" s="967"/>
      <c r="HF44" s="8">
        <f t="shared" si="41"/>
        <v>0</v>
      </c>
      <c r="HG44" s="8"/>
      <c r="HH44" s="8" t="s">
        <v>107</v>
      </c>
      <c r="HI44" s="8" t="s">
        <v>107</v>
      </c>
      <c r="HJ44" s="8" t="s">
        <v>107</v>
      </c>
      <c r="HK44" s="8" t="s">
        <v>107</v>
      </c>
      <c r="HL44" s="8"/>
      <c r="HM44" s="8"/>
      <c r="HN44" s="8"/>
      <c r="HO44" s="8" t="s">
        <v>107</v>
      </c>
      <c r="HP44" s="8" t="s">
        <v>107</v>
      </c>
      <c r="HQ44" s="8" t="s">
        <v>107</v>
      </c>
      <c r="HR44" s="8" t="s">
        <v>107</v>
      </c>
      <c r="HS44" s="8">
        <v>0</v>
      </c>
      <c r="HT44" s="8"/>
      <c r="HU44" s="8"/>
      <c r="HV44" s="8"/>
      <c r="HW44" s="8"/>
      <c r="HX44" s="8" t="s">
        <v>107</v>
      </c>
      <c r="HY44" s="8" t="s">
        <v>107</v>
      </c>
      <c r="HZ44" s="8"/>
      <c r="IA44" s="8"/>
      <c r="IB44" s="8" t="s">
        <v>107</v>
      </c>
      <c r="IC44" s="8" t="s">
        <v>107</v>
      </c>
      <c r="ID44" s="8" t="s">
        <v>107</v>
      </c>
      <c r="IE44" s="967"/>
      <c r="IF44" s="8">
        <f t="shared" si="42"/>
        <v>0</v>
      </c>
      <c r="IG44" s="8"/>
      <c r="IH44" s="8" t="s">
        <v>107</v>
      </c>
      <c r="II44" s="8" t="s">
        <v>107</v>
      </c>
      <c r="IJ44" s="8" t="s">
        <v>107</v>
      </c>
      <c r="IK44" s="8" t="s">
        <v>107</v>
      </c>
      <c r="IL44" s="8"/>
      <c r="IM44" s="8"/>
      <c r="IN44" s="8"/>
      <c r="IO44" s="8" t="s">
        <v>107</v>
      </c>
      <c r="IP44" s="8" t="s">
        <v>107</v>
      </c>
      <c r="IQ44" s="8" t="s">
        <v>107</v>
      </c>
      <c r="IR44" s="8" t="s">
        <v>107</v>
      </c>
      <c r="IS44" s="8">
        <v>0</v>
      </c>
      <c r="IT44" s="8"/>
      <c r="IU44" s="8"/>
      <c r="IV44" s="8"/>
      <c r="IW44" s="8"/>
      <c r="IX44" s="8" t="s">
        <v>107</v>
      </c>
      <c r="IY44" s="8" t="s">
        <v>107</v>
      </c>
      <c r="IZ44" s="8"/>
      <c r="JA44" s="8"/>
      <c r="JB44" s="8" t="s">
        <v>107</v>
      </c>
      <c r="JC44" s="8" t="s">
        <v>107</v>
      </c>
      <c r="JD44" s="8" t="s">
        <v>107</v>
      </c>
      <c r="JE44" s="967"/>
      <c r="JF44" s="8">
        <f t="shared" si="43"/>
        <v>0</v>
      </c>
      <c r="JG44" s="8"/>
      <c r="JH44" s="8" t="s">
        <v>107</v>
      </c>
      <c r="JI44" s="8" t="s">
        <v>107</v>
      </c>
      <c r="JJ44" s="8" t="s">
        <v>107</v>
      </c>
      <c r="JK44" s="8" t="s">
        <v>107</v>
      </c>
      <c r="JL44" s="8"/>
      <c r="JM44" s="8"/>
      <c r="JN44" s="8"/>
      <c r="JO44" s="8" t="s">
        <v>107</v>
      </c>
      <c r="JP44" s="8" t="s">
        <v>107</v>
      </c>
      <c r="JQ44" s="8" t="s">
        <v>107</v>
      </c>
      <c r="JR44" s="8" t="s">
        <v>107</v>
      </c>
      <c r="JS44" s="8">
        <v>0</v>
      </c>
      <c r="JT44" s="8"/>
      <c r="JU44" s="8"/>
      <c r="JV44" s="8"/>
      <c r="JW44" s="8"/>
      <c r="JX44" s="8" t="s">
        <v>107</v>
      </c>
      <c r="JY44" s="8" t="s">
        <v>107</v>
      </c>
      <c r="JZ44" s="8"/>
      <c r="KA44" s="8"/>
      <c r="KB44" s="8" t="s">
        <v>107</v>
      </c>
      <c r="KC44" s="8" t="s">
        <v>107</v>
      </c>
      <c r="KD44" s="8" t="s">
        <v>107</v>
      </c>
      <c r="KE44" s="967"/>
      <c r="KF44" s="8">
        <f t="shared" si="44"/>
        <v>0</v>
      </c>
      <c r="KG44" s="8"/>
      <c r="KH44" s="8" t="s">
        <v>107</v>
      </c>
      <c r="KI44" s="8" t="s">
        <v>107</v>
      </c>
      <c r="KJ44" s="8" t="s">
        <v>107</v>
      </c>
      <c r="KK44" s="8" t="s">
        <v>107</v>
      </c>
      <c r="KL44" s="8"/>
      <c r="KM44" s="8"/>
      <c r="KN44" s="8"/>
      <c r="KO44" s="8" t="s">
        <v>107</v>
      </c>
      <c r="KP44" s="8" t="s">
        <v>107</v>
      </c>
      <c r="KQ44" s="8" t="s">
        <v>107</v>
      </c>
      <c r="KR44" s="8" t="s">
        <v>107</v>
      </c>
      <c r="KS44" s="8">
        <v>0</v>
      </c>
      <c r="KT44" s="8"/>
      <c r="KU44" s="8"/>
      <c r="KV44" s="8"/>
      <c r="KW44" s="8"/>
      <c r="KX44" s="8" t="s">
        <v>107</v>
      </c>
      <c r="KY44" s="8" t="s">
        <v>107</v>
      </c>
      <c r="KZ44" s="8"/>
      <c r="LA44" s="8"/>
      <c r="LB44" s="8" t="s">
        <v>107</v>
      </c>
      <c r="LC44" s="8" t="s">
        <v>107</v>
      </c>
      <c r="LD44" s="8" t="s">
        <v>107</v>
      </c>
      <c r="LE44" s="967"/>
      <c r="LF44" s="8">
        <f t="shared" si="45"/>
        <v>0</v>
      </c>
      <c r="LG44" s="8"/>
      <c r="LH44" s="8" t="s">
        <v>107</v>
      </c>
      <c r="LI44" s="8" t="s">
        <v>107</v>
      </c>
      <c r="LJ44" s="8" t="s">
        <v>107</v>
      </c>
      <c r="LK44" s="8" t="s">
        <v>107</v>
      </c>
      <c r="LL44" s="8"/>
      <c r="LM44" s="8"/>
      <c r="LN44" s="8"/>
      <c r="LO44" s="8" t="s">
        <v>107</v>
      </c>
      <c r="LP44" s="8" t="s">
        <v>107</v>
      </c>
      <c r="LQ44" s="8" t="s">
        <v>107</v>
      </c>
      <c r="LR44" s="8" t="s">
        <v>107</v>
      </c>
      <c r="LS44" s="8">
        <v>0</v>
      </c>
      <c r="LT44" s="8"/>
      <c r="LU44" s="8"/>
      <c r="LV44" s="8"/>
      <c r="LW44" s="8"/>
      <c r="LX44" s="8" t="s">
        <v>107</v>
      </c>
      <c r="LY44" s="8" t="s">
        <v>107</v>
      </c>
      <c r="LZ44" s="8"/>
      <c r="MA44" s="8"/>
      <c r="MB44" s="8" t="s">
        <v>107</v>
      </c>
      <c r="MC44" s="8" t="s">
        <v>107</v>
      </c>
      <c r="MD44" s="8" t="s">
        <v>107</v>
      </c>
      <c r="ME44" s="967"/>
      <c r="MF44" s="8">
        <f t="shared" si="46"/>
        <v>0</v>
      </c>
      <c r="MG44" s="8"/>
      <c r="MH44" s="8" t="s">
        <v>107</v>
      </c>
      <c r="MI44" s="8" t="s">
        <v>107</v>
      </c>
      <c r="MJ44" s="8" t="s">
        <v>107</v>
      </c>
      <c r="MK44" s="8" t="s">
        <v>107</v>
      </c>
      <c r="ML44" s="8"/>
      <c r="MM44" s="8"/>
      <c r="MN44" s="8"/>
      <c r="MO44" s="8" t="s">
        <v>107</v>
      </c>
      <c r="MP44" s="8" t="s">
        <v>107</v>
      </c>
      <c r="MQ44" s="8" t="s">
        <v>107</v>
      </c>
      <c r="MR44" s="8" t="s">
        <v>107</v>
      </c>
      <c r="MS44" s="8">
        <v>0</v>
      </c>
      <c r="MT44" s="8"/>
      <c r="MU44" s="8"/>
      <c r="MV44" s="8"/>
      <c r="MW44" s="8"/>
      <c r="MX44" s="8" t="s">
        <v>107</v>
      </c>
      <c r="MY44" s="8" t="s">
        <v>107</v>
      </c>
      <c r="MZ44" s="8"/>
      <c r="NA44" s="8"/>
      <c r="NB44" s="8" t="s">
        <v>107</v>
      </c>
      <c r="NC44" s="8" t="s">
        <v>107</v>
      </c>
      <c r="ND44" s="8" t="s">
        <v>107</v>
      </c>
      <c r="NE44" s="967"/>
      <c r="NF44" s="8">
        <f t="shared" si="47"/>
        <v>0</v>
      </c>
      <c r="NG44" s="8"/>
      <c r="NH44" s="8" t="s">
        <v>107</v>
      </c>
      <c r="NI44" s="8" t="s">
        <v>107</v>
      </c>
      <c r="NJ44" s="8" t="s">
        <v>107</v>
      </c>
      <c r="NK44" s="8" t="s">
        <v>107</v>
      </c>
      <c r="NL44" s="8"/>
      <c r="NM44" s="8"/>
      <c r="NN44" s="8"/>
      <c r="NO44" s="8" t="s">
        <v>107</v>
      </c>
      <c r="NP44" s="8" t="s">
        <v>107</v>
      </c>
      <c r="NQ44" s="8" t="s">
        <v>107</v>
      </c>
      <c r="NR44" s="8" t="s">
        <v>107</v>
      </c>
      <c r="NS44" s="8">
        <v>0</v>
      </c>
      <c r="NT44" s="8"/>
      <c r="NU44" s="8"/>
      <c r="NV44" s="8"/>
      <c r="NW44" s="8"/>
      <c r="NX44" s="8" t="s">
        <v>107</v>
      </c>
      <c r="NY44" s="8" t="s">
        <v>107</v>
      </c>
      <c r="NZ44" s="8"/>
      <c r="OA44" s="8"/>
      <c r="OB44" s="8" t="s">
        <v>107</v>
      </c>
      <c r="OC44" s="8" t="s">
        <v>107</v>
      </c>
      <c r="OD44" s="8" t="s">
        <v>107</v>
      </c>
      <c r="OE44" s="967"/>
      <c r="OF44" s="8">
        <f t="shared" si="48"/>
        <v>0</v>
      </c>
      <c r="OG44" s="8"/>
      <c r="OH44" s="8" t="s">
        <v>107</v>
      </c>
      <c r="OI44" s="8" t="s">
        <v>107</v>
      </c>
      <c r="OJ44" s="8" t="s">
        <v>107</v>
      </c>
      <c r="OK44" s="8" t="s">
        <v>107</v>
      </c>
      <c r="OL44" s="8"/>
      <c r="OM44" s="8"/>
      <c r="ON44" s="8"/>
      <c r="OO44" s="8" t="s">
        <v>107</v>
      </c>
      <c r="OP44" s="8" t="s">
        <v>107</v>
      </c>
      <c r="OQ44" s="8" t="s">
        <v>107</v>
      </c>
      <c r="OR44" s="8" t="s">
        <v>107</v>
      </c>
      <c r="OS44" s="8">
        <v>0</v>
      </c>
      <c r="OT44" s="8"/>
      <c r="OU44" s="8"/>
      <c r="OV44" s="8"/>
      <c r="OW44" s="8"/>
      <c r="OX44" s="8" t="s">
        <v>107</v>
      </c>
      <c r="OY44" s="8" t="s">
        <v>107</v>
      </c>
      <c r="OZ44" s="8"/>
      <c r="PA44" s="8"/>
      <c r="PB44" s="8" t="s">
        <v>107</v>
      </c>
      <c r="PC44" s="8" t="s">
        <v>107</v>
      </c>
      <c r="PD44" s="8" t="s">
        <v>107</v>
      </c>
      <c r="PE44" s="967"/>
      <c r="PF44" s="8">
        <f t="shared" si="49"/>
        <v>0</v>
      </c>
      <c r="PG44" s="8"/>
      <c r="PH44" s="8" t="s">
        <v>107</v>
      </c>
      <c r="PI44" s="8" t="s">
        <v>107</v>
      </c>
      <c r="PJ44" s="8" t="s">
        <v>107</v>
      </c>
      <c r="PK44" s="8" t="s">
        <v>107</v>
      </c>
      <c r="PL44" s="8"/>
      <c r="PM44" s="8"/>
      <c r="PN44" s="8"/>
      <c r="PO44" s="8" t="s">
        <v>107</v>
      </c>
      <c r="PP44" s="8" t="s">
        <v>107</v>
      </c>
      <c r="PQ44" s="8" t="s">
        <v>107</v>
      </c>
      <c r="PR44" s="8" t="s">
        <v>107</v>
      </c>
      <c r="PS44" s="8">
        <v>0</v>
      </c>
      <c r="PT44" s="8"/>
      <c r="PU44" s="8"/>
      <c r="PV44" s="8"/>
      <c r="PW44" s="8"/>
      <c r="PX44" s="8" t="s">
        <v>107</v>
      </c>
      <c r="PY44" s="8" t="s">
        <v>107</v>
      </c>
      <c r="PZ44" s="8"/>
      <c r="QA44" s="8"/>
      <c r="QB44" s="8" t="s">
        <v>107</v>
      </c>
      <c r="QC44" s="8" t="s">
        <v>107</v>
      </c>
      <c r="QD44" s="8" t="s">
        <v>107</v>
      </c>
      <c r="QE44" s="967"/>
    </row>
    <row r="45" spans="2:447" x14ac:dyDescent="0.3">
      <c r="B45">
        <v>37</v>
      </c>
      <c r="D45" t="s">
        <v>2258</v>
      </c>
      <c r="F45" s="8">
        <f t="shared" si="33"/>
        <v>36</v>
      </c>
      <c r="G45" s="8"/>
      <c r="H45" s="8" t="s">
        <v>107</v>
      </c>
      <c r="I45" s="8" t="s">
        <v>107</v>
      </c>
      <c r="J45" s="8" t="s">
        <v>107</v>
      </c>
      <c r="K45" s="8" t="s">
        <v>107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 t="s">
        <v>107</v>
      </c>
      <c r="Y45" s="8" t="s">
        <v>107</v>
      </c>
      <c r="Z45" s="8"/>
      <c r="AA45" s="8"/>
      <c r="AB45" s="8">
        <v>12</v>
      </c>
      <c r="AC45" s="8">
        <v>13</v>
      </c>
      <c r="AD45" s="8">
        <v>11</v>
      </c>
      <c r="AE45" s="967"/>
      <c r="AF45" s="8">
        <f t="shared" si="35"/>
        <v>11</v>
      </c>
      <c r="AG45" s="8"/>
      <c r="AH45" s="8" t="s">
        <v>107</v>
      </c>
      <c r="AI45" s="8" t="s">
        <v>107</v>
      </c>
      <c r="AJ45" s="8" t="s">
        <v>107</v>
      </c>
      <c r="AK45" s="8" t="s">
        <v>107</v>
      </c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 t="s">
        <v>107</v>
      </c>
      <c r="AY45" s="8" t="s">
        <v>107</v>
      </c>
      <c r="AZ45" s="8"/>
      <c r="BA45" s="8"/>
      <c r="BB45" s="8">
        <v>5</v>
      </c>
      <c r="BC45" s="8">
        <v>4</v>
      </c>
      <c r="BD45" s="8">
        <v>2</v>
      </c>
      <c r="BE45" s="967"/>
      <c r="BF45" s="8">
        <f t="shared" si="36"/>
        <v>10</v>
      </c>
      <c r="BG45" s="8"/>
      <c r="BH45" s="8" t="s">
        <v>107</v>
      </c>
      <c r="BI45" s="8"/>
      <c r="BJ45" s="8"/>
      <c r="BK45" s="8" t="s">
        <v>107</v>
      </c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 t="s">
        <v>107</v>
      </c>
      <c r="BY45" s="8" t="s">
        <v>107</v>
      </c>
      <c r="BZ45" s="8"/>
      <c r="CA45" s="8"/>
      <c r="CB45" s="8">
        <v>3</v>
      </c>
      <c r="CC45" s="8">
        <v>3</v>
      </c>
      <c r="CD45" s="8">
        <v>4</v>
      </c>
      <c r="CE45" s="967"/>
      <c r="CF45" s="8">
        <f t="shared" si="37"/>
        <v>21</v>
      </c>
      <c r="CG45" s="8"/>
      <c r="CH45" s="8" t="s">
        <v>107</v>
      </c>
      <c r="CI45" s="8"/>
      <c r="CJ45" s="8"/>
      <c r="CK45" s="8" t="s">
        <v>107</v>
      </c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 t="s">
        <v>107</v>
      </c>
      <c r="CY45" s="8" t="s">
        <v>107</v>
      </c>
      <c r="CZ45" s="8"/>
      <c r="DA45" s="8"/>
      <c r="DB45" s="8">
        <f t="shared" si="51"/>
        <v>8</v>
      </c>
      <c r="DC45" s="8">
        <f t="shared" si="52"/>
        <v>7</v>
      </c>
      <c r="DD45" s="8">
        <f t="shared" si="50"/>
        <v>6</v>
      </c>
      <c r="DE45" s="967"/>
      <c r="DF45" s="8">
        <f t="shared" si="38"/>
        <v>0</v>
      </c>
      <c r="DG45" s="8"/>
      <c r="DH45" s="8" t="s">
        <v>107</v>
      </c>
      <c r="DI45" s="8" t="s">
        <v>107</v>
      </c>
      <c r="DJ45" s="8" t="s">
        <v>107</v>
      </c>
      <c r="DK45" s="8" t="s">
        <v>107</v>
      </c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 t="s">
        <v>107</v>
      </c>
      <c r="DY45" s="8" t="s">
        <v>107</v>
      </c>
      <c r="DZ45" s="8"/>
      <c r="EA45" s="8"/>
      <c r="EB45" s="8">
        <v>0</v>
      </c>
      <c r="EC45" s="8">
        <v>0</v>
      </c>
      <c r="ED45" s="8">
        <v>0</v>
      </c>
      <c r="EE45" s="967"/>
      <c r="EF45" s="8">
        <f t="shared" si="39"/>
        <v>27</v>
      </c>
      <c r="EG45" s="8"/>
      <c r="EH45" s="8" t="s">
        <v>107</v>
      </c>
      <c r="EI45" s="8" t="s">
        <v>107</v>
      </c>
      <c r="EJ45" s="8" t="s">
        <v>107</v>
      </c>
      <c r="EK45" s="8" t="s">
        <v>107</v>
      </c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 t="s">
        <v>107</v>
      </c>
      <c r="EY45" s="8" t="s">
        <v>107</v>
      </c>
      <c r="EZ45" s="8"/>
      <c r="FA45" s="8"/>
      <c r="FB45" s="8">
        <v>13</v>
      </c>
      <c r="FC45" s="8">
        <v>10</v>
      </c>
      <c r="FD45" s="8">
        <v>4</v>
      </c>
      <c r="FE45" s="967"/>
      <c r="FF45" s="8">
        <f t="shared" si="34"/>
        <v>1</v>
      </c>
      <c r="FG45" s="8"/>
      <c r="FH45" s="8" t="s">
        <v>107</v>
      </c>
      <c r="FI45" s="8" t="s">
        <v>107</v>
      </c>
      <c r="FJ45" s="8" t="s">
        <v>107</v>
      </c>
      <c r="FK45" s="8" t="s">
        <v>107</v>
      </c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 t="s">
        <v>107</v>
      </c>
      <c r="FY45" s="8" t="s">
        <v>107</v>
      </c>
      <c r="FZ45" s="8"/>
      <c r="GA45" s="8"/>
      <c r="GB45" s="8">
        <v>0</v>
      </c>
      <c r="GC45" s="8">
        <v>0</v>
      </c>
      <c r="GD45" s="8">
        <v>1</v>
      </c>
      <c r="GE45" s="967"/>
      <c r="GF45" s="8">
        <f t="shared" si="40"/>
        <v>1</v>
      </c>
      <c r="GG45" s="8"/>
      <c r="GH45" s="8" t="s">
        <v>107</v>
      </c>
      <c r="GI45" s="8" t="s">
        <v>107</v>
      </c>
      <c r="GJ45" s="8" t="s">
        <v>107</v>
      </c>
      <c r="GK45" s="8" t="s">
        <v>107</v>
      </c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 t="s">
        <v>107</v>
      </c>
      <c r="GY45" s="8" t="s">
        <v>107</v>
      </c>
      <c r="GZ45" s="8"/>
      <c r="HA45" s="8"/>
      <c r="HB45" s="8">
        <v>1</v>
      </c>
      <c r="HC45" s="8">
        <v>0</v>
      </c>
      <c r="HD45" s="8">
        <v>0</v>
      </c>
      <c r="HE45" s="967"/>
      <c r="HF45" s="8">
        <f t="shared" si="41"/>
        <v>0</v>
      </c>
      <c r="HG45" s="8"/>
      <c r="HH45" s="8" t="s">
        <v>107</v>
      </c>
      <c r="HI45" s="8" t="s">
        <v>107</v>
      </c>
      <c r="HJ45" s="8" t="s">
        <v>107</v>
      </c>
      <c r="HK45" s="8" t="s">
        <v>107</v>
      </c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 t="s">
        <v>107</v>
      </c>
      <c r="HY45" s="8" t="s">
        <v>107</v>
      </c>
      <c r="HZ45" s="8"/>
      <c r="IA45" s="8"/>
      <c r="IB45" s="8">
        <v>0</v>
      </c>
      <c r="IC45" s="8">
        <v>0</v>
      </c>
      <c r="ID45" s="8">
        <v>0</v>
      </c>
      <c r="IE45" s="967"/>
      <c r="IF45" s="8">
        <f t="shared" si="42"/>
        <v>0</v>
      </c>
      <c r="IG45" s="8"/>
      <c r="IH45" s="8" t="s">
        <v>107</v>
      </c>
      <c r="II45" s="8" t="s">
        <v>107</v>
      </c>
      <c r="IJ45" s="8" t="s">
        <v>107</v>
      </c>
      <c r="IK45" s="8" t="s">
        <v>107</v>
      </c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 t="s">
        <v>107</v>
      </c>
      <c r="IY45" s="8" t="s">
        <v>107</v>
      </c>
      <c r="IZ45" s="8"/>
      <c r="JA45" s="8"/>
      <c r="JB45" s="8">
        <v>0</v>
      </c>
      <c r="JC45" s="8">
        <v>0</v>
      </c>
      <c r="JD45" s="8">
        <v>0</v>
      </c>
      <c r="JE45" s="967"/>
      <c r="JF45" s="8">
        <f t="shared" si="43"/>
        <v>0</v>
      </c>
      <c r="JG45" s="8"/>
      <c r="JH45" s="8" t="s">
        <v>107</v>
      </c>
      <c r="JI45" s="8" t="s">
        <v>107</v>
      </c>
      <c r="JJ45" s="8" t="s">
        <v>107</v>
      </c>
      <c r="JK45" s="8" t="s">
        <v>107</v>
      </c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 t="s">
        <v>107</v>
      </c>
      <c r="JY45" s="8" t="s">
        <v>107</v>
      </c>
      <c r="JZ45" s="8"/>
      <c r="KA45" s="8"/>
      <c r="KB45" s="8">
        <v>0</v>
      </c>
      <c r="KC45" s="8">
        <v>0</v>
      </c>
      <c r="KD45" s="8">
        <v>0</v>
      </c>
      <c r="KE45" s="967"/>
      <c r="KF45" s="8">
        <f t="shared" si="44"/>
        <v>0</v>
      </c>
      <c r="KG45" s="8"/>
      <c r="KH45" s="8" t="s">
        <v>107</v>
      </c>
      <c r="KI45" s="8" t="s">
        <v>107</v>
      </c>
      <c r="KJ45" s="8" t="s">
        <v>107</v>
      </c>
      <c r="KK45" s="8" t="s">
        <v>107</v>
      </c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 t="s">
        <v>107</v>
      </c>
      <c r="KY45" s="8" t="s">
        <v>107</v>
      </c>
      <c r="KZ45" s="8"/>
      <c r="LA45" s="8"/>
      <c r="LB45" s="8">
        <v>0</v>
      </c>
      <c r="LC45" s="8">
        <v>0</v>
      </c>
      <c r="LD45" s="8">
        <v>0</v>
      </c>
      <c r="LE45" s="967"/>
      <c r="LF45" s="8">
        <f t="shared" si="45"/>
        <v>1</v>
      </c>
      <c r="LG45" s="8"/>
      <c r="LH45" s="8" t="s">
        <v>107</v>
      </c>
      <c r="LI45" s="8" t="s">
        <v>107</v>
      </c>
      <c r="LJ45" s="8" t="s">
        <v>107</v>
      </c>
      <c r="LK45" s="8" t="s">
        <v>107</v>
      </c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 t="s">
        <v>107</v>
      </c>
      <c r="LY45" s="8" t="s">
        <v>107</v>
      </c>
      <c r="LZ45" s="8"/>
      <c r="MA45" s="8"/>
      <c r="MB45" s="8">
        <v>0</v>
      </c>
      <c r="MC45" s="8">
        <v>1</v>
      </c>
      <c r="MD45" s="8">
        <v>0</v>
      </c>
      <c r="ME45" s="967"/>
      <c r="MF45" s="8">
        <f t="shared" si="46"/>
        <v>0</v>
      </c>
      <c r="MG45" s="8"/>
      <c r="MH45" s="8" t="s">
        <v>107</v>
      </c>
      <c r="MI45" s="8" t="s">
        <v>107</v>
      </c>
      <c r="MJ45" s="8" t="s">
        <v>107</v>
      </c>
      <c r="MK45" s="8" t="s">
        <v>107</v>
      </c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 t="s">
        <v>107</v>
      </c>
      <c r="MY45" s="8" t="s">
        <v>107</v>
      </c>
      <c r="MZ45" s="8"/>
      <c r="NA45" s="8"/>
      <c r="NB45" s="8">
        <v>0</v>
      </c>
      <c r="NC45" s="8">
        <v>0</v>
      </c>
      <c r="ND45" s="8">
        <v>0</v>
      </c>
      <c r="NE45" s="967"/>
      <c r="NF45" s="8">
        <f t="shared" si="47"/>
        <v>0</v>
      </c>
      <c r="NG45" s="8"/>
      <c r="NH45" s="8" t="s">
        <v>107</v>
      </c>
      <c r="NI45" s="8" t="s">
        <v>107</v>
      </c>
      <c r="NJ45" s="8" t="s">
        <v>107</v>
      </c>
      <c r="NK45" s="8" t="s">
        <v>107</v>
      </c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 t="s">
        <v>107</v>
      </c>
      <c r="NY45" s="8" t="s">
        <v>107</v>
      </c>
      <c r="NZ45" s="8"/>
      <c r="OA45" s="8"/>
      <c r="OB45" s="8">
        <v>0</v>
      </c>
      <c r="OC45" s="8">
        <v>0</v>
      </c>
      <c r="OD45" s="8">
        <v>0</v>
      </c>
      <c r="OE45" s="967"/>
      <c r="OF45" s="8">
        <f t="shared" si="48"/>
        <v>0</v>
      </c>
      <c r="OG45" s="8"/>
      <c r="OH45" s="8" t="s">
        <v>107</v>
      </c>
      <c r="OI45" s="8" t="s">
        <v>107</v>
      </c>
      <c r="OJ45" s="8" t="s">
        <v>107</v>
      </c>
      <c r="OK45" s="8" t="s">
        <v>107</v>
      </c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 t="s">
        <v>107</v>
      </c>
      <c r="OY45" s="8" t="s">
        <v>107</v>
      </c>
      <c r="OZ45" s="8"/>
      <c r="PA45" s="8"/>
      <c r="PB45" s="8">
        <v>0</v>
      </c>
      <c r="PC45" s="8">
        <v>0</v>
      </c>
      <c r="PD45" s="8">
        <v>0</v>
      </c>
      <c r="PE45" s="967"/>
      <c r="PF45" s="8">
        <f t="shared" si="49"/>
        <v>0</v>
      </c>
      <c r="PG45" s="8"/>
      <c r="PH45" s="8" t="s">
        <v>107</v>
      </c>
      <c r="PI45" s="8" t="s">
        <v>107</v>
      </c>
      <c r="PJ45" s="8" t="s">
        <v>107</v>
      </c>
      <c r="PK45" s="8" t="s">
        <v>107</v>
      </c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 t="s">
        <v>107</v>
      </c>
      <c r="PY45" s="8" t="s">
        <v>107</v>
      </c>
      <c r="PZ45" s="8"/>
      <c r="QA45" s="8"/>
      <c r="QB45" s="8">
        <v>0</v>
      </c>
      <c r="QC45" s="8">
        <v>0</v>
      </c>
      <c r="QD45" s="8">
        <v>0</v>
      </c>
      <c r="QE45" s="967"/>
    </row>
    <row r="46" spans="2:447" x14ac:dyDescent="0.3">
      <c r="B46">
        <v>38</v>
      </c>
      <c r="D46" t="s">
        <v>2262</v>
      </c>
      <c r="F46" s="8">
        <f t="shared" si="33"/>
        <v>13</v>
      </c>
      <c r="G46" s="8"/>
      <c r="H46" s="8" t="s">
        <v>107</v>
      </c>
      <c r="I46" s="8" t="s">
        <v>107</v>
      </c>
      <c r="J46" s="8" t="s">
        <v>107</v>
      </c>
      <c r="K46" s="8" t="s">
        <v>107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 t="s">
        <v>107</v>
      </c>
      <c r="Y46" s="8" t="s">
        <v>107</v>
      </c>
      <c r="Z46" s="8"/>
      <c r="AA46" s="8"/>
      <c r="AB46" s="8" t="s">
        <v>107</v>
      </c>
      <c r="AC46" s="8">
        <v>13</v>
      </c>
      <c r="AD46" s="8" t="s">
        <v>107</v>
      </c>
      <c r="AE46" s="967"/>
      <c r="AF46" s="8">
        <f t="shared" si="35"/>
        <v>2</v>
      </c>
      <c r="AG46" s="8"/>
      <c r="AH46" s="8" t="s">
        <v>107</v>
      </c>
      <c r="AI46" s="8" t="s">
        <v>107</v>
      </c>
      <c r="AJ46" s="8" t="s">
        <v>107</v>
      </c>
      <c r="AK46" s="8" t="s">
        <v>107</v>
      </c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 t="s">
        <v>107</v>
      </c>
      <c r="AY46" s="8" t="s">
        <v>107</v>
      </c>
      <c r="AZ46" s="8"/>
      <c r="BA46" s="8"/>
      <c r="BB46" s="8" t="s">
        <v>107</v>
      </c>
      <c r="BC46" s="8">
        <v>2</v>
      </c>
      <c r="BD46" s="8" t="s">
        <v>107</v>
      </c>
      <c r="BE46" s="967"/>
      <c r="BF46" s="8">
        <f t="shared" si="36"/>
        <v>4</v>
      </c>
      <c r="BG46" s="8"/>
      <c r="BH46" s="8" t="s">
        <v>107</v>
      </c>
      <c r="BI46" s="8"/>
      <c r="BJ46" s="8"/>
      <c r="BK46" s="8" t="s">
        <v>107</v>
      </c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 t="s">
        <v>107</v>
      </c>
      <c r="BY46" s="8" t="s">
        <v>107</v>
      </c>
      <c r="BZ46" s="8"/>
      <c r="CA46" s="8"/>
      <c r="CB46" s="8" t="s">
        <v>107</v>
      </c>
      <c r="CC46" s="8">
        <v>4</v>
      </c>
      <c r="CD46" s="8" t="s">
        <v>107</v>
      </c>
      <c r="CE46" s="967"/>
      <c r="CF46" s="8">
        <f t="shared" si="37"/>
        <v>6</v>
      </c>
      <c r="CG46" s="8"/>
      <c r="CH46" s="8" t="s">
        <v>107</v>
      </c>
      <c r="CI46" s="8"/>
      <c r="CJ46" s="8"/>
      <c r="CK46" s="8" t="s">
        <v>107</v>
      </c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 t="s">
        <v>107</v>
      </c>
      <c r="CY46" s="8" t="s">
        <v>107</v>
      </c>
      <c r="CZ46" s="8"/>
      <c r="DA46" s="8"/>
      <c r="DB46" s="8" t="s">
        <v>107</v>
      </c>
      <c r="DC46" s="8">
        <f t="shared" si="52"/>
        <v>6</v>
      </c>
      <c r="DD46" s="8" t="s">
        <v>107</v>
      </c>
      <c r="DE46" s="967"/>
      <c r="DF46" s="8">
        <f t="shared" si="38"/>
        <v>0</v>
      </c>
      <c r="DG46" s="8"/>
      <c r="DH46" s="8" t="s">
        <v>107</v>
      </c>
      <c r="DI46" s="8" t="s">
        <v>107</v>
      </c>
      <c r="DJ46" s="8" t="s">
        <v>107</v>
      </c>
      <c r="DK46" s="8" t="s">
        <v>107</v>
      </c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 t="s">
        <v>107</v>
      </c>
      <c r="DY46" s="8" t="s">
        <v>107</v>
      </c>
      <c r="DZ46" s="8"/>
      <c r="EA46" s="8"/>
      <c r="EB46" s="8" t="s">
        <v>107</v>
      </c>
      <c r="EC46" s="8">
        <v>0</v>
      </c>
      <c r="ED46" s="8" t="s">
        <v>107</v>
      </c>
      <c r="EE46" s="967"/>
      <c r="EF46" s="8">
        <f t="shared" si="39"/>
        <v>2</v>
      </c>
      <c r="EG46" s="8"/>
      <c r="EH46" s="8" t="s">
        <v>107</v>
      </c>
      <c r="EI46" s="8" t="s">
        <v>107</v>
      </c>
      <c r="EJ46" s="8" t="s">
        <v>107</v>
      </c>
      <c r="EK46" s="8" t="s">
        <v>107</v>
      </c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 t="s">
        <v>107</v>
      </c>
      <c r="EY46" s="8" t="s">
        <v>107</v>
      </c>
      <c r="EZ46" s="8"/>
      <c r="FA46" s="8"/>
      <c r="FB46" s="8" t="s">
        <v>107</v>
      </c>
      <c r="FC46" s="8">
        <v>2</v>
      </c>
      <c r="FD46" s="8" t="s">
        <v>107</v>
      </c>
      <c r="FE46" s="967"/>
      <c r="FF46" s="8">
        <f t="shared" si="34"/>
        <v>0</v>
      </c>
      <c r="FG46" s="8"/>
      <c r="FH46" s="8" t="s">
        <v>107</v>
      </c>
      <c r="FI46" s="8" t="s">
        <v>107</v>
      </c>
      <c r="FJ46" s="8" t="s">
        <v>107</v>
      </c>
      <c r="FK46" s="8" t="s">
        <v>107</v>
      </c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 t="s">
        <v>107</v>
      </c>
      <c r="FY46" s="8" t="s">
        <v>107</v>
      </c>
      <c r="FZ46" s="8"/>
      <c r="GA46" s="8"/>
      <c r="GB46" s="8" t="s">
        <v>107</v>
      </c>
      <c r="GC46" s="8">
        <v>0</v>
      </c>
      <c r="GD46" s="8" t="s">
        <v>107</v>
      </c>
      <c r="GE46" s="967"/>
      <c r="GF46" s="8">
        <f t="shared" si="40"/>
        <v>0</v>
      </c>
      <c r="GG46" s="8"/>
      <c r="GH46" s="8" t="s">
        <v>107</v>
      </c>
      <c r="GI46" s="8" t="s">
        <v>107</v>
      </c>
      <c r="GJ46" s="8" t="s">
        <v>107</v>
      </c>
      <c r="GK46" s="8" t="s">
        <v>107</v>
      </c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 t="s">
        <v>107</v>
      </c>
      <c r="GY46" s="8" t="s">
        <v>107</v>
      </c>
      <c r="GZ46" s="8"/>
      <c r="HA46" s="8"/>
      <c r="HB46" s="8" t="s">
        <v>107</v>
      </c>
      <c r="HC46" s="8">
        <v>0</v>
      </c>
      <c r="HD46" s="8" t="s">
        <v>107</v>
      </c>
      <c r="HE46" s="967"/>
      <c r="HF46" s="8">
        <f t="shared" si="41"/>
        <v>0</v>
      </c>
      <c r="HG46" s="8"/>
      <c r="HH46" s="8" t="s">
        <v>107</v>
      </c>
      <c r="HI46" s="8" t="s">
        <v>107</v>
      </c>
      <c r="HJ46" s="8" t="s">
        <v>107</v>
      </c>
      <c r="HK46" s="8" t="s">
        <v>107</v>
      </c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 t="s">
        <v>107</v>
      </c>
      <c r="HY46" s="8" t="s">
        <v>107</v>
      </c>
      <c r="HZ46" s="8"/>
      <c r="IA46" s="8"/>
      <c r="IB46" s="8" t="s">
        <v>107</v>
      </c>
      <c r="IC46" s="8">
        <v>0</v>
      </c>
      <c r="ID46" s="8" t="s">
        <v>107</v>
      </c>
      <c r="IE46" s="967"/>
      <c r="IF46" s="8">
        <f t="shared" si="42"/>
        <v>0</v>
      </c>
      <c r="IG46" s="8"/>
      <c r="IH46" s="8" t="s">
        <v>107</v>
      </c>
      <c r="II46" s="8" t="s">
        <v>107</v>
      </c>
      <c r="IJ46" s="8" t="s">
        <v>107</v>
      </c>
      <c r="IK46" s="8" t="s">
        <v>107</v>
      </c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 t="s">
        <v>107</v>
      </c>
      <c r="IY46" s="8" t="s">
        <v>107</v>
      </c>
      <c r="IZ46" s="8"/>
      <c r="JA46" s="8"/>
      <c r="JB46" s="8" t="s">
        <v>107</v>
      </c>
      <c r="JC46" s="8">
        <v>0</v>
      </c>
      <c r="JD46" s="8" t="s">
        <v>107</v>
      </c>
      <c r="JE46" s="967"/>
      <c r="JF46" s="8">
        <f t="shared" si="43"/>
        <v>0</v>
      </c>
      <c r="JG46" s="8"/>
      <c r="JH46" s="8" t="s">
        <v>107</v>
      </c>
      <c r="JI46" s="8" t="s">
        <v>107</v>
      </c>
      <c r="JJ46" s="8" t="s">
        <v>107</v>
      </c>
      <c r="JK46" s="8" t="s">
        <v>107</v>
      </c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 t="s">
        <v>107</v>
      </c>
      <c r="JY46" s="8" t="s">
        <v>107</v>
      </c>
      <c r="JZ46" s="8"/>
      <c r="KA46" s="8"/>
      <c r="KB46" s="8" t="s">
        <v>107</v>
      </c>
      <c r="KC46" s="8">
        <v>0</v>
      </c>
      <c r="KD46" s="8" t="s">
        <v>107</v>
      </c>
      <c r="KE46" s="967"/>
      <c r="KF46" s="8">
        <f t="shared" si="44"/>
        <v>0</v>
      </c>
      <c r="KG46" s="8"/>
      <c r="KH46" s="8" t="s">
        <v>107</v>
      </c>
      <c r="KI46" s="8" t="s">
        <v>107</v>
      </c>
      <c r="KJ46" s="8" t="s">
        <v>107</v>
      </c>
      <c r="KK46" s="8" t="s">
        <v>107</v>
      </c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 t="s">
        <v>107</v>
      </c>
      <c r="KY46" s="8" t="s">
        <v>107</v>
      </c>
      <c r="KZ46" s="8"/>
      <c r="LA46" s="8"/>
      <c r="LB46" s="8" t="s">
        <v>107</v>
      </c>
      <c r="LC46" s="8">
        <v>0</v>
      </c>
      <c r="LD46" s="8" t="s">
        <v>107</v>
      </c>
      <c r="LE46" s="967"/>
      <c r="LF46" s="8">
        <f t="shared" si="45"/>
        <v>0</v>
      </c>
      <c r="LG46" s="8"/>
      <c r="LH46" s="8" t="s">
        <v>107</v>
      </c>
      <c r="LI46" s="8" t="s">
        <v>107</v>
      </c>
      <c r="LJ46" s="8" t="s">
        <v>107</v>
      </c>
      <c r="LK46" s="8" t="s">
        <v>107</v>
      </c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 t="s">
        <v>107</v>
      </c>
      <c r="LY46" s="8" t="s">
        <v>107</v>
      </c>
      <c r="LZ46" s="8"/>
      <c r="MA46" s="8"/>
      <c r="MB46" s="8" t="s">
        <v>107</v>
      </c>
      <c r="MC46" s="8">
        <v>0</v>
      </c>
      <c r="MD46" s="8" t="s">
        <v>107</v>
      </c>
      <c r="ME46" s="967"/>
      <c r="MF46" s="8">
        <f t="shared" si="46"/>
        <v>0</v>
      </c>
      <c r="MG46" s="8"/>
      <c r="MH46" s="8" t="s">
        <v>107</v>
      </c>
      <c r="MI46" s="8" t="s">
        <v>107</v>
      </c>
      <c r="MJ46" s="8" t="s">
        <v>107</v>
      </c>
      <c r="MK46" s="8" t="s">
        <v>107</v>
      </c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 t="s">
        <v>107</v>
      </c>
      <c r="MY46" s="8" t="s">
        <v>107</v>
      </c>
      <c r="MZ46" s="8"/>
      <c r="NA46" s="8"/>
      <c r="NB46" s="8" t="s">
        <v>107</v>
      </c>
      <c r="NC46" s="8">
        <v>0</v>
      </c>
      <c r="ND46" s="8" t="s">
        <v>107</v>
      </c>
      <c r="NE46" s="967"/>
      <c r="NF46" s="8">
        <f t="shared" si="47"/>
        <v>0</v>
      </c>
      <c r="NG46" s="8"/>
      <c r="NH46" s="8" t="s">
        <v>107</v>
      </c>
      <c r="NI46" s="8" t="s">
        <v>107</v>
      </c>
      <c r="NJ46" s="8" t="s">
        <v>107</v>
      </c>
      <c r="NK46" s="8" t="s">
        <v>107</v>
      </c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 t="s">
        <v>107</v>
      </c>
      <c r="NY46" s="8" t="s">
        <v>107</v>
      </c>
      <c r="NZ46" s="8"/>
      <c r="OA46" s="8"/>
      <c r="OB46" s="8" t="s">
        <v>107</v>
      </c>
      <c r="OC46" s="8">
        <v>0</v>
      </c>
      <c r="OD46" s="8" t="s">
        <v>107</v>
      </c>
      <c r="OE46" s="967"/>
      <c r="OF46" s="8">
        <f t="shared" si="48"/>
        <v>0</v>
      </c>
      <c r="OG46" s="8"/>
      <c r="OH46" s="8" t="s">
        <v>107</v>
      </c>
      <c r="OI46" s="8" t="s">
        <v>107</v>
      </c>
      <c r="OJ46" s="8" t="s">
        <v>107</v>
      </c>
      <c r="OK46" s="8" t="s">
        <v>107</v>
      </c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 t="s">
        <v>107</v>
      </c>
      <c r="OY46" s="8" t="s">
        <v>107</v>
      </c>
      <c r="OZ46" s="8"/>
      <c r="PA46" s="8"/>
      <c r="PB46" s="8" t="s">
        <v>107</v>
      </c>
      <c r="PC46" s="8">
        <v>0</v>
      </c>
      <c r="PD46" s="8" t="s">
        <v>107</v>
      </c>
      <c r="PE46" s="967"/>
      <c r="PF46" s="8">
        <f t="shared" si="49"/>
        <v>0</v>
      </c>
      <c r="PG46" s="8"/>
      <c r="PH46" s="8" t="s">
        <v>107</v>
      </c>
      <c r="PI46" s="8" t="s">
        <v>107</v>
      </c>
      <c r="PJ46" s="8" t="s">
        <v>107</v>
      </c>
      <c r="PK46" s="8" t="s">
        <v>107</v>
      </c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 t="s">
        <v>107</v>
      </c>
      <c r="PY46" s="8" t="s">
        <v>107</v>
      </c>
      <c r="PZ46" s="8"/>
      <c r="QA46" s="8"/>
      <c r="QB46" s="8" t="s">
        <v>107</v>
      </c>
      <c r="QC46" s="8">
        <v>0</v>
      </c>
      <c r="QD46" s="8" t="s">
        <v>107</v>
      </c>
      <c r="QE46" s="967"/>
    </row>
    <row r="47" spans="2:447" x14ac:dyDescent="0.3">
      <c r="B47">
        <v>39</v>
      </c>
      <c r="D47" t="s">
        <v>2740</v>
      </c>
      <c r="F47" s="8">
        <f t="shared" si="33"/>
        <v>14</v>
      </c>
      <c r="G47" s="8"/>
      <c r="H47" s="8">
        <v>14</v>
      </c>
      <c r="I47" s="8" t="s">
        <v>107</v>
      </c>
      <c r="J47" s="8" t="s">
        <v>107</v>
      </c>
      <c r="K47" s="8" t="s">
        <v>107</v>
      </c>
      <c r="L47" s="8" t="s">
        <v>107</v>
      </c>
      <c r="M47" s="8" t="s">
        <v>107</v>
      </c>
      <c r="N47" s="8" t="s">
        <v>107</v>
      </c>
      <c r="O47" s="8" t="s">
        <v>107</v>
      </c>
      <c r="P47" s="8" t="s">
        <v>107</v>
      </c>
      <c r="Q47" s="8" t="s">
        <v>107</v>
      </c>
      <c r="R47" s="8" t="s">
        <v>107</v>
      </c>
      <c r="S47" s="8" t="s">
        <v>107</v>
      </c>
      <c r="T47" s="8" t="s">
        <v>107</v>
      </c>
      <c r="U47" s="8" t="s">
        <v>107</v>
      </c>
      <c r="V47" s="8" t="s">
        <v>107</v>
      </c>
      <c r="W47" s="8" t="s">
        <v>107</v>
      </c>
      <c r="X47" s="8" t="s">
        <v>107</v>
      </c>
      <c r="Y47" s="8" t="s">
        <v>107</v>
      </c>
      <c r="Z47" s="8" t="s">
        <v>107</v>
      </c>
      <c r="AA47" s="8" t="s">
        <v>107</v>
      </c>
      <c r="AB47" s="8" t="s">
        <v>107</v>
      </c>
      <c r="AC47" s="8" t="s">
        <v>107</v>
      </c>
      <c r="AD47" s="8" t="s">
        <v>107</v>
      </c>
      <c r="AE47" s="967"/>
      <c r="AF47" s="8">
        <f t="shared" si="35"/>
        <v>13</v>
      </c>
      <c r="AG47" s="8"/>
      <c r="AH47" s="8">
        <v>13</v>
      </c>
      <c r="AI47" s="8" t="s">
        <v>107</v>
      </c>
      <c r="AJ47" s="8" t="s">
        <v>107</v>
      </c>
      <c r="AK47" s="8" t="s">
        <v>107</v>
      </c>
      <c r="AL47" s="8" t="s">
        <v>107</v>
      </c>
      <c r="AM47" s="8" t="s">
        <v>107</v>
      </c>
      <c r="AN47" s="8" t="s">
        <v>107</v>
      </c>
      <c r="AO47" s="8" t="s">
        <v>107</v>
      </c>
      <c r="AP47" s="8" t="s">
        <v>107</v>
      </c>
      <c r="AQ47" s="8" t="s">
        <v>107</v>
      </c>
      <c r="AR47" s="8" t="s">
        <v>107</v>
      </c>
      <c r="AS47" s="8" t="s">
        <v>107</v>
      </c>
      <c r="AT47" s="8" t="s">
        <v>107</v>
      </c>
      <c r="AU47" s="8" t="s">
        <v>107</v>
      </c>
      <c r="AV47" s="8" t="s">
        <v>107</v>
      </c>
      <c r="AW47" s="8" t="s">
        <v>107</v>
      </c>
      <c r="AX47" s="8" t="s">
        <v>107</v>
      </c>
      <c r="AY47" s="8" t="s">
        <v>107</v>
      </c>
      <c r="AZ47" s="8" t="s">
        <v>107</v>
      </c>
      <c r="BA47" s="8" t="s">
        <v>107</v>
      </c>
      <c r="BB47" s="8" t="s">
        <v>107</v>
      </c>
      <c r="BC47" s="8" t="s">
        <v>107</v>
      </c>
      <c r="BD47" s="8" t="s">
        <v>107</v>
      </c>
      <c r="BE47" s="967"/>
      <c r="BF47" s="8">
        <f t="shared" si="36"/>
        <v>2</v>
      </c>
      <c r="BG47" s="8"/>
      <c r="BH47" s="8">
        <v>2</v>
      </c>
      <c r="BI47" s="8" t="s">
        <v>107</v>
      </c>
      <c r="BJ47" s="8" t="s">
        <v>107</v>
      </c>
      <c r="BK47" s="8" t="s">
        <v>107</v>
      </c>
      <c r="BL47" s="8" t="s">
        <v>107</v>
      </c>
      <c r="BM47" s="8" t="s">
        <v>107</v>
      </c>
      <c r="BN47" s="8" t="s">
        <v>107</v>
      </c>
      <c r="BO47" s="8" t="s">
        <v>107</v>
      </c>
      <c r="BP47" s="8" t="s">
        <v>107</v>
      </c>
      <c r="BQ47" s="8" t="s">
        <v>107</v>
      </c>
      <c r="BR47" s="8" t="s">
        <v>107</v>
      </c>
      <c r="BS47" s="8" t="s">
        <v>107</v>
      </c>
      <c r="BT47" s="8" t="s">
        <v>107</v>
      </c>
      <c r="BU47" s="8" t="s">
        <v>107</v>
      </c>
      <c r="BV47" s="8" t="s">
        <v>107</v>
      </c>
      <c r="BW47" s="8" t="s">
        <v>107</v>
      </c>
      <c r="BX47" s="8" t="s">
        <v>107</v>
      </c>
      <c r="BY47" s="8" t="s">
        <v>107</v>
      </c>
      <c r="BZ47" s="8" t="s">
        <v>107</v>
      </c>
      <c r="CA47" s="8" t="s">
        <v>107</v>
      </c>
      <c r="CB47" s="8" t="s">
        <v>107</v>
      </c>
      <c r="CC47" s="8" t="s">
        <v>107</v>
      </c>
      <c r="CD47" s="8" t="s">
        <v>107</v>
      </c>
      <c r="CE47" s="967"/>
      <c r="CF47" s="8">
        <f t="shared" si="37"/>
        <v>15</v>
      </c>
      <c r="CG47" s="8"/>
      <c r="CH47" s="8">
        <v>15</v>
      </c>
      <c r="CI47" s="8" t="s">
        <v>107</v>
      </c>
      <c r="CJ47" s="8" t="s">
        <v>107</v>
      </c>
      <c r="CK47" s="8" t="s">
        <v>107</v>
      </c>
      <c r="CL47" s="8" t="s">
        <v>107</v>
      </c>
      <c r="CM47" s="8" t="s">
        <v>107</v>
      </c>
      <c r="CN47" s="8" t="s">
        <v>107</v>
      </c>
      <c r="CO47" s="8" t="s">
        <v>107</v>
      </c>
      <c r="CP47" s="8" t="s">
        <v>107</v>
      </c>
      <c r="CQ47" s="8" t="s">
        <v>107</v>
      </c>
      <c r="CR47" s="8" t="s">
        <v>107</v>
      </c>
      <c r="CS47" s="8" t="s">
        <v>107</v>
      </c>
      <c r="CT47" s="8" t="s">
        <v>107</v>
      </c>
      <c r="CU47" s="8" t="s">
        <v>107</v>
      </c>
      <c r="CV47" s="8" t="s">
        <v>107</v>
      </c>
      <c r="CW47" s="8" t="s">
        <v>107</v>
      </c>
      <c r="CX47" s="8" t="s">
        <v>107</v>
      </c>
      <c r="CY47" s="8" t="s">
        <v>107</v>
      </c>
      <c r="CZ47" s="8" t="s">
        <v>107</v>
      </c>
      <c r="DA47" s="8" t="s">
        <v>107</v>
      </c>
      <c r="DB47" s="8" t="s">
        <v>107</v>
      </c>
      <c r="DC47" s="8" t="s">
        <v>107</v>
      </c>
      <c r="DD47" s="8" t="s">
        <v>107</v>
      </c>
      <c r="DE47" s="967"/>
      <c r="DF47" s="8">
        <f t="shared" si="38"/>
        <v>0</v>
      </c>
      <c r="DG47" s="8"/>
      <c r="DH47" s="8">
        <v>0</v>
      </c>
      <c r="DI47" s="8" t="s">
        <v>107</v>
      </c>
      <c r="DJ47" s="8" t="s">
        <v>107</v>
      </c>
      <c r="DK47" s="8" t="s">
        <v>107</v>
      </c>
      <c r="DL47" s="8" t="s">
        <v>107</v>
      </c>
      <c r="DM47" s="8" t="s">
        <v>107</v>
      </c>
      <c r="DN47" s="8" t="s">
        <v>107</v>
      </c>
      <c r="DO47" s="8" t="s">
        <v>107</v>
      </c>
      <c r="DP47" s="8" t="s">
        <v>107</v>
      </c>
      <c r="DQ47" s="8" t="s">
        <v>107</v>
      </c>
      <c r="DR47" s="8" t="s">
        <v>107</v>
      </c>
      <c r="DS47" s="8" t="s">
        <v>107</v>
      </c>
      <c r="DT47" s="8" t="s">
        <v>107</v>
      </c>
      <c r="DU47" s="8" t="s">
        <v>107</v>
      </c>
      <c r="DV47" s="8" t="s">
        <v>107</v>
      </c>
      <c r="DW47" s="8" t="s">
        <v>107</v>
      </c>
      <c r="DX47" s="8" t="s">
        <v>107</v>
      </c>
      <c r="DY47" s="8" t="s">
        <v>107</v>
      </c>
      <c r="DZ47" s="8" t="s">
        <v>107</v>
      </c>
      <c r="EA47" s="8" t="s">
        <v>107</v>
      </c>
      <c r="EB47" s="8" t="s">
        <v>107</v>
      </c>
      <c r="EC47" s="8" t="s">
        <v>107</v>
      </c>
      <c r="ED47" s="8" t="s">
        <v>107</v>
      </c>
      <c r="EE47" s="967"/>
      <c r="EF47" s="8">
        <f t="shared" si="39"/>
        <v>0</v>
      </c>
      <c r="EG47" s="8"/>
      <c r="EH47" s="8">
        <v>0</v>
      </c>
      <c r="EI47" s="8" t="s">
        <v>107</v>
      </c>
      <c r="EJ47" s="8" t="s">
        <v>107</v>
      </c>
      <c r="EK47" s="8" t="s">
        <v>107</v>
      </c>
      <c r="EL47" s="8" t="s">
        <v>107</v>
      </c>
      <c r="EM47" s="8" t="s">
        <v>107</v>
      </c>
      <c r="EN47" s="8" t="s">
        <v>107</v>
      </c>
      <c r="EO47" s="8" t="s">
        <v>107</v>
      </c>
      <c r="EP47" s="8" t="s">
        <v>107</v>
      </c>
      <c r="EQ47" s="8" t="s">
        <v>107</v>
      </c>
      <c r="ER47" s="8" t="s">
        <v>107</v>
      </c>
      <c r="ES47" s="8" t="s">
        <v>107</v>
      </c>
      <c r="ET47" s="8" t="s">
        <v>107</v>
      </c>
      <c r="EU47" s="8" t="s">
        <v>107</v>
      </c>
      <c r="EV47" s="8" t="s">
        <v>107</v>
      </c>
      <c r="EW47" s="8" t="s">
        <v>107</v>
      </c>
      <c r="EX47" s="8" t="s">
        <v>107</v>
      </c>
      <c r="EY47" s="8" t="s">
        <v>107</v>
      </c>
      <c r="EZ47" s="8" t="s">
        <v>107</v>
      </c>
      <c r="FA47" s="8" t="s">
        <v>107</v>
      </c>
      <c r="FB47" s="8" t="s">
        <v>107</v>
      </c>
      <c r="FC47" s="8" t="s">
        <v>107</v>
      </c>
      <c r="FD47" s="8" t="s">
        <v>107</v>
      </c>
      <c r="FE47" s="967"/>
      <c r="FF47" s="8">
        <f t="shared" si="34"/>
        <v>0</v>
      </c>
      <c r="FG47" s="8"/>
      <c r="FH47" s="8">
        <v>0</v>
      </c>
      <c r="FI47" s="8" t="s">
        <v>107</v>
      </c>
      <c r="FJ47" s="8" t="s">
        <v>107</v>
      </c>
      <c r="FK47" s="8" t="s">
        <v>107</v>
      </c>
      <c r="FL47" s="8" t="s">
        <v>107</v>
      </c>
      <c r="FM47" s="8" t="s">
        <v>107</v>
      </c>
      <c r="FN47" s="8" t="s">
        <v>107</v>
      </c>
      <c r="FO47" s="8" t="s">
        <v>107</v>
      </c>
      <c r="FP47" s="8" t="s">
        <v>107</v>
      </c>
      <c r="FQ47" s="8" t="s">
        <v>107</v>
      </c>
      <c r="FR47" s="8" t="s">
        <v>107</v>
      </c>
      <c r="FS47" s="8" t="s">
        <v>107</v>
      </c>
      <c r="FT47" s="8" t="s">
        <v>107</v>
      </c>
      <c r="FU47" s="8" t="s">
        <v>107</v>
      </c>
      <c r="FV47" s="8" t="s">
        <v>107</v>
      </c>
      <c r="FW47" s="8" t="s">
        <v>107</v>
      </c>
      <c r="FX47" s="8" t="s">
        <v>107</v>
      </c>
      <c r="FY47" s="8" t="s">
        <v>107</v>
      </c>
      <c r="FZ47" s="8" t="s">
        <v>107</v>
      </c>
      <c r="GA47" s="8" t="s">
        <v>107</v>
      </c>
      <c r="GB47" s="8" t="s">
        <v>107</v>
      </c>
      <c r="GC47" s="8" t="s">
        <v>107</v>
      </c>
      <c r="GD47" s="8" t="s">
        <v>107</v>
      </c>
      <c r="GE47" s="967"/>
      <c r="GF47" s="8">
        <f t="shared" si="40"/>
        <v>0</v>
      </c>
      <c r="GG47" s="8"/>
      <c r="GH47" s="8">
        <v>0</v>
      </c>
      <c r="GI47" s="8" t="s">
        <v>107</v>
      </c>
      <c r="GJ47" s="8" t="s">
        <v>107</v>
      </c>
      <c r="GK47" s="8" t="s">
        <v>107</v>
      </c>
      <c r="GL47" s="8" t="s">
        <v>107</v>
      </c>
      <c r="GM47" s="8" t="s">
        <v>107</v>
      </c>
      <c r="GN47" s="8" t="s">
        <v>107</v>
      </c>
      <c r="GO47" s="8" t="s">
        <v>107</v>
      </c>
      <c r="GP47" s="8" t="s">
        <v>107</v>
      </c>
      <c r="GQ47" s="8" t="s">
        <v>107</v>
      </c>
      <c r="GR47" s="8" t="s">
        <v>107</v>
      </c>
      <c r="GS47" s="8" t="s">
        <v>107</v>
      </c>
      <c r="GT47" s="8" t="s">
        <v>107</v>
      </c>
      <c r="GU47" s="8" t="s">
        <v>107</v>
      </c>
      <c r="GV47" s="8" t="s">
        <v>107</v>
      </c>
      <c r="GW47" s="8" t="s">
        <v>107</v>
      </c>
      <c r="GX47" s="8" t="s">
        <v>107</v>
      </c>
      <c r="GY47" s="8" t="s">
        <v>107</v>
      </c>
      <c r="GZ47" s="8" t="s">
        <v>107</v>
      </c>
      <c r="HA47" s="8" t="s">
        <v>107</v>
      </c>
      <c r="HB47" s="8" t="s">
        <v>107</v>
      </c>
      <c r="HC47" s="8" t="s">
        <v>107</v>
      </c>
      <c r="HD47" s="8" t="s">
        <v>107</v>
      </c>
      <c r="HE47" s="967"/>
      <c r="HF47" s="8">
        <f t="shared" si="41"/>
        <v>0</v>
      </c>
      <c r="HG47" s="8"/>
      <c r="HH47" s="8">
        <v>0</v>
      </c>
      <c r="HI47" s="8" t="s">
        <v>107</v>
      </c>
      <c r="HJ47" s="8" t="s">
        <v>107</v>
      </c>
      <c r="HK47" s="8" t="s">
        <v>107</v>
      </c>
      <c r="HL47" s="8" t="s">
        <v>107</v>
      </c>
      <c r="HM47" s="8" t="s">
        <v>107</v>
      </c>
      <c r="HN47" s="8" t="s">
        <v>107</v>
      </c>
      <c r="HO47" s="8" t="s">
        <v>107</v>
      </c>
      <c r="HP47" s="8" t="s">
        <v>107</v>
      </c>
      <c r="HQ47" s="8" t="s">
        <v>107</v>
      </c>
      <c r="HR47" s="8" t="s">
        <v>107</v>
      </c>
      <c r="HS47" s="8" t="s">
        <v>107</v>
      </c>
      <c r="HT47" s="8" t="s">
        <v>107</v>
      </c>
      <c r="HU47" s="8" t="s">
        <v>107</v>
      </c>
      <c r="HV47" s="8" t="s">
        <v>107</v>
      </c>
      <c r="HW47" s="8" t="s">
        <v>107</v>
      </c>
      <c r="HX47" s="8" t="s">
        <v>107</v>
      </c>
      <c r="HY47" s="8" t="s">
        <v>107</v>
      </c>
      <c r="HZ47" s="8" t="s">
        <v>107</v>
      </c>
      <c r="IA47" s="8" t="s">
        <v>107</v>
      </c>
      <c r="IB47" s="8" t="s">
        <v>107</v>
      </c>
      <c r="IC47" s="8" t="s">
        <v>107</v>
      </c>
      <c r="ID47" s="8" t="s">
        <v>107</v>
      </c>
      <c r="IE47" s="967"/>
      <c r="IF47" s="8">
        <f t="shared" si="42"/>
        <v>0</v>
      </c>
      <c r="IG47" s="8"/>
      <c r="IH47" s="8">
        <v>0</v>
      </c>
      <c r="II47" s="8" t="s">
        <v>107</v>
      </c>
      <c r="IJ47" s="8" t="s">
        <v>107</v>
      </c>
      <c r="IK47" s="8" t="s">
        <v>107</v>
      </c>
      <c r="IL47" s="8" t="s">
        <v>107</v>
      </c>
      <c r="IM47" s="8" t="s">
        <v>107</v>
      </c>
      <c r="IN47" s="8" t="s">
        <v>107</v>
      </c>
      <c r="IO47" s="8" t="s">
        <v>107</v>
      </c>
      <c r="IP47" s="8" t="s">
        <v>107</v>
      </c>
      <c r="IQ47" s="8" t="s">
        <v>107</v>
      </c>
      <c r="IR47" s="8" t="s">
        <v>107</v>
      </c>
      <c r="IS47" s="8" t="s">
        <v>107</v>
      </c>
      <c r="IT47" s="8" t="s">
        <v>107</v>
      </c>
      <c r="IU47" s="8" t="s">
        <v>107</v>
      </c>
      <c r="IV47" s="8" t="s">
        <v>107</v>
      </c>
      <c r="IW47" s="8" t="s">
        <v>107</v>
      </c>
      <c r="IX47" s="8" t="s">
        <v>107</v>
      </c>
      <c r="IY47" s="8" t="s">
        <v>107</v>
      </c>
      <c r="IZ47" s="8" t="s">
        <v>107</v>
      </c>
      <c r="JA47" s="8" t="s">
        <v>107</v>
      </c>
      <c r="JB47" s="8" t="s">
        <v>107</v>
      </c>
      <c r="JC47" s="8" t="s">
        <v>107</v>
      </c>
      <c r="JD47" s="8" t="s">
        <v>107</v>
      </c>
      <c r="JE47" s="967"/>
      <c r="JF47" s="8">
        <f t="shared" si="43"/>
        <v>0</v>
      </c>
      <c r="JG47" s="8"/>
      <c r="JH47" s="8">
        <v>0</v>
      </c>
      <c r="JI47" s="8" t="s">
        <v>107</v>
      </c>
      <c r="JJ47" s="8" t="s">
        <v>107</v>
      </c>
      <c r="JK47" s="8" t="s">
        <v>107</v>
      </c>
      <c r="JL47" s="8" t="s">
        <v>107</v>
      </c>
      <c r="JM47" s="8" t="s">
        <v>107</v>
      </c>
      <c r="JN47" s="8" t="s">
        <v>107</v>
      </c>
      <c r="JO47" s="8" t="s">
        <v>107</v>
      </c>
      <c r="JP47" s="8" t="s">
        <v>107</v>
      </c>
      <c r="JQ47" s="8" t="s">
        <v>107</v>
      </c>
      <c r="JR47" s="8" t="s">
        <v>107</v>
      </c>
      <c r="JS47" s="8" t="s">
        <v>107</v>
      </c>
      <c r="JT47" s="8" t="s">
        <v>107</v>
      </c>
      <c r="JU47" s="8" t="s">
        <v>107</v>
      </c>
      <c r="JV47" s="8" t="s">
        <v>107</v>
      </c>
      <c r="JW47" s="8" t="s">
        <v>107</v>
      </c>
      <c r="JX47" s="8" t="s">
        <v>107</v>
      </c>
      <c r="JY47" s="8" t="s">
        <v>107</v>
      </c>
      <c r="JZ47" s="8" t="s">
        <v>107</v>
      </c>
      <c r="KA47" s="8" t="s">
        <v>107</v>
      </c>
      <c r="KB47" s="8" t="s">
        <v>107</v>
      </c>
      <c r="KC47" s="8" t="s">
        <v>107</v>
      </c>
      <c r="KD47" s="8" t="s">
        <v>107</v>
      </c>
      <c r="KE47" s="967"/>
      <c r="KF47" s="8">
        <f t="shared" si="44"/>
        <v>0</v>
      </c>
      <c r="KG47" s="8"/>
      <c r="KH47" s="8">
        <v>0</v>
      </c>
      <c r="KI47" s="8" t="s">
        <v>107</v>
      </c>
      <c r="KJ47" s="8" t="s">
        <v>107</v>
      </c>
      <c r="KK47" s="8" t="s">
        <v>107</v>
      </c>
      <c r="KL47" s="8" t="s">
        <v>107</v>
      </c>
      <c r="KM47" s="8" t="s">
        <v>107</v>
      </c>
      <c r="KN47" s="8" t="s">
        <v>107</v>
      </c>
      <c r="KO47" s="8" t="s">
        <v>107</v>
      </c>
      <c r="KP47" s="8" t="s">
        <v>107</v>
      </c>
      <c r="KQ47" s="8" t="s">
        <v>107</v>
      </c>
      <c r="KR47" s="8" t="s">
        <v>107</v>
      </c>
      <c r="KS47" s="8" t="s">
        <v>107</v>
      </c>
      <c r="KT47" s="8" t="s">
        <v>107</v>
      </c>
      <c r="KU47" s="8" t="s">
        <v>107</v>
      </c>
      <c r="KV47" s="8" t="s">
        <v>107</v>
      </c>
      <c r="KW47" s="8" t="s">
        <v>107</v>
      </c>
      <c r="KX47" s="8" t="s">
        <v>107</v>
      </c>
      <c r="KY47" s="8" t="s">
        <v>107</v>
      </c>
      <c r="KZ47" s="8" t="s">
        <v>107</v>
      </c>
      <c r="LA47" s="8" t="s">
        <v>107</v>
      </c>
      <c r="LB47" s="8" t="s">
        <v>107</v>
      </c>
      <c r="LC47" s="8" t="s">
        <v>107</v>
      </c>
      <c r="LD47" s="8" t="s">
        <v>107</v>
      </c>
      <c r="LE47" s="967"/>
      <c r="LF47" s="8">
        <f t="shared" si="45"/>
        <v>0</v>
      </c>
      <c r="LG47" s="8"/>
      <c r="LH47" s="8">
        <v>0</v>
      </c>
      <c r="LI47" s="8" t="s">
        <v>107</v>
      </c>
      <c r="LJ47" s="8" t="s">
        <v>107</v>
      </c>
      <c r="LK47" s="8" t="s">
        <v>107</v>
      </c>
      <c r="LL47" s="8" t="s">
        <v>107</v>
      </c>
      <c r="LM47" s="8" t="s">
        <v>107</v>
      </c>
      <c r="LN47" s="8" t="s">
        <v>107</v>
      </c>
      <c r="LO47" s="8" t="s">
        <v>107</v>
      </c>
      <c r="LP47" s="8" t="s">
        <v>107</v>
      </c>
      <c r="LQ47" s="8" t="s">
        <v>107</v>
      </c>
      <c r="LR47" s="8" t="s">
        <v>107</v>
      </c>
      <c r="LS47" s="8" t="s">
        <v>107</v>
      </c>
      <c r="LT47" s="8" t="s">
        <v>107</v>
      </c>
      <c r="LU47" s="8" t="s">
        <v>107</v>
      </c>
      <c r="LV47" s="8" t="s">
        <v>107</v>
      </c>
      <c r="LW47" s="8" t="s">
        <v>107</v>
      </c>
      <c r="LX47" s="8" t="s">
        <v>107</v>
      </c>
      <c r="LY47" s="8" t="s">
        <v>107</v>
      </c>
      <c r="LZ47" s="8" t="s">
        <v>107</v>
      </c>
      <c r="MA47" s="8" t="s">
        <v>107</v>
      </c>
      <c r="MB47" s="8" t="s">
        <v>107</v>
      </c>
      <c r="MC47" s="8" t="s">
        <v>107</v>
      </c>
      <c r="MD47" s="8" t="s">
        <v>107</v>
      </c>
      <c r="ME47" s="967"/>
      <c r="MF47" s="8">
        <f t="shared" si="46"/>
        <v>0</v>
      </c>
      <c r="MG47" s="8"/>
      <c r="MH47" s="8">
        <v>0</v>
      </c>
      <c r="MI47" s="8" t="s">
        <v>107</v>
      </c>
      <c r="MJ47" s="8" t="s">
        <v>107</v>
      </c>
      <c r="MK47" s="8" t="s">
        <v>107</v>
      </c>
      <c r="ML47" s="8" t="s">
        <v>107</v>
      </c>
      <c r="MM47" s="8" t="s">
        <v>107</v>
      </c>
      <c r="MN47" s="8" t="s">
        <v>107</v>
      </c>
      <c r="MO47" s="8" t="s">
        <v>107</v>
      </c>
      <c r="MP47" s="8" t="s">
        <v>107</v>
      </c>
      <c r="MQ47" s="8" t="s">
        <v>107</v>
      </c>
      <c r="MR47" s="8" t="s">
        <v>107</v>
      </c>
      <c r="MS47" s="8" t="s">
        <v>107</v>
      </c>
      <c r="MT47" s="8" t="s">
        <v>107</v>
      </c>
      <c r="MU47" s="8" t="s">
        <v>107</v>
      </c>
      <c r="MV47" s="8" t="s">
        <v>107</v>
      </c>
      <c r="MW47" s="8" t="s">
        <v>107</v>
      </c>
      <c r="MX47" s="8" t="s">
        <v>107</v>
      </c>
      <c r="MY47" s="8" t="s">
        <v>107</v>
      </c>
      <c r="MZ47" s="8" t="s">
        <v>107</v>
      </c>
      <c r="NA47" s="8" t="s">
        <v>107</v>
      </c>
      <c r="NB47" s="8" t="s">
        <v>107</v>
      </c>
      <c r="NC47" s="8" t="s">
        <v>107</v>
      </c>
      <c r="ND47" s="8" t="s">
        <v>107</v>
      </c>
      <c r="NE47" s="967"/>
      <c r="NF47" s="8">
        <f t="shared" si="47"/>
        <v>2</v>
      </c>
      <c r="NG47" s="8"/>
      <c r="NH47" s="8">
        <v>2</v>
      </c>
      <c r="NI47" s="8" t="s">
        <v>107</v>
      </c>
      <c r="NJ47" s="8" t="s">
        <v>107</v>
      </c>
      <c r="NK47" s="8" t="s">
        <v>107</v>
      </c>
      <c r="NL47" s="8" t="s">
        <v>107</v>
      </c>
      <c r="NM47" s="8" t="s">
        <v>107</v>
      </c>
      <c r="NN47" s="8" t="s">
        <v>107</v>
      </c>
      <c r="NO47" s="8" t="s">
        <v>107</v>
      </c>
      <c r="NP47" s="8" t="s">
        <v>107</v>
      </c>
      <c r="NQ47" s="8" t="s">
        <v>107</v>
      </c>
      <c r="NR47" s="8" t="s">
        <v>107</v>
      </c>
      <c r="NS47" s="8" t="s">
        <v>107</v>
      </c>
      <c r="NT47" s="8" t="s">
        <v>107</v>
      </c>
      <c r="NU47" s="8" t="s">
        <v>107</v>
      </c>
      <c r="NV47" s="8" t="s">
        <v>107</v>
      </c>
      <c r="NW47" s="8" t="s">
        <v>107</v>
      </c>
      <c r="NX47" s="8" t="s">
        <v>107</v>
      </c>
      <c r="NY47" s="8" t="s">
        <v>107</v>
      </c>
      <c r="NZ47" s="8" t="s">
        <v>107</v>
      </c>
      <c r="OA47" s="8" t="s">
        <v>107</v>
      </c>
      <c r="OB47" s="8" t="s">
        <v>107</v>
      </c>
      <c r="OC47" s="8" t="s">
        <v>107</v>
      </c>
      <c r="OD47" s="8" t="s">
        <v>107</v>
      </c>
      <c r="OE47" s="967"/>
      <c r="OF47" s="8">
        <f t="shared" si="48"/>
        <v>0</v>
      </c>
      <c r="OG47" s="8"/>
      <c r="OH47" s="8">
        <v>0</v>
      </c>
      <c r="OI47" s="8" t="s">
        <v>107</v>
      </c>
      <c r="OJ47" s="8" t="s">
        <v>107</v>
      </c>
      <c r="OK47" s="8" t="s">
        <v>107</v>
      </c>
      <c r="OL47" s="8" t="s">
        <v>107</v>
      </c>
      <c r="OM47" s="8" t="s">
        <v>107</v>
      </c>
      <c r="ON47" s="8" t="s">
        <v>107</v>
      </c>
      <c r="OO47" s="8" t="s">
        <v>107</v>
      </c>
      <c r="OP47" s="8" t="s">
        <v>107</v>
      </c>
      <c r="OQ47" s="8" t="s">
        <v>107</v>
      </c>
      <c r="OR47" s="8" t="s">
        <v>107</v>
      </c>
      <c r="OS47" s="8" t="s">
        <v>107</v>
      </c>
      <c r="OT47" s="8" t="s">
        <v>107</v>
      </c>
      <c r="OU47" s="8" t="s">
        <v>107</v>
      </c>
      <c r="OV47" s="8" t="s">
        <v>107</v>
      </c>
      <c r="OW47" s="8" t="s">
        <v>107</v>
      </c>
      <c r="OX47" s="8" t="s">
        <v>107</v>
      </c>
      <c r="OY47" s="8" t="s">
        <v>107</v>
      </c>
      <c r="OZ47" s="8" t="s">
        <v>107</v>
      </c>
      <c r="PA47" s="8" t="s">
        <v>107</v>
      </c>
      <c r="PB47" s="8" t="s">
        <v>107</v>
      </c>
      <c r="PC47" s="8" t="s">
        <v>107</v>
      </c>
      <c r="PD47" s="8" t="s">
        <v>107</v>
      </c>
      <c r="PE47" s="967"/>
      <c r="PF47" s="8">
        <f t="shared" si="49"/>
        <v>0</v>
      </c>
      <c r="PG47" s="8"/>
      <c r="PH47" s="8">
        <v>0</v>
      </c>
      <c r="PI47" s="8" t="s">
        <v>107</v>
      </c>
      <c r="PJ47" s="8" t="s">
        <v>107</v>
      </c>
      <c r="PK47" s="8" t="s">
        <v>107</v>
      </c>
      <c r="PL47" s="8" t="s">
        <v>107</v>
      </c>
      <c r="PM47" s="8" t="s">
        <v>107</v>
      </c>
      <c r="PN47" s="8" t="s">
        <v>107</v>
      </c>
      <c r="PO47" s="8" t="s">
        <v>107</v>
      </c>
      <c r="PP47" s="8" t="s">
        <v>107</v>
      </c>
      <c r="PQ47" s="8" t="s">
        <v>107</v>
      </c>
      <c r="PR47" s="8" t="s">
        <v>107</v>
      </c>
      <c r="PS47" s="8" t="s">
        <v>107</v>
      </c>
      <c r="PT47" s="8" t="s">
        <v>107</v>
      </c>
      <c r="PU47" s="8" t="s">
        <v>107</v>
      </c>
      <c r="PV47" s="8" t="s">
        <v>107</v>
      </c>
      <c r="PW47" s="8" t="s">
        <v>107</v>
      </c>
      <c r="PX47" s="8" t="s">
        <v>107</v>
      </c>
      <c r="PY47" s="8" t="s">
        <v>107</v>
      </c>
      <c r="PZ47" s="8" t="s">
        <v>107</v>
      </c>
      <c r="QA47" s="8" t="s">
        <v>107</v>
      </c>
      <c r="QB47" s="8" t="s">
        <v>107</v>
      </c>
      <c r="QC47" s="8" t="s">
        <v>107</v>
      </c>
      <c r="QD47" s="8" t="s">
        <v>107</v>
      </c>
      <c r="QE47" s="967"/>
    </row>
    <row r="48" spans="2:447" x14ac:dyDescent="0.3">
      <c r="B48">
        <v>40</v>
      </c>
      <c r="D48" t="s">
        <v>2259</v>
      </c>
      <c r="F48" s="8">
        <f t="shared" si="33"/>
        <v>26</v>
      </c>
      <c r="G48" s="8"/>
      <c r="H48" s="8" t="s">
        <v>107</v>
      </c>
      <c r="I48" s="8" t="s">
        <v>107</v>
      </c>
      <c r="J48" s="8" t="s">
        <v>107</v>
      </c>
      <c r="K48" s="8" t="s">
        <v>107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 t="s">
        <v>107</v>
      </c>
      <c r="Y48" s="8" t="s">
        <v>107</v>
      </c>
      <c r="Z48" s="8"/>
      <c r="AA48" s="8"/>
      <c r="AB48" s="8">
        <v>12</v>
      </c>
      <c r="AC48" s="8">
        <v>14</v>
      </c>
      <c r="AD48" s="8" t="s">
        <v>107</v>
      </c>
      <c r="AE48" s="967"/>
      <c r="AF48" s="8">
        <f t="shared" si="35"/>
        <v>11</v>
      </c>
      <c r="AG48" s="8"/>
      <c r="AH48" s="8" t="s">
        <v>107</v>
      </c>
      <c r="AI48" s="8" t="s">
        <v>107</v>
      </c>
      <c r="AJ48" s="8" t="s">
        <v>107</v>
      </c>
      <c r="AK48" s="8" t="s">
        <v>107</v>
      </c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 t="s">
        <v>107</v>
      </c>
      <c r="AY48" s="8" t="s">
        <v>107</v>
      </c>
      <c r="AZ48" s="8"/>
      <c r="BA48" s="8"/>
      <c r="BB48" s="8">
        <v>5</v>
      </c>
      <c r="BC48" s="8">
        <v>6</v>
      </c>
      <c r="BD48" s="8" t="s">
        <v>107</v>
      </c>
      <c r="BE48" s="967"/>
      <c r="BF48" s="8">
        <f t="shared" si="36"/>
        <v>15</v>
      </c>
      <c r="BG48" s="8"/>
      <c r="BH48" s="8" t="s">
        <v>107</v>
      </c>
      <c r="BI48" s="8"/>
      <c r="BJ48" s="8"/>
      <c r="BK48" s="8" t="s">
        <v>107</v>
      </c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 t="s">
        <v>107</v>
      </c>
      <c r="BY48" s="8" t="s">
        <v>107</v>
      </c>
      <c r="BZ48" s="8"/>
      <c r="CA48" s="8"/>
      <c r="CB48" s="8">
        <v>11</v>
      </c>
      <c r="CC48" s="8">
        <v>4</v>
      </c>
      <c r="CD48" s="8" t="s">
        <v>107</v>
      </c>
      <c r="CE48" s="967"/>
      <c r="CF48" s="8">
        <f t="shared" si="37"/>
        <v>26</v>
      </c>
      <c r="CG48" s="8"/>
      <c r="CH48" s="8" t="s">
        <v>107</v>
      </c>
      <c r="CI48" s="8"/>
      <c r="CJ48" s="8"/>
      <c r="CK48" s="8" t="s">
        <v>107</v>
      </c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 t="s">
        <v>107</v>
      </c>
      <c r="CY48" s="8" t="s">
        <v>107</v>
      </c>
      <c r="CZ48" s="8"/>
      <c r="DA48" s="8"/>
      <c r="DB48" s="8">
        <f t="shared" si="51"/>
        <v>16</v>
      </c>
      <c r="DC48" s="8">
        <f t="shared" si="52"/>
        <v>10</v>
      </c>
      <c r="DD48" s="8" t="s">
        <v>107</v>
      </c>
      <c r="DE48" s="967"/>
      <c r="DF48" s="8">
        <f t="shared" si="38"/>
        <v>0</v>
      </c>
      <c r="DG48" s="8"/>
      <c r="DH48" s="8" t="s">
        <v>107</v>
      </c>
      <c r="DI48" s="8" t="s">
        <v>107</v>
      </c>
      <c r="DJ48" s="8" t="s">
        <v>107</v>
      </c>
      <c r="DK48" s="8" t="s">
        <v>107</v>
      </c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 t="s">
        <v>107</v>
      </c>
      <c r="DY48" s="8" t="s">
        <v>107</v>
      </c>
      <c r="DZ48" s="8"/>
      <c r="EA48" s="8"/>
      <c r="EB48" s="8">
        <v>0</v>
      </c>
      <c r="EC48" s="8">
        <v>0</v>
      </c>
      <c r="ED48" s="8" t="s">
        <v>107</v>
      </c>
      <c r="EE48" s="967"/>
      <c r="EF48" s="8">
        <f t="shared" si="39"/>
        <v>4</v>
      </c>
      <c r="EG48" s="8"/>
      <c r="EH48" s="8" t="s">
        <v>107</v>
      </c>
      <c r="EI48" s="8" t="s">
        <v>107</v>
      </c>
      <c r="EJ48" s="8" t="s">
        <v>107</v>
      </c>
      <c r="EK48" s="8" t="s">
        <v>107</v>
      </c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 t="s">
        <v>107</v>
      </c>
      <c r="EY48" s="8" t="s">
        <v>107</v>
      </c>
      <c r="EZ48" s="8"/>
      <c r="FA48" s="8"/>
      <c r="FB48" s="8">
        <v>2</v>
      </c>
      <c r="FC48" s="8">
        <v>2</v>
      </c>
      <c r="FD48" s="8" t="s">
        <v>107</v>
      </c>
      <c r="FE48" s="967"/>
      <c r="FF48" s="8">
        <f t="shared" si="34"/>
        <v>1</v>
      </c>
      <c r="FG48" s="8"/>
      <c r="FH48" s="8" t="s">
        <v>107</v>
      </c>
      <c r="FI48" s="8" t="s">
        <v>107</v>
      </c>
      <c r="FJ48" s="8" t="s">
        <v>107</v>
      </c>
      <c r="FK48" s="8" t="s">
        <v>107</v>
      </c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 t="s">
        <v>107</v>
      </c>
      <c r="FY48" s="8" t="s">
        <v>107</v>
      </c>
      <c r="FZ48" s="8"/>
      <c r="GA48" s="8"/>
      <c r="GB48" s="8">
        <v>1</v>
      </c>
      <c r="GC48" s="8">
        <v>0</v>
      </c>
      <c r="GD48" s="8" t="s">
        <v>107</v>
      </c>
      <c r="GE48" s="967"/>
      <c r="GF48" s="8">
        <f t="shared" si="40"/>
        <v>2</v>
      </c>
      <c r="GG48" s="8"/>
      <c r="GH48" s="8" t="s">
        <v>107</v>
      </c>
      <c r="GI48" s="8" t="s">
        <v>107</v>
      </c>
      <c r="GJ48" s="8" t="s">
        <v>107</v>
      </c>
      <c r="GK48" s="8" t="s">
        <v>107</v>
      </c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 t="s">
        <v>107</v>
      </c>
      <c r="GY48" s="8" t="s">
        <v>107</v>
      </c>
      <c r="GZ48" s="8"/>
      <c r="HA48" s="8"/>
      <c r="HB48" s="8">
        <v>0</v>
      </c>
      <c r="HC48" s="8">
        <v>2</v>
      </c>
      <c r="HD48" s="8" t="s">
        <v>107</v>
      </c>
      <c r="HE48" s="967"/>
      <c r="HF48" s="8">
        <f t="shared" si="41"/>
        <v>1</v>
      </c>
      <c r="HG48" s="8"/>
      <c r="HH48" s="8" t="s">
        <v>107</v>
      </c>
      <c r="HI48" s="8" t="s">
        <v>107</v>
      </c>
      <c r="HJ48" s="8" t="s">
        <v>107</v>
      </c>
      <c r="HK48" s="8" t="s">
        <v>107</v>
      </c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 t="s">
        <v>107</v>
      </c>
      <c r="HY48" s="8" t="s">
        <v>107</v>
      </c>
      <c r="HZ48" s="8"/>
      <c r="IA48" s="8"/>
      <c r="IB48" s="8">
        <v>0</v>
      </c>
      <c r="IC48" s="8">
        <v>1</v>
      </c>
      <c r="ID48" s="8" t="s">
        <v>107</v>
      </c>
      <c r="IE48" s="967"/>
      <c r="IF48" s="8">
        <f t="shared" si="42"/>
        <v>0</v>
      </c>
      <c r="IG48" s="8"/>
      <c r="IH48" s="8" t="s">
        <v>107</v>
      </c>
      <c r="II48" s="8" t="s">
        <v>107</v>
      </c>
      <c r="IJ48" s="8" t="s">
        <v>107</v>
      </c>
      <c r="IK48" s="8" t="s">
        <v>107</v>
      </c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 t="s">
        <v>107</v>
      </c>
      <c r="IY48" s="8" t="s">
        <v>107</v>
      </c>
      <c r="IZ48" s="8"/>
      <c r="JA48" s="8"/>
      <c r="JB48" s="8">
        <v>0</v>
      </c>
      <c r="JC48" s="8">
        <v>0</v>
      </c>
      <c r="JD48" s="8" t="s">
        <v>107</v>
      </c>
      <c r="JE48" s="967"/>
      <c r="JF48" s="8">
        <f t="shared" si="43"/>
        <v>0</v>
      </c>
      <c r="JG48" s="8"/>
      <c r="JH48" s="8" t="s">
        <v>107</v>
      </c>
      <c r="JI48" s="8" t="s">
        <v>107</v>
      </c>
      <c r="JJ48" s="8" t="s">
        <v>107</v>
      </c>
      <c r="JK48" s="8" t="s">
        <v>107</v>
      </c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 t="s">
        <v>107</v>
      </c>
      <c r="JY48" s="8" t="s">
        <v>107</v>
      </c>
      <c r="JZ48" s="8"/>
      <c r="KA48" s="8"/>
      <c r="KB48" s="8">
        <v>0</v>
      </c>
      <c r="KC48" s="8">
        <v>0</v>
      </c>
      <c r="KD48" s="8" t="s">
        <v>107</v>
      </c>
      <c r="KE48" s="967"/>
      <c r="KF48" s="8">
        <f t="shared" si="44"/>
        <v>0</v>
      </c>
      <c r="KG48" s="8"/>
      <c r="KH48" s="8" t="s">
        <v>107</v>
      </c>
      <c r="KI48" s="8" t="s">
        <v>107</v>
      </c>
      <c r="KJ48" s="8" t="s">
        <v>107</v>
      </c>
      <c r="KK48" s="8" t="s">
        <v>107</v>
      </c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 t="s">
        <v>107</v>
      </c>
      <c r="KY48" s="8" t="s">
        <v>107</v>
      </c>
      <c r="KZ48" s="8"/>
      <c r="LA48" s="8"/>
      <c r="LB48" s="8">
        <v>0</v>
      </c>
      <c r="LC48" s="8">
        <v>0</v>
      </c>
      <c r="LD48" s="8" t="s">
        <v>107</v>
      </c>
      <c r="LE48" s="967"/>
      <c r="LF48" s="8">
        <f t="shared" si="45"/>
        <v>0</v>
      </c>
      <c r="LG48" s="8"/>
      <c r="LH48" s="8" t="s">
        <v>107</v>
      </c>
      <c r="LI48" s="8" t="s">
        <v>107</v>
      </c>
      <c r="LJ48" s="8" t="s">
        <v>107</v>
      </c>
      <c r="LK48" s="8" t="s">
        <v>107</v>
      </c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 t="s">
        <v>107</v>
      </c>
      <c r="LY48" s="8" t="s">
        <v>107</v>
      </c>
      <c r="LZ48" s="8"/>
      <c r="MA48" s="8"/>
      <c r="MB48" s="8">
        <v>0</v>
      </c>
      <c r="MC48" s="8">
        <v>0</v>
      </c>
      <c r="MD48" s="8" t="s">
        <v>107</v>
      </c>
      <c r="ME48" s="967"/>
      <c r="MF48" s="8">
        <f t="shared" si="46"/>
        <v>0</v>
      </c>
      <c r="MG48" s="8"/>
      <c r="MH48" s="8" t="s">
        <v>107</v>
      </c>
      <c r="MI48" s="8" t="s">
        <v>107</v>
      </c>
      <c r="MJ48" s="8" t="s">
        <v>107</v>
      </c>
      <c r="MK48" s="8" t="s">
        <v>107</v>
      </c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 t="s">
        <v>107</v>
      </c>
      <c r="MY48" s="8" t="s">
        <v>107</v>
      </c>
      <c r="MZ48" s="8"/>
      <c r="NA48" s="8"/>
      <c r="NB48" s="8">
        <v>0</v>
      </c>
      <c r="NC48" s="8">
        <v>0</v>
      </c>
      <c r="ND48" s="8" t="s">
        <v>107</v>
      </c>
      <c r="NE48" s="967"/>
      <c r="NF48" s="8">
        <f t="shared" si="47"/>
        <v>1</v>
      </c>
      <c r="NG48" s="8"/>
      <c r="NH48" s="8" t="s">
        <v>107</v>
      </c>
      <c r="NI48" s="8" t="s">
        <v>107</v>
      </c>
      <c r="NJ48" s="8" t="s">
        <v>107</v>
      </c>
      <c r="NK48" s="8" t="s">
        <v>107</v>
      </c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 t="s">
        <v>107</v>
      </c>
      <c r="NY48" s="8" t="s">
        <v>107</v>
      </c>
      <c r="NZ48" s="8"/>
      <c r="OA48" s="8"/>
      <c r="OB48" s="8">
        <v>0</v>
      </c>
      <c r="OC48" s="8">
        <v>1</v>
      </c>
      <c r="OD48" s="8" t="s">
        <v>107</v>
      </c>
      <c r="OE48" s="967"/>
      <c r="OF48" s="8">
        <f t="shared" si="48"/>
        <v>0</v>
      </c>
      <c r="OG48" s="8"/>
      <c r="OH48" s="8" t="s">
        <v>107</v>
      </c>
      <c r="OI48" s="8" t="s">
        <v>107</v>
      </c>
      <c r="OJ48" s="8" t="s">
        <v>107</v>
      </c>
      <c r="OK48" s="8" t="s">
        <v>107</v>
      </c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 t="s">
        <v>107</v>
      </c>
      <c r="OY48" s="8" t="s">
        <v>107</v>
      </c>
      <c r="OZ48" s="8"/>
      <c r="PA48" s="8"/>
      <c r="PB48" s="8">
        <v>0</v>
      </c>
      <c r="PC48" s="8">
        <v>0</v>
      </c>
      <c r="PD48" s="8" t="s">
        <v>107</v>
      </c>
      <c r="PE48" s="967"/>
      <c r="PF48" s="8">
        <f t="shared" si="49"/>
        <v>0</v>
      </c>
      <c r="PG48" s="8"/>
      <c r="PH48" s="8" t="s">
        <v>107</v>
      </c>
      <c r="PI48" s="8" t="s">
        <v>107</v>
      </c>
      <c r="PJ48" s="8" t="s">
        <v>107</v>
      </c>
      <c r="PK48" s="8" t="s">
        <v>107</v>
      </c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 t="s">
        <v>107</v>
      </c>
      <c r="PY48" s="8" t="s">
        <v>107</v>
      </c>
      <c r="PZ48" s="8"/>
      <c r="QA48" s="8"/>
      <c r="QB48" s="8">
        <v>0</v>
      </c>
      <c r="QC48" s="8">
        <v>0</v>
      </c>
      <c r="QD48" s="8" t="s">
        <v>107</v>
      </c>
      <c r="QE48" s="967"/>
    </row>
    <row r="49" spans="2:447" x14ac:dyDescent="0.3">
      <c r="B49">
        <v>41</v>
      </c>
      <c r="D49" t="s">
        <v>2253</v>
      </c>
      <c r="F49" s="8">
        <f t="shared" si="33"/>
        <v>77</v>
      </c>
      <c r="G49" s="8"/>
      <c r="H49" s="8">
        <v>20</v>
      </c>
      <c r="I49" s="8">
        <v>4</v>
      </c>
      <c r="J49" s="8">
        <v>18</v>
      </c>
      <c r="K49" s="8">
        <v>18</v>
      </c>
      <c r="L49" s="8">
        <v>1</v>
      </c>
      <c r="M49" s="8">
        <v>16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s">
        <v>107</v>
      </c>
      <c r="Y49" s="8" t="s">
        <v>107</v>
      </c>
      <c r="Z49" s="8" t="s">
        <v>107</v>
      </c>
      <c r="AA49" s="8" t="s">
        <v>107</v>
      </c>
      <c r="AB49" s="8" t="s">
        <v>107</v>
      </c>
      <c r="AC49" s="8" t="s">
        <v>107</v>
      </c>
      <c r="AD49" s="8" t="s">
        <v>107</v>
      </c>
      <c r="AE49" s="967"/>
      <c r="AF49" s="8">
        <f t="shared" si="35"/>
        <v>24</v>
      </c>
      <c r="AG49" s="8"/>
      <c r="AH49" s="8">
        <v>7</v>
      </c>
      <c r="AI49" s="8">
        <v>5</v>
      </c>
      <c r="AJ49" s="8">
        <v>4</v>
      </c>
      <c r="AK49" s="8">
        <v>8</v>
      </c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 t="s">
        <v>107</v>
      </c>
      <c r="AY49" s="8" t="s">
        <v>107</v>
      </c>
      <c r="AZ49" s="8"/>
      <c r="BA49" s="8"/>
      <c r="BB49" s="8" t="s">
        <v>107</v>
      </c>
      <c r="BC49" s="8" t="s">
        <v>107</v>
      </c>
      <c r="BD49" s="8" t="s">
        <v>107</v>
      </c>
      <c r="BE49" s="967"/>
      <c r="BF49" s="8">
        <f t="shared" si="36"/>
        <v>33</v>
      </c>
      <c r="BG49" s="8"/>
      <c r="BH49" s="8">
        <v>5</v>
      </c>
      <c r="BI49" s="8">
        <v>1</v>
      </c>
      <c r="BJ49" s="8">
        <v>12</v>
      </c>
      <c r="BK49" s="8">
        <v>15</v>
      </c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 t="s">
        <v>107</v>
      </c>
      <c r="BY49" s="8" t="s">
        <v>107</v>
      </c>
      <c r="BZ49" s="8"/>
      <c r="CA49" s="8"/>
      <c r="CB49" s="8" t="s">
        <v>107</v>
      </c>
      <c r="CC49" s="8" t="s">
        <v>107</v>
      </c>
      <c r="CD49" s="8" t="s">
        <v>107</v>
      </c>
      <c r="CE49" s="967"/>
      <c r="CF49" s="8">
        <f t="shared" si="37"/>
        <v>57</v>
      </c>
      <c r="CG49" s="8"/>
      <c r="CH49" s="8">
        <v>12</v>
      </c>
      <c r="CI49" s="8">
        <v>6</v>
      </c>
      <c r="CJ49" s="8">
        <v>16</v>
      </c>
      <c r="CK49" s="8">
        <v>23</v>
      </c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 t="s">
        <v>107</v>
      </c>
      <c r="CY49" s="8" t="s">
        <v>107</v>
      </c>
      <c r="CZ49" s="8"/>
      <c r="DA49" s="8"/>
      <c r="DB49" s="8" t="s">
        <v>107</v>
      </c>
      <c r="DC49" s="8" t="s">
        <v>107</v>
      </c>
      <c r="DD49" s="8" t="s">
        <v>107</v>
      </c>
      <c r="DE49" s="967"/>
      <c r="DF49" s="8">
        <f t="shared" si="38"/>
        <v>6</v>
      </c>
      <c r="DG49" s="8"/>
      <c r="DH49" s="8">
        <v>3</v>
      </c>
      <c r="DI49" s="8">
        <v>0</v>
      </c>
      <c r="DJ49" s="8">
        <v>1</v>
      </c>
      <c r="DK49" s="8">
        <v>2</v>
      </c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 t="s">
        <v>107</v>
      </c>
      <c r="DY49" s="8" t="s">
        <v>107</v>
      </c>
      <c r="DZ49" s="8"/>
      <c r="EA49" s="8"/>
      <c r="EB49" s="8" t="s">
        <v>107</v>
      </c>
      <c r="EC49" s="8" t="s">
        <v>107</v>
      </c>
      <c r="ED49" s="8" t="s">
        <v>107</v>
      </c>
      <c r="EE49" s="967"/>
      <c r="EF49" s="8">
        <f t="shared" si="39"/>
        <v>12</v>
      </c>
      <c r="EG49" s="8"/>
      <c r="EH49" s="8">
        <v>6</v>
      </c>
      <c r="EI49" s="8">
        <v>0</v>
      </c>
      <c r="EJ49" s="8">
        <v>2</v>
      </c>
      <c r="EK49" s="8">
        <v>4</v>
      </c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 t="s">
        <v>107</v>
      </c>
      <c r="EY49" s="8" t="s">
        <v>107</v>
      </c>
      <c r="EZ49" s="8"/>
      <c r="FA49" s="8"/>
      <c r="FB49" s="8" t="s">
        <v>107</v>
      </c>
      <c r="FC49" s="8" t="s">
        <v>107</v>
      </c>
      <c r="FD49" s="8" t="s">
        <v>107</v>
      </c>
      <c r="FE49" s="967"/>
      <c r="FF49" s="8">
        <f t="shared" si="34"/>
        <v>4</v>
      </c>
      <c r="FG49" s="8"/>
      <c r="FH49" s="8">
        <v>1</v>
      </c>
      <c r="FI49" s="8">
        <v>0</v>
      </c>
      <c r="FJ49" s="8">
        <v>1</v>
      </c>
      <c r="FK49" s="8">
        <v>2</v>
      </c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 t="s">
        <v>107</v>
      </c>
      <c r="FY49" s="8" t="s">
        <v>107</v>
      </c>
      <c r="FZ49" s="8"/>
      <c r="GA49" s="8"/>
      <c r="GB49" s="8" t="s">
        <v>107</v>
      </c>
      <c r="GC49" s="8" t="s">
        <v>107</v>
      </c>
      <c r="GD49" s="8" t="s">
        <v>107</v>
      </c>
      <c r="GE49" s="967"/>
      <c r="GF49" s="8">
        <f t="shared" si="40"/>
        <v>0</v>
      </c>
      <c r="GG49" s="8"/>
      <c r="GH49" s="8">
        <v>0</v>
      </c>
      <c r="GI49" s="8">
        <v>0</v>
      </c>
      <c r="GJ49" s="8">
        <v>0</v>
      </c>
      <c r="GK49" s="8">
        <v>0</v>
      </c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 t="s">
        <v>107</v>
      </c>
      <c r="GY49" s="8" t="s">
        <v>107</v>
      </c>
      <c r="GZ49" s="8"/>
      <c r="HA49" s="8"/>
      <c r="HB49" s="8" t="s">
        <v>107</v>
      </c>
      <c r="HC49" s="8" t="s">
        <v>107</v>
      </c>
      <c r="HD49" s="8" t="s">
        <v>107</v>
      </c>
      <c r="HE49" s="967"/>
      <c r="HF49" s="8">
        <f t="shared" si="41"/>
        <v>0</v>
      </c>
      <c r="HG49" s="8"/>
      <c r="HH49" s="8">
        <v>0</v>
      </c>
      <c r="HI49" s="8">
        <v>0</v>
      </c>
      <c r="HJ49" s="8">
        <v>0</v>
      </c>
      <c r="HK49" s="8">
        <v>0</v>
      </c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 t="s">
        <v>107</v>
      </c>
      <c r="HY49" s="8" t="s">
        <v>107</v>
      </c>
      <c r="HZ49" s="8"/>
      <c r="IA49" s="8"/>
      <c r="IB49" s="8" t="s">
        <v>107</v>
      </c>
      <c r="IC49" s="8" t="s">
        <v>107</v>
      </c>
      <c r="ID49" s="8" t="s">
        <v>107</v>
      </c>
      <c r="IE49" s="967"/>
      <c r="IF49" s="8">
        <f t="shared" si="42"/>
        <v>0</v>
      </c>
      <c r="IG49" s="8"/>
      <c r="IH49" s="8">
        <v>0</v>
      </c>
      <c r="II49" s="8">
        <v>0</v>
      </c>
      <c r="IJ49" s="8">
        <v>0</v>
      </c>
      <c r="IK49" s="8">
        <v>0</v>
      </c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 t="s">
        <v>107</v>
      </c>
      <c r="IY49" s="8" t="s">
        <v>107</v>
      </c>
      <c r="IZ49" s="8"/>
      <c r="JA49" s="8"/>
      <c r="JB49" s="8" t="s">
        <v>107</v>
      </c>
      <c r="JC49" s="8" t="s">
        <v>107</v>
      </c>
      <c r="JD49" s="8" t="s">
        <v>107</v>
      </c>
      <c r="JE49" s="967"/>
      <c r="JF49" s="8">
        <f t="shared" si="43"/>
        <v>0</v>
      </c>
      <c r="JG49" s="8"/>
      <c r="JH49" s="8">
        <v>0</v>
      </c>
      <c r="JI49" s="8">
        <v>0</v>
      </c>
      <c r="JJ49" s="8">
        <v>0</v>
      </c>
      <c r="JK49" s="8">
        <v>0</v>
      </c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 t="s">
        <v>107</v>
      </c>
      <c r="JY49" s="8" t="s">
        <v>107</v>
      </c>
      <c r="JZ49" s="8"/>
      <c r="KA49" s="8"/>
      <c r="KB49" s="8" t="s">
        <v>107</v>
      </c>
      <c r="KC49" s="8" t="s">
        <v>107</v>
      </c>
      <c r="KD49" s="8" t="s">
        <v>107</v>
      </c>
      <c r="KE49" s="967"/>
      <c r="KF49" s="8">
        <f t="shared" si="44"/>
        <v>0</v>
      </c>
      <c r="KG49" s="8"/>
      <c r="KH49" s="8">
        <v>0</v>
      </c>
      <c r="KI49" s="8">
        <v>0</v>
      </c>
      <c r="KJ49" s="8">
        <v>0</v>
      </c>
      <c r="KK49" s="8">
        <v>0</v>
      </c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 t="s">
        <v>107</v>
      </c>
      <c r="KY49" s="8" t="s">
        <v>107</v>
      </c>
      <c r="KZ49" s="8"/>
      <c r="LA49" s="8"/>
      <c r="LB49" s="8" t="s">
        <v>107</v>
      </c>
      <c r="LC49" s="8" t="s">
        <v>107</v>
      </c>
      <c r="LD49" s="8" t="s">
        <v>107</v>
      </c>
      <c r="LE49" s="967"/>
      <c r="LF49" s="8">
        <f t="shared" si="45"/>
        <v>1</v>
      </c>
      <c r="LG49" s="8"/>
      <c r="LH49" s="8">
        <v>0</v>
      </c>
      <c r="LI49" s="8">
        <v>0</v>
      </c>
      <c r="LJ49" s="8">
        <v>0</v>
      </c>
      <c r="LK49" s="8">
        <v>1</v>
      </c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 t="s">
        <v>107</v>
      </c>
      <c r="LY49" s="8" t="s">
        <v>107</v>
      </c>
      <c r="LZ49" s="8"/>
      <c r="MA49" s="8"/>
      <c r="MB49" s="8" t="s">
        <v>107</v>
      </c>
      <c r="MC49" s="8" t="s">
        <v>107</v>
      </c>
      <c r="MD49" s="8" t="s">
        <v>107</v>
      </c>
      <c r="ME49" s="967"/>
      <c r="MF49" s="8">
        <f t="shared" si="46"/>
        <v>0</v>
      </c>
      <c r="MG49" s="8"/>
      <c r="MH49" s="8">
        <v>0</v>
      </c>
      <c r="MI49" s="8">
        <v>0</v>
      </c>
      <c r="MJ49" s="8">
        <v>0</v>
      </c>
      <c r="MK49" s="8">
        <v>0</v>
      </c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 t="s">
        <v>107</v>
      </c>
      <c r="MY49" s="8" t="s">
        <v>107</v>
      </c>
      <c r="MZ49" s="8"/>
      <c r="NA49" s="8"/>
      <c r="NB49" s="8" t="s">
        <v>107</v>
      </c>
      <c r="NC49" s="8" t="s">
        <v>107</v>
      </c>
      <c r="ND49" s="8" t="s">
        <v>107</v>
      </c>
      <c r="NE49" s="967"/>
      <c r="NF49" s="8">
        <f t="shared" si="47"/>
        <v>1</v>
      </c>
      <c r="NG49" s="8"/>
      <c r="NH49" s="8">
        <v>0</v>
      </c>
      <c r="NI49" s="8">
        <v>1</v>
      </c>
      <c r="NJ49" s="8">
        <v>0</v>
      </c>
      <c r="NK49" s="8">
        <v>0</v>
      </c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 t="s">
        <v>107</v>
      </c>
      <c r="NY49" s="8" t="s">
        <v>107</v>
      </c>
      <c r="NZ49" s="8"/>
      <c r="OA49" s="8"/>
      <c r="OB49" s="8" t="s">
        <v>107</v>
      </c>
      <c r="OC49" s="8" t="s">
        <v>107</v>
      </c>
      <c r="OD49" s="8" t="s">
        <v>107</v>
      </c>
      <c r="OE49" s="967"/>
      <c r="OF49" s="8">
        <f t="shared" si="48"/>
        <v>0</v>
      </c>
      <c r="OG49" s="8"/>
      <c r="OH49" s="8">
        <v>0</v>
      </c>
      <c r="OI49" s="8">
        <v>0</v>
      </c>
      <c r="OJ49" s="8">
        <v>0</v>
      </c>
      <c r="OK49" s="8">
        <v>0</v>
      </c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 t="s">
        <v>107</v>
      </c>
      <c r="OY49" s="8" t="s">
        <v>107</v>
      </c>
      <c r="OZ49" s="8"/>
      <c r="PA49" s="8"/>
      <c r="PB49" s="8" t="s">
        <v>107</v>
      </c>
      <c r="PC49" s="8" t="s">
        <v>107</v>
      </c>
      <c r="PD49" s="8" t="s">
        <v>107</v>
      </c>
      <c r="PE49" s="967"/>
      <c r="PF49" s="8">
        <f t="shared" si="49"/>
        <v>0</v>
      </c>
      <c r="PG49" s="8"/>
      <c r="PH49" s="8">
        <v>0</v>
      </c>
      <c r="PI49" s="8">
        <v>0</v>
      </c>
      <c r="PJ49" s="8">
        <v>0</v>
      </c>
      <c r="PK49" s="8">
        <v>0</v>
      </c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 t="s">
        <v>107</v>
      </c>
      <c r="PY49" s="8" t="s">
        <v>107</v>
      </c>
      <c r="PZ49" s="8"/>
      <c r="QA49" s="8"/>
      <c r="QB49" s="8" t="s">
        <v>107</v>
      </c>
      <c r="QC49" s="8" t="s">
        <v>107</v>
      </c>
      <c r="QD49" s="8" t="s">
        <v>107</v>
      </c>
      <c r="QE49" s="967"/>
    </row>
    <row r="50" spans="2:447" x14ac:dyDescent="0.3">
      <c r="B50">
        <v>42</v>
      </c>
      <c r="D50" t="s">
        <v>1999</v>
      </c>
      <c r="F50" s="8">
        <f t="shared" ref="F50:F79" si="53">SUM(G50:AD50)</f>
        <v>95</v>
      </c>
      <c r="G50" s="8"/>
      <c r="H50" s="8">
        <v>6</v>
      </c>
      <c r="I50" s="8">
        <v>4</v>
      </c>
      <c r="J50" s="8">
        <v>17</v>
      </c>
      <c r="K50" s="8" t="s">
        <v>107</v>
      </c>
      <c r="L50" s="8" t="s">
        <v>107</v>
      </c>
      <c r="M50" s="8" t="s">
        <v>107</v>
      </c>
      <c r="N50" s="8" t="s">
        <v>107</v>
      </c>
      <c r="O50" s="8" t="s">
        <v>107</v>
      </c>
      <c r="P50" s="8" t="s">
        <v>107</v>
      </c>
      <c r="Q50" s="8" t="s">
        <v>107</v>
      </c>
      <c r="R50" s="8" t="s">
        <v>107</v>
      </c>
      <c r="S50" s="8" t="s">
        <v>107</v>
      </c>
      <c r="T50" s="8" t="s">
        <v>107</v>
      </c>
      <c r="U50" s="8"/>
      <c r="V50" s="8"/>
      <c r="W50" s="8"/>
      <c r="X50" s="8">
        <v>12</v>
      </c>
      <c r="Y50" s="8">
        <v>18</v>
      </c>
      <c r="Z50" s="8"/>
      <c r="AA50" s="8"/>
      <c r="AB50" s="8">
        <v>3</v>
      </c>
      <c r="AC50" s="8">
        <v>14</v>
      </c>
      <c r="AD50" s="8">
        <v>21</v>
      </c>
      <c r="AE50" s="967"/>
      <c r="AF50" s="8">
        <f t="shared" si="35"/>
        <v>23</v>
      </c>
      <c r="AG50" s="8"/>
      <c r="AH50" s="8">
        <v>0</v>
      </c>
      <c r="AI50" s="8">
        <v>1</v>
      </c>
      <c r="AJ50" s="8">
        <v>1</v>
      </c>
      <c r="AK50" s="8" t="s">
        <v>107</v>
      </c>
      <c r="AL50" s="8"/>
      <c r="AM50" s="8"/>
      <c r="AN50" s="8"/>
      <c r="AO50" s="8" t="s">
        <v>107</v>
      </c>
      <c r="AP50" s="8" t="s">
        <v>107</v>
      </c>
      <c r="AQ50" s="8"/>
      <c r="AR50" s="8"/>
      <c r="AS50" s="8"/>
      <c r="AT50" s="8"/>
      <c r="AU50" s="8"/>
      <c r="AV50" s="8"/>
      <c r="AW50" s="8"/>
      <c r="AX50" s="8">
        <v>5</v>
      </c>
      <c r="AY50" s="8">
        <v>2</v>
      </c>
      <c r="AZ50" s="8"/>
      <c r="BA50" s="8"/>
      <c r="BB50" s="8">
        <v>3</v>
      </c>
      <c r="BC50" s="8">
        <v>5</v>
      </c>
      <c r="BD50" s="8">
        <v>6</v>
      </c>
      <c r="BE50" s="967"/>
      <c r="BF50" s="8">
        <f t="shared" si="36"/>
        <v>19</v>
      </c>
      <c r="BG50" s="8"/>
      <c r="BH50" s="8">
        <v>0</v>
      </c>
      <c r="BI50" s="8">
        <v>0</v>
      </c>
      <c r="BJ50" s="8">
        <v>4</v>
      </c>
      <c r="BK50" s="8" t="s">
        <v>107</v>
      </c>
      <c r="BL50" s="8"/>
      <c r="BM50" s="8"/>
      <c r="BN50" s="8"/>
      <c r="BO50" s="8" t="s">
        <v>107</v>
      </c>
      <c r="BP50" s="8" t="s">
        <v>107</v>
      </c>
      <c r="BQ50" s="8"/>
      <c r="BR50" s="8"/>
      <c r="BS50" s="8"/>
      <c r="BT50" s="8"/>
      <c r="BU50" s="8"/>
      <c r="BV50" s="8"/>
      <c r="BW50" s="8"/>
      <c r="BX50" s="8">
        <v>2</v>
      </c>
      <c r="BY50" s="8">
        <v>5</v>
      </c>
      <c r="BZ50" s="8"/>
      <c r="CA50" s="8"/>
      <c r="CB50" s="8">
        <v>1</v>
      </c>
      <c r="CC50" s="8">
        <v>1</v>
      </c>
      <c r="CD50" s="8">
        <v>6</v>
      </c>
      <c r="CE50" s="967"/>
      <c r="CF50" s="8">
        <f t="shared" si="37"/>
        <v>42</v>
      </c>
      <c r="CG50" s="8"/>
      <c r="CH50" s="8">
        <v>0</v>
      </c>
      <c r="CI50" s="8">
        <v>1</v>
      </c>
      <c r="CJ50" s="8">
        <v>5</v>
      </c>
      <c r="CK50" s="8" t="s">
        <v>107</v>
      </c>
      <c r="CL50" s="8"/>
      <c r="CM50" s="8"/>
      <c r="CN50" s="8"/>
      <c r="CO50" s="8" t="s">
        <v>107</v>
      </c>
      <c r="CP50" s="8" t="s">
        <v>107</v>
      </c>
      <c r="CQ50" s="8"/>
      <c r="CR50" s="8"/>
      <c r="CS50" s="8"/>
      <c r="CT50" s="8"/>
      <c r="CU50" s="8"/>
      <c r="CV50" s="8"/>
      <c r="CW50" s="8"/>
      <c r="CX50" s="8">
        <v>7</v>
      </c>
      <c r="CY50" s="8">
        <v>7</v>
      </c>
      <c r="CZ50" s="8"/>
      <c r="DA50" s="8"/>
      <c r="DB50" s="8">
        <f t="shared" si="51"/>
        <v>4</v>
      </c>
      <c r="DC50" s="8">
        <f t="shared" si="52"/>
        <v>6</v>
      </c>
      <c r="DD50" s="8">
        <f t="shared" si="50"/>
        <v>12</v>
      </c>
      <c r="DE50" s="967"/>
      <c r="DF50" s="8">
        <f t="shared" si="38"/>
        <v>1</v>
      </c>
      <c r="DG50" s="8"/>
      <c r="DH50" s="8">
        <v>0</v>
      </c>
      <c r="DI50" s="8">
        <v>0</v>
      </c>
      <c r="DJ50" s="8">
        <v>1</v>
      </c>
      <c r="DK50" s="8" t="s">
        <v>107</v>
      </c>
      <c r="DL50" s="8"/>
      <c r="DM50" s="8"/>
      <c r="DN50" s="8"/>
      <c r="DO50" s="8" t="s">
        <v>107</v>
      </c>
      <c r="DP50" s="8" t="s">
        <v>107</v>
      </c>
      <c r="DQ50" s="8"/>
      <c r="DR50" s="8"/>
      <c r="DS50" s="8"/>
      <c r="DT50" s="8"/>
      <c r="DU50" s="8"/>
      <c r="DV50" s="8"/>
      <c r="DW50" s="8"/>
      <c r="DX50" s="8">
        <v>0</v>
      </c>
      <c r="DY50" s="8">
        <v>0</v>
      </c>
      <c r="DZ50" s="8"/>
      <c r="EA50" s="8"/>
      <c r="EB50" s="8">
        <v>0</v>
      </c>
      <c r="EC50" s="8">
        <v>0</v>
      </c>
      <c r="ED50" s="8">
        <v>0</v>
      </c>
      <c r="EE50" s="967"/>
      <c r="EF50" s="8">
        <f t="shared" si="39"/>
        <v>8</v>
      </c>
      <c r="EG50" s="8"/>
      <c r="EH50" s="8">
        <v>0</v>
      </c>
      <c r="EI50" s="8">
        <v>0</v>
      </c>
      <c r="EJ50" s="8">
        <v>2</v>
      </c>
      <c r="EK50" s="8" t="s">
        <v>107</v>
      </c>
      <c r="EL50" s="8"/>
      <c r="EM50" s="8"/>
      <c r="EN50" s="8"/>
      <c r="EO50" s="8" t="s">
        <v>107</v>
      </c>
      <c r="EP50" s="8" t="s">
        <v>107</v>
      </c>
      <c r="EQ50" s="8"/>
      <c r="ER50" s="8"/>
      <c r="ES50" s="8"/>
      <c r="ET50" s="8"/>
      <c r="EU50" s="8"/>
      <c r="EV50" s="8"/>
      <c r="EW50" s="8"/>
      <c r="EX50" s="8">
        <v>2</v>
      </c>
      <c r="EY50" s="8">
        <v>2</v>
      </c>
      <c r="EZ50" s="8"/>
      <c r="FA50" s="8"/>
      <c r="FB50" s="8">
        <v>2</v>
      </c>
      <c r="FC50" s="8">
        <v>0</v>
      </c>
      <c r="FD50" s="8">
        <v>0</v>
      </c>
      <c r="FE50" s="967"/>
      <c r="FF50" s="8">
        <f t="shared" si="34"/>
        <v>8</v>
      </c>
      <c r="FG50" s="8"/>
      <c r="FH50" s="8">
        <v>0</v>
      </c>
      <c r="FI50" s="8">
        <v>0</v>
      </c>
      <c r="FJ50" s="8">
        <v>0</v>
      </c>
      <c r="FK50" s="8" t="s">
        <v>107</v>
      </c>
      <c r="FL50" s="8"/>
      <c r="FM50" s="8"/>
      <c r="FN50" s="8"/>
      <c r="FO50" s="8" t="s">
        <v>107</v>
      </c>
      <c r="FP50" s="8" t="s">
        <v>107</v>
      </c>
      <c r="FQ50" s="8"/>
      <c r="FR50" s="8"/>
      <c r="FS50" s="8"/>
      <c r="FT50" s="8"/>
      <c r="FU50" s="8"/>
      <c r="FV50" s="8"/>
      <c r="FW50" s="8"/>
      <c r="FX50" s="8">
        <v>2</v>
      </c>
      <c r="FY50" s="8">
        <v>1</v>
      </c>
      <c r="FZ50" s="8"/>
      <c r="GA50" s="8"/>
      <c r="GB50" s="8">
        <v>1</v>
      </c>
      <c r="GC50" s="8">
        <v>2</v>
      </c>
      <c r="GD50" s="8">
        <v>2</v>
      </c>
      <c r="GE50" s="967"/>
      <c r="GF50" s="8">
        <f t="shared" si="40"/>
        <v>2</v>
      </c>
      <c r="GG50" s="8"/>
      <c r="GH50" s="8">
        <v>0</v>
      </c>
      <c r="GI50" s="8">
        <v>0</v>
      </c>
      <c r="GJ50" s="8">
        <v>0</v>
      </c>
      <c r="GK50" s="8" t="s">
        <v>107</v>
      </c>
      <c r="GL50" s="8"/>
      <c r="GM50" s="8"/>
      <c r="GN50" s="8"/>
      <c r="GO50" s="8" t="s">
        <v>107</v>
      </c>
      <c r="GP50" s="8" t="s">
        <v>107</v>
      </c>
      <c r="GQ50" s="8"/>
      <c r="GR50" s="8"/>
      <c r="GS50" s="8"/>
      <c r="GT50" s="8"/>
      <c r="GU50" s="8"/>
      <c r="GV50" s="8"/>
      <c r="GW50" s="8"/>
      <c r="GX50" s="8">
        <v>0</v>
      </c>
      <c r="GY50" s="8">
        <v>0</v>
      </c>
      <c r="GZ50" s="8"/>
      <c r="HA50" s="8"/>
      <c r="HB50" s="8">
        <v>0</v>
      </c>
      <c r="HC50" s="8">
        <v>0</v>
      </c>
      <c r="HD50" s="8">
        <v>2</v>
      </c>
      <c r="HE50" s="967"/>
      <c r="HF50" s="8">
        <f t="shared" si="41"/>
        <v>0</v>
      </c>
      <c r="HG50" s="8"/>
      <c r="HH50" s="8">
        <v>0</v>
      </c>
      <c r="HI50" s="8">
        <v>0</v>
      </c>
      <c r="HJ50" s="8">
        <v>0</v>
      </c>
      <c r="HK50" s="8" t="s">
        <v>107</v>
      </c>
      <c r="HL50" s="8"/>
      <c r="HM50" s="8"/>
      <c r="HN50" s="8"/>
      <c r="HO50" s="8" t="s">
        <v>107</v>
      </c>
      <c r="HP50" s="8" t="s">
        <v>107</v>
      </c>
      <c r="HQ50" s="8"/>
      <c r="HR50" s="8"/>
      <c r="HS50" s="8"/>
      <c r="HT50" s="8"/>
      <c r="HU50" s="8"/>
      <c r="HV50" s="8"/>
      <c r="HW50" s="8"/>
      <c r="HX50" s="8">
        <v>0</v>
      </c>
      <c r="HY50" s="8">
        <v>0</v>
      </c>
      <c r="HZ50" s="8"/>
      <c r="IA50" s="8"/>
      <c r="IB50" s="8">
        <v>0</v>
      </c>
      <c r="IC50" s="8">
        <v>0</v>
      </c>
      <c r="ID50" s="8">
        <v>0</v>
      </c>
      <c r="IE50" s="967"/>
      <c r="IF50" s="8">
        <f t="shared" si="42"/>
        <v>0</v>
      </c>
      <c r="IG50" s="8"/>
      <c r="IH50" s="8">
        <v>0</v>
      </c>
      <c r="II50" s="8">
        <v>0</v>
      </c>
      <c r="IJ50" s="8">
        <v>0</v>
      </c>
      <c r="IK50" s="8" t="s">
        <v>107</v>
      </c>
      <c r="IL50" s="8"/>
      <c r="IM50" s="8"/>
      <c r="IN50" s="8"/>
      <c r="IO50" s="8" t="s">
        <v>107</v>
      </c>
      <c r="IP50" s="8" t="s">
        <v>107</v>
      </c>
      <c r="IQ50" s="8"/>
      <c r="IR50" s="8"/>
      <c r="IS50" s="8"/>
      <c r="IT50" s="8"/>
      <c r="IU50" s="8"/>
      <c r="IV50" s="8"/>
      <c r="IW50" s="8"/>
      <c r="IX50" s="8">
        <v>0</v>
      </c>
      <c r="IY50" s="8">
        <v>0</v>
      </c>
      <c r="IZ50" s="8"/>
      <c r="JA50" s="8"/>
      <c r="JB50" s="8">
        <v>0</v>
      </c>
      <c r="JC50" s="8">
        <v>0</v>
      </c>
      <c r="JD50" s="8">
        <v>0</v>
      </c>
      <c r="JE50" s="967"/>
      <c r="JF50" s="8">
        <f t="shared" si="43"/>
        <v>0</v>
      </c>
      <c r="JG50" s="8"/>
      <c r="JH50" s="8">
        <v>0</v>
      </c>
      <c r="JI50" s="8">
        <v>0</v>
      </c>
      <c r="JJ50" s="8">
        <v>0</v>
      </c>
      <c r="JK50" s="8" t="s">
        <v>107</v>
      </c>
      <c r="JL50" s="8"/>
      <c r="JM50" s="8"/>
      <c r="JN50" s="8"/>
      <c r="JO50" s="8" t="s">
        <v>107</v>
      </c>
      <c r="JP50" s="8" t="s">
        <v>107</v>
      </c>
      <c r="JQ50" s="8"/>
      <c r="JR50" s="8"/>
      <c r="JS50" s="8"/>
      <c r="JT50" s="8"/>
      <c r="JU50" s="8"/>
      <c r="JV50" s="8"/>
      <c r="JW50" s="8"/>
      <c r="JX50" s="8">
        <v>0</v>
      </c>
      <c r="JY50" s="8">
        <v>0</v>
      </c>
      <c r="JZ50" s="8"/>
      <c r="KA50" s="8"/>
      <c r="KB50" s="8">
        <v>0</v>
      </c>
      <c r="KC50" s="8">
        <v>0</v>
      </c>
      <c r="KD50" s="8">
        <v>0</v>
      </c>
      <c r="KE50" s="967"/>
      <c r="KF50" s="8">
        <f t="shared" si="44"/>
        <v>0</v>
      </c>
      <c r="KG50" s="8"/>
      <c r="KH50" s="8">
        <v>0</v>
      </c>
      <c r="KI50" s="8">
        <v>0</v>
      </c>
      <c r="KJ50" s="8">
        <v>0</v>
      </c>
      <c r="KK50" s="8" t="s">
        <v>107</v>
      </c>
      <c r="KL50" s="8"/>
      <c r="KM50" s="8"/>
      <c r="KN50" s="8"/>
      <c r="KO50" s="8" t="s">
        <v>107</v>
      </c>
      <c r="KP50" s="8" t="s">
        <v>107</v>
      </c>
      <c r="KQ50" s="8"/>
      <c r="KR50" s="8"/>
      <c r="KS50" s="8"/>
      <c r="KT50" s="8"/>
      <c r="KU50" s="8"/>
      <c r="KV50" s="8"/>
      <c r="KW50" s="8"/>
      <c r="KX50" s="8">
        <v>0</v>
      </c>
      <c r="KY50" s="8">
        <v>0</v>
      </c>
      <c r="KZ50" s="8"/>
      <c r="LA50" s="8"/>
      <c r="LB50" s="8">
        <v>0</v>
      </c>
      <c r="LC50" s="8">
        <v>0</v>
      </c>
      <c r="LD50" s="8">
        <v>0</v>
      </c>
      <c r="LE50" s="967"/>
      <c r="LF50" s="8">
        <f t="shared" si="45"/>
        <v>0</v>
      </c>
      <c r="LG50" s="8"/>
      <c r="LH50" s="8">
        <v>0</v>
      </c>
      <c r="LI50" s="8">
        <v>0</v>
      </c>
      <c r="LJ50" s="8">
        <v>0</v>
      </c>
      <c r="LK50" s="8" t="s">
        <v>107</v>
      </c>
      <c r="LL50" s="8"/>
      <c r="LM50" s="8"/>
      <c r="LN50" s="8"/>
      <c r="LO50" s="8" t="s">
        <v>107</v>
      </c>
      <c r="LP50" s="8" t="s">
        <v>107</v>
      </c>
      <c r="LQ50" s="8"/>
      <c r="LR50" s="8"/>
      <c r="LS50" s="8"/>
      <c r="LT50" s="8"/>
      <c r="LU50" s="8"/>
      <c r="LV50" s="8"/>
      <c r="LW50" s="8"/>
      <c r="LX50" s="8">
        <v>0</v>
      </c>
      <c r="LY50" s="8">
        <v>0</v>
      </c>
      <c r="LZ50" s="8"/>
      <c r="MA50" s="8"/>
      <c r="MB50" s="8">
        <v>0</v>
      </c>
      <c r="MC50" s="8">
        <v>0</v>
      </c>
      <c r="MD50" s="8">
        <v>0</v>
      </c>
      <c r="ME50" s="967"/>
      <c r="MF50" s="8">
        <f t="shared" si="46"/>
        <v>0</v>
      </c>
      <c r="MG50" s="8"/>
      <c r="MH50" s="8">
        <v>0</v>
      </c>
      <c r="MI50" s="8">
        <v>0</v>
      </c>
      <c r="MJ50" s="8">
        <v>0</v>
      </c>
      <c r="MK50" s="8" t="s">
        <v>107</v>
      </c>
      <c r="ML50" s="8"/>
      <c r="MM50" s="8"/>
      <c r="MN50" s="8"/>
      <c r="MO50" s="8" t="s">
        <v>107</v>
      </c>
      <c r="MP50" s="8" t="s">
        <v>107</v>
      </c>
      <c r="MQ50" s="8"/>
      <c r="MR50" s="8"/>
      <c r="MS50" s="8"/>
      <c r="MT50" s="8"/>
      <c r="MU50" s="8"/>
      <c r="MV50" s="8"/>
      <c r="MW50" s="8"/>
      <c r="MX50" s="8">
        <v>0</v>
      </c>
      <c r="MY50" s="8">
        <v>0</v>
      </c>
      <c r="MZ50" s="8"/>
      <c r="NA50" s="8"/>
      <c r="NB50" s="8">
        <v>0</v>
      </c>
      <c r="NC50" s="8">
        <v>0</v>
      </c>
      <c r="ND50" s="8">
        <v>0</v>
      </c>
      <c r="NE50" s="967"/>
      <c r="NF50" s="8">
        <f t="shared" si="47"/>
        <v>0</v>
      </c>
      <c r="NG50" s="8"/>
      <c r="NH50" s="8">
        <v>0</v>
      </c>
      <c r="NI50" s="8">
        <v>0</v>
      </c>
      <c r="NJ50" s="8">
        <v>0</v>
      </c>
      <c r="NK50" s="8" t="s">
        <v>107</v>
      </c>
      <c r="NL50" s="8"/>
      <c r="NM50" s="8"/>
      <c r="NN50" s="8"/>
      <c r="NO50" s="8" t="s">
        <v>107</v>
      </c>
      <c r="NP50" s="8" t="s">
        <v>107</v>
      </c>
      <c r="NQ50" s="8"/>
      <c r="NR50" s="8"/>
      <c r="NS50" s="8"/>
      <c r="NT50" s="8"/>
      <c r="NU50" s="8"/>
      <c r="NV50" s="8"/>
      <c r="NW50" s="8"/>
      <c r="NX50" s="8">
        <v>0</v>
      </c>
      <c r="NY50" s="8">
        <v>0</v>
      </c>
      <c r="NZ50" s="8"/>
      <c r="OA50" s="8"/>
      <c r="OB50" s="8">
        <v>0</v>
      </c>
      <c r="OC50" s="8">
        <v>0</v>
      </c>
      <c r="OD50" s="8">
        <v>0</v>
      </c>
      <c r="OE50" s="967"/>
      <c r="OF50" s="8">
        <f t="shared" si="48"/>
        <v>2</v>
      </c>
      <c r="OG50" s="8"/>
      <c r="OH50" s="8">
        <v>0</v>
      </c>
      <c r="OI50" s="8">
        <v>0</v>
      </c>
      <c r="OJ50" s="8">
        <v>0</v>
      </c>
      <c r="OK50" s="8" t="s">
        <v>107</v>
      </c>
      <c r="OL50" s="8"/>
      <c r="OM50" s="8"/>
      <c r="ON50" s="8"/>
      <c r="OO50" s="8" t="s">
        <v>107</v>
      </c>
      <c r="OP50" s="8" t="s">
        <v>107</v>
      </c>
      <c r="OQ50" s="8"/>
      <c r="OR50" s="8"/>
      <c r="OS50" s="8"/>
      <c r="OT50" s="8"/>
      <c r="OU50" s="8"/>
      <c r="OV50" s="8"/>
      <c r="OW50" s="8"/>
      <c r="OX50" s="8">
        <v>0</v>
      </c>
      <c r="OY50" s="8">
        <v>0</v>
      </c>
      <c r="OZ50" s="8"/>
      <c r="PA50" s="8"/>
      <c r="PB50" s="8">
        <v>1</v>
      </c>
      <c r="PC50" s="8">
        <v>1</v>
      </c>
      <c r="PD50" s="8">
        <v>0</v>
      </c>
      <c r="PE50" s="967"/>
      <c r="PF50" s="8">
        <f t="shared" si="49"/>
        <v>0</v>
      </c>
      <c r="PG50" s="8"/>
      <c r="PH50" s="8">
        <v>0</v>
      </c>
      <c r="PI50" s="8">
        <v>0</v>
      </c>
      <c r="PJ50" s="8">
        <v>0</v>
      </c>
      <c r="PK50" s="8" t="s">
        <v>107</v>
      </c>
      <c r="PL50" s="8"/>
      <c r="PM50" s="8"/>
      <c r="PN50" s="8"/>
      <c r="PO50" s="8" t="s">
        <v>107</v>
      </c>
      <c r="PP50" s="8" t="s">
        <v>107</v>
      </c>
      <c r="PQ50" s="8"/>
      <c r="PR50" s="8"/>
      <c r="PS50" s="8"/>
      <c r="PT50" s="8"/>
      <c r="PU50" s="8"/>
      <c r="PV50" s="8"/>
      <c r="PW50" s="8"/>
      <c r="PX50" s="8">
        <v>0</v>
      </c>
      <c r="PY50" s="8">
        <v>0</v>
      </c>
      <c r="PZ50" s="8"/>
      <c r="QA50" s="8"/>
      <c r="QB50" s="8">
        <v>0</v>
      </c>
      <c r="QC50" s="8">
        <v>0</v>
      </c>
      <c r="QD50" s="8">
        <v>0</v>
      </c>
      <c r="QE50" s="967"/>
    </row>
    <row r="51" spans="2:447" x14ac:dyDescent="0.3">
      <c r="B51">
        <v>43</v>
      </c>
      <c r="D51" t="s">
        <v>1812</v>
      </c>
      <c r="F51" s="8">
        <f t="shared" si="53"/>
        <v>154</v>
      </c>
      <c r="G51" s="8"/>
      <c r="H51" s="8">
        <v>21</v>
      </c>
      <c r="I51" s="8">
        <v>3</v>
      </c>
      <c r="J51" s="8">
        <v>18</v>
      </c>
      <c r="K51" s="8">
        <v>20</v>
      </c>
      <c r="L51" s="8">
        <v>1</v>
      </c>
      <c r="M51" s="8">
        <v>18</v>
      </c>
      <c r="N51" s="8">
        <v>2</v>
      </c>
      <c r="O51" s="8">
        <v>14</v>
      </c>
      <c r="P51" s="8" t="s">
        <v>107</v>
      </c>
      <c r="Q51" s="8">
        <v>3</v>
      </c>
      <c r="R51" s="8">
        <v>21</v>
      </c>
      <c r="S51" s="8">
        <v>17</v>
      </c>
      <c r="T51" s="8">
        <v>16</v>
      </c>
      <c r="U51" s="8"/>
      <c r="V51" s="8"/>
      <c r="W51" s="8"/>
      <c r="X51" s="8" t="s">
        <v>107</v>
      </c>
      <c r="Y51" s="8" t="s">
        <v>107</v>
      </c>
      <c r="Z51" s="8"/>
      <c r="AA51" s="8"/>
      <c r="AB51" s="8" t="s">
        <v>107</v>
      </c>
      <c r="AC51" s="8" t="s">
        <v>107</v>
      </c>
      <c r="AD51" s="8" t="s">
        <v>107</v>
      </c>
      <c r="AE51" s="967"/>
      <c r="AF51" s="8">
        <f t="shared" si="35"/>
        <v>55</v>
      </c>
      <c r="AG51" s="8"/>
      <c r="AH51" s="8">
        <v>5</v>
      </c>
      <c r="AI51" s="8">
        <v>2</v>
      </c>
      <c r="AJ51" s="8">
        <v>10</v>
      </c>
      <c r="AK51" s="8">
        <v>9</v>
      </c>
      <c r="AL51" s="8"/>
      <c r="AM51" s="8"/>
      <c r="AN51" s="8"/>
      <c r="AO51" s="8">
        <v>3</v>
      </c>
      <c r="AP51" s="8" t="s">
        <v>107</v>
      </c>
      <c r="AQ51" s="8">
        <v>2</v>
      </c>
      <c r="AR51" s="8">
        <v>16</v>
      </c>
      <c r="AS51" s="8">
        <v>0</v>
      </c>
      <c r="AT51" s="8">
        <v>8</v>
      </c>
      <c r="AU51" s="8"/>
      <c r="AV51" s="8"/>
      <c r="AW51" s="8"/>
      <c r="AX51" s="8" t="s">
        <v>107</v>
      </c>
      <c r="AY51" s="8" t="s">
        <v>107</v>
      </c>
      <c r="AZ51" s="8"/>
      <c r="BA51" s="8"/>
      <c r="BB51" s="8" t="s">
        <v>107</v>
      </c>
      <c r="BC51" s="8" t="s">
        <v>107</v>
      </c>
      <c r="BD51" s="8" t="s">
        <v>107</v>
      </c>
      <c r="BE51" s="967"/>
      <c r="BF51" s="8">
        <f t="shared" si="36"/>
        <v>63</v>
      </c>
      <c r="BG51" s="8"/>
      <c r="BH51" s="8">
        <v>10</v>
      </c>
      <c r="BI51" s="8">
        <v>3</v>
      </c>
      <c r="BJ51" s="8">
        <v>15</v>
      </c>
      <c r="BK51" s="8">
        <v>10</v>
      </c>
      <c r="BL51" s="8"/>
      <c r="BM51" s="8"/>
      <c r="BN51" s="8"/>
      <c r="BO51" s="8">
        <v>3</v>
      </c>
      <c r="BP51" s="8" t="s">
        <v>107</v>
      </c>
      <c r="BQ51" s="8">
        <v>0</v>
      </c>
      <c r="BR51" s="8">
        <v>15</v>
      </c>
      <c r="BS51" s="8">
        <v>1</v>
      </c>
      <c r="BT51" s="8">
        <v>6</v>
      </c>
      <c r="BU51" s="8"/>
      <c r="BV51" s="8"/>
      <c r="BW51" s="8"/>
      <c r="BX51" s="8" t="s">
        <v>107</v>
      </c>
      <c r="BY51" s="8" t="s">
        <v>107</v>
      </c>
      <c r="BZ51" s="8"/>
      <c r="CA51" s="8"/>
      <c r="CB51" s="8" t="s">
        <v>107</v>
      </c>
      <c r="CC51" s="8" t="s">
        <v>107</v>
      </c>
      <c r="CD51" s="8" t="s">
        <v>107</v>
      </c>
      <c r="CE51" s="967"/>
      <c r="CF51" s="8">
        <f t="shared" si="37"/>
        <v>118</v>
      </c>
      <c r="CG51" s="8"/>
      <c r="CH51" s="8">
        <v>15</v>
      </c>
      <c r="CI51" s="8">
        <v>5</v>
      </c>
      <c r="CJ51" s="8">
        <v>25</v>
      </c>
      <c r="CK51" s="8">
        <v>19</v>
      </c>
      <c r="CL51" s="8"/>
      <c r="CM51" s="8"/>
      <c r="CN51" s="8"/>
      <c r="CO51" s="8">
        <v>6</v>
      </c>
      <c r="CP51" s="8" t="s">
        <v>107</v>
      </c>
      <c r="CQ51" s="8">
        <v>2</v>
      </c>
      <c r="CR51" s="8">
        <v>31</v>
      </c>
      <c r="CS51" s="8">
        <v>1</v>
      </c>
      <c r="CT51" s="8">
        <v>14</v>
      </c>
      <c r="CU51" s="8"/>
      <c r="CV51" s="8"/>
      <c r="CW51" s="8"/>
      <c r="CX51" s="8" t="s">
        <v>107</v>
      </c>
      <c r="CY51" s="8" t="s">
        <v>107</v>
      </c>
      <c r="CZ51" s="8"/>
      <c r="DA51" s="8"/>
      <c r="DB51" s="8" t="s">
        <v>107</v>
      </c>
      <c r="DC51" s="8" t="s">
        <v>107</v>
      </c>
      <c r="DD51" s="8" t="s">
        <v>107</v>
      </c>
      <c r="DE51" s="967"/>
      <c r="DF51" s="8">
        <f t="shared" si="38"/>
        <v>6</v>
      </c>
      <c r="DG51" s="8"/>
      <c r="DH51" s="8">
        <v>0</v>
      </c>
      <c r="DI51" s="8">
        <v>0</v>
      </c>
      <c r="DJ51" s="8">
        <v>2</v>
      </c>
      <c r="DK51" s="8">
        <v>2</v>
      </c>
      <c r="DL51" s="8"/>
      <c r="DM51" s="8"/>
      <c r="DN51" s="8"/>
      <c r="DO51" s="8">
        <v>0</v>
      </c>
      <c r="DP51" s="8" t="s">
        <v>107</v>
      </c>
      <c r="DQ51" s="8">
        <v>0</v>
      </c>
      <c r="DR51" s="8">
        <v>2</v>
      </c>
      <c r="DS51" s="8">
        <v>0</v>
      </c>
      <c r="DT51" s="8"/>
      <c r="DU51" s="8"/>
      <c r="DV51" s="8"/>
      <c r="DW51" s="8"/>
      <c r="DX51" s="8" t="s">
        <v>107</v>
      </c>
      <c r="DY51" s="8" t="s">
        <v>107</v>
      </c>
      <c r="DZ51" s="8"/>
      <c r="EA51" s="8"/>
      <c r="EB51" s="8" t="s">
        <v>107</v>
      </c>
      <c r="EC51" s="8" t="s">
        <v>107</v>
      </c>
      <c r="ED51" s="8" t="s">
        <v>107</v>
      </c>
      <c r="EE51" s="967"/>
      <c r="EF51" s="8">
        <f t="shared" si="39"/>
        <v>12</v>
      </c>
      <c r="EG51" s="8"/>
      <c r="EH51" s="8">
        <v>0</v>
      </c>
      <c r="EI51" s="8">
        <v>0</v>
      </c>
      <c r="EJ51" s="8">
        <v>4</v>
      </c>
      <c r="EK51" s="8">
        <v>4</v>
      </c>
      <c r="EL51" s="8"/>
      <c r="EM51" s="8"/>
      <c r="EN51" s="8"/>
      <c r="EO51" s="8">
        <v>0</v>
      </c>
      <c r="EP51" s="8" t="s">
        <v>107</v>
      </c>
      <c r="EQ51" s="8">
        <v>0</v>
      </c>
      <c r="ER51" s="8">
        <v>4</v>
      </c>
      <c r="ES51" s="8">
        <v>0</v>
      </c>
      <c r="ET51" s="8"/>
      <c r="EU51" s="8"/>
      <c r="EV51" s="8"/>
      <c r="EW51" s="8"/>
      <c r="EX51" s="8" t="s">
        <v>107</v>
      </c>
      <c r="EY51" s="8" t="s">
        <v>107</v>
      </c>
      <c r="EZ51" s="8"/>
      <c r="FA51" s="8"/>
      <c r="FB51" s="8" t="s">
        <v>107</v>
      </c>
      <c r="FC51" s="8" t="s">
        <v>107</v>
      </c>
      <c r="FD51" s="8" t="s">
        <v>107</v>
      </c>
      <c r="FE51" s="967"/>
      <c r="FF51" s="8">
        <f t="shared" si="34"/>
        <v>3</v>
      </c>
      <c r="FG51" s="8"/>
      <c r="FH51" s="8">
        <v>2</v>
      </c>
      <c r="FI51" s="8">
        <v>0</v>
      </c>
      <c r="FJ51" s="8">
        <v>0</v>
      </c>
      <c r="FK51" s="8">
        <v>1</v>
      </c>
      <c r="FL51" s="8"/>
      <c r="FM51" s="8"/>
      <c r="FN51" s="8"/>
      <c r="FO51" s="8">
        <v>0</v>
      </c>
      <c r="FP51" s="8" t="s">
        <v>107</v>
      </c>
      <c r="FQ51" s="8">
        <v>0</v>
      </c>
      <c r="FR51" s="8">
        <v>0</v>
      </c>
      <c r="FS51" s="8">
        <v>0</v>
      </c>
      <c r="FT51" s="8">
        <v>0</v>
      </c>
      <c r="FU51" s="8"/>
      <c r="FV51" s="8"/>
      <c r="FW51" s="8"/>
      <c r="FX51" s="8" t="s">
        <v>107</v>
      </c>
      <c r="FY51" s="8" t="s">
        <v>107</v>
      </c>
      <c r="FZ51" s="8"/>
      <c r="GA51" s="8"/>
      <c r="GB51" s="8" t="s">
        <v>107</v>
      </c>
      <c r="GC51" s="8" t="s">
        <v>107</v>
      </c>
      <c r="GD51" s="8" t="s">
        <v>107</v>
      </c>
      <c r="GE51" s="967"/>
      <c r="GF51" s="8">
        <f t="shared" si="40"/>
        <v>3</v>
      </c>
      <c r="GG51" s="8"/>
      <c r="GH51" s="8">
        <v>0</v>
      </c>
      <c r="GI51" s="8">
        <v>1</v>
      </c>
      <c r="GJ51" s="8">
        <v>1</v>
      </c>
      <c r="GK51" s="8">
        <v>0</v>
      </c>
      <c r="GL51" s="8"/>
      <c r="GM51" s="8"/>
      <c r="GN51" s="8"/>
      <c r="GO51" s="8">
        <v>0</v>
      </c>
      <c r="GP51" s="8" t="s">
        <v>107</v>
      </c>
      <c r="GQ51" s="8">
        <v>0</v>
      </c>
      <c r="GR51" s="8">
        <v>1</v>
      </c>
      <c r="GS51" s="8">
        <v>0</v>
      </c>
      <c r="GT51" s="8"/>
      <c r="GU51" s="8"/>
      <c r="GV51" s="8"/>
      <c r="GW51" s="8"/>
      <c r="GX51" s="8" t="s">
        <v>107</v>
      </c>
      <c r="GY51" s="8" t="s">
        <v>107</v>
      </c>
      <c r="GZ51" s="8"/>
      <c r="HA51" s="8"/>
      <c r="HB51" s="8" t="s">
        <v>107</v>
      </c>
      <c r="HC51" s="8" t="s">
        <v>107</v>
      </c>
      <c r="HD51" s="8" t="s">
        <v>107</v>
      </c>
      <c r="HE51" s="967"/>
      <c r="HF51" s="8">
        <f t="shared" si="41"/>
        <v>1</v>
      </c>
      <c r="HG51" s="8"/>
      <c r="HH51" s="8">
        <v>0</v>
      </c>
      <c r="HI51" s="8">
        <v>0</v>
      </c>
      <c r="HJ51" s="8">
        <v>1</v>
      </c>
      <c r="HK51" s="8">
        <v>0</v>
      </c>
      <c r="HL51" s="8"/>
      <c r="HM51" s="8"/>
      <c r="HN51" s="8"/>
      <c r="HO51" s="8">
        <v>0</v>
      </c>
      <c r="HP51" s="8" t="s">
        <v>107</v>
      </c>
      <c r="HQ51" s="8">
        <v>0</v>
      </c>
      <c r="HR51" s="8">
        <v>0</v>
      </c>
      <c r="HS51" s="8">
        <v>0</v>
      </c>
      <c r="HT51" s="8"/>
      <c r="HU51" s="8"/>
      <c r="HV51" s="8"/>
      <c r="HW51" s="8"/>
      <c r="HX51" s="8" t="s">
        <v>107</v>
      </c>
      <c r="HY51" s="8" t="s">
        <v>107</v>
      </c>
      <c r="HZ51" s="8"/>
      <c r="IA51" s="8"/>
      <c r="IB51" s="8" t="s">
        <v>107</v>
      </c>
      <c r="IC51" s="8" t="s">
        <v>107</v>
      </c>
      <c r="ID51" s="8" t="s">
        <v>107</v>
      </c>
      <c r="IE51" s="967"/>
      <c r="IF51" s="8">
        <f t="shared" si="42"/>
        <v>0</v>
      </c>
      <c r="IG51" s="8"/>
      <c r="IH51" s="8">
        <v>0</v>
      </c>
      <c r="II51" s="8">
        <v>0</v>
      </c>
      <c r="IJ51" s="8">
        <v>0</v>
      </c>
      <c r="IK51" s="8">
        <v>0</v>
      </c>
      <c r="IL51" s="8"/>
      <c r="IM51" s="8"/>
      <c r="IN51" s="8"/>
      <c r="IO51" s="8">
        <v>0</v>
      </c>
      <c r="IP51" s="8" t="s">
        <v>107</v>
      </c>
      <c r="IQ51" s="8">
        <v>0</v>
      </c>
      <c r="IR51" s="8">
        <v>0</v>
      </c>
      <c r="IS51" s="8">
        <v>0</v>
      </c>
      <c r="IT51" s="8"/>
      <c r="IU51" s="8"/>
      <c r="IV51" s="8"/>
      <c r="IW51" s="8"/>
      <c r="IX51" s="8" t="s">
        <v>107</v>
      </c>
      <c r="IY51" s="8" t="s">
        <v>107</v>
      </c>
      <c r="IZ51" s="8"/>
      <c r="JA51" s="8"/>
      <c r="JB51" s="8" t="s">
        <v>107</v>
      </c>
      <c r="JC51" s="8" t="s">
        <v>107</v>
      </c>
      <c r="JD51" s="8" t="s">
        <v>107</v>
      </c>
      <c r="JE51" s="967"/>
      <c r="JF51" s="8">
        <f t="shared" si="43"/>
        <v>0</v>
      </c>
      <c r="JG51" s="8"/>
      <c r="JH51" s="8">
        <v>0</v>
      </c>
      <c r="JI51" s="8">
        <v>0</v>
      </c>
      <c r="JJ51" s="8">
        <v>0</v>
      </c>
      <c r="JK51" s="8">
        <v>0</v>
      </c>
      <c r="JL51" s="8"/>
      <c r="JM51" s="8"/>
      <c r="JN51" s="8"/>
      <c r="JO51" s="8">
        <v>0</v>
      </c>
      <c r="JP51" s="8" t="s">
        <v>107</v>
      </c>
      <c r="JQ51" s="8">
        <v>0</v>
      </c>
      <c r="JR51" s="8">
        <v>0</v>
      </c>
      <c r="JS51" s="8">
        <v>0</v>
      </c>
      <c r="JT51" s="8"/>
      <c r="JU51" s="8"/>
      <c r="JV51" s="8"/>
      <c r="JW51" s="8"/>
      <c r="JX51" s="8" t="s">
        <v>107</v>
      </c>
      <c r="JY51" s="8" t="s">
        <v>107</v>
      </c>
      <c r="JZ51" s="8"/>
      <c r="KA51" s="8"/>
      <c r="KB51" s="8" t="s">
        <v>107</v>
      </c>
      <c r="KC51" s="8" t="s">
        <v>107</v>
      </c>
      <c r="KD51" s="8" t="s">
        <v>107</v>
      </c>
      <c r="KE51" s="967"/>
      <c r="KF51" s="8">
        <f t="shared" si="44"/>
        <v>0</v>
      </c>
      <c r="KG51" s="8"/>
      <c r="KH51" s="8">
        <v>0</v>
      </c>
      <c r="KI51" s="8">
        <v>0</v>
      </c>
      <c r="KJ51" s="8">
        <v>0</v>
      </c>
      <c r="KK51" s="8">
        <v>0</v>
      </c>
      <c r="KL51" s="8"/>
      <c r="KM51" s="8"/>
      <c r="KN51" s="8"/>
      <c r="KO51" s="8">
        <v>0</v>
      </c>
      <c r="KP51" s="8" t="s">
        <v>107</v>
      </c>
      <c r="KQ51" s="8">
        <v>0</v>
      </c>
      <c r="KR51" s="8">
        <v>0</v>
      </c>
      <c r="KS51" s="8">
        <v>0</v>
      </c>
      <c r="KT51" s="8"/>
      <c r="KU51" s="8"/>
      <c r="KV51" s="8"/>
      <c r="KW51" s="8"/>
      <c r="KX51" s="8" t="s">
        <v>107</v>
      </c>
      <c r="KY51" s="8" t="s">
        <v>107</v>
      </c>
      <c r="KZ51" s="8"/>
      <c r="LA51" s="8"/>
      <c r="LB51" s="8" t="s">
        <v>107</v>
      </c>
      <c r="LC51" s="8" t="s">
        <v>107</v>
      </c>
      <c r="LD51" s="8" t="s">
        <v>107</v>
      </c>
      <c r="LE51" s="967"/>
      <c r="LF51" s="8">
        <f t="shared" si="45"/>
        <v>0</v>
      </c>
      <c r="LG51" s="8"/>
      <c r="LH51" s="8">
        <v>0</v>
      </c>
      <c r="LI51" s="8">
        <v>0</v>
      </c>
      <c r="LJ51" s="8">
        <v>0</v>
      </c>
      <c r="LK51" s="8">
        <v>0</v>
      </c>
      <c r="LL51" s="8"/>
      <c r="LM51" s="8"/>
      <c r="LN51" s="8"/>
      <c r="LO51" s="8">
        <v>0</v>
      </c>
      <c r="LP51" s="8" t="s">
        <v>107</v>
      </c>
      <c r="LQ51" s="8">
        <v>0</v>
      </c>
      <c r="LR51" s="8">
        <v>0</v>
      </c>
      <c r="LS51" s="8">
        <v>0</v>
      </c>
      <c r="LT51" s="8"/>
      <c r="LU51" s="8"/>
      <c r="LV51" s="8"/>
      <c r="LW51" s="8"/>
      <c r="LX51" s="8" t="s">
        <v>107</v>
      </c>
      <c r="LY51" s="8" t="s">
        <v>107</v>
      </c>
      <c r="LZ51" s="8"/>
      <c r="MA51" s="8"/>
      <c r="MB51" s="8" t="s">
        <v>107</v>
      </c>
      <c r="MC51" s="8" t="s">
        <v>107</v>
      </c>
      <c r="MD51" s="8" t="s">
        <v>107</v>
      </c>
      <c r="ME51" s="967"/>
      <c r="MF51" s="8">
        <f t="shared" si="46"/>
        <v>0</v>
      </c>
      <c r="MG51" s="8"/>
      <c r="MH51" s="8">
        <v>0</v>
      </c>
      <c r="MI51" s="8">
        <v>0</v>
      </c>
      <c r="MJ51" s="8">
        <v>0</v>
      </c>
      <c r="MK51" s="8">
        <v>0</v>
      </c>
      <c r="ML51" s="8"/>
      <c r="MM51" s="8"/>
      <c r="MN51" s="8"/>
      <c r="MO51" s="8">
        <v>0</v>
      </c>
      <c r="MP51" s="8" t="s">
        <v>107</v>
      </c>
      <c r="MQ51" s="8">
        <v>0</v>
      </c>
      <c r="MR51" s="8">
        <v>0</v>
      </c>
      <c r="MS51" s="8">
        <v>0</v>
      </c>
      <c r="MT51" s="8"/>
      <c r="MU51" s="8"/>
      <c r="MV51" s="8"/>
      <c r="MW51" s="8"/>
      <c r="MX51" s="8" t="s">
        <v>107</v>
      </c>
      <c r="MY51" s="8" t="s">
        <v>107</v>
      </c>
      <c r="MZ51" s="8"/>
      <c r="NA51" s="8"/>
      <c r="NB51" s="8" t="s">
        <v>107</v>
      </c>
      <c r="NC51" s="8" t="s">
        <v>107</v>
      </c>
      <c r="ND51" s="8" t="s">
        <v>107</v>
      </c>
      <c r="NE51" s="967"/>
      <c r="NF51" s="8">
        <f t="shared" si="47"/>
        <v>2</v>
      </c>
      <c r="NG51" s="8"/>
      <c r="NH51" s="8">
        <v>0</v>
      </c>
      <c r="NI51" s="8">
        <v>0</v>
      </c>
      <c r="NJ51" s="8">
        <v>0</v>
      </c>
      <c r="NK51" s="8">
        <v>1</v>
      </c>
      <c r="NL51" s="8"/>
      <c r="NM51" s="8"/>
      <c r="NN51" s="8"/>
      <c r="NO51" s="8">
        <v>0</v>
      </c>
      <c r="NP51" s="8" t="s">
        <v>107</v>
      </c>
      <c r="NQ51" s="8">
        <v>0</v>
      </c>
      <c r="NR51" s="8">
        <v>1</v>
      </c>
      <c r="NS51" s="8">
        <v>0</v>
      </c>
      <c r="NT51" s="8"/>
      <c r="NU51" s="8"/>
      <c r="NV51" s="8"/>
      <c r="NW51" s="8"/>
      <c r="NX51" s="8" t="s">
        <v>107</v>
      </c>
      <c r="NY51" s="8" t="s">
        <v>107</v>
      </c>
      <c r="NZ51" s="8"/>
      <c r="OA51" s="8"/>
      <c r="OB51" s="8" t="s">
        <v>107</v>
      </c>
      <c r="OC51" s="8" t="s">
        <v>107</v>
      </c>
      <c r="OD51" s="8" t="s">
        <v>107</v>
      </c>
      <c r="OE51" s="967"/>
      <c r="OF51" s="8">
        <f t="shared" si="48"/>
        <v>1</v>
      </c>
      <c r="OG51" s="8"/>
      <c r="OH51" s="8">
        <v>0</v>
      </c>
      <c r="OI51" s="8">
        <v>0</v>
      </c>
      <c r="OJ51" s="8">
        <v>1</v>
      </c>
      <c r="OK51" s="8">
        <v>0</v>
      </c>
      <c r="OL51" s="8"/>
      <c r="OM51" s="8"/>
      <c r="ON51" s="8"/>
      <c r="OO51" s="8">
        <v>0</v>
      </c>
      <c r="OP51" s="8" t="s">
        <v>107</v>
      </c>
      <c r="OQ51" s="8">
        <v>0</v>
      </c>
      <c r="OR51" s="8">
        <v>0</v>
      </c>
      <c r="OS51" s="8">
        <v>0</v>
      </c>
      <c r="OT51" s="8"/>
      <c r="OU51" s="8"/>
      <c r="OV51" s="8"/>
      <c r="OW51" s="8"/>
      <c r="OX51" s="8" t="s">
        <v>107</v>
      </c>
      <c r="OY51" s="8" t="s">
        <v>107</v>
      </c>
      <c r="OZ51" s="8"/>
      <c r="PA51" s="8"/>
      <c r="PB51" s="8" t="s">
        <v>107</v>
      </c>
      <c r="PC51" s="8" t="s">
        <v>107</v>
      </c>
      <c r="PD51" s="8" t="s">
        <v>107</v>
      </c>
      <c r="PE51" s="967"/>
      <c r="PF51" s="8">
        <f t="shared" si="49"/>
        <v>0</v>
      </c>
      <c r="PG51" s="8"/>
      <c r="PH51" s="8">
        <v>0</v>
      </c>
      <c r="PI51" s="8">
        <v>0</v>
      </c>
      <c r="PJ51" s="8">
        <v>0</v>
      </c>
      <c r="PK51" s="8">
        <v>0</v>
      </c>
      <c r="PL51" s="8"/>
      <c r="PM51" s="8"/>
      <c r="PN51" s="8"/>
      <c r="PO51" s="8">
        <v>0</v>
      </c>
      <c r="PP51" s="8" t="s">
        <v>107</v>
      </c>
      <c r="PQ51" s="8">
        <v>0</v>
      </c>
      <c r="PR51" s="8">
        <v>0</v>
      </c>
      <c r="PS51" s="8">
        <v>0</v>
      </c>
      <c r="PT51" s="8"/>
      <c r="PU51" s="8"/>
      <c r="PV51" s="8"/>
      <c r="PW51" s="8"/>
      <c r="PX51" s="8" t="s">
        <v>107</v>
      </c>
      <c r="PY51" s="8" t="s">
        <v>107</v>
      </c>
      <c r="PZ51" s="8"/>
      <c r="QA51" s="8"/>
      <c r="QB51" s="8" t="s">
        <v>107</v>
      </c>
      <c r="QC51" s="8" t="s">
        <v>107</v>
      </c>
      <c r="QD51" s="8" t="s">
        <v>107</v>
      </c>
      <c r="QE51" s="967"/>
    </row>
    <row r="52" spans="2:447" x14ac:dyDescent="0.3">
      <c r="B52">
        <v>44</v>
      </c>
      <c r="C52" t="s">
        <v>681</v>
      </c>
      <c r="D52" t="s">
        <v>2271</v>
      </c>
      <c r="F52" s="8">
        <f t="shared" si="53"/>
        <v>0</v>
      </c>
      <c r="G52" s="8"/>
      <c r="H52" s="8" t="s">
        <v>107</v>
      </c>
      <c r="I52" s="8" t="s">
        <v>107</v>
      </c>
      <c r="J52" s="8" t="s">
        <v>107</v>
      </c>
      <c r="K52" s="8" t="s">
        <v>107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 t="s">
        <v>107</v>
      </c>
      <c r="Y52" s="8" t="s">
        <v>107</v>
      </c>
      <c r="Z52" s="8"/>
      <c r="AA52" s="8"/>
      <c r="AB52" s="1087"/>
      <c r="AC52" s="8" t="s">
        <v>107</v>
      </c>
      <c r="AD52" s="8" t="s">
        <v>107</v>
      </c>
      <c r="AE52" s="967"/>
      <c r="AF52" s="8">
        <f t="shared" si="35"/>
        <v>0</v>
      </c>
      <c r="AG52" s="8"/>
      <c r="AH52" s="8" t="s">
        <v>107</v>
      </c>
      <c r="AI52" s="8" t="s">
        <v>107</v>
      </c>
      <c r="AJ52" s="8" t="s">
        <v>107</v>
      </c>
      <c r="AK52" s="8" t="s">
        <v>107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 t="s">
        <v>107</v>
      </c>
      <c r="AY52" s="8" t="s">
        <v>107</v>
      </c>
      <c r="AZ52" s="8"/>
      <c r="BA52" s="8"/>
      <c r="BB52" s="8">
        <v>0</v>
      </c>
      <c r="BC52" s="8" t="s">
        <v>107</v>
      </c>
      <c r="BD52" s="8" t="s">
        <v>107</v>
      </c>
      <c r="BE52" s="967"/>
      <c r="BF52" s="8">
        <f t="shared" si="36"/>
        <v>0</v>
      </c>
      <c r="BG52" s="8"/>
      <c r="BH52" s="8" t="s">
        <v>107</v>
      </c>
      <c r="BI52" s="8"/>
      <c r="BJ52" s="8"/>
      <c r="BK52" s="8" t="s">
        <v>107</v>
      </c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 t="s">
        <v>107</v>
      </c>
      <c r="BY52" s="8" t="s">
        <v>107</v>
      </c>
      <c r="BZ52" s="8"/>
      <c r="CA52" s="8"/>
      <c r="CB52" s="8">
        <v>0</v>
      </c>
      <c r="CC52" s="8" t="s">
        <v>107</v>
      </c>
      <c r="CD52" s="8" t="s">
        <v>107</v>
      </c>
      <c r="CE52" s="967"/>
      <c r="CF52" s="8">
        <f t="shared" si="37"/>
        <v>0</v>
      </c>
      <c r="CG52" s="8"/>
      <c r="CH52" s="8" t="s">
        <v>107</v>
      </c>
      <c r="CI52" s="8"/>
      <c r="CJ52" s="8"/>
      <c r="CK52" s="8" t="s">
        <v>107</v>
      </c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 t="s">
        <v>107</v>
      </c>
      <c r="CY52" s="8" t="s">
        <v>107</v>
      </c>
      <c r="CZ52" s="8"/>
      <c r="DA52" s="8"/>
      <c r="DB52" s="8">
        <f t="shared" si="51"/>
        <v>0</v>
      </c>
      <c r="DC52" s="8" t="s">
        <v>107</v>
      </c>
      <c r="DD52" s="8" t="s">
        <v>107</v>
      </c>
      <c r="DE52" s="967"/>
      <c r="DF52" s="8">
        <f t="shared" si="38"/>
        <v>0</v>
      </c>
      <c r="DG52" s="8"/>
      <c r="DH52" s="8" t="s">
        <v>107</v>
      </c>
      <c r="DI52" s="8" t="s">
        <v>107</v>
      </c>
      <c r="DJ52" s="8" t="s">
        <v>107</v>
      </c>
      <c r="DK52" s="8" t="s">
        <v>107</v>
      </c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 t="s">
        <v>107</v>
      </c>
      <c r="DY52" s="8" t="s">
        <v>107</v>
      </c>
      <c r="DZ52" s="8"/>
      <c r="EA52" s="8"/>
      <c r="EB52" s="8">
        <v>0</v>
      </c>
      <c r="EC52" s="8" t="s">
        <v>107</v>
      </c>
      <c r="ED52" s="8" t="s">
        <v>107</v>
      </c>
      <c r="EE52" s="967"/>
      <c r="EF52" s="8">
        <f t="shared" si="39"/>
        <v>0</v>
      </c>
      <c r="EG52" s="8"/>
      <c r="EH52" s="8" t="s">
        <v>107</v>
      </c>
      <c r="EI52" s="8" t="s">
        <v>107</v>
      </c>
      <c r="EJ52" s="8" t="s">
        <v>107</v>
      </c>
      <c r="EK52" s="8" t="s">
        <v>107</v>
      </c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 t="s">
        <v>107</v>
      </c>
      <c r="EY52" s="8" t="s">
        <v>107</v>
      </c>
      <c r="EZ52" s="8"/>
      <c r="FA52" s="8"/>
      <c r="FB52" s="8">
        <v>0</v>
      </c>
      <c r="FC52" s="8" t="s">
        <v>107</v>
      </c>
      <c r="FD52" s="8" t="s">
        <v>107</v>
      </c>
      <c r="FE52" s="967"/>
      <c r="FF52" s="8">
        <f t="shared" si="34"/>
        <v>0</v>
      </c>
      <c r="FG52" s="8"/>
      <c r="FH52" s="8" t="s">
        <v>107</v>
      </c>
      <c r="FI52" s="8" t="s">
        <v>107</v>
      </c>
      <c r="FJ52" s="8" t="s">
        <v>107</v>
      </c>
      <c r="FK52" s="8" t="s">
        <v>107</v>
      </c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 t="s">
        <v>107</v>
      </c>
      <c r="FY52" s="8" t="s">
        <v>107</v>
      </c>
      <c r="FZ52" s="8"/>
      <c r="GA52" s="8"/>
      <c r="GB52" s="8">
        <v>0</v>
      </c>
      <c r="GC52" s="8" t="s">
        <v>107</v>
      </c>
      <c r="GD52" s="8" t="s">
        <v>107</v>
      </c>
      <c r="GE52" s="967"/>
      <c r="GF52" s="8">
        <f t="shared" si="40"/>
        <v>0</v>
      </c>
      <c r="GG52" s="8"/>
      <c r="GH52" s="8" t="s">
        <v>107</v>
      </c>
      <c r="GI52" s="8" t="s">
        <v>107</v>
      </c>
      <c r="GJ52" s="8" t="s">
        <v>107</v>
      </c>
      <c r="GK52" s="8" t="s">
        <v>107</v>
      </c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 t="s">
        <v>107</v>
      </c>
      <c r="GY52" s="8" t="s">
        <v>107</v>
      </c>
      <c r="GZ52" s="8"/>
      <c r="HA52" s="8"/>
      <c r="HB52" s="8">
        <v>0</v>
      </c>
      <c r="HC52" s="8" t="s">
        <v>107</v>
      </c>
      <c r="HD52" s="8" t="s">
        <v>107</v>
      </c>
      <c r="HE52" s="967"/>
      <c r="HF52" s="8">
        <f t="shared" si="41"/>
        <v>0</v>
      </c>
      <c r="HG52" s="8"/>
      <c r="HH52" s="8" t="s">
        <v>107</v>
      </c>
      <c r="HI52" s="8" t="s">
        <v>107</v>
      </c>
      <c r="HJ52" s="8" t="s">
        <v>107</v>
      </c>
      <c r="HK52" s="8" t="s">
        <v>107</v>
      </c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 t="s">
        <v>107</v>
      </c>
      <c r="HY52" s="8" t="s">
        <v>107</v>
      </c>
      <c r="HZ52" s="8"/>
      <c r="IA52" s="8"/>
      <c r="IB52" s="8">
        <v>0</v>
      </c>
      <c r="IC52" s="8" t="s">
        <v>107</v>
      </c>
      <c r="ID52" s="8" t="s">
        <v>107</v>
      </c>
      <c r="IE52" s="967"/>
      <c r="IF52" s="8">
        <f t="shared" si="42"/>
        <v>0</v>
      </c>
      <c r="IG52" s="8"/>
      <c r="IH52" s="8" t="s">
        <v>107</v>
      </c>
      <c r="II52" s="8" t="s">
        <v>107</v>
      </c>
      <c r="IJ52" s="8" t="s">
        <v>107</v>
      </c>
      <c r="IK52" s="8" t="s">
        <v>107</v>
      </c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 t="s">
        <v>107</v>
      </c>
      <c r="IY52" s="8" t="s">
        <v>107</v>
      </c>
      <c r="IZ52" s="8"/>
      <c r="JA52" s="8"/>
      <c r="JB52" s="8">
        <v>0</v>
      </c>
      <c r="JC52" s="8" t="s">
        <v>107</v>
      </c>
      <c r="JD52" s="8" t="s">
        <v>107</v>
      </c>
      <c r="JE52" s="967"/>
      <c r="JF52" s="8">
        <f t="shared" si="43"/>
        <v>0</v>
      </c>
      <c r="JG52" s="8"/>
      <c r="JH52" s="8" t="s">
        <v>107</v>
      </c>
      <c r="JI52" s="8" t="s">
        <v>107</v>
      </c>
      <c r="JJ52" s="8" t="s">
        <v>107</v>
      </c>
      <c r="JK52" s="8" t="s">
        <v>107</v>
      </c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 t="s">
        <v>107</v>
      </c>
      <c r="JY52" s="8" t="s">
        <v>107</v>
      </c>
      <c r="JZ52" s="8"/>
      <c r="KA52" s="8"/>
      <c r="KB52" s="8">
        <v>0</v>
      </c>
      <c r="KC52" s="8" t="s">
        <v>107</v>
      </c>
      <c r="KD52" s="8" t="s">
        <v>107</v>
      </c>
      <c r="KE52" s="967"/>
      <c r="KF52" s="8">
        <f t="shared" si="44"/>
        <v>0</v>
      </c>
      <c r="KG52" s="8"/>
      <c r="KH52" s="8" t="s">
        <v>107</v>
      </c>
      <c r="KI52" s="8" t="s">
        <v>107</v>
      </c>
      <c r="KJ52" s="8" t="s">
        <v>107</v>
      </c>
      <c r="KK52" s="8" t="s">
        <v>107</v>
      </c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 t="s">
        <v>107</v>
      </c>
      <c r="KY52" s="8" t="s">
        <v>107</v>
      </c>
      <c r="KZ52" s="8"/>
      <c r="LA52" s="8"/>
      <c r="LB52" s="8">
        <v>0</v>
      </c>
      <c r="LC52" s="8" t="s">
        <v>107</v>
      </c>
      <c r="LD52" s="8" t="s">
        <v>107</v>
      </c>
      <c r="LE52" s="967"/>
      <c r="LF52" s="8">
        <f t="shared" si="45"/>
        <v>0</v>
      </c>
      <c r="LG52" s="8"/>
      <c r="LH52" s="8" t="s">
        <v>107</v>
      </c>
      <c r="LI52" s="8" t="s">
        <v>107</v>
      </c>
      <c r="LJ52" s="8" t="s">
        <v>107</v>
      </c>
      <c r="LK52" s="8" t="s">
        <v>107</v>
      </c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 t="s">
        <v>107</v>
      </c>
      <c r="LY52" s="8" t="s">
        <v>107</v>
      </c>
      <c r="LZ52" s="8"/>
      <c r="MA52" s="8"/>
      <c r="MB52" s="8">
        <v>0</v>
      </c>
      <c r="MC52" s="8" t="s">
        <v>107</v>
      </c>
      <c r="MD52" s="8" t="s">
        <v>107</v>
      </c>
      <c r="ME52" s="967"/>
      <c r="MF52" s="8">
        <f t="shared" si="46"/>
        <v>0</v>
      </c>
      <c r="MG52" s="8"/>
      <c r="MH52" s="8" t="s">
        <v>107</v>
      </c>
      <c r="MI52" s="8" t="s">
        <v>107</v>
      </c>
      <c r="MJ52" s="8" t="s">
        <v>107</v>
      </c>
      <c r="MK52" s="8" t="s">
        <v>107</v>
      </c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 t="s">
        <v>107</v>
      </c>
      <c r="MY52" s="8" t="s">
        <v>107</v>
      </c>
      <c r="MZ52" s="8"/>
      <c r="NA52" s="8"/>
      <c r="NB52" s="8">
        <v>0</v>
      </c>
      <c r="NC52" s="8" t="s">
        <v>107</v>
      </c>
      <c r="ND52" s="8" t="s">
        <v>107</v>
      </c>
      <c r="NE52" s="967"/>
      <c r="NF52" s="8">
        <f t="shared" si="47"/>
        <v>0</v>
      </c>
      <c r="NG52" s="8"/>
      <c r="NH52" s="8" t="s">
        <v>107</v>
      </c>
      <c r="NI52" s="8" t="s">
        <v>107</v>
      </c>
      <c r="NJ52" s="8" t="s">
        <v>107</v>
      </c>
      <c r="NK52" s="8" t="s">
        <v>107</v>
      </c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 t="s">
        <v>107</v>
      </c>
      <c r="NY52" s="8" t="s">
        <v>107</v>
      </c>
      <c r="NZ52" s="8"/>
      <c r="OA52" s="8"/>
      <c r="OB52" s="8">
        <v>0</v>
      </c>
      <c r="OC52" s="8" t="s">
        <v>107</v>
      </c>
      <c r="OD52" s="8" t="s">
        <v>107</v>
      </c>
      <c r="OE52" s="967"/>
      <c r="OF52" s="8">
        <f t="shared" si="48"/>
        <v>0</v>
      </c>
      <c r="OG52" s="8"/>
      <c r="OH52" s="8" t="s">
        <v>107</v>
      </c>
      <c r="OI52" s="8" t="s">
        <v>107</v>
      </c>
      <c r="OJ52" s="8" t="s">
        <v>107</v>
      </c>
      <c r="OK52" s="8" t="s">
        <v>107</v>
      </c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 t="s">
        <v>107</v>
      </c>
      <c r="OY52" s="8" t="s">
        <v>107</v>
      </c>
      <c r="OZ52" s="8"/>
      <c r="PA52" s="8"/>
      <c r="PB52" s="8">
        <v>0</v>
      </c>
      <c r="PC52" s="8" t="s">
        <v>107</v>
      </c>
      <c r="PD52" s="8" t="s">
        <v>107</v>
      </c>
      <c r="PE52" s="967"/>
      <c r="PF52" s="8">
        <f t="shared" si="49"/>
        <v>0</v>
      </c>
      <c r="PG52" s="8"/>
      <c r="PH52" s="8" t="s">
        <v>107</v>
      </c>
      <c r="PI52" s="8" t="s">
        <v>107</v>
      </c>
      <c r="PJ52" s="8" t="s">
        <v>107</v>
      </c>
      <c r="PK52" s="8" t="s">
        <v>107</v>
      </c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 t="s">
        <v>107</v>
      </c>
      <c r="PY52" s="8" t="s">
        <v>107</v>
      </c>
      <c r="PZ52" s="8"/>
      <c r="QA52" s="8"/>
      <c r="QB52" s="8">
        <v>0</v>
      </c>
      <c r="QC52" s="8" t="s">
        <v>107</v>
      </c>
      <c r="QD52" s="8" t="s">
        <v>107</v>
      </c>
      <c r="QE52" s="967"/>
    </row>
    <row r="53" spans="2:447" x14ac:dyDescent="0.3">
      <c r="B53">
        <v>45</v>
      </c>
      <c r="D53" t="s">
        <v>1813</v>
      </c>
      <c r="F53" s="8">
        <f t="shared" si="53"/>
        <v>92</v>
      </c>
      <c r="G53" s="8"/>
      <c r="H53" s="8" t="s">
        <v>107</v>
      </c>
      <c r="I53" s="8" t="s">
        <v>107</v>
      </c>
      <c r="J53" s="8" t="s">
        <v>107</v>
      </c>
      <c r="K53" s="8" t="s">
        <v>107</v>
      </c>
      <c r="L53" s="8">
        <v>1</v>
      </c>
      <c r="M53" s="8">
        <v>18</v>
      </c>
      <c r="N53" s="8">
        <v>2</v>
      </c>
      <c r="O53" s="8">
        <v>14</v>
      </c>
      <c r="P53" s="8" t="s">
        <v>107</v>
      </c>
      <c r="Q53" s="8">
        <v>3</v>
      </c>
      <c r="R53" s="8">
        <v>21</v>
      </c>
      <c r="S53" s="8">
        <v>17</v>
      </c>
      <c r="T53" s="8">
        <v>16</v>
      </c>
      <c r="U53" s="8"/>
      <c r="V53" s="8"/>
      <c r="W53" s="8"/>
      <c r="X53" s="8" t="s">
        <v>107</v>
      </c>
      <c r="Y53" s="8" t="s">
        <v>107</v>
      </c>
      <c r="Z53" s="8"/>
      <c r="AA53" s="8"/>
      <c r="AB53" s="8" t="s">
        <v>107</v>
      </c>
      <c r="AC53" s="8" t="s">
        <v>107</v>
      </c>
      <c r="AD53" s="8" t="s">
        <v>107</v>
      </c>
      <c r="AE53" s="967"/>
      <c r="AF53" s="8">
        <f t="shared" si="35"/>
        <v>36</v>
      </c>
      <c r="AG53" s="8"/>
      <c r="AH53" s="8" t="s">
        <v>107</v>
      </c>
      <c r="AI53" s="8" t="s">
        <v>107</v>
      </c>
      <c r="AJ53" s="8" t="s">
        <v>107</v>
      </c>
      <c r="AK53" s="8" t="s">
        <v>107</v>
      </c>
      <c r="AL53" s="8"/>
      <c r="AM53" s="8"/>
      <c r="AN53" s="8"/>
      <c r="AO53" s="8">
        <v>14</v>
      </c>
      <c r="AP53" s="8" t="s">
        <v>107</v>
      </c>
      <c r="AQ53" s="8">
        <v>0</v>
      </c>
      <c r="AR53" s="8">
        <v>15</v>
      </c>
      <c r="AS53" s="8">
        <v>4</v>
      </c>
      <c r="AT53" s="8">
        <v>3</v>
      </c>
      <c r="AU53" s="8"/>
      <c r="AV53" s="8"/>
      <c r="AW53" s="8"/>
      <c r="AX53" s="8" t="s">
        <v>107</v>
      </c>
      <c r="AY53" s="8" t="s">
        <v>107</v>
      </c>
      <c r="AZ53" s="8"/>
      <c r="BA53" s="8"/>
      <c r="BB53" s="8" t="s">
        <v>107</v>
      </c>
      <c r="BC53" s="8" t="s">
        <v>107</v>
      </c>
      <c r="BD53" s="8" t="s">
        <v>107</v>
      </c>
      <c r="BE53" s="967"/>
      <c r="BF53" s="8">
        <f t="shared" si="36"/>
        <v>38</v>
      </c>
      <c r="BG53" s="8"/>
      <c r="BH53" s="8" t="s">
        <v>107</v>
      </c>
      <c r="BI53" s="8"/>
      <c r="BJ53" s="8"/>
      <c r="BK53" s="8" t="s">
        <v>107</v>
      </c>
      <c r="BL53" s="8"/>
      <c r="BM53" s="8"/>
      <c r="BN53" s="8"/>
      <c r="BO53" s="8">
        <v>6</v>
      </c>
      <c r="BP53" s="8" t="s">
        <v>107</v>
      </c>
      <c r="BQ53" s="8">
        <v>1</v>
      </c>
      <c r="BR53" s="8">
        <v>18</v>
      </c>
      <c r="BS53" s="8">
        <v>4</v>
      </c>
      <c r="BT53" s="8">
        <v>9</v>
      </c>
      <c r="BU53" s="8"/>
      <c r="BV53" s="8"/>
      <c r="BW53" s="8"/>
      <c r="BX53" s="8" t="s">
        <v>107</v>
      </c>
      <c r="BY53" s="8" t="s">
        <v>107</v>
      </c>
      <c r="BZ53" s="8"/>
      <c r="CA53" s="8"/>
      <c r="CB53" s="8" t="s">
        <v>107</v>
      </c>
      <c r="CC53" s="8" t="s">
        <v>107</v>
      </c>
      <c r="CD53" s="8" t="s">
        <v>107</v>
      </c>
      <c r="CE53" s="967"/>
      <c r="CF53" s="8">
        <f t="shared" si="37"/>
        <v>74</v>
      </c>
      <c r="CG53" s="8"/>
      <c r="CH53" s="8" t="s">
        <v>107</v>
      </c>
      <c r="CI53" s="8"/>
      <c r="CJ53" s="8"/>
      <c r="CK53" s="8" t="s">
        <v>107</v>
      </c>
      <c r="CL53" s="8"/>
      <c r="CM53" s="8"/>
      <c r="CN53" s="8"/>
      <c r="CO53" s="8">
        <v>20</v>
      </c>
      <c r="CP53" s="8" t="s">
        <v>107</v>
      </c>
      <c r="CQ53" s="8">
        <v>1</v>
      </c>
      <c r="CR53" s="8">
        <v>33</v>
      </c>
      <c r="CS53" s="8">
        <v>8</v>
      </c>
      <c r="CT53" s="8">
        <v>12</v>
      </c>
      <c r="CU53" s="8"/>
      <c r="CV53" s="8"/>
      <c r="CW53" s="8"/>
      <c r="CX53" s="8" t="s">
        <v>107</v>
      </c>
      <c r="CY53" s="8" t="s">
        <v>107</v>
      </c>
      <c r="CZ53" s="8"/>
      <c r="DA53" s="8"/>
      <c r="DB53" s="8" t="s">
        <v>107</v>
      </c>
      <c r="DC53" s="8" t="s">
        <v>107</v>
      </c>
      <c r="DD53" s="8" t="s">
        <v>107</v>
      </c>
      <c r="DE53" s="967"/>
      <c r="DF53" s="8">
        <f t="shared" si="38"/>
        <v>8</v>
      </c>
      <c r="DG53" s="8"/>
      <c r="DH53" s="8" t="s">
        <v>107</v>
      </c>
      <c r="DI53" s="8" t="s">
        <v>107</v>
      </c>
      <c r="DJ53" s="8" t="s">
        <v>107</v>
      </c>
      <c r="DK53" s="8" t="s">
        <v>107</v>
      </c>
      <c r="DL53" s="8"/>
      <c r="DM53" s="8"/>
      <c r="DN53" s="8"/>
      <c r="DO53" s="8">
        <v>0</v>
      </c>
      <c r="DP53" s="8" t="s">
        <v>107</v>
      </c>
      <c r="DQ53" s="8">
        <v>0</v>
      </c>
      <c r="DR53" s="8">
        <v>4</v>
      </c>
      <c r="DS53" s="8">
        <v>4</v>
      </c>
      <c r="DT53" s="8"/>
      <c r="DU53" s="8"/>
      <c r="DV53" s="8"/>
      <c r="DW53" s="8"/>
      <c r="DX53" s="8" t="s">
        <v>107</v>
      </c>
      <c r="DY53" s="8" t="s">
        <v>107</v>
      </c>
      <c r="DZ53" s="8"/>
      <c r="EA53" s="8"/>
      <c r="EB53" s="8" t="s">
        <v>107</v>
      </c>
      <c r="EC53" s="8" t="s">
        <v>107</v>
      </c>
      <c r="ED53" s="8" t="s">
        <v>107</v>
      </c>
      <c r="EE53" s="967"/>
      <c r="EF53" s="8">
        <f t="shared" si="39"/>
        <v>16</v>
      </c>
      <c r="EG53" s="8"/>
      <c r="EH53" s="8" t="s">
        <v>107</v>
      </c>
      <c r="EI53" s="8" t="s">
        <v>107</v>
      </c>
      <c r="EJ53" s="8" t="s">
        <v>107</v>
      </c>
      <c r="EK53" s="8" t="s">
        <v>107</v>
      </c>
      <c r="EL53" s="8"/>
      <c r="EM53" s="8"/>
      <c r="EN53" s="8"/>
      <c r="EO53" s="8">
        <v>0</v>
      </c>
      <c r="EP53" s="8" t="s">
        <v>107</v>
      </c>
      <c r="EQ53" s="8">
        <v>0</v>
      </c>
      <c r="ER53" s="8">
        <v>8</v>
      </c>
      <c r="ES53" s="8">
        <v>8</v>
      </c>
      <c r="ET53" s="8"/>
      <c r="EU53" s="8"/>
      <c r="EV53" s="8"/>
      <c r="EW53" s="8"/>
      <c r="EX53" s="8" t="s">
        <v>107</v>
      </c>
      <c r="EY53" s="8" t="s">
        <v>107</v>
      </c>
      <c r="EZ53" s="8"/>
      <c r="FA53" s="8"/>
      <c r="FB53" s="8" t="s">
        <v>107</v>
      </c>
      <c r="FC53" s="8" t="s">
        <v>107</v>
      </c>
      <c r="FD53" s="8" t="s">
        <v>107</v>
      </c>
      <c r="FE53" s="967"/>
      <c r="FF53" s="8">
        <f t="shared" si="34"/>
        <v>7</v>
      </c>
      <c r="FG53" s="8"/>
      <c r="FH53" s="8" t="s">
        <v>107</v>
      </c>
      <c r="FI53" s="8" t="s">
        <v>107</v>
      </c>
      <c r="FJ53" s="8" t="s">
        <v>107</v>
      </c>
      <c r="FK53" s="8" t="s">
        <v>107</v>
      </c>
      <c r="FL53" s="8"/>
      <c r="FM53" s="8"/>
      <c r="FN53" s="8"/>
      <c r="FO53" s="8">
        <v>1</v>
      </c>
      <c r="FP53" s="8" t="s">
        <v>107</v>
      </c>
      <c r="FQ53" s="8">
        <v>0</v>
      </c>
      <c r="FR53" s="8">
        <v>4</v>
      </c>
      <c r="FS53" s="8">
        <v>0</v>
      </c>
      <c r="FT53" s="8">
        <v>2</v>
      </c>
      <c r="FU53" s="8"/>
      <c r="FV53" s="8"/>
      <c r="FW53" s="8"/>
      <c r="FX53" s="8" t="s">
        <v>107</v>
      </c>
      <c r="FY53" s="8" t="s">
        <v>107</v>
      </c>
      <c r="FZ53" s="8"/>
      <c r="GA53" s="8"/>
      <c r="GB53" s="8" t="s">
        <v>107</v>
      </c>
      <c r="GC53" s="8" t="s">
        <v>107</v>
      </c>
      <c r="GD53" s="8" t="s">
        <v>107</v>
      </c>
      <c r="GE53" s="967"/>
      <c r="GF53" s="8">
        <f t="shared" si="40"/>
        <v>2</v>
      </c>
      <c r="GG53" s="8"/>
      <c r="GH53" s="8" t="s">
        <v>107</v>
      </c>
      <c r="GI53" s="8" t="s">
        <v>107</v>
      </c>
      <c r="GJ53" s="8" t="s">
        <v>107</v>
      </c>
      <c r="GK53" s="8" t="s">
        <v>107</v>
      </c>
      <c r="GL53" s="8"/>
      <c r="GM53" s="8"/>
      <c r="GN53" s="8"/>
      <c r="GO53" s="8">
        <v>1</v>
      </c>
      <c r="GP53" s="8" t="s">
        <v>107</v>
      </c>
      <c r="GQ53" s="8">
        <v>0</v>
      </c>
      <c r="GR53" s="8">
        <v>1</v>
      </c>
      <c r="GS53" s="8">
        <v>0</v>
      </c>
      <c r="GT53" s="8"/>
      <c r="GU53" s="8"/>
      <c r="GV53" s="8"/>
      <c r="GW53" s="8"/>
      <c r="GX53" s="8" t="s">
        <v>107</v>
      </c>
      <c r="GY53" s="8" t="s">
        <v>107</v>
      </c>
      <c r="GZ53" s="8"/>
      <c r="HA53" s="8"/>
      <c r="HB53" s="8" t="s">
        <v>107</v>
      </c>
      <c r="HC53" s="8" t="s">
        <v>107</v>
      </c>
      <c r="HD53" s="8" t="s">
        <v>107</v>
      </c>
      <c r="HE53" s="967"/>
      <c r="HF53" s="8">
        <f t="shared" si="41"/>
        <v>0</v>
      </c>
      <c r="HG53" s="8"/>
      <c r="HH53" s="8" t="s">
        <v>107</v>
      </c>
      <c r="HI53" s="8" t="s">
        <v>107</v>
      </c>
      <c r="HJ53" s="8" t="s">
        <v>107</v>
      </c>
      <c r="HK53" s="8" t="s">
        <v>107</v>
      </c>
      <c r="HL53" s="8"/>
      <c r="HM53" s="8"/>
      <c r="HN53" s="8"/>
      <c r="HO53" s="8">
        <v>0</v>
      </c>
      <c r="HP53" s="8" t="s">
        <v>107</v>
      </c>
      <c r="HQ53" s="8">
        <v>0</v>
      </c>
      <c r="HR53" s="8">
        <v>0</v>
      </c>
      <c r="HS53" s="8">
        <v>0</v>
      </c>
      <c r="HT53" s="8"/>
      <c r="HU53" s="8"/>
      <c r="HV53" s="8"/>
      <c r="HW53" s="8"/>
      <c r="HX53" s="8" t="s">
        <v>107</v>
      </c>
      <c r="HY53" s="8" t="s">
        <v>107</v>
      </c>
      <c r="HZ53" s="8"/>
      <c r="IA53" s="8"/>
      <c r="IB53" s="8" t="s">
        <v>107</v>
      </c>
      <c r="IC53" s="8" t="s">
        <v>107</v>
      </c>
      <c r="ID53" s="8" t="s">
        <v>107</v>
      </c>
      <c r="IE53" s="967"/>
      <c r="IF53" s="8">
        <f t="shared" si="42"/>
        <v>0</v>
      </c>
      <c r="IG53" s="8"/>
      <c r="IH53" s="8" t="s">
        <v>107</v>
      </c>
      <c r="II53" s="8" t="s">
        <v>107</v>
      </c>
      <c r="IJ53" s="8" t="s">
        <v>107</v>
      </c>
      <c r="IK53" s="8" t="s">
        <v>107</v>
      </c>
      <c r="IL53" s="8"/>
      <c r="IM53" s="8"/>
      <c r="IN53" s="8"/>
      <c r="IO53" s="8">
        <v>0</v>
      </c>
      <c r="IP53" s="8" t="s">
        <v>107</v>
      </c>
      <c r="IQ53" s="8">
        <v>0</v>
      </c>
      <c r="IR53" s="8">
        <v>0</v>
      </c>
      <c r="IS53" s="8">
        <v>0</v>
      </c>
      <c r="IT53" s="8"/>
      <c r="IU53" s="8"/>
      <c r="IV53" s="8"/>
      <c r="IW53" s="8"/>
      <c r="IX53" s="8" t="s">
        <v>107</v>
      </c>
      <c r="IY53" s="8" t="s">
        <v>107</v>
      </c>
      <c r="IZ53" s="8"/>
      <c r="JA53" s="8"/>
      <c r="JB53" s="8" t="s">
        <v>107</v>
      </c>
      <c r="JC53" s="8" t="s">
        <v>107</v>
      </c>
      <c r="JD53" s="8" t="s">
        <v>107</v>
      </c>
      <c r="JE53" s="967"/>
      <c r="JF53" s="8">
        <f t="shared" si="43"/>
        <v>0</v>
      </c>
      <c r="JG53" s="8"/>
      <c r="JH53" s="8" t="s">
        <v>107</v>
      </c>
      <c r="JI53" s="8" t="s">
        <v>107</v>
      </c>
      <c r="JJ53" s="8" t="s">
        <v>107</v>
      </c>
      <c r="JK53" s="8" t="s">
        <v>107</v>
      </c>
      <c r="JL53" s="8"/>
      <c r="JM53" s="8"/>
      <c r="JN53" s="8"/>
      <c r="JO53" s="8">
        <v>0</v>
      </c>
      <c r="JP53" s="8" t="s">
        <v>107</v>
      </c>
      <c r="JQ53" s="8">
        <v>0</v>
      </c>
      <c r="JR53" s="8">
        <v>0</v>
      </c>
      <c r="JS53" s="8">
        <v>0</v>
      </c>
      <c r="JT53" s="8"/>
      <c r="JU53" s="8"/>
      <c r="JV53" s="8"/>
      <c r="JW53" s="8"/>
      <c r="JX53" s="8" t="s">
        <v>107</v>
      </c>
      <c r="JY53" s="8" t="s">
        <v>107</v>
      </c>
      <c r="JZ53" s="8"/>
      <c r="KA53" s="8"/>
      <c r="KB53" s="8" t="s">
        <v>107</v>
      </c>
      <c r="KC53" s="8" t="s">
        <v>107</v>
      </c>
      <c r="KD53" s="8" t="s">
        <v>107</v>
      </c>
      <c r="KE53" s="967"/>
      <c r="KF53" s="8">
        <f t="shared" si="44"/>
        <v>0</v>
      </c>
      <c r="KG53" s="8"/>
      <c r="KH53" s="8" t="s">
        <v>107</v>
      </c>
      <c r="KI53" s="8" t="s">
        <v>107</v>
      </c>
      <c r="KJ53" s="8" t="s">
        <v>107</v>
      </c>
      <c r="KK53" s="8" t="s">
        <v>107</v>
      </c>
      <c r="KL53" s="8"/>
      <c r="KM53" s="8"/>
      <c r="KN53" s="8"/>
      <c r="KO53" s="8">
        <v>0</v>
      </c>
      <c r="KP53" s="8" t="s">
        <v>107</v>
      </c>
      <c r="KQ53" s="8">
        <v>0</v>
      </c>
      <c r="KR53" s="8">
        <v>0</v>
      </c>
      <c r="KS53" s="8">
        <v>0</v>
      </c>
      <c r="KT53" s="8"/>
      <c r="KU53" s="8"/>
      <c r="KV53" s="8"/>
      <c r="KW53" s="8"/>
      <c r="KX53" s="8" t="s">
        <v>107</v>
      </c>
      <c r="KY53" s="8" t="s">
        <v>107</v>
      </c>
      <c r="KZ53" s="8"/>
      <c r="LA53" s="8"/>
      <c r="LB53" s="8" t="s">
        <v>107</v>
      </c>
      <c r="LC53" s="8" t="s">
        <v>107</v>
      </c>
      <c r="LD53" s="8" t="s">
        <v>107</v>
      </c>
      <c r="LE53" s="967"/>
      <c r="LF53" s="8">
        <f t="shared" si="45"/>
        <v>0</v>
      </c>
      <c r="LG53" s="8"/>
      <c r="LH53" s="8" t="s">
        <v>107</v>
      </c>
      <c r="LI53" s="8" t="s">
        <v>107</v>
      </c>
      <c r="LJ53" s="8" t="s">
        <v>107</v>
      </c>
      <c r="LK53" s="8" t="s">
        <v>107</v>
      </c>
      <c r="LL53" s="8"/>
      <c r="LM53" s="8"/>
      <c r="LN53" s="8"/>
      <c r="LO53" s="8">
        <v>0</v>
      </c>
      <c r="LP53" s="8" t="s">
        <v>107</v>
      </c>
      <c r="LQ53" s="8">
        <v>0</v>
      </c>
      <c r="LR53" s="8">
        <v>0</v>
      </c>
      <c r="LS53" s="8">
        <v>0</v>
      </c>
      <c r="LT53" s="8"/>
      <c r="LU53" s="8"/>
      <c r="LV53" s="8"/>
      <c r="LW53" s="8"/>
      <c r="LX53" s="8" t="s">
        <v>107</v>
      </c>
      <c r="LY53" s="8" t="s">
        <v>107</v>
      </c>
      <c r="LZ53" s="8"/>
      <c r="MA53" s="8"/>
      <c r="MB53" s="8" t="s">
        <v>107</v>
      </c>
      <c r="MC53" s="8" t="s">
        <v>107</v>
      </c>
      <c r="MD53" s="8" t="s">
        <v>107</v>
      </c>
      <c r="ME53" s="967"/>
      <c r="MF53" s="8">
        <f t="shared" si="46"/>
        <v>0</v>
      </c>
      <c r="MG53" s="8"/>
      <c r="MH53" s="8" t="s">
        <v>107</v>
      </c>
      <c r="MI53" s="8" t="s">
        <v>107</v>
      </c>
      <c r="MJ53" s="8" t="s">
        <v>107</v>
      </c>
      <c r="MK53" s="8" t="s">
        <v>107</v>
      </c>
      <c r="ML53" s="8"/>
      <c r="MM53" s="8"/>
      <c r="MN53" s="8"/>
      <c r="MO53" s="8">
        <v>0</v>
      </c>
      <c r="MP53" s="8" t="s">
        <v>107</v>
      </c>
      <c r="MQ53" s="8">
        <v>0</v>
      </c>
      <c r="MR53" s="8">
        <v>0</v>
      </c>
      <c r="MS53" s="8">
        <v>0</v>
      </c>
      <c r="MT53" s="8"/>
      <c r="MU53" s="8"/>
      <c r="MV53" s="8"/>
      <c r="MW53" s="8"/>
      <c r="MX53" s="8" t="s">
        <v>107</v>
      </c>
      <c r="MY53" s="8" t="s">
        <v>107</v>
      </c>
      <c r="MZ53" s="8"/>
      <c r="NA53" s="8"/>
      <c r="NB53" s="8" t="s">
        <v>107</v>
      </c>
      <c r="NC53" s="8" t="s">
        <v>107</v>
      </c>
      <c r="ND53" s="8" t="s">
        <v>107</v>
      </c>
      <c r="NE53" s="967"/>
      <c r="NF53" s="8">
        <f t="shared" si="47"/>
        <v>1</v>
      </c>
      <c r="NG53" s="8"/>
      <c r="NH53" s="8" t="s">
        <v>107</v>
      </c>
      <c r="NI53" s="8" t="s">
        <v>107</v>
      </c>
      <c r="NJ53" s="8" t="s">
        <v>107</v>
      </c>
      <c r="NK53" s="8" t="s">
        <v>107</v>
      </c>
      <c r="NL53" s="8"/>
      <c r="NM53" s="8"/>
      <c r="NN53" s="8"/>
      <c r="NO53" s="8">
        <v>0</v>
      </c>
      <c r="NP53" s="8" t="s">
        <v>107</v>
      </c>
      <c r="NQ53" s="8">
        <v>0</v>
      </c>
      <c r="NR53" s="8">
        <v>1</v>
      </c>
      <c r="NS53" s="8">
        <v>0</v>
      </c>
      <c r="NT53" s="8"/>
      <c r="NU53" s="8"/>
      <c r="NV53" s="8"/>
      <c r="NW53" s="8"/>
      <c r="NX53" s="8" t="s">
        <v>107</v>
      </c>
      <c r="NY53" s="8" t="s">
        <v>107</v>
      </c>
      <c r="NZ53" s="8"/>
      <c r="OA53" s="8"/>
      <c r="OB53" s="8" t="s">
        <v>107</v>
      </c>
      <c r="OC53" s="8" t="s">
        <v>107</v>
      </c>
      <c r="OD53" s="8" t="s">
        <v>107</v>
      </c>
      <c r="OE53" s="967"/>
      <c r="OF53" s="8">
        <f t="shared" si="48"/>
        <v>0</v>
      </c>
      <c r="OG53" s="8"/>
      <c r="OH53" s="8" t="s">
        <v>107</v>
      </c>
      <c r="OI53" s="8" t="s">
        <v>107</v>
      </c>
      <c r="OJ53" s="8" t="s">
        <v>107</v>
      </c>
      <c r="OK53" s="8" t="s">
        <v>107</v>
      </c>
      <c r="OL53" s="8"/>
      <c r="OM53" s="8"/>
      <c r="ON53" s="8"/>
      <c r="OO53" s="8">
        <v>0</v>
      </c>
      <c r="OP53" s="8" t="s">
        <v>107</v>
      </c>
      <c r="OQ53" s="8">
        <v>0</v>
      </c>
      <c r="OR53" s="8">
        <v>0</v>
      </c>
      <c r="OS53" s="8">
        <v>0</v>
      </c>
      <c r="OT53" s="8"/>
      <c r="OU53" s="8"/>
      <c r="OV53" s="8"/>
      <c r="OW53" s="8"/>
      <c r="OX53" s="8" t="s">
        <v>107</v>
      </c>
      <c r="OY53" s="8" t="s">
        <v>107</v>
      </c>
      <c r="OZ53" s="8"/>
      <c r="PA53" s="8"/>
      <c r="PB53" s="8" t="s">
        <v>107</v>
      </c>
      <c r="PC53" s="8" t="s">
        <v>107</v>
      </c>
      <c r="PD53" s="8" t="s">
        <v>107</v>
      </c>
      <c r="PE53" s="967"/>
      <c r="PF53" s="8">
        <f t="shared" si="49"/>
        <v>0</v>
      </c>
      <c r="PG53" s="8"/>
      <c r="PH53" s="8" t="s">
        <v>107</v>
      </c>
      <c r="PI53" s="8" t="s">
        <v>107</v>
      </c>
      <c r="PJ53" s="8" t="s">
        <v>107</v>
      </c>
      <c r="PK53" s="8" t="s">
        <v>107</v>
      </c>
      <c r="PL53" s="8"/>
      <c r="PM53" s="8"/>
      <c r="PN53" s="8"/>
      <c r="PO53" s="8">
        <v>0</v>
      </c>
      <c r="PP53" s="8" t="s">
        <v>107</v>
      </c>
      <c r="PQ53" s="8">
        <v>0</v>
      </c>
      <c r="PR53" s="8">
        <v>0</v>
      </c>
      <c r="PS53" s="8">
        <v>0</v>
      </c>
      <c r="PT53" s="8"/>
      <c r="PU53" s="8"/>
      <c r="PV53" s="8"/>
      <c r="PW53" s="8"/>
      <c r="PX53" s="8" t="s">
        <v>107</v>
      </c>
      <c r="PY53" s="8" t="s">
        <v>107</v>
      </c>
      <c r="PZ53" s="8"/>
      <c r="QA53" s="8"/>
      <c r="QB53" s="8" t="s">
        <v>107</v>
      </c>
      <c r="QC53" s="8" t="s">
        <v>107</v>
      </c>
      <c r="QD53" s="8" t="s">
        <v>107</v>
      </c>
      <c r="QE53" s="967"/>
    </row>
    <row r="54" spans="2:447" x14ac:dyDescent="0.3">
      <c r="B54">
        <v>46</v>
      </c>
      <c r="D54" t="s">
        <v>2513</v>
      </c>
      <c r="F54" s="8">
        <f t="shared" si="53"/>
        <v>41</v>
      </c>
      <c r="G54" s="8"/>
      <c r="H54" s="8">
        <v>19</v>
      </c>
      <c r="I54" s="8">
        <v>4</v>
      </c>
      <c r="J54" s="8">
        <v>18</v>
      </c>
      <c r="K54" s="8" t="s">
        <v>107</v>
      </c>
      <c r="L54" s="8" t="s">
        <v>107</v>
      </c>
      <c r="M54" s="8" t="s">
        <v>107</v>
      </c>
      <c r="N54" s="8" t="s">
        <v>107</v>
      </c>
      <c r="O54" s="8" t="s">
        <v>107</v>
      </c>
      <c r="P54" s="8" t="s">
        <v>107</v>
      </c>
      <c r="Q54" s="8" t="s">
        <v>107</v>
      </c>
      <c r="R54" s="8" t="s">
        <v>107</v>
      </c>
      <c r="S54" s="8" t="s">
        <v>107</v>
      </c>
      <c r="T54" s="8" t="s">
        <v>107</v>
      </c>
      <c r="U54" s="8" t="s">
        <v>107</v>
      </c>
      <c r="V54" s="8" t="s">
        <v>107</v>
      </c>
      <c r="W54" s="8" t="s">
        <v>107</v>
      </c>
      <c r="X54" s="8" t="s">
        <v>107</v>
      </c>
      <c r="Y54" s="8" t="s">
        <v>107</v>
      </c>
      <c r="Z54" s="8" t="s">
        <v>107</v>
      </c>
      <c r="AA54" s="8" t="s">
        <v>107</v>
      </c>
      <c r="AB54" s="8" t="s">
        <v>107</v>
      </c>
      <c r="AC54" s="8" t="s">
        <v>107</v>
      </c>
      <c r="AD54" s="8" t="s">
        <v>107</v>
      </c>
      <c r="AE54" s="967"/>
      <c r="AF54" s="8">
        <f t="shared" si="35"/>
        <v>39</v>
      </c>
      <c r="AG54" s="8"/>
      <c r="AH54" s="8">
        <v>16</v>
      </c>
      <c r="AI54" s="8">
        <v>6</v>
      </c>
      <c r="AJ54" s="8">
        <v>17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 t="s">
        <v>107</v>
      </c>
      <c r="AY54" s="8" t="s">
        <v>107</v>
      </c>
      <c r="AZ54" s="8"/>
      <c r="BA54" s="8"/>
      <c r="BB54" s="8"/>
      <c r="BC54" s="8"/>
      <c r="BD54" s="8"/>
      <c r="BE54" s="967"/>
      <c r="BF54" s="8">
        <f t="shared" si="36"/>
        <v>12</v>
      </c>
      <c r="BG54" s="8"/>
      <c r="BH54" s="8">
        <v>5</v>
      </c>
      <c r="BI54" s="8">
        <v>3</v>
      </c>
      <c r="BJ54" s="8">
        <v>4</v>
      </c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 t="s">
        <v>107</v>
      </c>
      <c r="BY54" s="8" t="s">
        <v>107</v>
      </c>
      <c r="BZ54" s="8"/>
      <c r="CA54" s="8"/>
      <c r="CB54" s="8"/>
      <c r="CC54" s="8"/>
      <c r="CD54" s="8"/>
      <c r="CE54" s="967"/>
      <c r="CF54" s="8">
        <f t="shared" si="37"/>
        <v>51</v>
      </c>
      <c r="CG54" s="8"/>
      <c r="CH54" s="8">
        <v>21</v>
      </c>
      <c r="CI54" s="8">
        <v>9</v>
      </c>
      <c r="CJ54" s="8">
        <v>21</v>
      </c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 t="s">
        <v>107</v>
      </c>
      <c r="CY54" s="8" t="s">
        <v>107</v>
      </c>
      <c r="CZ54" s="8"/>
      <c r="DA54" s="8"/>
      <c r="DB54" s="8"/>
      <c r="DC54" s="8"/>
      <c r="DD54" s="8"/>
      <c r="DE54" s="967"/>
      <c r="DF54" s="8">
        <f t="shared" si="38"/>
        <v>8</v>
      </c>
      <c r="DG54" s="8"/>
      <c r="DH54" s="8">
        <v>4</v>
      </c>
      <c r="DI54" s="8">
        <v>0</v>
      </c>
      <c r="DJ54" s="8">
        <v>4</v>
      </c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 t="s">
        <v>107</v>
      </c>
      <c r="DY54" s="8" t="s">
        <v>107</v>
      </c>
      <c r="DZ54" s="8"/>
      <c r="EA54" s="8"/>
      <c r="EB54" s="8"/>
      <c r="EC54" s="8"/>
      <c r="ED54" s="8"/>
      <c r="EE54" s="967"/>
      <c r="EF54" s="8">
        <f t="shared" si="39"/>
        <v>16</v>
      </c>
      <c r="EG54" s="8"/>
      <c r="EH54" s="8">
        <v>8</v>
      </c>
      <c r="EI54" s="8">
        <v>0</v>
      </c>
      <c r="EJ54" s="8">
        <v>8</v>
      </c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 t="s">
        <v>107</v>
      </c>
      <c r="EY54" s="8" t="s">
        <v>107</v>
      </c>
      <c r="EZ54" s="8"/>
      <c r="FA54" s="8"/>
      <c r="FB54" s="8"/>
      <c r="FC54" s="8"/>
      <c r="FD54" s="8"/>
      <c r="FE54" s="967"/>
      <c r="FF54" s="8">
        <f t="shared" si="34"/>
        <v>5</v>
      </c>
      <c r="FG54" s="8"/>
      <c r="FH54" s="8">
        <v>2</v>
      </c>
      <c r="FI54" s="8">
        <v>1</v>
      </c>
      <c r="FJ54" s="8">
        <v>2</v>
      </c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 t="s">
        <v>107</v>
      </c>
      <c r="FY54" s="8" t="s">
        <v>107</v>
      </c>
      <c r="FZ54" s="8"/>
      <c r="GA54" s="8"/>
      <c r="GB54" s="8"/>
      <c r="GC54" s="8"/>
      <c r="GD54" s="8"/>
      <c r="GE54" s="967"/>
      <c r="GF54" s="8">
        <f t="shared" si="40"/>
        <v>1</v>
      </c>
      <c r="GG54" s="8"/>
      <c r="GH54" s="8">
        <v>1</v>
      </c>
      <c r="GI54" s="8">
        <v>0</v>
      </c>
      <c r="GJ54" s="8">
        <v>0</v>
      </c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 t="s">
        <v>107</v>
      </c>
      <c r="GY54" s="8" t="s">
        <v>107</v>
      </c>
      <c r="GZ54" s="8"/>
      <c r="HA54" s="8"/>
      <c r="HB54" s="8"/>
      <c r="HC54" s="8"/>
      <c r="HD54" s="8"/>
      <c r="HE54" s="967"/>
      <c r="HF54" s="8">
        <f t="shared" si="41"/>
        <v>1</v>
      </c>
      <c r="HG54" s="8"/>
      <c r="HH54" s="8">
        <v>0</v>
      </c>
      <c r="HI54" s="8">
        <v>1</v>
      </c>
      <c r="HJ54" s="8">
        <v>0</v>
      </c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 t="s">
        <v>107</v>
      </c>
      <c r="HY54" s="8" t="s">
        <v>107</v>
      </c>
      <c r="HZ54" s="8"/>
      <c r="IA54" s="8"/>
      <c r="IB54" s="8"/>
      <c r="IC54" s="8"/>
      <c r="ID54" s="8"/>
      <c r="IE54" s="967"/>
      <c r="IF54" s="8">
        <f t="shared" si="42"/>
        <v>1</v>
      </c>
      <c r="IG54" s="8"/>
      <c r="IH54" s="8">
        <v>0</v>
      </c>
      <c r="II54" s="8">
        <v>1</v>
      </c>
      <c r="IJ54" s="8">
        <v>0</v>
      </c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 t="s">
        <v>107</v>
      </c>
      <c r="IY54" s="8" t="s">
        <v>107</v>
      </c>
      <c r="IZ54" s="8"/>
      <c r="JA54" s="8"/>
      <c r="JB54" s="8"/>
      <c r="JC54" s="8"/>
      <c r="JD54" s="8"/>
      <c r="JE54" s="967"/>
      <c r="JF54" s="8">
        <f t="shared" si="43"/>
        <v>1</v>
      </c>
      <c r="JG54" s="8"/>
      <c r="JH54" s="8">
        <v>0</v>
      </c>
      <c r="JI54" s="8">
        <v>1</v>
      </c>
      <c r="JJ54" s="8">
        <v>0</v>
      </c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 t="s">
        <v>107</v>
      </c>
      <c r="JY54" s="8" t="s">
        <v>107</v>
      </c>
      <c r="JZ54" s="8"/>
      <c r="KA54" s="8"/>
      <c r="KB54" s="8"/>
      <c r="KC54" s="8"/>
      <c r="KD54" s="8"/>
      <c r="KE54" s="967"/>
      <c r="KF54" s="8">
        <f t="shared" si="44"/>
        <v>0</v>
      </c>
      <c r="KG54" s="8"/>
      <c r="KH54" s="8">
        <v>0</v>
      </c>
      <c r="KI54" s="8">
        <v>0</v>
      </c>
      <c r="KJ54" s="8">
        <v>0</v>
      </c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 t="s">
        <v>107</v>
      </c>
      <c r="KY54" s="8" t="s">
        <v>107</v>
      </c>
      <c r="KZ54" s="8"/>
      <c r="LA54" s="8"/>
      <c r="LB54" s="8"/>
      <c r="LC54" s="8"/>
      <c r="LD54" s="8"/>
      <c r="LE54" s="967"/>
      <c r="LF54" s="8">
        <f t="shared" si="45"/>
        <v>1</v>
      </c>
      <c r="LG54" s="8"/>
      <c r="LH54" s="8">
        <v>1</v>
      </c>
      <c r="LI54" s="8">
        <v>0</v>
      </c>
      <c r="LJ54" s="8">
        <v>0</v>
      </c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 t="s">
        <v>107</v>
      </c>
      <c r="LY54" s="8" t="s">
        <v>107</v>
      </c>
      <c r="LZ54" s="8"/>
      <c r="MA54" s="8"/>
      <c r="MB54" s="8"/>
      <c r="MC54" s="8"/>
      <c r="MD54" s="8"/>
      <c r="ME54" s="967"/>
      <c r="MF54" s="8">
        <f t="shared" si="46"/>
        <v>0</v>
      </c>
      <c r="MG54" s="8"/>
      <c r="MH54" s="8">
        <v>0</v>
      </c>
      <c r="MI54" s="8">
        <v>0</v>
      </c>
      <c r="MJ54" s="8">
        <v>0</v>
      </c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 t="s">
        <v>107</v>
      </c>
      <c r="MY54" s="8" t="s">
        <v>107</v>
      </c>
      <c r="MZ54" s="8"/>
      <c r="NA54" s="8"/>
      <c r="NB54" s="8"/>
      <c r="NC54" s="8"/>
      <c r="ND54" s="8"/>
      <c r="NE54" s="967"/>
      <c r="NF54" s="8">
        <f t="shared" si="47"/>
        <v>3</v>
      </c>
      <c r="NG54" s="8"/>
      <c r="NH54" s="8">
        <v>2</v>
      </c>
      <c r="NI54" s="8">
        <v>0</v>
      </c>
      <c r="NJ54" s="8">
        <v>1</v>
      </c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 t="s">
        <v>107</v>
      </c>
      <c r="NY54" s="8" t="s">
        <v>107</v>
      </c>
      <c r="NZ54" s="8"/>
      <c r="OA54" s="8"/>
      <c r="OB54" s="8"/>
      <c r="OC54" s="8"/>
      <c r="OD54" s="8"/>
      <c r="OE54" s="967"/>
      <c r="OF54" s="8">
        <f t="shared" si="48"/>
        <v>1</v>
      </c>
      <c r="OG54" s="8"/>
      <c r="OH54" s="8">
        <v>1</v>
      </c>
      <c r="OI54" s="8">
        <v>0</v>
      </c>
      <c r="OJ54" s="8">
        <v>0</v>
      </c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 t="s">
        <v>107</v>
      </c>
      <c r="OY54" s="8" t="s">
        <v>107</v>
      </c>
      <c r="OZ54" s="8"/>
      <c r="PA54" s="8"/>
      <c r="PB54" s="8"/>
      <c r="PC54" s="8"/>
      <c r="PD54" s="8"/>
      <c r="PE54" s="967"/>
      <c r="PF54" s="8">
        <f t="shared" si="49"/>
        <v>0</v>
      </c>
      <c r="PG54" s="8"/>
      <c r="PH54" s="8">
        <v>0</v>
      </c>
      <c r="PI54" s="8">
        <v>0</v>
      </c>
      <c r="PJ54" s="8">
        <v>0</v>
      </c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 t="s">
        <v>107</v>
      </c>
      <c r="PY54" s="8" t="s">
        <v>107</v>
      </c>
      <c r="PZ54" s="8"/>
      <c r="QA54" s="8"/>
      <c r="QB54" s="8"/>
      <c r="QC54" s="8"/>
      <c r="QD54" s="8"/>
      <c r="QE54" s="967"/>
    </row>
    <row r="55" spans="2:447" x14ac:dyDescent="0.3">
      <c r="B55">
        <v>47</v>
      </c>
      <c r="D55" t="s">
        <v>1814</v>
      </c>
      <c r="F55" s="8">
        <f t="shared" si="53"/>
        <v>74</v>
      </c>
      <c r="G55" s="8"/>
      <c r="H55" s="8" t="s">
        <v>107</v>
      </c>
      <c r="I55" s="8" t="s">
        <v>107</v>
      </c>
      <c r="J55" s="8" t="s">
        <v>107</v>
      </c>
      <c r="K55" s="8" t="s">
        <v>107</v>
      </c>
      <c r="L55" s="8" t="s">
        <v>107</v>
      </c>
      <c r="M55" s="8" t="s">
        <v>107</v>
      </c>
      <c r="N55" s="8">
        <v>2</v>
      </c>
      <c r="O55" s="8">
        <v>14</v>
      </c>
      <c r="P55" s="8">
        <v>3</v>
      </c>
      <c r="Q55" s="8">
        <v>3</v>
      </c>
      <c r="R55" s="8">
        <v>19</v>
      </c>
      <c r="S55" s="8">
        <v>17</v>
      </c>
      <c r="T55" s="8">
        <v>16</v>
      </c>
      <c r="U55" s="8"/>
      <c r="V55" s="8"/>
      <c r="W55" s="8"/>
      <c r="X55" s="8" t="s">
        <v>107</v>
      </c>
      <c r="Y55" s="8" t="s">
        <v>107</v>
      </c>
      <c r="Z55" s="8"/>
      <c r="AA55" s="8"/>
      <c r="AB55" s="8" t="s">
        <v>107</v>
      </c>
      <c r="AC55" s="8" t="s">
        <v>107</v>
      </c>
      <c r="AD55" s="8" t="s">
        <v>107</v>
      </c>
      <c r="AE55" s="967"/>
      <c r="AF55" s="8">
        <f t="shared" si="35"/>
        <v>28</v>
      </c>
      <c r="AG55" s="8"/>
      <c r="AH55" s="8" t="s">
        <v>107</v>
      </c>
      <c r="AI55" s="8" t="s">
        <v>107</v>
      </c>
      <c r="AJ55" s="8" t="s">
        <v>107</v>
      </c>
      <c r="AK55" s="8" t="s">
        <v>107</v>
      </c>
      <c r="AL55" s="8"/>
      <c r="AM55" s="8"/>
      <c r="AN55" s="8"/>
      <c r="AO55" s="8">
        <v>6</v>
      </c>
      <c r="AP55" s="8">
        <v>1</v>
      </c>
      <c r="AQ55" s="8">
        <v>2</v>
      </c>
      <c r="AR55" s="8">
        <v>10</v>
      </c>
      <c r="AS55" s="8">
        <v>7</v>
      </c>
      <c r="AT55" s="8">
        <v>2</v>
      </c>
      <c r="AU55" s="8"/>
      <c r="AV55" s="8"/>
      <c r="AW55" s="8"/>
      <c r="AX55" s="8" t="s">
        <v>107</v>
      </c>
      <c r="AY55" s="8" t="s">
        <v>107</v>
      </c>
      <c r="AZ55" s="8"/>
      <c r="BA55" s="8"/>
      <c r="BB55" s="8" t="s">
        <v>107</v>
      </c>
      <c r="BC55" s="8" t="s">
        <v>107</v>
      </c>
      <c r="BD55" s="8" t="s">
        <v>107</v>
      </c>
      <c r="BE55" s="967"/>
      <c r="BF55" s="8">
        <f t="shared" si="36"/>
        <v>23</v>
      </c>
      <c r="BG55" s="8"/>
      <c r="BH55" s="8" t="s">
        <v>107</v>
      </c>
      <c r="BI55" s="8"/>
      <c r="BJ55" s="8"/>
      <c r="BK55" s="8" t="s">
        <v>107</v>
      </c>
      <c r="BL55" s="8"/>
      <c r="BM55" s="8"/>
      <c r="BN55" s="8"/>
      <c r="BO55" s="8">
        <v>4</v>
      </c>
      <c r="BP55" s="8">
        <v>1</v>
      </c>
      <c r="BQ55" s="8">
        <v>0</v>
      </c>
      <c r="BR55" s="8">
        <v>6</v>
      </c>
      <c r="BS55" s="8">
        <v>5</v>
      </c>
      <c r="BT55" s="8">
        <v>7</v>
      </c>
      <c r="BU55" s="8"/>
      <c r="BV55" s="8"/>
      <c r="BW55" s="8"/>
      <c r="BX55" s="8" t="s">
        <v>107</v>
      </c>
      <c r="BY55" s="8" t="s">
        <v>107</v>
      </c>
      <c r="BZ55" s="8"/>
      <c r="CA55" s="8"/>
      <c r="CB55" s="8" t="s">
        <v>107</v>
      </c>
      <c r="CC55" s="8" t="s">
        <v>107</v>
      </c>
      <c r="CD55" s="8" t="s">
        <v>107</v>
      </c>
      <c r="CE55" s="967"/>
      <c r="CF55" s="8">
        <f t="shared" si="37"/>
        <v>51</v>
      </c>
      <c r="CG55" s="8"/>
      <c r="CH55" s="8" t="s">
        <v>107</v>
      </c>
      <c r="CI55" s="8"/>
      <c r="CJ55" s="8"/>
      <c r="CK55" s="8" t="s">
        <v>107</v>
      </c>
      <c r="CL55" s="8"/>
      <c r="CM55" s="8"/>
      <c r="CN55" s="8"/>
      <c r="CO55" s="8">
        <v>10</v>
      </c>
      <c r="CP55" s="8">
        <v>2</v>
      </c>
      <c r="CQ55" s="8">
        <v>2</v>
      </c>
      <c r="CR55" s="8">
        <v>16</v>
      </c>
      <c r="CS55" s="8">
        <v>12</v>
      </c>
      <c r="CT55" s="8">
        <v>9</v>
      </c>
      <c r="CU55" s="8"/>
      <c r="CV55" s="8"/>
      <c r="CW55" s="8"/>
      <c r="CX55" s="8" t="s">
        <v>107</v>
      </c>
      <c r="CY55" s="8" t="s">
        <v>107</v>
      </c>
      <c r="CZ55" s="8"/>
      <c r="DA55" s="8"/>
      <c r="DB55" s="8" t="s">
        <v>107</v>
      </c>
      <c r="DC55" s="8" t="s">
        <v>107</v>
      </c>
      <c r="DD55" s="8" t="s">
        <v>107</v>
      </c>
      <c r="DE55" s="967"/>
      <c r="DF55" s="8">
        <f t="shared" si="38"/>
        <v>3</v>
      </c>
      <c r="DG55" s="8"/>
      <c r="DH55" s="8" t="s">
        <v>107</v>
      </c>
      <c r="DI55" s="8" t="s">
        <v>107</v>
      </c>
      <c r="DJ55" s="8" t="s">
        <v>107</v>
      </c>
      <c r="DK55" s="8" t="s">
        <v>107</v>
      </c>
      <c r="DL55" s="8"/>
      <c r="DM55" s="8"/>
      <c r="DN55" s="8"/>
      <c r="DO55" s="8">
        <v>0</v>
      </c>
      <c r="DP55" s="8">
        <v>0</v>
      </c>
      <c r="DQ55" s="8">
        <v>0</v>
      </c>
      <c r="DR55" s="8">
        <v>2</v>
      </c>
      <c r="DS55" s="8">
        <v>1</v>
      </c>
      <c r="DT55" s="8"/>
      <c r="DU55" s="8"/>
      <c r="DV55" s="8"/>
      <c r="DW55" s="8"/>
      <c r="DX55" s="8" t="s">
        <v>107</v>
      </c>
      <c r="DY55" s="8" t="s">
        <v>107</v>
      </c>
      <c r="DZ55" s="8"/>
      <c r="EA55" s="8"/>
      <c r="EB55" s="8" t="s">
        <v>107</v>
      </c>
      <c r="EC55" s="8" t="s">
        <v>107</v>
      </c>
      <c r="ED55" s="8" t="s">
        <v>107</v>
      </c>
      <c r="EE55" s="967"/>
      <c r="EF55" s="8">
        <f t="shared" si="39"/>
        <v>6</v>
      </c>
      <c r="EG55" s="8"/>
      <c r="EH55" s="8" t="s">
        <v>107</v>
      </c>
      <c r="EI55" s="8" t="s">
        <v>107</v>
      </c>
      <c r="EJ55" s="8" t="s">
        <v>107</v>
      </c>
      <c r="EK55" s="8" t="s">
        <v>107</v>
      </c>
      <c r="EL55" s="8"/>
      <c r="EM55" s="8"/>
      <c r="EN55" s="8"/>
      <c r="EO55" s="8">
        <v>0</v>
      </c>
      <c r="EP55" s="8">
        <v>0</v>
      </c>
      <c r="EQ55" s="8">
        <v>0</v>
      </c>
      <c r="ER55" s="8">
        <v>4</v>
      </c>
      <c r="ES55" s="8">
        <v>2</v>
      </c>
      <c r="ET55" s="8"/>
      <c r="EU55" s="8"/>
      <c r="EV55" s="8"/>
      <c r="EW55" s="8"/>
      <c r="EX55" s="8" t="s">
        <v>107</v>
      </c>
      <c r="EY55" s="8" t="s">
        <v>107</v>
      </c>
      <c r="EZ55" s="8"/>
      <c r="FA55" s="8"/>
      <c r="FB55" s="8" t="s">
        <v>107</v>
      </c>
      <c r="FC55" s="8" t="s">
        <v>107</v>
      </c>
      <c r="FD55" s="8" t="s">
        <v>107</v>
      </c>
      <c r="FE55" s="967"/>
      <c r="FF55" s="8">
        <f t="shared" si="34"/>
        <v>4</v>
      </c>
      <c r="FG55" s="8"/>
      <c r="FH55" s="8" t="s">
        <v>107</v>
      </c>
      <c r="FI55" s="8" t="s">
        <v>107</v>
      </c>
      <c r="FJ55" s="8" t="s">
        <v>107</v>
      </c>
      <c r="FK55" s="8" t="s">
        <v>107</v>
      </c>
      <c r="FL55" s="8"/>
      <c r="FM55" s="8"/>
      <c r="FN55" s="8"/>
      <c r="FO55" s="8">
        <v>2</v>
      </c>
      <c r="FP55" s="8">
        <v>0</v>
      </c>
      <c r="FQ55" s="8">
        <v>0</v>
      </c>
      <c r="FR55" s="8">
        <v>1</v>
      </c>
      <c r="FS55" s="8">
        <v>1</v>
      </c>
      <c r="FT55" s="8">
        <v>0</v>
      </c>
      <c r="FU55" s="8"/>
      <c r="FV55" s="8"/>
      <c r="FW55" s="8"/>
      <c r="FX55" s="8" t="s">
        <v>107</v>
      </c>
      <c r="FY55" s="8" t="s">
        <v>107</v>
      </c>
      <c r="FZ55" s="8"/>
      <c r="GA55" s="8"/>
      <c r="GB55" s="8" t="s">
        <v>107</v>
      </c>
      <c r="GC55" s="8" t="s">
        <v>107</v>
      </c>
      <c r="GD55" s="8" t="s">
        <v>107</v>
      </c>
      <c r="GE55" s="967"/>
      <c r="GF55" s="8">
        <f t="shared" si="40"/>
        <v>2</v>
      </c>
      <c r="GG55" s="8"/>
      <c r="GH55" s="8" t="s">
        <v>107</v>
      </c>
      <c r="GI55" s="8" t="s">
        <v>107</v>
      </c>
      <c r="GJ55" s="8" t="s">
        <v>107</v>
      </c>
      <c r="GK55" s="8" t="s">
        <v>107</v>
      </c>
      <c r="GL55" s="8"/>
      <c r="GM55" s="8"/>
      <c r="GN55" s="8"/>
      <c r="GO55" s="8">
        <v>0</v>
      </c>
      <c r="GP55" s="8">
        <v>0</v>
      </c>
      <c r="GQ55" s="8">
        <v>1</v>
      </c>
      <c r="GR55" s="8">
        <v>0</v>
      </c>
      <c r="GS55" s="8">
        <v>1</v>
      </c>
      <c r="GT55" s="8"/>
      <c r="GU55" s="8"/>
      <c r="GV55" s="8"/>
      <c r="GW55" s="8"/>
      <c r="GX55" s="8" t="s">
        <v>107</v>
      </c>
      <c r="GY55" s="8" t="s">
        <v>107</v>
      </c>
      <c r="GZ55" s="8"/>
      <c r="HA55" s="8"/>
      <c r="HB55" s="8" t="s">
        <v>107</v>
      </c>
      <c r="HC55" s="8" t="s">
        <v>107</v>
      </c>
      <c r="HD55" s="8" t="s">
        <v>107</v>
      </c>
      <c r="HE55" s="967"/>
      <c r="HF55" s="8">
        <f t="shared" si="41"/>
        <v>1</v>
      </c>
      <c r="HG55" s="8"/>
      <c r="HH55" s="8" t="s">
        <v>107</v>
      </c>
      <c r="HI55" s="8" t="s">
        <v>107</v>
      </c>
      <c r="HJ55" s="8" t="s">
        <v>107</v>
      </c>
      <c r="HK55" s="8" t="s">
        <v>107</v>
      </c>
      <c r="HL55" s="8"/>
      <c r="HM55" s="8"/>
      <c r="HN55" s="8"/>
      <c r="HO55" s="8">
        <v>0</v>
      </c>
      <c r="HP55" s="8">
        <v>1</v>
      </c>
      <c r="HQ55" s="8">
        <v>0</v>
      </c>
      <c r="HR55" s="8">
        <v>0</v>
      </c>
      <c r="HS55" s="8">
        <v>0</v>
      </c>
      <c r="HT55" s="8"/>
      <c r="HU55" s="8"/>
      <c r="HV55" s="8"/>
      <c r="HW55" s="8"/>
      <c r="HX55" s="8" t="s">
        <v>107</v>
      </c>
      <c r="HY55" s="8" t="s">
        <v>107</v>
      </c>
      <c r="HZ55" s="8"/>
      <c r="IA55" s="8"/>
      <c r="IB55" s="8" t="s">
        <v>107</v>
      </c>
      <c r="IC55" s="8" t="s">
        <v>107</v>
      </c>
      <c r="ID55" s="8" t="s">
        <v>107</v>
      </c>
      <c r="IE55" s="967"/>
      <c r="IF55" s="8">
        <f t="shared" si="42"/>
        <v>0</v>
      </c>
      <c r="IG55" s="8"/>
      <c r="IH55" s="8" t="s">
        <v>107</v>
      </c>
      <c r="II55" s="8" t="s">
        <v>107</v>
      </c>
      <c r="IJ55" s="8" t="s">
        <v>107</v>
      </c>
      <c r="IK55" s="8" t="s">
        <v>107</v>
      </c>
      <c r="IL55" s="8"/>
      <c r="IM55" s="8"/>
      <c r="IN55" s="8"/>
      <c r="IO55" s="8">
        <v>0</v>
      </c>
      <c r="IP55" s="8">
        <v>0</v>
      </c>
      <c r="IQ55" s="8">
        <v>0</v>
      </c>
      <c r="IR55" s="8">
        <v>0</v>
      </c>
      <c r="IS55" s="8">
        <v>0</v>
      </c>
      <c r="IT55" s="8"/>
      <c r="IU55" s="8"/>
      <c r="IV55" s="8"/>
      <c r="IW55" s="8"/>
      <c r="IX55" s="8" t="s">
        <v>107</v>
      </c>
      <c r="IY55" s="8" t="s">
        <v>107</v>
      </c>
      <c r="IZ55" s="8"/>
      <c r="JA55" s="8"/>
      <c r="JB55" s="8" t="s">
        <v>107</v>
      </c>
      <c r="JC55" s="8" t="s">
        <v>107</v>
      </c>
      <c r="JD55" s="8" t="s">
        <v>107</v>
      </c>
      <c r="JE55" s="967"/>
      <c r="JF55" s="8">
        <f t="shared" si="43"/>
        <v>0</v>
      </c>
      <c r="JG55" s="8"/>
      <c r="JH55" s="8" t="s">
        <v>107</v>
      </c>
      <c r="JI55" s="8" t="s">
        <v>107</v>
      </c>
      <c r="JJ55" s="8" t="s">
        <v>107</v>
      </c>
      <c r="JK55" s="8" t="s">
        <v>107</v>
      </c>
      <c r="JL55" s="8"/>
      <c r="JM55" s="8"/>
      <c r="JN55" s="8"/>
      <c r="JO55" s="8">
        <v>0</v>
      </c>
      <c r="JP55" s="8">
        <v>0</v>
      </c>
      <c r="JQ55" s="8">
        <v>0</v>
      </c>
      <c r="JR55" s="8">
        <v>0</v>
      </c>
      <c r="JS55" s="8">
        <v>0</v>
      </c>
      <c r="JT55" s="8"/>
      <c r="JU55" s="8"/>
      <c r="JV55" s="8"/>
      <c r="JW55" s="8"/>
      <c r="JX55" s="8" t="s">
        <v>107</v>
      </c>
      <c r="JY55" s="8" t="s">
        <v>107</v>
      </c>
      <c r="JZ55" s="8"/>
      <c r="KA55" s="8"/>
      <c r="KB55" s="8" t="s">
        <v>107</v>
      </c>
      <c r="KC55" s="8" t="s">
        <v>107</v>
      </c>
      <c r="KD55" s="8" t="s">
        <v>107</v>
      </c>
      <c r="KE55" s="967"/>
      <c r="KF55" s="8">
        <f t="shared" si="44"/>
        <v>0</v>
      </c>
      <c r="KG55" s="8"/>
      <c r="KH55" s="8" t="s">
        <v>107</v>
      </c>
      <c r="KI55" s="8" t="s">
        <v>107</v>
      </c>
      <c r="KJ55" s="8" t="s">
        <v>107</v>
      </c>
      <c r="KK55" s="8" t="s">
        <v>107</v>
      </c>
      <c r="KL55" s="8"/>
      <c r="KM55" s="8"/>
      <c r="KN55" s="8"/>
      <c r="KO55" s="8">
        <v>0</v>
      </c>
      <c r="KP55" s="8">
        <v>0</v>
      </c>
      <c r="KQ55" s="8">
        <v>0</v>
      </c>
      <c r="KR55" s="8">
        <v>0</v>
      </c>
      <c r="KS55" s="8">
        <v>0</v>
      </c>
      <c r="KT55" s="8"/>
      <c r="KU55" s="8"/>
      <c r="KV55" s="8"/>
      <c r="KW55" s="8"/>
      <c r="KX55" s="8" t="s">
        <v>107</v>
      </c>
      <c r="KY55" s="8" t="s">
        <v>107</v>
      </c>
      <c r="KZ55" s="8"/>
      <c r="LA55" s="8"/>
      <c r="LB55" s="8" t="s">
        <v>107</v>
      </c>
      <c r="LC55" s="8" t="s">
        <v>107</v>
      </c>
      <c r="LD55" s="8" t="s">
        <v>107</v>
      </c>
      <c r="LE55" s="967"/>
      <c r="LF55" s="8">
        <f t="shared" si="45"/>
        <v>0</v>
      </c>
      <c r="LG55" s="8"/>
      <c r="LH55" s="8" t="s">
        <v>107</v>
      </c>
      <c r="LI55" s="8" t="s">
        <v>107</v>
      </c>
      <c r="LJ55" s="8" t="s">
        <v>107</v>
      </c>
      <c r="LK55" s="8" t="s">
        <v>107</v>
      </c>
      <c r="LL55" s="8"/>
      <c r="LM55" s="8"/>
      <c r="LN55" s="8"/>
      <c r="LO55" s="8">
        <v>0</v>
      </c>
      <c r="LP55" s="8">
        <v>0</v>
      </c>
      <c r="LQ55" s="8">
        <v>0</v>
      </c>
      <c r="LR55" s="8">
        <v>0</v>
      </c>
      <c r="LS55" s="8">
        <v>0</v>
      </c>
      <c r="LT55" s="8"/>
      <c r="LU55" s="8"/>
      <c r="LV55" s="8"/>
      <c r="LW55" s="8"/>
      <c r="LX55" s="8" t="s">
        <v>107</v>
      </c>
      <c r="LY55" s="8" t="s">
        <v>107</v>
      </c>
      <c r="LZ55" s="8"/>
      <c r="MA55" s="8"/>
      <c r="MB55" s="8" t="s">
        <v>107</v>
      </c>
      <c r="MC55" s="8" t="s">
        <v>107</v>
      </c>
      <c r="MD55" s="8" t="s">
        <v>107</v>
      </c>
      <c r="ME55" s="967"/>
      <c r="MF55" s="8">
        <f t="shared" si="46"/>
        <v>0</v>
      </c>
      <c r="MG55" s="8"/>
      <c r="MH55" s="8" t="s">
        <v>107</v>
      </c>
      <c r="MI55" s="8" t="s">
        <v>107</v>
      </c>
      <c r="MJ55" s="8" t="s">
        <v>107</v>
      </c>
      <c r="MK55" s="8" t="s">
        <v>107</v>
      </c>
      <c r="ML55" s="8"/>
      <c r="MM55" s="8"/>
      <c r="MN55" s="8"/>
      <c r="MO55" s="8">
        <v>0</v>
      </c>
      <c r="MP55" s="8">
        <v>0</v>
      </c>
      <c r="MQ55" s="8">
        <v>0</v>
      </c>
      <c r="MR55" s="8">
        <v>0</v>
      </c>
      <c r="MS55" s="8">
        <v>0</v>
      </c>
      <c r="MT55" s="8"/>
      <c r="MU55" s="8"/>
      <c r="MV55" s="8"/>
      <c r="MW55" s="8"/>
      <c r="MX55" s="8" t="s">
        <v>107</v>
      </c>
      <c r="MY55" s="8" t="s">
        <v>107</v>
      </c>
      <c r="MZ55" s="8"/>
      <c r="NA55" s="8"/>
      <c r="NB55" s="8" t="s">
        <v>107</v>
      </c>
      <c r="NC55" s="8" t="s">
        <v>107</v>
      </c>
      <c r="ND55" s="8" t="s">
        <v>107</v>
      </c>
      <c r="NE55" s="967"/>
      <c r="NF55" s="8">
        <f t="shared" si="47"/>
        <v>1</v>
      </c>
      <c r="NG55" s="8"/>
      <c r="NH55" s="8" t="s">
        <v>107</v>
      </c>
      <c r="NI55" s="8" t="s">
        <v>107</v>
      </c>
      <c r="NJ55" s="8" t="s">
        <v>107</v>
      </c>
      <c r="NK55" s="8" t="s">
        <v>107</v>
      </c>
      <c r="NL55" s="8"/>
      <c r="NM55" s="8"/>
      <c r="NN55" s="8"/>
      <c r="NO55" s="8">
        <v>1</v>
      </c>
      <c r="NP55" s="8">
        <v>0</v>
      </c>
      <c r="NQ55" s="8">
        <v>0</v>
      </c>
      <c r="NR55" s="8">
        <v>0</v>
      </c>
      <c r="NS55" s="8">
        <v>0</v>
      </c>
      <c r="NT55" s="8"/>
      <c r="NU55" s="8"/>
      <c r="NV55" s="8"/>
      <c r="NW55" s="8"/>
      <c r="NX55" s="8" t="s">
        <v>107</v>
      </c>
      <c r="NY55" s="8" t="s">
        <v>107</v>
      </c>
      <c r="NZ55" s="8"/>
      <c r="OA55" s="8"/>
      <c r="OB55" s="8" t="s">
        <v>107</v>
      </c>
      <c r="OC55" s="8" t="s">
        <v>107</v>
      </c>
      <c r="OD55" s="8" t="s">
        <v>107</v>
      </c>
      <c r="OE55" s="967"/>
      <c r="OF55" s="8">
        <f t="shared" si="48"/>
        <v>0</v>
      </c>
      <c r="OG55" s="8"/>
      <c r="OH55" s="8" t="s">
        <v>107</v>
      </c>
      <c r="OI55" s="8" t="s">
        <v>107</v>
      </c>
      <c r="OJ55" s="8" t="s">
        <v>107</v>
      </c>
      <c r="OK55" s="8" t="s">
        <v>107</v>
      </c>
      <c r="OL55" s="8"/>
      <c r="OM55" s="8"/>
      <c r="ON55" s="8"/>
      <c r="OO55" s="8">
        <v>0</v>
      </c>
      <c r="OP55" s="8">
        <v>0</v>
      </c>
      <c r="OQ55" s="8">
        <v>0</v>
      </c>
      <c r="OR55" s="8">
        <v>0</v>
      </c>
      <c r="OS55" s="8">
        <v>0</v>
      </c>
      <c r="OT55" s="8"/>
      <c r="OU55" s="8"/>
      <c r="OV55" s="8"/>
      <c r="OW55" s="8"/>
      <c r="OX55" s="8" t="s">
        <v>107</v>
      </c>
      <c r="OY55" s="8" t="s">
        <v>107</v>
      </c>
      <c r="OZ55" s="8"/>
      <c r="PA55" s="8"/>
      <c r="PB55" s="8" t="s">
        <v>107</v>
      </c>
      <c r="PC55" s="8" t="s">
        <v>107</v>
      </c>
      <c r="PD55" s="8" t="s">
        <v>107</v>
      </c>
      <c r="PE55" s="967"/>
      <c r="PF55" s="8">
        <f t="shared" si="49"/>
        <v>0</v>
      </c>
      <c r="PG55" s="8"/>
      <c r="PH55" s="8" t="s">
        <v>107</v>
      </c>
      <c r="PI55" s="8" t="s">
        <v>107</v>
      </c>
      <c r="PJ55" s="8" t="s">
        <v>107</v>
      </c>
      <c r="PK55" s="8" t="s">
        <v>107</v>
      </c>
      <c r="PL55" s="8"/>
      <c r="PM55" s="8"/>
      <c r="PN55" s="8"/>
      <c r="PO55" s="8">
        <v>0</v>
      </c>
      <c r="PP55" s="8">
        <v>0</v>
      </c>
      <c r="PQ55" s="8">
        <v>0</v>
      </c>
      <c r="PR55" s="8">
        <v>0</v>
      </c>
      <c r="PS55" s="8">
        <v>0</v>
      </c>
      <c r="PT55" s="8"/>
      <c r="PU55" s="8"/>
      <c r="PV55" s="8"/>
      <c r="PW55" s="8"/>
      <c r="PX55" s="8" t="s">
        <v>107</v>
      </c>
      <c r="PY55" s="8" t="s">
        <v>107</v>
      </c>
      <c r="PZ55" s="8"/>
      <c r="QA55" s="8"/>
      <c r="QB55" s="8" t="s">
        <v>107</v>
      </c>
      <c r="QC55" s="8" t="s">
        <v>107</v>
      </c>
      <c r="QD55" s="8" t="s">
        <v>107</v>
      </c>
      <c r="QE55" s="967"/>
    </row>
    <row r="56" spans="2:447" x14ac:dyDescent="0.3">
      <c r="B56">
        <v>48</v>
      </c>
      <c r="D56" t="s">
        <v>2717</v>
      </c>
      <c r="F56" s="8">
        <f t="shared" si="53"/>
        <v>1</v>
      </c>
      <c r="G56" s="8"/>
      <c r="H56" s="8">
        <v>1</v>
      </c>
      <c r="I56" s="8" t="s">
        <v>107</v>
      </c>
      <c r="J56" s="8" t="s">
        <v>107</v>
      </c>
      <c r="K56" s="8" t="s">
        <v>107</v>
      </c>
      <c r="L56" s="8" t="s">
        <v>107</v>
      </c>
      <c r="M56" s="8" t="s">
        <v>107</v>
      </c>
      <c r="N56" s="8" t="s">
        <v>107</v>
      </c>
      <c r="O56" s="8" t="s">
        <v>107</v>
      </c>
      <c r="P56" s="8" t="s">
        <v>107</v>
      </c>
      <c r="Q56" s="8" t="s">
        <v>107</v>
      </c>
      <c r="R56" s="8" t="s">
        <v>107</v>
      </c>
      <c r="S56" s="8" t="s">
        <v>107</v>
      </c>
      <c r="T56" s="8" t="s">
        <v>107</v>
      </c>
      <c r="U56" s="8" t="s">
        <v>107</v>
      </c>
      <c r="V56" s="8" t="s">
        <v>107</v>
      </c>
      <c r="W56" s="8" t="s">
        <v>107</v>
      </c>
      <c r="X56" s="8" t="s">
        <v>107</v>
      </c>
      <c r="Y56" s="8" t="s">
        <v>107</v>
      </c>
      <c r="Z56" s="8" t="s">
        <v>107</v>
      </c>
      <c r="AA56" s="8" t="s">
        <v>107</v>
      </c>
      <c r="AB56" s="8" t="s">
        <v>107</v>
      </c>
      <c r="AC56" s="8" t="s">
        <v>107</v>
      </c>
      <c r="AD56" s="8" t="s">
        <v>107</v>
      </c>
      <c r="AE56" s="967"/>
      <c r="AF56" s="8">
        <f t="shared" si="35"/>
        <v>0</v>
      </c>
      <c r="AG56" s="8"/>
      <c r="AH56" s="8">
        <v>0</v>
      </c>
      <c r="AI56" s="8" t="s">
        <v>107</v>
      </c>
      <c r="AJ56" s="8" t="s">
        <v>107</v>
      </c>
      <c r="AK56" s="8" t="s">
        <v>107</v>
      </c>
      <c r="AL56" s="8" t="s">
        <v>107</v>
      </c>
      <c r="AM56" s="8" t="s">
        <v>107</v>
      </c>
      <c r="AN56" s="8" t="s">
        <v>107</v>
      </c>
      <c r="AO56" s="8" t="s">
        <v>107</v>
      </c>
      <c r="AP56" s="8" t="s">
        <v>107</v>
      </c>
      <c r="AQ56" s="8" t="s">
        <v>107</v>
      </c>
      <c r="AR56" s="8" t="s">
        <v>107</v>
      </c>
      <c r="AS56" s="8" t="s">
        <v>107</v>
      </c>
      <c r="AT56" s="8" t="s">
        <v>107</v>
      </c>
      <c r="AU56" s="8" t="s">
        <v>107</v>
      </c>
      <c r="AV56" s="8" t="s">
        <v>107</v>
      </c>
      <c r="AW56" s="8" t="s">
        <v>107</v>
      </c>
      <c r="AX56" s="8" t="s">
        <v>107</v>
      </c>
      <c r="AY56" s="8" t="s">
        <v>107</v>
      </c>
      <c r="AZ56" s="8" t="s">
        <v>107</v>
      </c>
      <c r="BA56" s="8" t="s">
        <v>107</v>
      </c>
      <c r="BB56" s="8" t="s">
        <v>107</v>
      </c>
      <c r="BC56" s="8" t="s">
        <v>107</v>
      </c>
      <c r="BD56" s="8" t="s">
        <v>107</v>
      </c>
      <c r="BE56" s="967"/>
      <c r="BF56" s="8">
        <f t="shared" si="36"/>
        <v>0</v>
      </c>
      <c r="BG56" s="8"/>
      <c r="BH56" s="8">
        <v>0</v>
      </c>
      <c r="BI56" s="8" t="s">
        <v>107</v>
      </c>
      <c r="BJ56" s="8" t="s">
        <v>107</v>
      </c>
      <c r="BK56" s="8" t="s">
        <v>107</v>
      </c>
      <c r="BL56" s="8" t="s">
        <v>107</v>
      </c>
      <c r="BM56" s="8" t="s">
        <v>107</v>
      </c>
      <c r="BN56" s="8" t="s">
        <v>107</v>
      </c>
      <c r="BO56" s="8" t="s">
        <v>107</v>
      </c>
      <c r="BP56" s="8" t="s">
        <v>107</v>
      </c>
      <c r="BQ56" s="8" t="s">
        <v>107</v>
      </c>
      <c r="BR56" s="8" t="s">
        <v>107</v>
      </c>
      <c r="BS56" s="8" t="s">
        <v>107</v>
      </c>
      <c r="BT56" s="8" t="s">
        <v>107</v>
      </c>
      <c r="BU56" s="8" t="s">
        <v>107</v>
      </c>
      <c r="BV56" s="8" t="s">
        <v>107</v>
      </c>
      <c r="BW56" s="8" t="s">
        <v>107</v>
      </c>
      <c r="BX56" s="8" t="s">
        <v>107</v>
      </c>
      <c r="BY56" s="8" t="s">
        <v>107</v>
      </c>
      <c r="BZ56" s="8" t="s">
        <v>107</v>
      </c>
      <c r="CA56" s="8" t="s">
        <v>107</v>
      </c>
      <c r="CB56" s="8" t="s">
        <v>107</v>
      </c>
      <c r="CC56" s="8" t="s">
        <v>107</v>
      </c>
      <c r="CD56" s="8" t="s">
        <v>107</v>
      </c>
      <c r="CE56" s="967"/>
      <c r="CF56" s="8">
        <f t="shared" si="37"/>
        <v>0</v>
      </c>
      <c r="CG56" s="8"/>
      <c r="CH56" s="8">
        <v>0</v>
      </c>
      <c r="CI56" s="8" t="s">
        <v>107</v>
      </c>
      <c r="CJ56" s="8" t="s">
        <v>107</v>
      </c>
      <c r="CK56" s="8" t="s">
        <v>107</v>
      </c>
      <c r="CL56" s="8" t="s">
        <v>107</v>
      </c>
      <c r="CM56" s="8" t="s">
        <v>107</v>
      </c>
      <c r="CN56" s="8" t="s">
        <v>107</v>
      </c>
      <c r="CO56" s="8" t="s">
        <v>107</v>
      </c>
      <c r="CP56" s="8" t="s">
        <v>107</v>
      </c>
      <c r="CQ56" s="8" t="s">
        <v>107</v>
      </c>
      <c r="CR56" s="8" t="s">
        <v>107</v>
      </c>
      <c r="CS56" s="8" t="s">
        <v>107</v>
      </c>
      <c r="CT56" s="8" t="s">
        <v>107</v>
      </c>
      <c r="CU56" s="8" t="s">
        <v>107</v>
      </c>
      <c r="CV56" s="8" t="s">
        <v>107</v>
      </c>
      <c r="CW56" s="8" t="s">
        <v>107</v>
      </c>
      <c r="CX56" s="8" t="s">
        <v>107</v>
      </c>
      <c r="CY56" s="8" t="s">
        <v>107</v>
      </c>
      <c r="CZ56" s="8" t="s">
        <v>107</v>
      </c>
      <c r="DA56" s="8" t="s">
        <v>107</v>
      </c>
      <c r="DB56" s="8" t="s">
        <v>107</v>
      </c>
      <c r="DC56" s="8" t="s">
        <v>107</v>
      </c>
      <c r="DD56" s="8" t="s">
        <v>107</v>
      </c>
      <c r="DE56" s="967"/>
      <c r="DF56" s="8">
        <f t="shared" si="38"/>
        <v>0</v>
      </c>
      <c r="DG56" s="8"/>
      <c r="DH56" s="8">
        <v>0</v>
      </c>
      <c r="DI56" s="8" t="s">
        <v>107</v>
      </c>
      <c r="DJ56" s="8" t="s">
        <v>107</v>
      </c>
      <c r="DK56" s="8" t="s">
        <v>107</v>
      </c>
      <c r="DL56" s="8" t="s">
        <v>107</v>
      </c>
      <c r="DM56" s="8" t="s">
        <v>107</v>
      </c>
      <c r="DN56" s="8" t="s">
        <v>107</v>
      </c>
      <c r="DO56" s="8" t="s">
        <v>107</v>
      </c>
      <c r="DP56" s="8" t="s">
        <v>107</v>
      </c>
      <c r="DQ56" s="8" t="s">
        <v>107</v>
      </c>
      <c r="DR56" s="8" t="s">
        <v>107</v>
      </c>
      <c r="DS56" s="8" t="s">
        <v>107</v>
      </c>
      <c r="DT56" s="8" t="s">
        <v>107</v>
      </c>
      <c r="DU56" s="8" t="s">
        <v>107</v>
      </c>
      <c r="DV56" s="8" t="s">
        <v>107</v>
      </c>
      <c r="DW56" s="8" t="s">
        <v>107</v>
      </c>
      <c r="DX56" s="8" t="s">
        <v>107</v>
      </c>
      <c r="DY56" s="8" t="s">
        <v>107</v>
      </c>
      <c r="DZ56" s="8" t="s">
        <v>107</v>
      </c>
      <c r="EA56" s="8" t="s">
        <v>107</v>
      </c>
      <c r="EB56" s="8" t="s">
        <v>107</v>
      </c>
      <c r="EC56" s="8" t="s">
        <v>107</v>
      </c>
      <c r="ED56" s="8" t="s">
        <v>107</v>
      </c>
      <c r="EE56" s="967"/>
      <c r="EF56" s="8">
        <f t="shared" si="39"/>
        <v>0</v>
      </c>
      <c r="EG56" s="8"/>
      <c r="EH56" s="8">
        <v>0</v>
      </c>
      <c r="EI56" s="8" t="s">
        <v>107</v>
      </c>
      <c r="EJ56" s="8" t="s">
        <v>107</v>
      </c>
      <c r="EK56" s="8" t="s">
        <v>107</v>
      </c>
      <c r="EL56" s="8" t="s">
        <v>107</v>
      </c>
      <c r="EM56" s="8" t="s">
        <v>107</v>
      </c>
      <c r="EN56" s="8" t="s">
        <v>107</v>
      </c>
      <c r="EO56" s="8" t="s">
        <v>107</v>
      </c>
      <c r="EP56" s="8" t="s">
        <v>107</v>
      </c>
      <c r="EQ56" s="8" t="s">
        <v>107</v>
      </c>
      <c r="ER56" s="8" t="s">
        <v>107</v>
      </c>
      <c r="ES56" s="8" t="s">
        <v>107</v>
      </c>
      <c r="ET56" s="8" t="s">
        <v>107</v>
      </c>
      <c r="EU56" s="8" t="s">
        <v>107</v>
      </c>
      <c r="EV56" s="8" t="s">
        <v>107</v>
      </c>
      <c r="EW56" s="8" t="s">
        <v>107</v>
      </c>
      <c r="EX56" s="8" t="s">
        <v>107</v>
      </c>
      <c r="EY56" s="8" t="s">
        <v>107</v>
      </c>
      <c r="EZ56" s="8" t="s">
        <v>107</v>
      </c>
      <c r="FA56" s="8" t="s">
        <v>107</v>
      </c>
      <c r="FB56" s="8" t="s">
        <v>107</v>
      </c>
      <c r="FC56" s="8" t="s">
        <v>107</v>
      </c>
      <c r="FD56" s="8" t="s">
        <v>107</v>
      </c>
      <c r="FE56" s="967"/>
      <c r="FF56" s="8">
        <f t="shared" si="34"/>
        <v>0</v>
      </c>
      <c r="FG56" s="8"/>
      <c r="FH56" s="8">
        <v>0</v>
      </c>
      <c r="FI56" s="8" t="s">
        <v>107</v>
      </c>
      <c r="FJ56" s="8" t="s">
        <v>107</v>
      </c>
      <c r="FK56" s="8" t="s">
        <v>107</v>
      </c>
      <c r="FL56" s="8" t="s">
        <v>107</v>
      </c>
      <c r="FM56" s="8" t="s">
        <v>107</v>
      </c>
      <c r="FN56" s="8" t="s">
        <v>107</v>
      </c>
      <c r="FO56" s="8" t="s">
        <v>107</v>
      </c>
      <c r="FP56" s="8" t="s">
        <v>107</v>
      </c>
      <c r="FQ56" s="8" t="s">
        <v>107</v>
      </c>
      <c r="FR56" s="8" t="s">
        <v>107</v>
      </c>
      <c r="FS56" s="8" t="s">
        <v>107</v>
      </c>
      <c r="FT56" s="8" t="s">
        <v>107</v>
      </c>
      <c r="FU56" s="8" t="s">
        <v>107</v>
      </c>
      <c r="FV56" s="8" t="s">
        <v>107</v>
      </c>
      <c r="FW56" s="8" t="s">
        <v>107</v>
      </c>
      <c r="FX56" s="8" t="s">
        <v>107</v>
      </c>
      <c r="FY56" s="8" t="s">
        <v>107</v>
      </c>
      <c r="FZ56" s="8" t="s">
        <v>107</v>
      </c>
      <c r="GA56" s="8" t="s">
        <v>107</v>
      </c>
      <c r="GB56" s="8" t="s">
        <v>107</v>
      </c>
      <c r="GC56" s="8" t="s">
        <v>107</v>
      </c>
      <c r="GD56" s="8" t="s">
        <v>107</v>
      </c>
      <c r="GE56" s="967"/>
      <c r="GF56" s="8">
        <f t="shared" si="40"/>
        <v>0</v>
      </c>
      <c r="GG56" s="8"/>
      <c r="GH56" s="8">
        <v>0</v>
      </c>
      <c r="GI56" s="8" t="s">
        <v>107</v>
      </c>
      <c r="GJ56" s="8" t="s">
        <v>107</v>
      </c>
      <c r="GK56" s="8" t="s">
        <v>107</v>
      </c>
      <c r="GL56" s="8" t="s">
        <v>107</v>
      </c>
      <c r="GM56" s="8" t="s">
        <v>107</v>
      </c>
      <c r="GN56" s="8" t="s">
        <v>107</v>
      </c>
      <c r="GO56" s="8" t="s">
        <v>107</v>
      </c>
      <c r="GP56" s="8" t="s">
        <v>107</v>
      </c>
      <c r="GQ56" s="8" t="s">
        <v>107</v>
      </c>
      <c r="GR56" s="8" t="s">
        <v>107</v>
      </c>
      <c r="GS56" s="8" t="s">
        <v>107</v>
      </c>
      <c r="GT56" s="8" t="s">
        <v>107</v>
      </c>
      <c r="GU56" s="8" t="s">
        <v>107</v>
      </c>
      <c r="GV56" s="8" t="s">
        <v>107</v>
      </c>
      <c r="GW56" s="8" t="s">
        <v>107</v>
      </c>
      <c r="GX56" s="8" t="s">
        <v>107</v>
      </c>
      <c r="GY56" s="8" t="s">
        <v>107</v>
      </c>
      <c r="GZ56" s="8" t="s">
        <v>107</v>
      </c>
      <c r="HA56" s="8" t="s">
        <v>107</v>
      </c>
      <c r="HB56" s="8" t="s">
        <v>107</v>
      </c>
      <c r="HC56" s="8" t="s">
        <v>107</v>
      </c>
      <c r="HD56" s="8" t="s">
        <v>107</v>
      </c>
      <c r="HE56" s="967"/>
      <c r="HF56" s="8">
        <f t="shared" si="41"/>
        <v>0</v>
      </c>
      <c r="HG56" s="8"/>
      <c r="HH56" s="8">
        <v>0</v>
      </c>
      <c r="HI56" s="8" t="s">
        <v>107</v>
      </c>
      <c r="HJ56" s="8" t="s">
        <v>107</v>
      </c>
      <c r="HK56" s="8" t="s">
        <v>107</v>
      </c>
      <c r="HL56" s="8" t="s">
        <v>107</v>
      </c>
      <c r="HM56" s="8" t="s">
        <v>107</v>
      </c>
      <c r="HN56" s="8" t="s">
        <v>107</v>
      </c>
      <c r="HO56" s="8" t="s">
        <v>107</v>
      </c>
      <c r="HP56" s="8" t="s">
        <v>107</v>
      </c>
      <c r="HQ56" s="8" t="s">
        <v>107</v>
      </c>
      <c r="HR56" s="8" t="s">
        <v>107</v>
      </c>
      <c r="HS56" s="8" t="s">
        <v>107</v>
      </c>
      <c r="HT56" s="8" t="s">
        <v>107</v>
      </c>
      <c r="HU56" s="8" t="s">
        <v>107</v>
      </c>
      <c r="HV56" s="8" t="s">
        <v>107</v>
      </c>
      <c r="HW56" s="8" t="s">
        <v>107</v>
      </c>
      <c r="HX56" s="8" t="s">
        <v>107</v>
      </c>
      <c r="HY56" s="8" t="s">
        <v>107</v>
      </c>
      <c r="HZ56" s="8" t="s">
        <v>107</v>
      </c>
      <c r="IA56" s="8" t="s">
        <v>107</v>
      </c>
      <c r="IB56" s="8" t="s">
        <v>107</v>
      </c>
      <c r="IC56" s="8" t="s">
        <v>107</v>
      </c>
      <c r="ID56" s="8" t="s">
        <v>107</v>
      </c>
      <c r="IE56" s="967"/>
      <c r="IF56" s="8">
        <f t="shared" si="42"/>
        <v>0</v>
      </c>
      <c r="IG56" s="8"/>
      <c r="IH56" s="8">
        <v>0</v>
      </c>
      <c r="II56" s="8" t="s">
        <v>107</v>
      </c>
      <c r="IJ56" s="8" t="s">
        <v>107</v>
      </c>
      <c r="IK56" s="8" t="s">
        <v>107</v>
      </c>
      <c r="IL56" s="8" t="s">
        <v>107</v>
      </c>
      <c r="IM56" s="8" t="s">
        <v>107</v>
      </c>
      <c r="IN56" s="8" t="s">
        <v>107</v>
      </c>
      <c r="IO56" s="8" t="s">
        <v>107</v>
      </c>
      <c r="IP56" s="8" t="s">
        <v>107</v>
      </c>
      <c r="IQ56" s="8" t="s">
        <v>107</v>
      </c>
      <c r="IR56" s="8" t="s">
        <v>107</v>
      </c>
      <c r="IS56" s="8" t="s">
        <v>107</v>
      </c>
      <c r="IT56" s="8" t="s">
        <v>107</v>
      </c>
      <c r="IU56" s="8" t="s">
        <v>107</v>
      </c>
      <c r="IV56" s="8" t="s">
        <v>107</v>
      </c>
      <c r="IW56" s="8" t="s">
        <v>107</v>
      </c>
      <c r="IX56" s="8" t="s">
        <v>107</v>
      </c>
      <c r="IY56" s="8" t="s">
        <v>107</v>
      </c>
      <c r="IZ56" s="8" t="s">
        <v>107</v>
      </c>
      <c r="JA56" s="8" t="s">
        <v>107</v>
      </c>
      <c r="JB56" s="8" t="s">
        <v>107</v>
      </c>
      <c r="JC56" s="8" t="s">
        <v>107</v>
      </c>
      <c r="JD56" s="8" t="s">
        <v>107</v>
      </c>
      <c r="JE56" s="967"/>
      <c r="JF56" s="8">
        <f t="shared" si="43"/>
        <v>0</v>
      </c>
      <c r="JG56" s="8"/>
      <c r="JH56" s="8">
        <v>0</v>
      </c>
      <c r="JI56" s="8" t="s">
        <v>107</v>
      </c>
      <c r="JJ56" s="8" t="s">
        <v>107</v>
      </c>
      <c r="JK56" s="8" t="s">
        <v>107</v>
      </c>
      <c r="JL56" s="8" t="s">
        <v>107</v>
      </c>
      <c r="JM56" s="8" t="s">
        <v>107</v>
      </c>
      <c r="JN56" s="8" t="s">
        <v>107</v>
      </c>
      <c r="JO56" s="8" t="s">
        <v>107</v>
      </c>
      <c r="JP56" s="8" t="s">
        <v>107</v>
      </c>
      <c r="JQ56" s="8" t="s">
        <v>107</v>
      </c>
      <c r="JR56" s="8" t="s">
        <v>107</v>
      </c>
      <c r="JS56" s="8" t="s">
        <v>107</v>
      </c>
      <c r="JT56" s="8" t="s">
        <v>107</v>
      </c>
      <c r="JU56" s="8" t="s">
        <v>107</v>
      </c>
      <c r="JV56" s="8" t="s">
        <v>107</v>
      </c>
      <c r="JW56" s="8" t="s">
        <v>107</v>
      </c>
      <c r="JX56" s="8" t="s">
        <v>107</v>
      </c>
      <c r="JY56" s="8" t="s">
        <v>107</v>
      </c>
      <c r="JZ56" s="8" t="s">
        <v>107</v>
      </c>
      <c r="KA56" s="8" t="s">
        <v>107</v>
      </c>
      <c r="KB56" s="8" t="s">
        <v>107</v>
      </c>
      <c r="KC56" s="8" t="s">
        <v>107</v>
      </c>
      <c r="KD56" s="8" t="s">
        <v>107</v>
      </c>
      <c r="KE56" s="967"/>
      <c r="KF56" s="8">
        <f t="shared" si="44"/>
        <v>0</v>
      </c>
      <c r="KG56" s="8"/>
      <c r="KH56" s="8">
        <v>0</v>
      </c>
      <c r="KI56" s="8" t="s">
        <v>107</v>
      </c>
      <c r="KJ56" s="8" t="s">
        <v>107</v>
      </c>
      <c r="KK56" s="8" t="s">
        <v>107</v>
      </c>
      <c r="KL56" s="8" t="s">
        <v>107</v>
      </c>
      <c r="KM56" s="8" t="s">
        <v>107</v>
      </c>
      <c r="KN56" s="8" t="s">
        <v>107</v>
      </c>
      <c r="KO56" s="8" t="s">
        <v>107</v>
      </c>
      <c r="KP56" s="8" t="s">
        <v>107</v>
      </c>
      <c r="KQ56" s="8" t="s">
        <v>107</v>
      </c>
      <c r="KR56" s="8" t="s">
        <v>107</v>
      </c>
      <c r="KS56" s="8" t="s">
        <v>107</v>
      </c>
      <c r="KT56" s="8" t="s">
        <v>107</v>
      </c>
      <c r="KU56" s="8" t="s">
        <v>107</v>
      </c>
      <c r="KV56" s="8" t="s">
        <v>107</v>
      </c>
      <c r="KW56" s="8" t="s">
        <v>107</v>
      </c>
      <c r="KX56" s="8" t="s">
        <v>107</v>
      </c>
      <c r="KY56" s="8" t="s">
        <v>107</v>
      </c>
      <c r="KZ56" s="8" t="s">
        <v>107</v>
      </c>
      <c r="LA56" s="8" t="s">
        <v>107</v>
      </c>
      <c r="LB56" s="8" t="s">
        <v>107</v>
      </c>
      <c r="LC56" s="8" t="s">
        <v>107</v>
      </c>
      <c r="LD56" s="8" t="s">
        <v>107</v>
      </c>
      <c r="LE56" s="967"/>
      <c r="LF56" s="8">
        <f t="shared" si="45"/>
        <v>0</v>
      </c>
      <c r="LG56" s="8"/>
      <c r="LH56" s="8">
        <v>0</v>
      </c>
      <c r="LI56" s="8" t="s">
        <v>107</v>
      </c>
      <c r="LJ56" s="8" t="s">
        <v>107</v>
      </c>
      <c r="LK56" s="8" t="s">
        <v>107</v>
      </c>
      <c r="LL56" s="8" t="s">
        <v>107</v>
      </c>
      <c r="LM56" s="8" t="s">
        <v>107</v>
      </c>
      <c r="LN56" s="8" t="s">
        <v>107</v>
      </c>
      <c r="LO56" s="8" t="s">
        <v>107</v>
      </c>
      <c r="LP56" s="8" t="s">
        <v>107</v>
      </c>
      <c r="LQ56" s="8" t="s">
        <v>107</v>
      </c>
      <c r="LR56" s="8" t="s">
        <v>107</v>
      </c>
      <c r="LS56" s="8" t="s">
        <v>107</v>
      </c>
      <c r="LT56" s="8" t="s">
        <v>107</v>
      </c>
      <c r="LU56" s="8" t="s">
        <v>107</v>
      </c>
      <c r="LV56" s="8" t="s">
        <v>107</v>
      </c>
      <c r="LW56" s="8" t="s">
        <v>107</v>
      </c>
      <c r="LX56" s="8" t="s">
        <v>107</v>
      </c>
      <c r="LY56" s="8" t="s">
        <v>107</v>
      </c>
      <c r="LZ56" s="8" t="s">
        <v>107</v>
      </c>
      <c r="MA56" s="8" t="s">
        <v>107</v>
      </c>
      <c r="MB56" s="8" t="s">
        <v>107</v>
      </c>
      <c r="MC56" s="8" t="s">
        <v>107</v>
      </c>
      <c r="MD56" s="8" t="s">
        <v>107</v>
      </c>
      <c r="ME56" s="967"/>
      <c r="MF56" s="8">
        <f t="shared" si="46"/>
        <v>0</v>
      </c>
      <c r="MG56" s="8"/>
      <c r="MH56" s="8">
        <v>0</v>
      </c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967"/>
      <c r="NF56" s="8">
        <f t="shared" si="47"/>
        <v>0</v>
      </c>
      <c r="NG56" s="8"/>
      <c r="NH56" s="8">
        <v>0</v>
      </c>
      <c r="NI56" s="8" t="s">
        <v>107</v>
      </c>
      <c r="NJ56" s="8" t="s">
        <v>107</v>
      </c>
      <c r="NK56" s="8" t="s">
        <v>107</v>
      </c>
      <c r="NL56" s="8" t="s">
        <v>107</v>
      </c>
      <c r="NM56" s="8" t="s">
        <v>107</v>
      </c>
      <c r="NN56" s="8" t="s">
        <v>107</v>
      </c>
      <c r="NO56" s="8" t="s">
        <v>107</v>
      </c>
      <c r="NP56" s="8" t="s">
        <v>107</v>
      </c>
      <c r="NQ56" s="8" t="s">
        <v>107</v>
      </c>
      <c r="NR56" s="8" t="s">
        <v>107</v>
      </c>
      <c r="NS56" s="8" t="s">
        <v>107</v>
      </c>
      <c r="NT56" s="8" t="s">
        <v>107</v>
      </c>
      <c r="NU56" s="8" t="s">
        <v>107</v>
      </c>
      <c r="NV56" s="8" t="s">
        <v>107</v>
      </c>
      <c r="NW56" s="8" t="s">
        <v>107</v>
      </c>
      <c r="NX56" s="8" t="s">
        <v>107</v>
      </c>
      <c r="NY56" s="8" t="s">
        <v>107</v>
      </c>
      <c r="NZ56" s="8" t="s">
        <v>107</v>
      </c>
      <c r="OA56" s="8" t="s">
        <v>107</v>
      </c>
      <c r="OB56" s="8" t="s">
        <v>107</v>
      </c>
      <c r="OC56" s="8" t="s">
        <v>107</v>
      </c>
      <c r="OD56" s="8" t="s">
        <v>107</v>
      </c>
      <c r="OE56" s="967"/>
      <c r="OF56" s="8">
        <f t="shared" si="48"/>
        <v>0</v>
      </c>
      <c r="OG56" s="8"/>
      <c r="OH56" s="8">
        <v>0</v>
      </c>
      <c r="OI56" s="8" t="s">
        <v>107</v>
      </c>
      <c r="OJ56" s="8" t="s">
        <v>107</v>
      </c>
      <c r="OK56" s="8" t="s">
        <v>107</v>
      </c>
      <c r="OL56" s="8" t="s">
        <v>107</v>
      </c>
      <c r="OM56" s="8" t="s">
        <v>107</v>
      </c>
      <c r="ON56" s="8" t="s">
        <v>107</v>
      </c>
      <c r="OO56" s="8" t="s">
        <v>107</v>
      </c>
      <c r="OP56" s="8" t="s">
        <v>107</v>
      </c>
      <c r="OQ56" s="8" t="s">
        <v>107</v>
      </c>
      <c r="OR56" s="8" t="s">
        <v>107</v>
      </c>
      <c r="OS56" s="8" t="s">
        <v>107</v>
      </c>
      <c r="OT56" s="8" t="s">
        <v>107</v>
      </c>
      <c r="OU56" s="8" t="s">
        <v>107</v>
      </c>
      <c r="OV56" s="8" t="s">
        <v>107</v>
      </c>
      <c r="OW56" s="8" t="s">
        <v>107</v>
      </c>
      <c r="OX56" s="8" t="s">
        <v>107</v>
      </c>
      <c r="OY56" s="8" t="s">
        <v>107</v>
      </c>
      <c r="OZ56" s="8" t="s">
        <v>107</v>
      </c>
      <c r="PA56" s="8" t="s">
        <v>107</v>
      </c>
      <c r="PB56" s="8" t="s">
        <v>107</v>
      </c>
      <c r="PC56" s="8" t="s">
        <v>107</v>
      </c>
      <c r="PD56" s="8" t="s">
        <v>107</v>
      </c>
      <c r="PE56" s="967"/>
      <c r="PF56" s="8">
        <f t="shared" si="49"/>
        <v>0</v>
      </c>
      <c r="PG56" s="8"/>
      <c r="PH56" s="8">
        <v>0</v>
      </c>
      <c r="PI56" s="8" t="s">
        <v>107</v>
      </c>
      <c r="PJ56" s="8" t="s">
        <v>107</v>
      </c>
      <c r="PK56" s="8" t="s">
        <v>107</v>
      </c>
      <c r="PL56" s="8" t="s">
        <v>107</v>
      </c>
      <c r="PM56" s="8" t="s">
        <v>107</v>
      </c>
      <c r="PN56" s="8" t="s">
        <v>107</v>
      </c>
      <c r="PO56" s="8" t="s">
        <v>107</v>
      </c>
      <c r="PP56" s="8" t="s">
        <v>107</v>
      </c>
      <c r="PQ56" s="8" t="s">
        <v>107</v>
      </c>
      <c r="PR56" s="8" t="s">
        <v>107</v>
      </c>
      <c r="PS56" s="8" t="s">
        <v>107</v>
      </c>
      <c r="PT56" s="8" t="s">
        <v>107</v>
      </c>
      <c r="PU56" s="8" t="s">
        <v>107</v>
      </c>
      <c r="PV56" s="8" t="s">
        <v>107</v>
      </c>
      <c r="PW56" s="8" t="s">
        <v>107</v>
      </c>
      <c r="PX56" s="8" t="s">
        <v>107</v>
      </c>
      <c r="PY56" s="8" t="s">
        <v>107</v>
      </c>
      <c r="PZ56" s="8" t="s">
        <v>107</v>
      </c>
      <c r="QA56" s="8" t="s">
        <v>107</v>
      </c>
      <c r="QB56" s="8" t="s">
        <v>107</v>
      </c>
      <c r="QC56" s="8" t="s">
        <v>107</v>
      </c>
      <c r="QD56" s="8" t="s">
        <v>107</v>
      </c>
      <c r="QE56" s="967"/>
    </row>
    <row r="57" spans="2:447" x14ac:dyDescent="0.3">
      <c r="B57">
        <v>49</v>
      </c>
      <c r="D57" t="s">
        <v>1991</v>
      </c>
      <c r="F57" s="8">
        <f t="shared" si="53"/>
        <v>10</v>
      </c>
      <c r="G57" s="8"/>
      <c r="H57" s="8" t="s">
        <v>107</v>
      </c>
      <c r="I57" s="8" t="s">
        <v>107</v>
      </c>
      <c r="J57" s="8" t="s">
        <v>107</v>
      </c>
      <c r="K57" s="8" t="s">
        <v>107</v>
      </c>
      <c r="L57" s="8" t="s">
        <v>107</v>
      </c>
      <c r="M57" s="8" t="s">
        <v>107</v>
      </c>
      <c r="N57" s="8" t="s">
        <v>107</v>
      </c>
      <c r="O57" s="8">
        <v>10</v>
      </c>
      <c r="P57" s="8" t="s">
        <v>107</v>
      </c>
      <c r="Q57" s="8" t="s">
        <v>107</v>
      </c>
      <c r="R57" s="8" t="s">
        <v>107</v>
      </c>
      <c r="S57" s="8" t="s">
        <v>107</v>
      </c>
      <c r="T57" s="8" t="s">
        <v>107</v>
      </c>
      <c r="U57" s="8"/>
      <c r="V57" s="8"/>
      <c r="W57" s="8"/>
      <c r="X57" s="8" t="s">
        <v>107</v>
      </c>
      <c r="Y57" s="8" t="s">
        <v>107</v>
      </c>
      <c r="Z57" s="8"/>
      <c r="AA57" s="8"/>
      <c r="AB57" s="8" t="s">
        <v>107</v>
      </c>
      <c r="AC57" s="8" t="s">
        <v>107</v>
      </c>
      <c r="AD57" s="8" t="s">
        <v>107</v>
      </c>
      <c r="AE57" s="967"/>
      <c r="AF57" s="8">
        <f t="shared" si="35"/>
        <v>1</v>
      </c>
      <c r="AG57" s="8"/>
      <c r="AH57" s="8" t="s">
        <v>107</v>
      </c>
      <c r="AI57" s="8" t="s">
        <v>107</v>
      </c>
      <c r="AJ57" s="8" t="s">
        <v>107</v>
      </c>
      <c r="AK57" s="8" t="s">
        <v>107</v>
      </c>
      <c r="AL57" s="8"/>
      <c r="AM57" s="8"/>
      <c r="AN57" s="8"/>
      <c r="AO57" s="8">
        <v>1</v>
      </c>
      <c r="AP57" s="8" t="s">
        <v>107</v>
      </c>
      <c r="AQ57" s="8"/>
      <c r="AR57" s="8"/>
      <c r="AS57" s="8"/>
      <c r="AT57" s="8"/>
      <c r="AU57" s="8"/>
      <c r="AV57" s="8"/>
      <c r="AW57" s="8"/>
      <c r="AX57" s="8" t="s">
        <v>107</v>
      </c>
      <c r="AY57" s="8" t="s">
        <v>107</v>
      </c>
      <c r="AZ57" s="8"/>
      <c r="BA57" s="8"/>
      <c r="BB57" s="8" t="s">
        <v>107</v>
      </c>
      <c r="BC57" s="8" t="s">
        <v>107</v>
      </c>
      <c r="BD57" s="8" t="s">
        <v>107</v>
      </c>
      <c r="BE57" s="967"/>
      <c r="BF57" s="8">
        <f t="shared" si="36"/>
        <v>6</v>
      </c>
      <c r="BG57" s="8"/>
      <c r="BH57" s="8" t="s">
        <v>107</v>
      </c>
      <c r="BI57" s="8"/>
      <c r="BJ57" s="8"/>
      <c r="BK57" s="8" t="s">
        <v>107</v>
      </c>
      <c r="BL57" s="8"/>
      <c r="BM57" s="8"/>
      <c r="BN57" s="8"/>
      <c r="BO57" s="8">
        <v>6</v>
      </c>
      <c r="BP57" s="8" t="s">
        <v>107</v>
      </c>
      <c r="BQ57" s="8"/>
      <c r="BR57" s="8"/>
      <c r="BS57" s="8"/>
      <c r="BT57" s="8"/>
      <c r="BU57" s="8"/>
      <c r="BV57" s="8"/>
      <c r="BW57" s="8"/>
      <c r="BX57" s="8" t="s">
        <v>107</v>
      </c>
      <c r="BY57" s="8" t="s">
        <v>107</v>
      </c>
      <c r="BZ57" s="8"/>
      <c r="CA57" s="8"/>
      <c r="CB57" s="8" t="s">
        <v>107</v>
      </c>
      <c r="CC57" s="8" t="s">
        <v>107</v>
      </c>
      <c r="CD57" s="8" t="s">
        <v>107</v>
      </c>
      <c r="CE57" s="967"/>
      <c r="CF57" s="8">
        <f t="shared" si="37"/>
        <v>7</v>
      </c>
      <c r="CG57" s="8"/>
      <c r="CH57" s="8" t="s">
        <v>107</v>
      </c>
      <c r="CI57" s="8"/>
      <c r="CJ57" s="8"/>
      <c r="CK57" s="8" t="s">
        <v>107</v>
      </c>
      <c r="CL57" s="8"/>
      <c r="CM57" s="8"/>
      <c r="CN57" s="8"/>
      <c r="CO57" s="8">
        <v>7</v>
      </c>
      <c r="CP57" s="8" t="s">
        <v>107</v>
      </c>
      <c r="CQ57" s="8"/>
      <c r="CR57" s="8"/>
      <c r="CS57" s="8"/>
      <c r="CT57" s="8"/>
      <c r="CU57" s="8"/>
      <c r="CV57" s="8"/>
      <c r="CW57" s="8"/>
      <c r="CX57" s="8" t="s">
        <v>107</v>
      </c>
      <c r="CY57" s="8" t="s">
        <v>107</v>
      </c>
      <c r="CZ57" s="8"/>
      <c r="DA57" s="8"/>
      <c r="DB57" s="8" t="s">
        <v>107</v>
      </c>
      <c r="DC57" s="8" t="s">
        <v>107</v>
      </c>
      <c r="DD57" s="8" t="s">
        <v>107</v>
      </c>
      <c r="DE57" s="967"/>
      <c r="DF57" s="8">
        <f t="shared" si="38"/>
        <v>0</v>
      </c>
      <c r="DG57" s="8"/>
      <c r="DH57" s="8" t="s">
        <v>107</v>
      </c>
      <c r="DI57" s="8" t="s">
        <v>107</v>
      </c>
      <c r="DJ57" s="8" t="s">
        <v>107</v>
      </c>
      <c r="DK57" s="8" t="s">
        <v>107</v>
      </c>
      <c r="DL57" s="8"/>
      <c r="DM57" s="8"/>
      <c r="DN57" s="8"/>
      <c r="DO57" s="8">
        <v>0</v>
      </c>
      <c r="DP57" s="8" t="s">
        <v>107</v>
      </c>
      <c r="DQ57" s="8"/>
      <c r="DR57" s="8"/>
      <c r="DS57" s="8"/>
      <c r="DT57" s="8"/>
      <c r="DU57" s="8"/>
      <c r="DV57" s="8"/>
      <c r="DW57" s="8"/>
      <c r="DX57" s="8" t="s">
        <v>107</v>
      </c>
      <c r="DY57" s="8" t="s">
        <v>107</v>
      </c>
      <c r="DZ57" s="8"/>
      <c r="EA57" s="8"/>
      <c r="EB57" s="8" t="s">
        <v>107</v>
      </c>
      <c r="EC57" s="8" t="s">
        <v>107</v>
      </c>
      <c r="ED57" s="8" t="s">
        <v>107</v>
      </c>
      <c r="EE57" s="967"/>
      <c r="EF57" s="8">
        <f t="shared" si="39"/>
        <v>0</v>
      </c>
      <c r="EG57" s="8"/>
      <c r="EH57" s="8" t="s">
        <v>107</v>
      </c>
      <c r="EI57" s="8" t="s">
        <v>107</v>
      </c>
      <c r="EJ57" s="8" t="s">
        <v>107</v>
      </c>
      <c r="EK57" s="8" t="s">
        <v>107</v>
      </c>
      <c r="EL57" s="8"/>
      <c r="EM57" s="8"/>
      <c r="EN57" s="8"/>
      <c r="EO57" s="8">
        <v>0</v>
      </c>
      <c r="EP57" s="8" t="s">
        <v>107</v>
      </c>
      <c r="EQ57" s="8"/>
      <c r="ER57" s="8"/>
      <c r="ES57" s="8"/>
      <c r="ET57" s="8"/>
      <c r="EU57" s="8"/>
      <c r="EV57" s="8"/>
      <c r="EW57" s="8"/>
      <c r="EX57" s="8" t="s">
        <v>107</v>
      </c>
      <c r="EY57" s="8" t="s">
        <v>107</v>
      </c>
      <c r="EZ57" s="8"/>
      <c r="FA57" s="8"/>
      <c r="FB57" s="8" t="s">
        <v>107</v>
      </c>
      <c r="FC57" s="8" t="s">
        <v>107</v>
      </c>
      <c r="FD57" s="8" t="s">
        <v>107</v>
      </c>
      <c r="FE57" s="967"/>
      <c r="FF57" s="8">
        <f t="shared" si="34"/>
        <v>0</v>
      </c>
      <c r="FG57" s="8"/>
      <c r="FH57" s="8" t="s">
        <v>107</v>
      </c>
      <c r="FI57" s="8" t="s">
        <v>107</v>
      </c>
      <c r="FJ57" s="8" t="s">
        <v>107</v>
      </c>
      <c r="FK57" s="8" t="s">
        <v>107</v>
      </c>
      <c r="FL57" s="8"/>
      <c r="FM57" s="8"/>
      <c r="FN57" s="8"/>
      <c r="FO57" s="8">
        <v>0</v>
      </c>
      <c r="FP57" s="8" t="s">
        <v>107</v>
      </c>
      <c r="FQ57" s="8"/>
      <c r="FR57" s="8"/>
      <c r="FS57" s="8"/>
      <c r="FT57" s="8"/>
      <c r="FU57" s="8"/>
      <c r="FV57" s="8"/>
      <c r="FW57" s="8"/>
      <c r="FX57" s="8" t="s">
        <v>107</v>
      </c>
      <c r="FY57" s="8" t="s">
        <v>107</v>
      </c>
      <c r="FZ57" s="8"/>
      <c r="GA57" s="8"/>
      <c r="GB57" s="8" t="s">
        <v>107</v>
      </c>
      <c r="GC57" s="8" t="s">
        <v>107</v>
      </c>
      <c r="GD57" s="8" t="s">
        <v>107</v>
      </c>
      <c r="GE57" s="967"/>
      <c r="GF57" s="8">
        <f t="shared" si="40"/>
        <v>0</v>
      </c>
      <c r="GG57" s="8"/>
      <c r="GH57" s="8" t="s">
        <v>107</v>
      </c>
      <c r="GI57" s="8" t="s">
        <v>107</v>
      </c>
      <c r="GJ57" s="8" t="s">
        <v>107</v>
      </c>
      <c r="GK57" s="8" t="s">
        <v>107</v>
      </c>
      <c r="GL57" s="8"/>
      <c r="GM57" s="8"/>
      <c r="GN57" s="8"/>
      <c r="GO57" s="8">
        <v>0</v>
      </c>
      <c r="GP57" s="8" t="s">
        <v>107</v>
      </c>
      <c r="GQ57" s="8"/>
      <c r="GR57" s="8"/>
      <c r="GS57" s="8"/>
      <c r="GT57" s="8"/>
      <c r="GU57" s="8"/>
      <c r="GV57" s="8"/>
      <c r="GW57" s="8"/>
      <c r="GX57" s="8" t="s">
        <v>107</v>
      </c>
      <c r="GY57" s="8" t="s">
        <v>107</v>
      </c>
      <c r="GZ57" s="8"/>
      <c r="HA57" s="8"/>
      <c r="HB57" s="8" t="s">
        <v>107</v>
      </c>
      <c r="HC57" s="8" t="s">
        <v>107</v>
      </c>
      <c r="HD57" s="8" t="s">
        <v>107</v>
      </c>
      <c r="HE57" s="967"/>
      <c r="HF57" s="8">
        <f t="shared" si="41"/>
        <v>0</v>
      </c>
      <c r="HG57" s="8"/>
      <c r="HH57" s="8" t="s">
        <v>107</v>
      </c>
      <c r="HI57" s="8" t="s">
        <v>107</v>
      </c>
      <c r="HJ57" s="8" t="s">
        <v>107</v>
      </c>
      <c r="HK57" s="8" t="s">
        <v>107</v>
      </c>
      <c r="HL57" s="8"/>
      <c r="HM57" s="8"/>
      <c r="HN57" s="8"/>
      <c r="HO57" s="8">
        <v>0</v>
      </c>
      <c r="HP57" s="8" t="s">
        <v>107</v>
      </c>
      <c r="HQ57" s="8"/>
      <c r="HR57" s="8"/>
      <c r="HS57" s="8"/>
      <c r="HT57" s="8"/>
      <c r="HU57" s="8"/>
      <c r="HV57" s="8"/>
      <c r="HW57" s="8"/>
      <c r="HX57" s="8" t="s">
        <v>107</v>
      </c>
      <c r="HY57" s="8" t="s">
        <v>107</v>
      </c>
      <c r="HZ57" s="8"/>
      <c r="IA57" s="8"/>
      <c r="IB57" s="8" t="s">
        <v>107</v>
      </c>
      <c r="IC57" s="8" t="s">
        <v>107</v>
      </c>
      <c r="ID57" s="8" t="s">
        <v>107</v>
      </c>
      <c r="IE57" s="967"/>
      <c r="IF57" s="8">
        <f t="shared" si="42"/>
        <v>0</v>
      </c>
      <c r="IG57" s="8"/>
      <c r="IH57" s="8" t="s">
        <v>107</v>
      </c>
      <c r="II57" s="8" t="s">
        <v>107</v>
      </c>
      <c r="IJ57" s="8" t="s">
        <v>107</v>
      </c>
      <c r="IK57" s="8" t="s">
        <v>107</v>
      </c>
      <c r="IL57" s="8"/>
      <c r="IM57" s="8"/>
      <c r="IN57" s="8"/>
      <c r="IO57" s="8">
        <v>0</v>
      </c>
      <c r="IP57" s="8" t="s">
        <v>107</v>
      </c>
      <c r="IQ57" s="8"/>
      <c r="IR57" s="8"/>
      <c r="IS57" s="8"/>
      <c r="IT57" s="8"/>
      <c r="IU57" s="8"/>
      <c r="IV57" s="8"/>
      <c r="IW57" s="8"/>
      <c r="IX57" s="8" t="s">
        <v>107</v>
      </c>
      <c r="IY57" s="8" t="s">
        <v>107</v>
      </c>
      <c r="IZ57" s="8"/>
      <c r="JA57" s="8"/>
      <c r="JB57" s="8" t="s">
        <v>107</v>
      </c>
      <c r="JC57" s="8" t="s">
        <v>107</v>
      </c>
      <c r="JD57" s="8" t="s">
        <v>107</v>
      </c>
      <c r="JE57" s="967"/>
      <c r="JF57" s="8">
        <f t="shared" si="43"/>
        <v>0</v>
      </c>
      <c r="JG57" s="8"/>
      <c r="JH57" s="8" t="s">
        <v>107</v>
      </c>
      <c r="JI57" s="8" t="s">
        <v>107</v>
      </c>
      <c r="JJ57" s="8" t="s">
        <v>107</v>
      </c>
      <c r="JK57" s="8" t="s">
        <v>107</v>
      </c>
      <c r="JL57" s="8"/>
      <c r="JM57" s="8"/>
      <c r="JN57" s="8"/>
      <c r="JO57" s="8">
        <v>0</v>
      </c>
      <c r="JP57" s="8" t="s">
        <v>107</v>
      </c>
      <c r="JQ57" s="8"/>
      <c r="JR57" s="8"/>
      <c r="JS57" s="8"/>
      <c r="JT57" s="8"/>
      <c r="JU57" s="8"/>
      <c r="JV57" s="8"/>
      <c r="JW57" s="8"/>
      <c r="JX57" s="8" t="s">
        <v>107</v>
      </c>
      <c r="JY57" s="8" t="s">
        <v>107</v>
      </c>
      <c r="JZ57" s="8"/>
      <c r="KA57" s="8"/>
      <c r="KB57" s="8" t="s">
        <v>107</v>
      </c>
      <c r="KC57" s="8" t="s">
        <v>107</v>
      </c>
      <c r="KD57" s="8" t="s">
        <v>107</v>
      </c>
      <c r="KE57" s="967"/>
      <c r="KF57" s="8">
        <f t="shared" si="44"/>
        <v>0</v>
      </c>
      <c r="KG57" s="8"/>
      <c r="KH57" s="8" t="s">
        <v>107</v>
      </c>
      <c r="KI57" s="8" t="s">
        <v>107</v>
      </c>
      <c r="KJ57" s="8" t="s">
        <v>107</v>
      </c>
      <c r="KK57" s="8" t="s">
        <v>107</v>
      </c>
      <c r="KL57" s="8"/>
      <c r="KM57" s="8"/>
      <c r="KN57" s="8"/>
      <c r="KO57" s="8">
        <v>0</v>
      </c>
      <c r="KP57" s="8" t="s">
        <v>107</v>
      </c>
      <c r="KQ57" s="8"/>
      <c r="KR57" s="8"/>
      <c r="KS57" s="8"/>
      <c r="KT57" s="8"/>
      <c r="KU57" s="8"/>
      <c r="KV57" s="8"/>
      <c r="KW57" s="8"/>
      <c r="KX57" s="8" t="s">
        <v>107</v>
      </c>
      <c r="KY57" s="8" t="s">
        <v>107</v>
      </c>
      <c r="KZ57" s="8"/>
      <c r="LA57" s="8"/>
      <c r="LB57" s="8" t="s">
        <v>107</v>
      </c>
      <c r="LC57" s="8" t="s">
        <v>107</v>
      </c>
      <c r="LD57" s="8" t="s">
        <v>107</v>
      </c>
      <c r="LE57" s="967"/>
      <c r="LF57" s="8">
        <f t="shared" si="45"/>
        <v>0</v>
      </c>
      <c r="LG57" s="8"/>
      <c r="LH57" s="8" t="s">
        <v>107</v>
      </c>
      <c r="LI57" s="8" t="s">
        <v>107</v>
      </c>
      <c r="LJ57" s="8" t="s">
        <v>107</v>
      </c>
      <c r="LK57" s="8" t="s">
        <v>107</v>
      </c>
      <c r="LL57" s="8"/>
      <c r="LM57" s="8"/>
      <c r="LN57" s="8"/>
      <c r="LO57" s="8">
        <v>0</v>
      </c>
      <c r="LP57" s="8" t="s">
        <v>107</v>
      </c>
      <c r="LQ57" s="8"/>
      <c r="LR57" s="8"/>
      <c r="LS57" s="8"/>
      <c r="LT57" s="8"/>
      <c r="LU57" s="8"/>
      <c r="LV57" s="8"/>
      <c r="LW57" s="8"/>
      <c r="LX57" s="8" t="s">
        <v>107</v>
      </c>
      <c r="LY57" s="8" t="s">
        <v>107</v>
      </c>
      <c r="LZ57" s="8"/>
      <c r="MA57" s="8"/>
      <c r="MB57" s="8" t="s">
        <v>107</v>
      </c>
      <c r="MC57" s="8" t="s">
        <v>107</v>
      </c>
      <c r="MD57" s="8" t="s">
        <v>107</v>
      </c>
      <c r="ME57" s="967"/>
      <c r="MF57" s="8">
        <f t="shared" si="46"/>
        <v>0</v>
      </c>
      <c r="MG57" s="8"/>
      <c r="MH57" s="8" t="s">
        <v>107</v>
      </c>
      <c r="MI57" s="8" t="s">
        <v>107</v>
      </c>
      <c r="MJ57" s="8" t="s">
        <v>107</v>
      </c>
      <c r="MK57" s="8" t="s">
        <v>107</v>
      </c>
      <c r="ML57" s="8"/>
      <c r="MM57" s="8"/>
      <c r="MN57" s="8"/>
      <c r="MO57" s="8">
        <v>0</v>
      </c>
      <c r="MP57" s="8" t="s">
        <v>107</v>
      </c>
      <c r="MQ57" s="8"/>
      <c r="MR57" s="8"/>
      <c r="MS57" s="8"/>
      <c r="MT57" s="8"/>
      <c r="MU57" s="8"/>
      <c r="MV57" s="8"/>
      <c r="MW57" s="8"/>
      <c r="MX57" s="8" t="s">
        <v>107</v>
      </c>
      <c r="MY57" s="8" t="s">
        <v>107</v>
      </c>
      <c r="MZ57" s="8"/>
      <c r="NA57" s="8"/>
      <c r="NB57" s="8" t="s">
        <v>107</v>
      </c>
      <c r="NC57" s="8" t="s">
        <v>107</v>
      </c>
      <c r="ND57" s="8" t="s">
        <v>107</v>
      </c>
      <c r="NE57" s="967"/>
      <c r="NF57" s="8">
        <f t="shared" si="47"/>
        <v>0</v>
      </c>
      <c r="NG57" s="8"/>
      <c r="NH57" s="8" t="s">
        <v>107</v>
      </c>
      <c r="NI57" s="8" t="s">
        <v>107</v>
      </c>
      <c r="NJ57" s="8" t="s">
        <v>107</v>
      </c>
      <c r="NK57" s="8" t="s">
        <v>107</v>
      </c>
      <c r="NL57" s="8"/>
      <c r="NM57" s="8"/>
      <c r="NN57" s="8"/>
      <c r="NO57" s="8">
        <v>0</v>
      </c>
      <c r="NP57" s="8" t="s">
        <v>107</v>
      </c>
      <c r="NQ57" s="8"/>
      <c r="NR57" s="8"/>
      <c r="NS57" s="8"/>
      <c r="NT57" s="8"/>
      <c r="NU57" s="8"/>
      <c r="NV57" s="8"/>
      <c r="NW57" s="8"/>
      <c r="NX57" s="8" t="s">
        <v>107</v>
      </c>
      <c r="NY57" s="8" t="s">
        <v>107</v>
      </c>
      <c r="NZ57" s="8"/>
      <c r="OA57" s="8"/>
      <c r="OB57" s="8" t="s">
        <v>107</v>
      </c>
      <c r="OC57" s="8" t="s">
        <v>107</v>
      </c>
      <c r="OD57" s="8" t="s">
        <v>107</v>
      </c>
      <c r="OE57" s="967"/>
      <c r="OF57" s="8">
        <f t="shared" si="48"/>
        <v>0</v>
      </c>
      <c r="OG57" s="8"/>
      <c r="OH57" s="8" t="s">
        <v>107</v>
      </c>
      <c r="OI57" s="8" t="s">
        <v>107</v>
      </c>
      <c r="OJ57" s="8" t="s">
        <v>107</v>
      </c>
      <c r="OK57" s="8" t="s">
        <v>107</v>
      </c>
      <c r="OL57" s="8"/>
      <c r="OM57" s="8"/>
      <c r="ON57" s="8"/>
      <c r="OO57" s="8">
        <v>0</v>
      </c>
      <c r="OP57" s="8" t="s">
        <v>107</v>
      </c>
      <c r="OQ57" s="8"/>
      <c r="OR57" s="8"/>
      <c r="OS57" s="8"/>
      <c r="OT57" s="8"/>
      <c r="OU57" s="8"/>
      <c r="OV57" s="8"/>
      <c r="OW57" s="8"/>
      <c r="OX57" s="8" t="s">
        <v>107</v>
      </c>
      <c r="OY57" s="8" t="s">
        <v>107</v>
      </c>
      <c r="OZ57" s="8"/>
      <c r="PA57" s="8"/>
      <c r="PB57" s="8" t="s">
        <v>107</v>
      </c>
      <c r="PC57" s="8" t="s">
        <v>107</v>
      </c>
      <c r="PD57" s="8" t="s">
        <v>107</v>
      </c>
      <c r="PE57" s="967"/>
      <c r="PF57" s="8">
        <f t="shared" si="49"/>
        <v>0</v>
      </c>
      <c r="PG57" s="8"/>
      <c r="PH57" s="8" t="s">
        <v>107</v>
      </c>
      <c r="PI57" s="8" t="s">
        <v>107</v>
      </c>
      <c r="PJ57" s="8" t="s">
        <v>107</v>
      </c>
      <c r="PK57" s="8" t="s">
        <v>107</v>
      </c>
      <c r="PL57" s="8"/>
      <c r="PM57" s="8"/>
      <c r="PN57" s="8"/>
      <c r="PO57" s="8">
        <v>0</v>
      </c>
      <c r="PP57" s="8" t="s">
        <v>107</v>
      </c>
      <c r="PQ57" s="8"/>
      <c r="PR57" s="8"/>
      <c r="PS57" s="8"/>
      <c r="PT57" s="8"/>
      <c r="PU57" s="8"/>
      <c r="PV57" s="8"/>
      <c r="PW57" s="8"/>
      <c r="PX57" s="8" t="s">
        <v>107</v>
      </c>
      <c r="PY57" s="8" t="s">
        <v>107</v>
      </c>
      <c r="PZ57" s="8"/>
      <c r="QA57" s="8"/>
      <c r="QB57" s="8" t="s">
        <v>107</v>
      </c>
      <c r="QC57" s="8" t="s">
        <v>107</v>
      </c>
      <c r="QD57" s="8" t="s">
        <v>107</v>
      </c>
      <c r="QE57" s="967"/>
    </row>
    <row r="58" spans="2:447" x14ac:dyDescent="0.3">
      <c r="B58">
        <v>50</v>
      </c>
      <c r="D58" t="s">
        <v>2250</v>
      </c>
      <c r="F58" s="8">
        <f t="shared" si="53"/>
        <v>2</v>
      </c>
      <c r="G58" s="8"/>
      <c r="H58" s="8" t="s">
        <v>107</v>
      </c>
      <c r="I58" s="8" t="s">
        <v>107</v>
      </c>
      <c r="J58" s="8" t="s">
        <v>107</v>
      </c>
      <c r="K58" s="8" t="s">
        <v>107</v>
      </c>
      <c r="L58" s="8" t="s">
        <v>107</v>
      </c>
      <c r="M58" s="8" t="s">
        <v>107</v>
      </c>
      <c r="N58" s="8">
        <v>2</v>
      </c>
      <c r="O58" s="8" t="s">
        <v>107</v>
      </c>
      <c r="P58" s="8" t="s">
        <v>107</v>
      </c>
      <c r="Q58" s="8" t="s">
        <v>107</v>
      </c>
      <c r="R58" s="8" t="s">
        <v>107</v>
      </c>
      <c r="S58" s="8" t="s">
        <v>107</v>
      </c>
      <c r="T58" s="8" t="s">
        <v>107</v>
      </c>
      <c r="U58" s="8"/>
      <c r="V58" s="8"/>
      <c r="W58" s="8"/>
      <c r="X58" s="8" t="s">
        <v>107</v>
      </c>
      <c r="Y58" s="8" t="s">
        <v>107</v>
      </c>
      <c r="Z58" s="8"/>
      <c r="AA58" s="8"/>
      <c r="AB58" s="8" t="s">
        <v>107</v>
      </c>
      <c r="AC58" s="8" t="s">
        <v>107</v>
      </c>
      <c r="AD58" s="8" t="s">
        <v>107</v>
      </c>
      <c r="AE58" s="967"/>
      <c r="AF58" s="8">
        <f t="shared" si="35"/>
        <v>0</v>
      </c>
      <c r="AG58" s="8"/>
      <c r="AH58" s="8" t="s">
        <v>107</v>
      </c>
      <c r="AI58" s="8" t="s">
        <v>107</v>
      </c>
      <c r="AJ58" s="8" t="s">
        <v>107</v>
      </c>
      <c r="AK58" s="8" t="s">
        <v>107</v>
      </c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 t="s">
        <v>107</v>
      </c>
      <c r="AY58" s="8" t="s">
        <v>107</v>
      </c>
      <c r="AZ58" s="8"/>
      <c r="BA58" s="8"/>
      <c r="BB58" s="8" t="s">
        <v>107</v>
      </c>
      <c r="BC58" s="8" t="s">
        <v>107</v>
      </c>
      <c r="BD58" s="8" t="s">
        <v>107</v>
      </c>
      <c r="BE58" s="967"/>
      <c r="BF58" s="8">
        <f t="shared" si="36"/>
        <v>0</v>
      </c>
      <c r="BG58" s="8"/>
      <c r="BH58" s="8" t="s">
        <v>107</v>
      </c>
      <c r="BI58" s="8"/>
      <c r="BJ58" s="8"/>
      <c r="BK58" s="8" t="s">
        <v>107</v>
      </c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 t="s">
        <v>107</v>
      </c>
      <c r="BY58" s="8" t="s">
        <v>107</v>
      </c>
      <c r="BZ58" s="8"/>
      <c r="CA58" s="8"/>
      <c r="CB58" s="8" t="s">
        <v>107</v>
      </c>
      <c r="CC58" s="8" t="s">
        <v>107</v>
      </c>
      <c r="CD58" s="8" t="s">
        <v>107</v>
      </c>
      <c r="CE58" s="967"/>
      <c r="CF58" s="8">
        <f t="shared" si="37"/>
        <v>0</v>
      </c>
      <c r="CG58" s="8"/>
      <c r="CH58" s="8" t="s">
        <v>107</v>
      </c>
      <c r="CI58" s="8"/>
      <c r="CJ58" s="8"/>
      <c r="CK58" s="8" t="s">
        <v>107</v>
      </c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 t="s">
        <v>107</v>
      </c>
      <c r="CY58" s="8" t="s">
        <v>107</v>
      </c>
      <c r="CZ58" s="8"/>
      <c r="DA58" s="8"/>
      <c r="DB58" s="8" t="s">
        <v>107</v>
      </c>
      <c r="DC58" s="8" t="s">
        <v>107</v>
      </c>
      <c r="DD58" s="8" t="s">
        <v>107</v>
      </c>
      <c r="DE58" s="967"/>
      <c r="DF58" s="8">
        <f t="shared" si="38"/>
        <v>0</v>
      </c>
      <c r="DG58" s="8"/>
      <c r="DH58" s="8" t="s">
        <v>107</v>
      </c>
      <c r="DI58" s="8" t="s">
        <v>107</v>
      </c>
      <c r="DJ58" s="8" t="s">
        <v>107</v>
      </c>
      <c r="DK58" s="8" t="s">
        <v>107</v>
      </c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 t="s">
        <v>107</v>
      </c>
      <c r="DY58" s="8" t="s">
        <v>107</v>
      </c>
      <c r="DZ58" s="8"/>
      <c r="EA58" s="8"/>
      <c r="EB58" s="8" t="s">
        <v>107</v>
      </c>
      <c r="EC58" s="8" t="s">
        <v>107</v>
      </c>
      <c r="ED58" s="8" t="s">
        <v>107</v>
      </c>
      <c r="EE58" s="967"/>
      <c r="EF58" s="8">
        <f t="shared" si="39"/>
        <v>0</v>
      </c>
      <c r="EG58" s="8"/>
      <c r="EH58" s="8" t="s">
        <v>107</v>
      </c>
      <c r="EI58" s="8" t="s">
        <v>107</v>
      </c>
      <c r="EJ58" s="8" t="s">
        <v>107</v>
      </c>
      <c r="EK58" s="8" t="s">
        <v>107</v>
      </c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 t="s">
        <v>107</v>
      </c>
      <c r="EY58" s="8" t="s">
        <v>107</v>
      </c>
      <c r="EZ58" s="8"/>
      <c r="FA58" s="8"/>
      <c r="FB58" s="8" t="s">
        <v>107</v>
      </c>
      <c r="FC58" s="8" t="s">
        <v>107</v>
      </c>
      <c r="FD58" s="8" t="s">
        <v>107</v>
      </c>
      <c r="FE58" s="967"/>
      <c r="FF58" s="8">
        <f t="shared" si="34"/>
        <v>0</v>
      </c>
      <c r="FG58" s="8"/>
      <c r="FH58" s="8" t="s">
        <v>107</v>
      </c>
      <c r="FI58" s="8" t="s">
        <v>107</v>
      </c>
      <c r="FJ58" s="8" t="s">
        <v>107</v>
      </c>
      <c r="FK58" s="8" t="s">
        <v>107</v>
      </c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 t="s">
        <v>107</v>
      </c>
      <c r="FY58" s="8" t="s">
        <v>107</v>
      </c>
      <c r="FZ58" s="8"/>
      <c r="GA58" s="8"/>
      <c r="GB58" s="8" t="s">
        <v>107</v>
      </c>
      <c r="GC58" s="8" t="s">
        <v>107</v>
      </c>
      <c r="GD58" s="8" t="s">
        <v>107</v>
      </c>
      <c r="GE58" s="967"/>
      <c r="GF58" s="8">
        <f t="shared" si="40"/>
        <v>0</v>
      </c>
      <c r="GG58" s="8"/>
      <c r="GH58" s="8" t="s">
        <v>107</v>
      </c>
      <c r="GI58" s="8" t="s">
        <v>107</v>
      </c>
      <c r="GJ58" s="8" t="s">
        <v>107</v>
      </c>
      <c r="GK58" s="8" t="s">
        <v>107</v>
      </c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 t="s">
        <v>107</v>
      </c>
      <c r="GY58" s="8" t="s">
        <v>107</v>
      </c>
      <c r="GZ58" s="8"/>
      <c r="HA58" s="8"/>
      <c r="HB58" s="8" t="s">
        <v>107</v>
      </c>
      <c r="HC58" s="8" t="s">
        <v>107</v>
      </c>
      <c r="HD58" s="8" t="s">
        <v>107</v>
      </c>
      <c r="HE58" s="967"/>
      <c r="HF58" s="8">
        <f t="shared" si="41"/>
        <v>0</v>
      </c>
      <c r="HG58" s="8"/>
      <c r="HH58" s="8" t="s">
        <v>107</v>
      </c>
      <c r="HI58" s="8" t="s">
        <v>107</v>
      </c>
      <c r="HJ58" s="8" t="s">
        <v>107</v>
      </c>
      <c r="HK58" s="8" t="s">
        <v>107</v>
      </c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 t="s">
        <v>107</v>
      </c>
      <c r="HY58" s="8" t="s">
        <v>107</v>
      </c>
      <c r="HZ58" s="8"/>
      <c r="IA58" s="8"/>
      <c r="IB58" s="8" t="s">
        <v>107</v>
      </c>
      <c r="IC58" s="8" t="s">
        <v>107</v>
      </c>
      <c r="ID58" s="8" t="s">
        <v>107</v>
      </c>
      <c r="IE58" s="967"/>
      <c r="IF58" s="8">
        <f t="shared" si="42"/>
        <v>0</v>
      </c>
      <c r="IG58" s="8"/>
      <c r="IH58" s="8" t="s">
        <v>107</v>
      </c>
      <c r="II58" s="8" t="s">
        <v>107</v>
      </c>
      <c r="IJ58" s="8" t="s">
        <v>107</v>
      </c>
      <c r="IK58" s="8" t="s">
        <v>107</v>
      </c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 t="s">
        <v>107</v>
      </c>
      <c r="IY58" s="8" t="s">
        <v>107</v>
      </c>
      <c r="IZ58" s="8"/>
      <c r="JA58" s="8"/>
      <c r="JB58" s="8" t="s">
        <v>107</v>
      </c>
      <c r="JC58" s="8" t="s">
        <v>107</v>
      </c>
      <c r="JD58" s="8" t="s">
        <v>107</v>
      </c>
      <c r="JE58" s="967"/>
      <c r="JF58" s="8">
        <f t="shared" si="43"/>
        <v>0</v>
      </c>
      <c r="JG58" s="8"/>
      <c r="JH58" s="8" t="s">
        <v>107</v>
      </c>
      <c r="JI58" s="8" t="s">
        <v>107</v>
      </c>
      <c r="JJ58" s="8" t="s">
        <v>107</v>
      </c>
      <c r="JK58" s="8" t="s">
        <v>107</v>
      </c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 t="s">
        <v>107</v>
      </c>
      <c r="JY58" s="8" t="s">
        <v>107</v>
      </c>
      <c r="JZ58" s="8"/>
      <c r="KA58" s="8"/>
      <c r="KB58" s="8" t="s">
        <v>107</v>
      </c>
      <c r="KC58" s="8" t="s">
        <v>107</v>
      </c>
      <c r="KD58" s="8" t="s">
        <v>107</v>
      </c>
      <c r="KE58" s="967"/>
      <c r="KF58" s="8">
        <f t="shared" si="44"/>
        <v>0</v>
      </c>
      <c r="KG58" s="8"/>
      <c r="KH58" s="8" t="s">
        <v>107</v>
      </c>
      <c r="KI58" s="8" t="s">
        <v>107</v>
      </c>
      <c r="KJ58" s="8" t="s">
        <v>107</v>
      </c>
      <c r="KK58" s="8" t="s">
        <v>107</v>
      </c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 t="s">
        <v>107</v>
      </c>
      <c r="KY58" s="8" t="s">
        <v>107</v>
      </c>
      <c r="KZ58" s="8"/>
      <c r="LA58" s="8"/>
      <c r="LB58" s="8" t="s">
        <v>107</v>
      </c>
      <c r="LC58" s="8" t="s">
        <v>107</v>
      </c>
      <c r="LD58" s="8" t="s">
        <v>107</v>
      </c>
      <c r="LE58" s="967"/>
      <c r="LF58" s="8">
        <f t="shared" si="45"/>
        <v>0</v>
      </c>
      <c r="LG58" s="8"/>
      <c r="LH58" s="8" t="s">
        <v>107</v>
      </c>
      <c r="LI58" s="8" t="s">
        <v>107</v>
      </c>
      <c r="LJ58" s="8" t="s">
        <v>107</v>
      </c>
      <c r="LK58" s="8" t="s">
        <v>107</v>
      </c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 t="s">
        <v>107</v>
      </c>
      <c r="LY58" s="8" t="s">
        <v>107</v>
      </c>
      <c r="LZ58" s="8"/>
      <c r="MA58" s="8"/>
      <c r="MB58" s="8" t="s">
        <v>107</v>
      </c>
      <c r="MC58" s="8" t="s">
        <v>107</v>
      </c>
      <c r="MD58" s="8" t="s">
        <v>107</v>
      </c>
      <c r="ME58" s="967"/>
      <c r="MF58" s="8">
        <f t="shared" si="46"/>
        <v>0</v>
      </c>
      <c r="MG58" s="8"/>
      <c r="MH58" s="8" t="s">
        <v>107</v>
      </c>
      <c r="MI58" s="8" t="s">
        <v>107</v>
      </c>
      <c r="MJ58" s="8" t="s">
        <v>107</v>
      </c>
      <c r="MK58" s="8" t="s">
        <v>107</v>
      </c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 t="s">
        <v>107</v>
      </c>
      <c r="MY58" s="8" t="s">
        <v>107</v>
      </c>
      <c r="MZ58" s="8"/>
      <c r="NA58" s="8"/>
      <c r="NB58" s="8" t="s">
        <v>107</v>
      </c>
      <c r="NC58" s="8" t="s">
        <v>107</v>
      </c>
      <c r="ND58" s="8" t="s">
        <v>107</v>
      </c>
      <c r="NE58" s="967"/>
      <c r="NF58" s="8">
        <f t="shared" si="47"/>
        <v>0</v>
      </c>
      <c r="NG58" s="8"/>
      <c r="NH58" s="8" t="s">
        <v>107</v>
      </c>
      <c r="NI58" s="8" t="s">
        <v>107</v>
      </c>
      <c r="NJ58" s="8" t="s">
        <v>107</v>
      </c>
      <c r="NK58" s="8" t="s">
        <v>107</v>
      </c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 t="s">
        <v>107</v>
      </c>
      <c r="NY58" s="8" t="s">
        <v>107</v>
      </c>
      <c r="NZ58" s="8"/>
      <c r="OA58" s="8"/>
      <c r="OB58" s="8" t="s">
        <v>107</v>
      </c>
      <c r="OC58" s="8" t="s">
        <v>107</v>
      </c>
      <c r="OD58" s="8" t="s">
        <v>107</v>
      </c>
      <c r="OE58" s="967"/>
      <c r="OF58" s="8">
        <f t="shared" si="48"/>
        <v>0</v>
      </c>
      <c r="OG58" s="8"/>
      <c r="OH58" s="8" t="s">
        <v>107</v>
      </c>
      <c r="OI58" s="8" t="s">
        <v>107</v>
      </c>
      <c r="OJ58" s="8" t="s">
        <v>107</v>
      </c>
      <c r="OK58" s="8" t="s">
        <v>107</v>
      </c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 t="s">
        <v>107</v>
      </c>
      <c r="OY58" s="8" t="s">
        <v>107</v>
      </c>
      <c r="OZ58" s="8"/>
      <c r="PA58" s="8"/>
      <c r="PB58" s="8" t="s">
        <v>107</v>
      </c>
      <c r="PC58" s="8" t="s">
        <v>107</v>
      </c>
      <c r="PD58" s="8" t="s">
        <v>107</v>
      </c>
      <c r="PE58" s="967"/>
      <c r="PF58" s="8">
        <f t="shared" si="49"/>
        <v>0</v>
      </c>
      <c r="PG58" s="8"/>
      <c r="PH58" s="8" t="s">
        <v>107</v>
      </c>
      <c r="PI58" s="8" t="s">
        <v>107</v>
      </c>
      <c r="PJ58" s="8" t="s">
        <v>107</v>
      </c>
      <c r="PK58" s="8" t="s">
        <v>107</v>
      </c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 t="s">
        <v>107</v>
      </c>
      <c r="PY58" s="8" t="s">
        <v>107</v>
      </c>
      <c r="PZ58" s="8"/>
      <c r="QA58" s="8"/>
      <c r="QB58" s="8" t="s">
        <v>107</v>
      </c>
      <c r="QC58" s="8" t="s">
        <v>107</v>
      </c>
      <c r="QD58" s="8" t="s">
        <v>107</v>
      </c>
      <c r="QE58" s="967"/>
    </row>
    <row r="59" spans="2:447" x14ac:dyDescent="0.3">
      <c r="B59">
        <v>51</v>
      </c>
      <c r="D59" t="s">
        <v>2251</v>
      </c>
      <c r="F59" s="8">
        <f t="shared" si="53"/>
        <v>72</v>
      </c>
      <c r="G59" s="8"/>
      <c r="H59" s="8">
        <v>21</v>
      </c>
      <c r="I59" s="8">
        <v>4</v>
      </c>
      <c r="J59" s="8">
        <v>12</v>
      </c>
      <c r="K59" s="8">
        <v>14</v>
      </c>
      <c r="L59" s="8">
        <v>1</v>
      </c>
      <c r="M59" s="8">
        <v>18</v>
      </c>
      <c r="N59" s="8">
        <v>2</v>
      </c>
      <c r="O59" s="8" t="s">
        <v>107</v>
      </c>
      <c r="P59" s="8" t="s">
        <v>107</v>
      </c>
      <c r="Q59" s="8" t="s">
        <v>107</v>
      </c>
      <c r="R59" s="8" t="s">
        <v>107</v>
      </c>
      <c r="S59" s="8" t="s">
        <v>107</v>
      </c>
      <c r="T59" s="8" t="s">
        <v>107</v>
      </c>
      <c r="U59" s="8"/>
      <c r="V59" s="8"/>
      <c r="W59" s="8"/>
      <c r="X59" s="8" t="s">
        <v>107</v>
      </c>
      <c r="Y59" s="8" t="s">
        <v>107</v>
      </c>
      <c r="Z59" s="8"/>
      <c r="AA59" s="8"/>
      <c r="AB59" s="8" t="s">
        <v>107</v>
      </c>
      <c r="AC59" s="8" t="s">
        <v>107</v>
      </c>
      <c r="AD59" s="8" t="s">
        <v>107</v>
      </c>
      <c r="AE59" s="967"/>
      <c r="AF59" s="8">
        <f t="shared" si="35"/>
        <v>27</v>
      </c>
      <c r="AG59" s="8"/>
      <c r="AH59" s="8">
        <v>6</v>
      </c>
      <c r="AI59" s="8">
        <v>1</v>
      </c>
      <c r="AJ59" s="8">
        <v>15</v>
      </c>
      <c r="AK59" s="8">
        <v>5</v>
      </c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 t="s">
        <v>107</v>
      </c>
      <c r="AY59" s="8" t="s">
        <v>107</v>
      </c>
      <c r="AZ59" s="8"/>
      <c r="BA59" s="8"/>
      <c r="BB59" s="8" t="s">
        <v>107</v>
      </c>
      <c r="BC59" s="8" t="s">
        <v>107</v>
      </c>
      <c r="BD59" s="8" t="s">
        <v>107</v>
      </c>
      <c r="BE59" s="967"/>
      <c r="BF59" s="8">
        <f t="shared" si="36"/>
        <v>17</v>
      </c>
      <c r="BG59" s="8"/>
      <c r="BH59" s="8">
        <v>7</v>
      </c>
      <c r="BI59" s="8">
        <v>1</v>
      </c>
      <c r="BJ59" s="8">
        <v>4</v>
      </c>
      <c r="BK59" s="8">
        <v>5</v>
      </c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 t="s">
        <v>107</v>
      </c>
      <c r="BY59" s="8" t="s">
        <v>107</v>
      </c>
      <c r="BZ59" s="8"/>
      <c r="CA59" s="8"/>
      <c r="CB59" s="8" t="s">
        <v>107</v>
      </c>
      <c r="CC59" s="8" t="s">
        <v>107</v>
      </c>
      <c r="CD59" s="8" t="s">
        <v>107</v>
      </c>
      <c r="CE59" s="967"/>
      <c r="CF59" s="8">
        <f t="shared" si="37"/>
        <v>44</v>
      </c>
      <c r="CG59" s="8"/>
      <c r="CH59" s="8">
        <v>13</v>
      </c>
      <c r="CI59" s="8">
        <v>2</v>
      </c>
      <c r="CJ59" s="8">
        <v>19</v>
      </c>
      <c r="CK59" s="8">
        <v>10</v>
      </c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 t="s">
        <v>107</v>
      </c>
      <c r="CY59" s="8" t="s">
        <v>107</v>
      </c>
      <c r="CZ59" s="8"/>
      <c r="DA59" s="8"/>
      <c r="DB59" s="8" t="s">
        <v>107</v>
      </c>
      <c r="DC59" s="8" t="s">
        <v>107</v>
      </c>
      <c r="DD59" s="8" t="s">
        <v>107</v>
      </c>
      <c r="DE59" s="967"/>
      <c r="DF59" s="8">
        <f t="shared" si="38"/>
        <v>7</v>
      </c>
      <c r="DG59" s="8"/>
      <c r="DH59" s="8">
        <v>4</v>
      </c>
      <c r="DI59" s="8">
        <v>0</v>
      </c>
      <c r="DJ59" s="8">
        <v>0</v>
      </c>
      <c r="DK59" s="8">
        <v>3</v>
      </c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 t="s">
        <v>107</v>
      </c>
      <c r="DY59" s="8" t="s">
        <v>107</v>
      </c>
      <c r="DZ59" s="8"/>
      <c r="EA59" s="8"/>
      <c r="EB59" s="8" t="s">
        <v>107</v>
      </c>
      <c r="EC59" s="8" t="s">
        <v>107</v>
      </c>
      <c r="ED59" s="8" t="s">
        <v>107</v>
      </c>
      <c r="EE59" s="967"/>
      <c r="EF59" s="8">
        <f t="shared" si="39"/>
        <v>14</v>
      </c>
      <c r="EG59" s="8"/>
      <c r="EH59" s="8">
        <v>8</v>
      </c>
      <c r="EI59" s="8">
        <v>0</v>
      </c>
      <c r="EJ59" s="8">
        <v>0</v>
      </c>
      <c r="EK59" s="8">
        <v>6</v>
      </c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 t="s">
        <v>107</v>
      </c>
      <c r="EY59" s="8" t="s">
        <v>107</v>
      </c>
      <c r="EZ59" s="8"/>
      <c r="FA59" s="8"/>
      <c r="FB59" s="8" t="s">
        <v>107</v>
      </c>
      <c r="FC59" s="8" t="s">
        <v>107</v>
      </c>
      <c r="FD59" s="8" t="s">
        <v>107</v>
      </c>
      <c r="FE59" s="967"/>
      <c r="FF59" s="8">
        <f t="shared" si="34"/>
        <v>1</v>
      </c>
      <c r="FG59" s="8"/>
      <c r="FH59" s="8">
        <v>0</v>
      </c>
      <c r="FI59" s="8">
        <v>0</v>
      </c>
      <c r="FJ59" s="8">
        <v>1</v>
      </c>
      <c r="FK59" s="8">
        <v>0</v>
      </c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 t="s">
        <v>107</v>
      </c>
      <c r="FY59" s="8" t="s">
        <v>107</v>
      </c>
      <c r="FZ59" s="8"/>
      <c r="GA59" s="8"/>
      <c r="GB59" s="8" t="s">
        <v>107</v>
      </c>
      <c r="GC59" s="8" t="s">
        <v>107</v>
      </c>
      <c r="GD59" s="8" t="s">
        <v>107</v>
      </c>
      <c r="GE59" s="967"/>
      <c r="GF59" s="8">
        <f t="shared" si="40"/>
        <v>0</v>
      </c>
      <c r="GG59" s="8"/>
      <c r="GH59" s="8">
        <v>0</v>
      </c>
      <c r="GI59" s="8">
        <v>0</v>
      </c>
      <c r="GJ59" s="8">
        <v>0</v>
      </c>
      <c r="GK59" s="8">
        <v>0</v>
      </c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 t="s">
        <v>107</v>
      </c>
      <c r="GY59" s="8" t="s">
        <v>107</v>
      </c>
      <c r="GZ59" s="8"/>
      <c r="HA59" s="8"/>
      <c r="HB59" s="8" t="s">
        <v>107</v>
      </c>
      <c r="HC59" s="8" t="s">
        <v>107</v>
      </c>
      <c r="HD59" s="8" t="s">
        <v>107</v>
      </c>
      <c r="HE59" s="967"/>
      <c r="HF59" s="8">
        <f t="shared" si="41"/>
        <v>1</v>
      </c>
      <c r="HG59" s="8"/>
      <c r="HH59" s="8">
        <v>1</v>
      </c>
      <c r="HI59" s="8">
        <v>0</v>
      </c>
      <c r="HJ59" s="8">
        <v>0</v>
      </c>
      <c r="HK59" s="8">
        <v>0</v>
      </c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 t="s">
        <v>107</v>
      </c>
      <c r="HY59" s="8" t="s">
        <v>107</v>
      </c>
      <c r="HZ59" s="8"/>
      <c r="IA59" s="8"/>
      <c r="IB59" s="8" t="s">
        <v>107</v>
      </c>
      <c r="IC59" s="8" t="s">
        <v>107</v>
      </c>
      <c r="ID59" s="8" t="s">
        <v>107</v>
      </c>
      <c r="IE59" s="967"/>
      <c r="IF59" s="8">
        <f t="shared" si="42"/>
        <v>0</v>
      </c>
      <c r="IG59" s="8"/>
      <c r="IH59" s="8">
        <v>0</v>
      </c>
      <c r="II59" s="8">
        <v>0</v>
      </c>
      <c r="IJ59" s="8">
        <v>0</v>
      </c>
      <c r="IK59" s="8">
        <v>0</v>
      </c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 t="s">
        <v>107</v>
      </c>
      <c r="IY59" s="8" t="s">
        <v>107</v>
      </c>
      <c r="IZ59" s="8"/>
      <c r="JA59" s="8"/>
      <c r="JB59" s="8" t="s">
        <v>107</v>
      </c>
      <c r="JC59" s="8" t="s">
        <v>107</v>
      </c>
      <c r="JD59" s="8" t="s">
        <v>107</v>
      </c>
      <c r="JE59" s="967"/>
      <c r="JF59" s="8">
        <f t="shared" si="43"/>
        <v>1</v>
      </c>
      <c r="JG59" s="8"/>
      <c r="JH59" s="8">
        <v>1</v>
      </c>
      <c r="JI59" s="8">
        <v>0</v>
      </c>
      <c r="JJ59" s="8">
        <v>0</v>
      </c>
      <c r="JK59" s="8">
        <v>0</v>
      </c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 t="s">
        <v>107</v>
      </c>
      <c r="JY59" s="8" t="s">
        <v>107</v>
      </c>
      <c r="JZ59" s="8"/>
      <c r="KA59" s="8"/>
      <c r="KB59" s="8" t="s">
        <v>107</v>
      </c>
      <c r="KC59" s="8" t="s">
        <v>107</v>
      </c>
      <c r="KD59" s="8" t="s">
        <v>107</v>
      </c>
      <c r="KE59" s="967"/>
      <c r="KF59" s="8">
        <f t="shared" si="44"/>
        <v>0</v>
      </c>
      <c r="KG59" s="8"/>
      <c r="KH59" s="8">
        <v>0</v>
      </c>
      <c r="KI59" s="8">
        <v>0</v>
      </c>
      <c r="KJ59" s="8">
        <v>0</v>
      </c>
      <c r="KK59" s="8">
        <v>0</v>
      </c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 t="s">
        <v>107</v>
      </c>
      <c r="KY59" s="8" t="s">
        <v>107</v>
      </c>
      <c r="KZ59" s="8"/>
      <c r="LA59" s="8"/>
      <c r="LB59" s="8" t="s">
        <v>107</v>
      </c>
      <c r="LC59" s="8" t="s">
        <v>107</v>
      </c>
      <c r="LD59" s="8" t="s">
        <v>107</v>
      </c>
      <c r="LE59" s="967"/>
      <c r="LF59" s="8">
        <f t="shared" si="45"/>
        <v>1</v>
      </c>
      <c r="LG59" s="8"/>
      <c r="LH59" s="8">
        <v>0</v>
      </c>
      <c r="LI59" s="8">
        <v>0</v>
      </c>
      <c r="LJ59" s="8">
        <v>1</v>
      </c>
      <c r="LK59" s="8">
        <v>0</v>
      </c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 t="s">
        <v>107</v>
      </c>
      <c r="LY59" s="8" t="s">
        <v>107</v>
      </c>
      <c r="LZ59" s="8"/>
      <c r="MA59" s="8"/>
      <c r="MB59" s="8" t="s">
        <v>107</v>
      </c>
      <c r="MC59" s="8" t="s">
        <v>107</v>
      </c>
      <c r="MD59" s="8" t="s">
        <v>107</v>
      </c>
      <c r="ME59" s="967"/>
      <c r="MF59" s="8">
        <f t="shared" si="46"/>
        <v>1</v>
      </c>
      <c r="MG59" s="8"/>
      <c r="MH59" s="8">
        <v>0</v>
      </c>
      <c r="MI59" s="8">
        <v>0</v>
      </c>
      <c r="MJ59" s="8">
        <v>1</v>
      </c>
      <c r="MK59" s="8">
        <v>0</v>
      </c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 t="s">
        <v>107</v>
      </c>
      <c r="MY59" s="8" t="s">
        <v>107</v>
      </c>
      <c r="MZ59" s="8"/>
      <c r="NA59" s="8"/>
      <c r="NB59" s="8" t="s">
        <v>107</v>
      </c>
      <c r="NC59" s="8" t="s">
        <v>107</v>
      </c>
      <c r="ND59" s="8" t="s">
        <v>107</v>
      </c>
      <c r="NE59" s="967"/>
      <c r="NF59" s="8">
        <f t="shared" si="47"/>
        <v>2</v>
      </c>
      <c r="NG59" s="8"/>
      <c r="NH59" s="8">
        <v>0</v>
      </c>
      <c r="NI59" s="8">
        <v>0</v>
      </c>
      <c r="NJ59" s="8">
        <v>2</v>
      </c>
      <c r="NK59" s="8">
        <v>0</v>
      </c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 t="s">
        <v>107</v>
      </c>
      <c r="NY59" s="8" t="s">
        <v>107</v>
      </c>
      <c r="NZ59" s="8"/>
      <c r="OA59" s="8"/>
      <c r="OB59" s="8" t="s">
        <v>107</v>
      </c>
      <c r="OC59" s="8" t="s">
        <v>107</v>
      </c>
      <c r="OD59" s="8" t="s">
        <v>107</v>
      </c>
      <c r="OE59" s="967"/>
      <c r="OF59" s="8">
        <f t="shared" si="48"/>
        <v>0</v>
      </c>
      <c r="OG59" s="8"/>
      <c r="OH59" s="8">
        <v>0</v>
      </c>
      <c r="OI59" s="8">
        <v>0</v>
      </c>
      <c r="OJ59" s="8">
        <v>0</v>
      </c>
      <c r="OK59" s="8">
        <v>0</v>
      </c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 t="s">
        <v>107</v>
      </c>
      <c r="OY59" s="8" t="s">
        <v>107</v>
      </c>
      <c r="OZ59" s="8"/>
      <c r="PA59" s="8"/>
      <c r="PB59" s="8" t="s">
        <v>107</v>
      </c>
      <c r="PC59" s="8" t="s">
        <v>107</v>
      </c>
      <c r="PD59" s="8" t="s">
        <v>107</v>
      </c>
      <c r="PE59" s="967"/>
      <c r="PF59" s="8">
        <f t="shared" si="49"/>
        <v>0</v>
      </c>
      <c r="PG59" s="8"/>
      <c r="PH59" s="8">
        <v>0</v>
      </c>
      <c r="PI59" s="8">
        <v>0</v>
      </c>
      <c r="PJ59" s="8">
        <v>0</v>
      </c>
      <c r="PK59" s="8">
        <v>0</v>
      </c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 t="s">
        <v>107</v>
      </c>
      <c r="PY59" s="8" t="s">
        <v>107</v>
      </c>
      <c r="PZ59" s="8"/>
      <c r="QA59" s="8"/>
      <c r="QB59" s="8" t="s">
        <v>107</v>
      </c>
      <c r="QC59" s="8" t="s">
        <v>107</v>
      </c>
      <c r="QD59" s="8" t="s">
        <v>107</v>
      </c>
      <c r="QE59" s="967"/>
    </row>
    <row r="60" spans="2:447" x14ac:dyDescent="0.3">
      <c r="B60">
        <v>52</v>
      </c>
      <c r="D60" t="s">
        <v>1997</v>
      </c>
      <c r="F60" s="8">
        <f t="shared" si="53"/>
        <v>10</v>
      </c>
      <c r="G60" s="8"/>
      <c r="H60" s="8" t="s">
        <v>107</v>
      </c>
      <c r="I60" s="8" t="s">
        <v>107</v>
      </c>
      <c r="J60" s="8" t="s">
        <v>107</v>
      </c>
      <c r="K60" s="8" t="s">
        <v>107</v>
      </c>
      <c r="L60" s="8" t="s">
        <v>107</v>
      </c>
      <c r="M60" s="8" t="s">
        <v>107</v>
      </c>
      <c r="N60" s="8" t="s">
        <v>107</v>
      </c>
      <c r="O60" s="8" t="s">
        <v>107</v>
      </c>
      <c r="P60" s="8" t="s">
        <v>107</v>
      </c>
      <c r="Q60" s="8" t="s">
        <v>107</v>
      </c>
      <c r="R60" s="8" t="s">
        <v>107</v>
      </c>
      <c r="S60" s="8" t="s">
        <v>107</v>
      </c>
      <c r="T60" s="8" t="s">
        <v>107</v>
      </c>
      <c r="U60" s="8"/>
      <c r="V60" s="8"/>
      <c r="W60" s="8"/>
      <c r="X60" s="8">
        <v>10</v>
      </c>
      <c r="Y60" s="8" t="s">
        <v>107</v>
      </c>
      <c r="Z60" s="8"/>
      <c r="AA60" s="8"/>
      <c r="AB60" s="8" t="s">
        <v>107</v>
      </c>
      <c r="AC60" s="8" t="s">
        <v>107</v>
      </c>
      <c r="AD60" s="8" t="s">
        <v>107</v>
      </c>
      <c r="AE60" s="967"/>
      <c r="AF60" s="8">
        <f t="shared" si="35"/>
        <v>5</v>
      </c>
      <c r="AG60" s="8"/>
      <c r="AH60" s="8" t="s">
        <v>107</v>
      </c>
      <c r="AI60" s="8" t="s">
        <v>107</v>
      </c>
      <c r="AJ60" s="8" t="s">
        <v>107</v>
      </c>
      <c r="AK60" s="8" t="s">
        <v>107</v>
      </c>
      <c r="AL60" s="8"/>
      <c r="AM60" s="8"/>
      <c r="AN60" s="8"/>
      <c r="AO60" s="8" t="s">
        <v>107</v>
      </c>
      <c r="AP60" s="8" t="s">
        <v>107</v>
      </c>
      <c r="AQ60" s="8"/>
      <c r="AR60" s="8"/>
      <c r="AS60" s="8"/>
      <c r="AT60" s="8"/>
      <c r="AU60" s="8"/>
      <c r="AV60" s="8"/>
      <c r="AW60" s="8"/>
      <c r="AX60" s="8">
        <v>5</v>
      </c>
      <c r="AY60" s="8" t="s">
        <v>107</v>
      </c>
      <c r="AZ60" s="8"/>
      <c r="BA60" s="8"/>
      <c r="BB60" s="8" t="s">
        <v>107</v>
      </c>
      <c r="BC60" s="8" t="s">
        <v>107</v>
      </c>
      <c r="BD60" s="8" t="s">
        <v>107</v>
      </c>
      <c r="BE60" s="967"/>
      <c r="BF60" s="8">
        <f t="shared" si="36"/>
        <v>3</v>
      </c>
      <c r="BG60" s="8"/>
      <c r="BH60" s="8" t="s">
        <v>107</v>
      </c>
      <c r="BI60" s="8"/>
      <c r="BJ60" s="8"/>
      <c r="BK60" s="8" t="s">
        <v>107</v>
      </c>
      <c r="BL60" s="8"/>
      <c r="BM60" s="8"/>
      <c r="BN60" s="8"/>
      <c r="BO60" s="8" t="s">
        <v>107</v>
      </c>
      <c r="BP60" s="8" t="s">
        <v>107</v>
      </c>
      <c r="BQ60" s="8"/>
      <c r="BR60" s="8"/>
      <c r="BS60" s="8"/>
      <c r="BT60" s="8"/>
      <c r="BU60" s="8"/>
      <c r="BV60" s="8"/>
      <c r="BW60" s="8"/>
      <c r="BX60" s="8">
        <v>3</v>
      </c>
      <c r="BY60" s="8" t="s">
        <v>107</v>
      </c>
      <c r="BZ60" s="8"/>
      <c r="CA60" s="8"/>
      <c r="CB60" s="8" t="s">
        <v>107</v>
      </c>
      <c r="CC60" s="8" t="s">
        <v>107</v>
      </c>
      <c r="CD60" s="8" t="s">
        <v>107</v>
      </c>
      <c r="CE60" s="967"/>
      <c r="CF60" s="8">
        <f t="shared" si="37"/>
        <v>8</v>
      </c>
      <c r="CG60" s="8"/>
      <c r="CH60" s="8" t="s">
        <v>107</v>
      </c>
      <c r="CI60" s="8"/>
      <c r="CJ60" s="8"/>
      <c r="CK60" s="8" t="s">
        <v>107</v>
      </c>
      <c r="CL60" s="8"/>
      <c r="CM60" s="8"/>
      <c r="CN60" s="8"/>
      <c r="CO60" s="8" t="s">
        <v>107</v>
      </c>
      <c r="CP60" s="8" t="s">
        <v>107</v>
      </c>
      <c r="CQ60" s="8"/>
      <c r="CR60" s="8"/>
      <c r="CS60" s="8"/>
      <c r="CT60" s="8"/>
      <c r="CU60" s="8"/>
      <c r="CV60" s="8"/>
      <c r="CW60" s="8"/>
      <c r="CX60" s="8">
        <v>8</v>
      </c>
      <c r="CY60" s="8" t="s">
        <v>107</v>
      </c>
      <c r="CZ60" s="8"/>
      <c r="DA60" s="8"/>
      <c r="DB60" s="8" t="s">
        <v>107</v>
      </c>
      <c r="DC60" s="8" t="s">
        <v>107</v>
      </c>
      <c r="DD60" s="8" t="s">
        <v>107</v>
      </c>
      <c r="DE60" s="967"/>
      <c r="DF60" s="8">
        <f t="shared" si="38"/>
        <v>0</v>
      </c>
      <c r="DG60" s="8"/>
      <c r="DH60" s="8" t="s">
        <v>107</v>
      </c>
      <c r="DI60" s="8" t="s">
        <v>107</v>
      </c>
      <c r="DJ60" s="8" t="s">
        <v>107</v>
      </c>
      <c r="DK60" s="8" t="s">
        <v>107</v>
      </c>
      <c r="DL60" s="8"/>
      <c r="DM60" s="8"/>
      <c r="DN60" s="8"/>
      <c r="DO60" s="8" t="s">
        <v>107</v>
      </c>
      <c r="DP60" s="8" t="s">
        <v>107</v>
      </c>
      <c r="DQ60" s="8"/>
      <c r="DR60" s="8"/>
      <c r="DS60" s="8"/>
      <c r="DT60" s="8"/>
      <c r="DU60" s="8"/>
      <c r="DV60" s="8"/>
      <c r="DW60" s="8"/>
      <c r="DX60" s="8">
        <v>0</v>
      </c>
      <c r="DY60" s="8" t="s">
        <v>107</v>
      </c>
      <c r="DZ60" s="8"/>
      <c r="EA60" s="8"/>
      <c r="EB60" s="8" t="s">
        <v>107</v>
      </c>
      <c r="EC60" s="8" t="s">
        <v>107</v>
      </c>
      <c r="ED60" s="8" t="s">
        <v>107</v>
      </c>
      <c r="EE60" s="967"/>
      <c r="EF60" s="8">
        <f t="shared" si="39"/>
        <v>2</v>
      </c>
      <c r="EG60" s="8"/>
      <c r="EH60" s="8" t="s">
        <v>107</v>
      </c>
      <c r="EI60" s="8" t="s">
        <v>107</v>
      </c>
      <c r="EJ60" s="8" t="s">
        <v>107</v>
      </c>
      <c r="EK60" s="8" t="s">
        <v>107</v>
      </c>
      <c r="EL60" s="8"/>
      <c r="EM60" s="8"/>
      <c r="EN60" s="8"/>
      <c r="EO60" s="8" t="s">
        <v>107</v>
      </c>
      <c r="EP60" s="8" t="s">
        <v>107</v>
      </c>
      <c r="EQ60" s="8"/>
      <c r="ER60" s="8"/>
      <c r="ES60" s="8"/>
      <c r="ET60" s="8"/>
      <c r="EU60" s="8"/>
      <c r="EV60" s="8"/>
      <c r="EW60" s="8"/>
      <c r="EX60" s="8">
        <v>2</v>
      </c>
      <c r="EY60" s="8" t="s">
        <v>107</v>
      </c>
      <c r="EZ60" s="8"/>
      <c r="FA60" s="8"/>
      <c r="FB60" s="8" t="s">
        <v>107</v>
      </c>
      <c r="FC60" s="8" t="s">
        <v>107</v>
      </c>
      <c r="FD60" s="8" t="s">
        <v>107</v>
      </c>
      <c r="FE60" s="967"/>
      <c r="FF60" s="8">
        <f t="shared" si="34"/>
        <v>0</v>
      </c>
      <c r="FG60" s="8"/>
      <c r="FH60" s="8" t="s">
        <v>107</v>
      </c>
      <c r="FI60" s="8" t="s">
        <v>107</v>
      </c>
      <c r="FJ60" s="8" t="s">
        <v>107</v>
      </c>
      <c r="FK60" s="8" t="s">
        <v>107</v>
      </c>
      <c r="FL60" s="8"/>
      <c r="FM60" s="8"/>
      <c r="FN60" s="8"/>
      <c r="FO60" s="8" t="s">
        <v>107</v>
      </c>
      <c r="FP60" s="8" t="s">
        <v>107</v>
      </c>
      <c r="FQ60" s="8"/>
      <c r="FR60" s="8"/>
      <c r="FS60" s="8"/>
      <c r="FT60" s="8"/>
      <c r="FU60" s="8"/>
      <c r="FV60" s="8"/>
      <c r="FW60" s="8"/>
      <c r="FX60" s="8">
        <v>0</v>
      </c>
      <c r="FY60" s="8" t="s">
        <v>107</v>
      </c>
      <c r="FZ60" s="8"/>
      <c r="GA60" s="8"/>
      <c r="GB60" s="8" t="s">
        <v>107</v>
      </c>
      <c r="GC60" s="8" t="s">
        <v>107</v>
      </c>
      <c r="GD60" s="8" t="s">
        <v>107</v>
      </c>
      <c r="GE60" s="967"/>
      <c r="GF60" s="8">
        <f t="shared" si="40"/>
        <v>0</v>
      </c>
      <c r="GG60" s="8"/>
      <c r="GH60" s="8" t="s">
        <v>107</v>
      </c>
      <c r="GI60" s="8" t="s">
        <v>107</v>
      </c>
      <c r="GJ60" s="8" t="s">
        <v>107</v>
      </c>
      <c r="GK60" s="8" t="s">
        <v>107</v>
      </c>
      <c r="GL60" s="8"/>
      <c r="GM60" s="8"/>
      <c r="GN60" s="8"/>
      <c r="GO60" s="8" t="s">
        <v>107</v>
      </c>
      <c r="GP60" s="8" t="s">
        <v>107</v>
      </c>
      <c r="GQ60" s="8"/>
      <c r="GR60" s="8"/>
      <c r="GS60" s="8"/>
      <c r="GT60" s="8"/>
      <c r="GU60" s="8"/>
      <c r="GV60" s="8"/>
      <c r="GW60" s="8"/>
      <c r="GX60" s="8">
        <v>0</v>
      </c>
      <c r="GY60" s="8" t="s">
        <v>107</v>
      </c>
      <c r="GZ60" s="8"/>
      <c r="HA60" s="8"/>
      <c r="HB60" s="8" t="s">
        <v>107</v>
      </c>
      <c r="HC60" s="8" t="s">
        <v>107</v>
      </c>
      <c r="HD60" s="8" t="s">
        <v>107</v>
      </c>
      <c r="HE60" s="967"/>
      <c r="HF60" s="8">
        <f t="shared" si="41"/>
        <v>0</v>
      </c>
      <c r="HG60" s="8"/>
      <c r="HH60" s="8" t="s">
        <v>107</v>
      </c>
      <c r="HI60" s="8" t="s">
        <v>107</v>
      </c>
      <c r="HJ60" s="8" t="s">
        <v>107</v>
      </c>
      <c r="HK60" s="8" t="s">
        <v>107</v>
      </c>
      <c r="HL60" s="8"/>
      <c r="HM60" s="8"/>
      <c r="HN60" s="8"/>
      <c r="HO60" s="8" t="s">
        <v>107</v>
      </c>
      <c r="HP60" s="8" t="s">
        <v>107</v>
      </c>
      <c r="HQ60" s="8"/>
      <c r="HR60" s="8"/>
      <c r="HS60" s="8"/>
      <c r="HT60" s="8"/>
      <c r="HU60" s="8"/>
      <c r="HV60" s="8"/>
      <c r="HW60" s="8"/>
      <c r="HX60" s="8">
        <v>0</v>
      </c>
      <c r="HY60" s="8" t="s">
        <v>107</v>
      </c>
      <c r="HZ60" s="8"/>
      <c r="IA60" s="8"/>
      <c r="IB60" s="8" t="s">
        <v>107</v>
      </c>
      <c r="IC60" s="8" t="s">
        <v>107</v>
      </c>
      <c r="ID60" s="8" t="s">
        <v>107</v>
      </c>
      <c r="IE60" s="967"/>
      <c r="IF60" s="8">
        <f t="shared" si="42"/>
        <v>0</v>
      </c>
      <c r="IG60" s="8"/>
      <c r="IH60" s="8" t="s">
        <v>107</v>
      </c>
      <c r="II60" s="8" t="s">
        <v>107</v>
      </c>
      <c r="IJ60" s="8" t="s">
        <v>107</v>
      </c>
      <c r="IK60" s="8" t="s">
        <v>107</v>
      </c>
      <c r="IL60" s="8"/>
      <c r="IM60" s="8"/>
      <c r="IN60" s="8"/>
      <c r="IO60" s="8" t="s">
        <v>107</v>
      </c>
      <c r="IP60" s="8" t="s">
        <v>107</v>
      </c>
      <c r="IQ60" s="8"/>
      <c r="IR60" s="8"/>
      <c r="IS60" s="8"/>
      <c r="IT60" s="8"/>
      <c r="IU60" s="8"/>
      <c r="IV60" s="8"/>
      <c r="IW60" s="8"/>
      <c r="IX60" s="8">
        <v>0</v>
      </c>
      <c r="IY60" s="8" t="s">
        <v>107</v>
      </c>
      <c r="IZ60" s="8"/>
      <c r="JA60" s="8"/>
      <c r="JB60" s="8" t="s">
        <v>107</v>
      </c>
      <c r="JC60" s="8" t="s">
        <v>107</v>
      </c>
      <c r="JD60" s="8" t="s">
        <v>107</v>
      </c>
      <c r="JE60" s="967"/>
      <c r="JF60" s="8">
        <f t="shared" si="43"/>
        <v>0</v>
      </c>
      <c r="JG60" s="8"/>
      <c r="JH60" s="8" t="s">
        <v>107</v>
      </c>
      <c r="JI60" s="8" t="s">
        <v>107</v>
      </c>
      <c r="JJ60" s="8" t="s">
        <v>107</v>
      </c>
      <c r="JK60" s="8" t="s">
        <v>107</v>
      </c>
      <c r="JL60" s="8"/>
      <c r="JM60" s="8"/>
      <c r="JN60" s="8"/>
      <c r="JO60" s="8" t="s">
        <v>107</v>
      </c>
      <c r="JP60" s="8" t="s">
        <v>107</v>
      </c>
      <c r="JQ60" s="8"/>
      <c r="JR60" s="8"/>
      <c r="JS60" s="8"/>
      <c r="JT60" s="8"/>
      <c r="JU60" s="8"/>
      <c r="JV60" s="8"/>
      <c r="JW60" s="8"/>
      <c r="JX60" s="8">
        <v>0</v>
      </c>
      <c r="JY60" s="8" t="s">
        <v>107</v>
      </c>
      <c r="JZ60" s="8"/>
      <c r="KA60" s="8"/>
      <c r="KB60" s="8" t="s">
        <v>107</v>
      </c>
      <c r="KC60" s="8" t="s">
        <v>107</v>
      </c>
      <c r="KD60" s="8" t="s">
        <v>107</v>
      </c>
      <c r="KE60" s="967"/>
      <c r="KF60" s="8">
        <f t="shared" si="44"/>
        <v>0</v>
      </c>
      <c r="KG60" s="8"/>
      <c r="KH60" s="8" t="s">
        <v>107</v>
      </c>
      <c r="KI60" s="8" t="s">
        <v>107</v>
      </c>
      <c r="KJ60" s="8" t="s">
        <v>107</v>
      </c>
      <c r="KK60" s="8" t="s">
        <v>107</v>
      </c>
      <c r="KL60" s="8"/>
      <c r="KM60" s="8"/>
      <c r="KN60" s="8"/>
      <c r="KO60" s="8" t="s">
        <v>107</v>
      </c>
      <c r="KP60" s="8" t="s">
        <v>107</v>
      </c>
      <c r="KQ60" s="8"/>
      <c r="KR60" s="8"/>
      <c r="KS60" s="8"/>
      <c r="KT60" s="8"/>
      <c r="KU60" s="8"/>
      <c r="KV60" s="8"/>
      <c r="KW60" s="8"/>
      <c r="KX60" s="8">
        <v>0</v>
      </c>
      <c r="KY60" s="8" t="s">
        <v>107</v>
      </c>
      <c r="KZ60" s="8"/>
      <c r="LA60" s="8"/>
      <c r="LB60" s="8" t="s">
        <v>107</v>
      </c>
      <c r="LC60" s="8" t="s">
        <v>107</v>
      </c>
      <c r="LD60" s="8" t="s">
        <v>107</v>
      </c>
      <c r="LE60" s="967"/>
      <c r="LF60" s="8">
        <f t="shared" si="45"/>
        <v>0</v>
      </c>
      <c r="LG60" s="8"/>
      <c r="LH60" s="8" t="s">
        <v>107</v>
      </c>
      <c r="LI60" s="8" t="s">
        <v>107</v>
      </c>
      <c r="LJ60" s="8" t="s">
        <v>107</v>
      </c>
      <c r="LK60" s="8" t="s">
        <v>107</v>
      </c>
      <c r="LL60" s="8"/>
      <c r="LM60" s="8"/>
      <c r="LN60" s="8"/>
      <c r="LO60" s="8" t="s">
        <v>107</v>
      </c>
      <c r="LP60" s="8" t="s">
        <v>107</v>
      </c>
      <c r="LQ60" s="8"/>
      <c r="LR60" s="8"/>
      <c r="LS60" s="8"/>
      <c r="LT60" s="8"/>
      <c r="LU60" s="8"/>
      <c r="LV60" s="8"/>
      <c r="LW60" s="8"/>
      <c r="LX60" s="8">
        <v>0</v>
      </c>
      <c r="LY60" s="8" t="s">
        <v>107</v>
      </c>
      <c r="LZ60" s="8"/>
      <c r="MA60" s="8"/>
      <c r="MB60" s="8" t="s">
        <v>107</v>
      </c>
      <c r="MC60" s="8" t="s">
        <v>107</v>
      </c>
      <c r="MD60" s="8" t="s">
        <v>107</v>
      </c>
      <c r="ME60" s="967"/>
      <c r="MF60" s="8">
        <f t="shared" si="46"/>
        <v>0</v>
      </c>
      <c r="MG60" s="8"/>
      <c r="MH60" s="8" t="s">
        <v>107</v>
      </c>
      <c r="MI60" s="8" t="s">
        <v>107</v>
      </c>
      <c r="MJ60" s="8" t="s">
        <v>107</v>
      </c>
      <c r="MK60" s="8" t="s">
        <v>107</v>
      </c>
      <c r="ML60" s="8"/>
      <c r="MM60" s="8"/>
      <c r="MN60" s="8"/>
      <c r="MO60" s="8" t="s">
        <v>107</v>
      </c>
      <c r="MP60" s="8" t="s">
        <v>107</v>
      </c>
      <c r="MQ60" s="8"/>
      <c r="MR60" s="8"/>
      <c r="MS60" s="8"/>
      <c r="MT60" s="8"/>
      <c r="MU60" s="8"/>
      <c r="MV60" s="8"/>
      <c r="MW60" s="8"/>
      <c r="MX60" s="8">
        <v>0</v>
      </c>
      <c r="MY60" s="8" t="s">
        <v>107</v>
      </c>
      <c r="MZ60" s="8"/>
      <c r="NA60" s="8"/>
      <c r="NB60" s="8" t="s">
        <v>107</v>
      </c>
      <c r="NC60" s="8" t="s">
        <v>107</v>
      </c>
      <c r="ND60" s="8" t="s">
        <v>107</v>
      </c>
      <c r="NE60" s="967"/>
      <c r="NF60" s="8">
        <f t="shared" si="47"/>
        <v>1</v>
      </c>
      <c r="NG60" s="8"/>
      <c r="NH60" s="8" t="s">
        <v>107</v>
      </c>
      <c r="NI60" s="8" t="s">
        <v>107</v>
      </c>
      <c r="NJ60" s="8" t="s">
        <v>107</v>
      </c>
      <c r="NK60" s="8" t="s">
        <v>107</v>
      </c>
      <c r="NL60" s="8"/>
      <c r="NM60" s="8"/>
      <c r="NN60" s="8"/>
      <c r="NO60" s="8" t="s">
        <v>107</v>
      </c>
      <c r="NP60" s="8" t="s">
        <v>107</v>
      </c>
      <c r="NQ60" s="8"/>
      <c r="NR60" s="8"/>
      <c r="NS60" s="8"/>
      <c r="NT60" s="8"/>
      <c r="NU60" s="8"/>
      <c r="NV60" s="8"/>
      <c r="NW60" s="8"/>
      <c r="NX60" s="8">
        <v>1</v>
      </c>
      <c r="NY60" s="8" t="s">
        <v>107</v>
      </c>
      <c r="NZ60" s="8"/>
      <c r="OA60" s="8"/>
      <c r="OB60" s="8" t="s">
        <v>107</v>
      </c>
      <c r="OC60" s="8" t="s">
        <v>107</v>
      </c>
      <c r="OD60" s="8" t="s">
        <v>107</v>
      </c>
      <c r="OE60" s="967"/>
      <c r="OF60" s="8">
        <f t="shared" si="48"/>
        <v>0</v>
      </c>
      <c r="OG60" s="8"/>
      <c r="OH60" s="8" t="s">
        <v>107</v>
      </c>
      <c r="OI60" s="8" t="s">
        <v>107</v>
      </c>
      <c r="OJ60" s="8" t="s">
        <v>107</v>
      </c>
      <c r="OK60" s="8" t="s">
        <v>107</v>
      </c>
      <c r="OL60" s="8"/>
      <c r="OM60" s="8"/>
      <c r="ON60" s="8"/>
      <c r="OO60" s="8" t="s">
        <v>107</v>
      </c>
      <c r="OP60" s="8" t="s">
        <v>107</v>
      </c>
      <c r="OQ60" s="8"/>
      <c r="OR60" s="8"/>
      <c r="OS60" s="8"/>
      <c r="OT60" s="8"/>
      <c r="OU60" s="8"/>
      <c r="OV60" s="8"/>
      <c r="OW60" s="8"/>
      <c r="OX60" s="8">
        <v>0</v>
      </c>
      <c r="OY60" s="8" t="s">
        <v>107</v>
      </c>
      <c r="OZ60" s="8"/>
      <c r="PA60" s="8"/>
      <c r="PB60" s="8" t="s">
        <v>107</v>
      </c>
      <c r="PC60" s="8" t="s">
        <v>107</v>
      </c>
      <c r="PD60" s="8" t="s">
        <v>107</v>
      </c>
      <c r="PE60" s="967"/>
      <c r="PF60" s="8">
        <f t="shared" si="49"/>
        <v>0</v>
      </c>
      <c r="PG60" s="8"/>
      <c r="PH60" s="8" t="s">
        <v>107</v>
      </c>
      <c r="PI60" s="8" t="s">
        <v>107</v>
      </c>
      <c r="PJ60" s="8" t="s">
        <v>107</v>
      </c>
      <c r="PK60" s="8" t="s">
        <v>107</v>
      </c>
      <c r="PL60" s="8"/>
      <c r="PM60" s="8"/>
      <c r="PN60" s="8"/>
      <c r="PO60" s="8" t="s">
        <v>107</v>
      </c>
      <c r="PP60" s="8" t="s">
        <v>107</v>
      </c>
      <c r="PQ60" s="8"/>
      <c r="PR60" s="8"/>
      <c r="PS60" s="8"/>
      <c r="PT60" s="8"/>
      <c r="PU60" s="8"/>
      <c r="PV60" s="8"/>
      <c r="PW60" s="8"/>
      <c r="PX60" s="8">
        <v>0</v>
      </c>
      <c r="PY60" s="8" t="s">
        <v>107</v>
      </c>
      <c r="PZ60" s="8"/>
      <c r="QA60" s="8"/>
      <c r="QB60" s="8" t="s">
        <v>107</v>
      </c>
      <c r="QC60" s="8" t="s">
        <v>107</v>
      </c>
      <c r="QD60" s="8" t="s">
        <v>107</v>
      </c>
      <c r="QE60" s="967"/>
    </row>
    <row r="61" spans="2:447" x14ac:dyDescent="0.3">
      <c r="B61">
        <v>53</v>
      </c>
      <c r="D61" t="s">
        <v>1998</v>
      </c>
      <c r="F61" s="8">
        <f t="shared" si="53"/>
        <v>34</v>
      </c>
      <c r="G61" s="8"/>
      <c r="H61" s="8" t="s">
        <v>107</v>
      </c>
      <c r="I61" s="8" t="s">
        <v>107</v>
      </c>
      <c r="J61" s="8" t="s">
        <v>107</v>
      </c>
      <c r="K61" s="8" t="s">
        <v>107</v>
      </c>
      <c r="L61" s="8" t="s">
        <v>107</v>
      </c>
      <c r="M61" s="8" t="s">
        <v>107</v>
      </c>
      <c r="N61" s="8" t="s">
        <v>107</v>
      </c>
      <c r="O61" s="8" t="s">
        <v>107</v>
      </c>
      <c r="P61" s="8" t="s">
        <v>107</v>
      </c>
      <c r="Q61" s="8" t="s">
        <v>107</v>
      </c>
      <c r="R61" s="8" t="s">
        <v>107</v>
      </c>
      <c r="S61" s="8" t="s">
        <v>107</v>
      </c>
      <c r="T61" s="8" t="s">
        <v>107</v>
      </c>
      <c r="U61" s="8"/>
      <c r="V61" s="8"/>
      <c r="W61" s="8"/>
      <c r="X61" s="8">
        <v>17</v>
      </c>
      <c r="Y61" s="8">
        <v>17</v>
      </c>
      <c r="Z61" s="8"/>
      <c r="AA61" s="8"/>
      <c r="AB61" s="8" t="s">
        <v>107</v>
      </c>
      <c r="AC61" s="8" t="s">
        <v>107</v>
      </c>
      <c r="AD61" s="8" t="s">
        <v>107</v>
      </c>
      <c r="AE61" s="967"/>
      <c r="AF61" s="8">
        <f t="shared" si="35"/>
        <v>17</v>
      </c>
      <c r="AG61" s="8"/>
      <c r="AH61" s="8" t="s">
        <v>107</v>
      </c>
      <c r="AI61" s="8" t="s">
        <v>107</v>
      </c>
      <c r="AJ61" s="8" t="s">
        <v>107</v>
      </c>
      <c r="AK61" s="8" t="s">
        <v>107</v>
      </c>
      <c r="AL61" s="8"/>
      <c r="AM61" s="8"/>
      <c r="AN61" s="8"/>
      <c r="AO61" s="8" t="s">
        <v>107</v>
      </c>
      <c r="AP61" s="8" t="s">
        <v>107</v>
      </c>
      <c r="AQ61" s="8"/>
      <c r="AR61" s="8"/>
      <c r="AS61" s="8"/>
      <c r="AT61" s="8"/>
      <c r="AU61" s="8"/>
      <c r="AV61" s="8"/>
      <c r="AW61" s="8"/>
      <c r="AX61" s="8">
        <v>9</v>
      </c>
      <c r="AY61" s="8">
        <v>8</v>
      </c>
      <c r="AZ61" s="8"/>
      <c r="BA61" s="8"/>
      <c r="BB61" s="8" t="s">
        <v>107</v>
      </c>
      <c r="BC61" s="8" t="s">
        <v>107</v>
      </c>
      <c r="BD61" s="8" t="s">
        <v>107</v>
      </c>
      <c r="BE61" s="967"/>
      <c r="BF61" s="8">
        <f t="shared" si="36"/>
        <v>20</v>
      </c>
      <c r="BG61" s="8"/>
      <c r="BH61" s="8" t="s">
        <v>107</v>
      </c>
      <c r="BI61" s="8"/>
      <c r="BJ61" s="8"/>
      <c r="BK61" s="8" t="s">
        <v>107</v>
      </c>
      <c r="BL61" s="8"/>
      <c r="BM61" s="8"/>
      <c r="BN61" s="8"/>
      <c r="BO61" s="8" t="s">
        <v>107</v>
      </c>
      <c r="BP61" s="8" t="s">
        <v>107</v>
      </c>
      <c r="BQ61" s="8"/>
      <c r="BR61" s="8"/>
      <c r="BS61" s="8"/>
      <c r="BT61" s="8"/>
      <c r="BU61" s="8"/>
      <c r="BV61" s="8"/>
      <c r="BW61" s="8"/>
      <c r="BX61" s="8">
        <v>15</v>
      </c>
      <c r="BY61" s="8">
        <v>5</v>
      </c>
      <c r="BZ61" s="8"/>
      <c r="CA61" s="8"/>
      <c r="CB61" s="8" t="s">
        <v>107</v>
      </c>
      <c r="CC61" s="8" t="s">
        <v>107</v>
      </c>
      <c r="CD61" s="8" t="s">
        <v>107</v>
      </c>
      <c r="CE61" s="967"/>
      <c r="CF61" s="8">
        <f t="shared" si="37"/>
        <v>37</v>
      </c>
      <c r="CG61" s="8"/>
      <c r="CH61" s="8" t="s">
        <v>107</v>
      </c>
      <c r="CI61" s="8"/>
      <c r="CJ61" s="8"/>
      <c r="CK61" s="8" t="s">
        <v>107</v>
      </c>
      <c r="CL61" s="8"/>
      <c r="CM61" s="8"/>
      <c r="CN61" s="8"/>
      <c r="CO61" s="8" t="s">
        <v>107</v>
      </c>
      <c r="CP61" s="8" t="s">
        <v>107</v>
      </c>
      <c r="CQ61" s="8"/>
      <c r="CR61" s="8"/>
      <c r="CS61" s="8"/>
      <c r="CT61" s="8"/>
      <c r="CU61" s="8"/>
      <c r="CV61" s="8"/>
      <c r="CW61" s="8"/>
      <c r="CX61" s="8">
        <v>24</v>
      </c>
      <c r="CY61" s="8">
        <v>13</v>
      </c>
      <c r="CZ61" s="8"/>
      <c r="DA61" s="8"/>
      <c r="DB61" s="8" t="s">
        <v>107</v>
      </c>
      <c r="DC61" s="8" t="s">
        <v>107</v>
      </c>
      <c r="DD61" s="8" t="s">
        <v>107</v>
      </c>
      <c r="DE61" s="967"/>
      <c r="DF61" s="8">
        <f t="shared" si="38"/>
        <v>0</v>
      </c>
      <c r="DG61" s="8"/>
      <c r="DH61" s="8" t="s">
        <v>107</v>
      </c>
      <c r="DI61" s="8" t="s">
        <v>107</v>
      </c>
      <c r="DJ61" s="8" t="s">
        <v>107</v>
      </c>
      <c r="DK61" s="8" t="s">
        <v>107</v>
      </c>
      <c r="DL61" s="8"/>
      <c r="DM61" s="8"/>
      <c r="DN61" s="8"/>
      <c r="DO61" s="8" t="s">
        <v>107</v>
      </c>
      <c r="DP61" s="8" t="s">
        <v>107</v>
      </c>
      <c r="DQ61" s="8"/>
      <c r="DR61" s="8"/>
      <c r="DS61" s="8"/>
      <c r="DT61" s="8"/>
      <c r="DU61" s="8"/>
      <c r="DV61" s="8"/>
      <c r="DW61" s="8"/>
      <c r="DX61" s="8">
        <v>0</v>
      </c>
      <c r="DY61" s="8">
        <v>0</v>
      </c>
      <c r="DZ61" s="8"/>
      <c r="EA61" s="8"/>
      <c r="EB61" s="8" t="s">
        <v>107</v>
      </c>
      <c r="EC61" s="8" t="s">
        <v>107</v>
      </c>
      <c r="ED61" s="8" t="s">
        <v>107</v>
      </c>
      <c r="EE61" s="967"/>
      <c r="EF61" s="8">
        <f t="shared" si="39"/>
        <v>8</v>
      </c>
      <c r="EG61" s="8"/>
      <c r="EH61" s="8" t="s">
        <v>107</v>
      </c>
      <c r="EI61" s="8" t="s">
        <v>107</v>
      </c>
      <c r="EJ61" s="8" t="s">
        <v>107</v>
      </c>
      <c r="EK61" s="8" t="s">
        <v>107</v>
      </c>
      <c r="EL61" s="8"/>
      <c r="EM61" s="8"/>
      <c r="EN61" s="8"/>
      <c r="EO61" s="8" t="s">
        <v>107</v>
      </c>
      <c r="EP61" s="8" t="s">
        <v>107</v>
      </c>
      <c r="EQ61" s="8"/>
      <c r="ER61" s="8"/>
      <c r="ES61" s="8"/>
      <c r="ET61" s="8"/>
      <c r="EU61" s="8"/>
      <c r="EV61" s="8"/>
      <c r="EW61" s="8"/>
      <c r="EX61" s="8">
        <v>2</v>
      </c>
      <c r="EY61" s="8">
        <v>6</v>
      </c>
      <c r="EZ61" s="8"/>
      <c r="FA61" s="8"/>
      <c r="FB61" s="8" t="s">
        <v>107</v>
      </c>
      <c r="FC61" s="8" t="s">
        <v>107</v>
      </c>
      <c r="FD61" s="8" t="s">
        <v>107</v>
      </c>
      <c r="FE61" s="967"/>
      <c r="FF61" s="8">
        <f t="shared" si="34"/>
        <v>2</v>
      </c>
      <c r="FG61" s="8"/>
      <c r="FH61" s="8" t="s">
        <v>107</v>
      </c>
      <c r="FI61" s="8" t="s">
        <v>107</v>
      </c>
      <c r="FJ61" s="8" t="s">
        <v>107</v>
      </c>
      <c r="FK61" s="8" t="s">
        <v>107</v>
      </c>
      <c r="FL61" s="8"/>
      <c r="FM61" s="8"/>
      <c r="FN61" s="8"/>
      <c r="FO61" s="8" t="s">
        <v>107</v>
      </c>
      <c r="FP61" s="8" t="s">
        <v>107</v>
      </c>
      <c r="FQ61" s="8"/>
      <c r="FR61" s="8"/>
      <c r="FS61" s="8"/>
      <c r="FT61" s="8"/>
      <c r="FU61" s="8"/>
      <c r="FV61" s="8"/>
      <c r="FW61" s="8"/>
      <c r="FX61" s="8">
        <v>1</v>
      </c>
      <c r="FY61" s="8">
        <v>1</v>
      </c>
      <c r="FZ61" s="8"/>
      <c r="GA61" s="8"/>
      <c r="GB61" s="8" t="s">
        <v>107</v>
      </c>
      <c r="GC61" s="8" t="s">
        <v>107</v>
      </c>
      <c r="GD61" s="8" t="s">
        <v>107</v>
      </c>
      <c r="GE61" s="967"/>
      <c r="GF61" s="8">
        <f t="shared" si="40"/>
        <v>0</v>
      </c>
      <c r="GG61" s="8"/>
      <c r="GH61" s="8" t="s">
        <v>107</v>
      </c>
      <c r="GI61" s="8" t="s">
        <v>107</v>
      </c>
      <c r="GJ61" s="8" t="s">
        <v>107</v>
      </c>
      <c r="GK61" s="8" t="s">
        <v>107</v>
      </c>
      <c r="GL61" s="8"/>
      <c r="GM61" s="8"/>
      <c r="GN61" s="8"/>
      <c r="GO61" s="8" t="s">
        <v>107</v>
      </c>
      <c r="GP61" s="8" t="s">
        <v>107</v>
      </c>
      <c r="GQ61" s="8"/>
      <c r="GR61" s="8"/>
      <c r="GS61" s="8"/>
      <c r="GT61" s="8"/>
      <c r="GU61" s="8"/>
      <c r="GV61" s="8"/>
      <c r="GW61" s="8"/>
      <c r="GX61" s="8">
        <v>0</v>
      </c>
      <c r="GY61" s="8">
        <v>0</v>
      </c>
      <c r="GZ61" s="8"/>
      <c r="HA61" s="8"/>
      <c r="HB61" s="8" t="s">
        <v>107</v>
      </c>
      <c r="HC61" s="8" t="s">
        <v>107</v>
      </c>
      <c r="HD61" s="8" t="s">
        <v>107</v>
      </c>
      <c r="HE61" s="967"/>
      <c r="HF61" s="8">
        <f t="shared" si="41"/>
        <v>0</v>
      </c>
      <c r="HG61" s="8"/>
      <c r="HH61" s="8" t="s">
        <v>107</v>
      </c>
      <c r="HI61" s="8" t="s">
        <v>107</v>
      </c>
      <c r="HJ61" s="8" t="s">
        <v>107</v>
      </c>
      <c r="HK61" s="8" t="s">
        <v>107</v>
      </c>
      <c r="HL61" s="8"/>
      <c r="HM61" s="8"/>
      <c r="HN61" s="8"/>
      <c r="HO61" s="8" t="s">
        <v>107</v>
      </c>
      <c r="HP61" s="8" t="s">
        <v>107</v>
      </c>
      <c r="HQ61" s="8"/>
      <c r="HR61" s="8"/>
      <c r="HS61" s="8"/>
      <c r="HT61" s="8"/>
      <c r="HU61" s="8"/>
      <c r="HV61" s="8"/>
      <c r="HW61" s="8"/>
      <c r="HX61" s="8">
        <v>0</v>
      </c>
      <c r="HY61" s="8">
        <v>0</v>
      </c>
      <c r="HZ61" s="8"/>
      <c r="IA61" s="8"/>
      <c r="IB61" s="8" t="s">
        <v>107</v>
      </c>
      <c r="IC61" s="8" t="s">
        <v>107</v>
      </c>
      <c r="ID61" s="8" t="s">
        <v>107</v>
      </c>
      <c r="IE61" s="967"/>
      <c r="IF61" s="8">
        <f t="shared" si="42"/>
        <v>0</v>
      </c>
      <c r="IG61" s="8"/>
      <c r="IH61" s="8" t="s">
        <v>107</v>
      </c>
      <c r="II61" s="8" t="s">
        <v>107</v>
      </c>
      <c r="IJ61" s="8" t="s">
        <v>107</v>
      </c>
      <c r="IK61" s="8" t="s">
        <v>107</v>
      </c>
      <c r="IL61" s="8"/>
      <c r="IM61" s="8"/>
      <c r="IN61" s="8"/>
      <c r="IO61" s="8" t="s">
        <v>107</v>
      </c>
      <c r="IP61" s="8" t="s">
        <v>107</v>
      </c>
      <c r="IQ61" s="8"/>
      <c r="IR61" s="8"/>
      <c r="IS61" s="8"/>
      <c r="IT61" s="8"/>
      <c r="IU61" s="8"/>
      <c r="IV61" s="8"/>
      <c r="IW61" s="8"/>
      <c r="IX61" s="8">
        <v>0</v>
      </c>
      <c r="IY61" s="8">
        <v>0</v>
      </c>
      <c r="IZ61" s="8"/>
      <c r="JA61" s="8"/>
      <c r="JB61" s="8" t="s">
        <v>107</v>
      </c>
      <c r="JC61" s="8" t="s">
        <v>107</v>
      </c>
      <c r="JD61" s="8" t="s">
        <v>107</v>
      </c>
      <c r="JE61" s="967"/>
      <c r="JF61" s="8">
        <f t="shared" si="43"/>
        <v>0</v>
      </c>
      <c r="JG61" s="8"/>
      <c r="JH61" s="8" t="s">
        <v>107</v>
      </c>
      <c r="JI61" s="8" t="s">
        <v>107</v>
      </c>
      <c r="JJ61" s="8" t="s">
        <v>107</v>
      </c>
      <c r="JK61" s="8" t="s">
        <v>107</v>
      </c>
      <c r="JL61" s="8"/>
      <c r="JM61" s="8"/>
      <c r="JN61" s="8"/>
      <c r="JO61" s="8" t="s">
        <v>107</v>
      </c>
      <c r="JP61" s="8" t="s">
        <v>107</v>
      </c>
      <c r="JQ61" s="8"/>
      <c r="JR61" s="8"/>
      <c r="JS61" s="8"/>
      <c r="JT61" s="8"/>
      <c r="JU61" s="8"/>
      <c r="JV61" s="8"/>
      <c r="JW61" s="8"/>
      <c r="JX61" s="8">
        <v>0</v>
      </c>
      <c r="JY61" s="8">
        <v>0</v>
      </c>
      <c r="JZ61" s="8"/>
      <c r="KA61" s="8"/>
      <c r="KB61" s="8" t="s">
        <v>107</v>
      </c>
      <c r="KC61" s="8" t="s">
        <v>107</v>
      </c>
      <c r="KD61" s="8" t="s">
        <v>107</v>
      </c>
      <c r="KE61" s="967"/>
      <c r="KF61" s="8">
        <f t="shared" si="44"/>
        <v>0</v>
      </c>
      <c r="KG61" s="8"/>
      <c r="KH61" s="8" t="s">
        <v>107</v>
      </c>
      <c r="KI61" s="8" t="s">
        <v>107</v>
      </c>
      <c r="KJ61" s="8" t="s">
        <v>107</v>
      </c>
      <c r="KK61" s="8" t="s">
        <v>107</v>
      </c>
      <c r="KL61" s="8"/>
      <c r="KM61" s="8"/>
      <c r="KN61" s="8"/>
      <c r="KO61" s="8" t="s">
        <v>107</v>
      </c>
      <c r="KP61" s="8" t="s">
        <v>107</v>
      </c>
      <c r="KQ61" s="8"/>
      <c r="KR61" s="8"/>
      <c r="KS61" s="8"/>
      <c r="KT61" s="8"/>
      <c r="KU61" s="8"/>
      <c r="KV61" s="8"/>
      <c r="KW61" s="8"/>
      <c r="KX61" s="8">
        <v>0</v>
      </c>
      <c r="KY61" s="8">
        <v>0</v>
      </c>
      <c r="KZ61" s="8"/>
      <c r="LA61" s="8"/>
      <c r="LB61" s="8" t="s">
        <v>107</v>
      </c>
      <c r="LC61" s="8" t="s">
        <v>107</v>
      </c>
      <c r="LD61" s="8" t="s">
        <v>107</v>
      </c>
      <c r="LE61" s="967"/>
      <c r="LF61" s="8">
        <f t="shared" si="45"/>
        <v>1</v>
      </c>
      <c r="LG61" s="8"/>
      <c r="LH61" s="8" t="s">
        <v>107</v>
      </c>
      <c r="LI61" s="8" t="s">
        <v>107</v>
      </c>
      <c r="LJ61" s="8" t="s">
        <v>107</v>
      </c>
      <c r="LK61" s="8" t="s">
        <v>107</v>
      </c>
      <c r="LL61" s="8"/>
      <c r="LM61" s="8"/>
      <c r="LN61" s="8"/>
      <c r="LO61" s="8" t="s">
        <v>107</v>
      </c>
      <c r="LP61" s="8" t="s">
        <v>107</v>
      </c>
      <c r="LQ61" s="8"/>
      <c r="LR61" s="8"/>
      <c r="LS61" s="8"/>
      <c r="LT61" s="8"/>
      <c r="LU61" s="8"/>
      <c r="LV61" s="8"/>
      <c r="LW61" s="8"/>
      <c r="LX61" s="8">
        <v>0</v>
      </c>
      <c r="LY61" s="8">
        <v>1</v>
      </c>
      <c r="LZ61" s="8"/>
      <c r="MA61" s="8"/>
      <c r="MB61" s="8" t="s">
        <v>107</v>
      </c>
      <c r="MC61" s="8" t="s">
        <v>107</v>
      </c>
      <c r="MD61" s="8" t="s">
        <v>107</v>
      </c>
      <c r="ME61" s="967"/>
      <c r="MF61" s="8">
        <f t="shared" si="46"/>
        <v>1</v>
      </c>
      <c r="MG61" s="8"/>
      <c r="MH61" s="8" t="s">
        <v>107</v>
      </c>
      <c r="MI61" s="8" t="s">
        <v>107</v>
      </c>
      <c r="MJ61" s="8" t="s">
        <v>107</v>
      </c>
      <c r="MK61" s="8" t="s">
        <v>107</v>
      </c>
      <c r="ML61" s="8"/>
      <c r="MM61" s="8"/>
      <c r="MN61" s="8"/>
      <c r="MO61" s="8" t="s">
        <v>107</v>
      </c>
      <c r="MP61" s="8" t="s">
        <v>107</v>
      </c>
      <c r="MQ61" s="8"/>
      <c r="MR61" s="8"/>
      <c r="MS61" s="8"/>
      <c r="MT61" s="8"/>
      <c r="MU61" s="8"/>
      <c r="MV61" s="8"/>
      <c r="MW61" s="8"/>
      <c r="MX61" s="8">
        <v>0</v>
      </c>
      <c r="MY61" s="8">
        <v>1</v>
      </c>
      <c r="MZ61" s="8"/>
      <c r="NA61" s="8"/>
      <c r="NB61" s="8" t="s">
        <v>107</v>
      </c>
      <c r="NC61" s="8" t="s">
        <v>107</v>
      </c>
      <c r="ND61" s="8" t="s">
        <v>107</v>
      </c>
      <c r="NE61" s="967"/>
      <c r="NF61" s="8">
        <f t="shared" si="47"/>
        <v>1</v>
      </c>
      <c r="NG61" s="8"/>
      <c r="NH61" s="8" t="s">
        <v>107</v>
      </c>
      <c r="NI61" s="8" t="s">
        <v>107</v>
      </c>
      <c r="NJ61" s="8" t="s">
        <v>107</v>
      </c>
      <c r="NK61" s="8" t="s">
        <v>107</v>
      </c>
      <c r="NL61" s="8"/>
      <c r="NM61" s="8"/>
      <c r="NN61" s="8"/>
      <c r="NO61" s="8" t="s">
        <v>107</v>
      </c>
      <c r="NP61" s="8" t="s">
        <v>107</v>
      </c>
      <c r="NQ61" s="8"/>
      <c r="NR61" s="8"/>
      <c r="NS61" s="8"/>
      <c r="NT61" s="8"/>
      <c r="NU61" s="8"/>
      <c r="NV61" s="8"/>
      <c r="NW61" s="8"/>
      <c r="NX61" s="8">
        <v>1</v>
      </c>
      <c r="NY61" s="8">
        <v>0</v>
      </c>
      <c r="NZ61" s="8"/>
      <c r="OA61" s="8"/>
      <c r="OB61" s="8" t="s">
        <v>107</v>
      </c>
      <c r="OC61" s="8" t="s">
        <v>107</v>
      </c>
      <c r="OD61" s="8" t="s">
        <v>107</v>
      </c>
      <c r="OE61" s="967"/>
      <c r="OF61" s="8">
        <f t="shared" si="48"/>
        <v>0</v>
      </c>
      <c r="OG61" s="8"/>
      <c r="OH61" s="8" t="s">
        <v>107</v>
      </c>
      <c r="OI61" s="8" t="s">
        <v>107</v>
      </c>
      <c r="OJ61" s="8" t="s">
        <v>107</v>
      </c>
      <c r="OK61" s="8" t="s">
        <v>107</v>
      </c>
      <c r="OL61" s="8"/>
      <c r="OM61" s="8"/>
      <c r="ON61" s="8"/>
      <c r="OO61" s="8" t="s">
        <v>107</v>
      </c>
      <c r="OP61" s="8" t="s">
        <v>107</v>
      </c>
      <c r="OQ61" s="8"/>
      <c r="OR61" s="8"/>
      <c r="OS61" s="8"/>
      <c r="OT61" s="8"/>
      <c r="OU61" s="8"/>
      <c r="OV61" s="8"/>
      <c r="OW61" s="8"/>
      <c r="OX61" s="8">
        <v>0</v>
      </c>
      <c r="OY61" s="8">
        <v>0</v>
      </c>
      <c r="OZ61" s="8"/>
      <c r="PA61" s="8"/>
      <c r="PB61" s="8" t="s">
        <v>107</v>
      </c>
      <c r="PC61" s="8" t="s">
        <v>107</v>
      </c>
      <c r="PD61" s="8" t="s">
        <v>107</v>
      </c>
      <c r="PE61" s="967"/>
      <c r="PF61" s="8">
        <f t="shared" si="49"/>
        <v>0</v>
      </c>
      <c r="PG61" s="8"/>
      <c r="PH61" s="8" t="s">
        <v>107</v>
      </c>
      <c r="PI61" s="8" t="s">
        <v>107</v>
      </c>
      <c r="PJ61" s="8" t="s">
        <v>107</v>
      </c>
      <c r="PK61" s="8" t="s">
        <v>107</v>
      </c>
      <c r="PL61" s="8"/>
      <c r="PM61" s="8"/>
      <c r="PN61" s="8"/>
      <c r="PO61" s="8" t="s">
        <v>107</v>
      </c>
      <c r="PP61" s="8" t="s">
        <v>107</v>
      </c>
      <c r="PQ61" s="8"/>
      <c r="PR61" s="8"/>
      <c r="PS61" s="8"/>
      <c r="PT61" s="8"/>
      <c r="PU61" s="8"/>
      <c r="PV61" s="8"/>
      <c r="PW61" s="8"/>
      <c r="PX61" s="8">
        <v>0</v>
      </c>
      <c r="PY61" s="8">
        <v>0</v>
      </c>
      <c r="PZ61" s="8"/>
      <c r="QA61" s="8"/>
      <c r="QB61" s="8" t="s">
        <v>107</v>
      </c>
      <c r="QC61" s="8" t="s">
        <v>107</v>
      </c>
      <c r="QD61" s="8" t="s">
        <v>107</v>
      </c>
      <c r="QE61" s="967"/>
    </row>
    <row r="62" spans="2:447" x14ac:dyDescent="0.3">
      <c r="B62">
        <v>54</v>
      </c>
      <c r="D62" t="s">
        <v>2000</v>
      </c>
      <c r="F62" s="8">
        <f t="shared" si="53"/>
        <v>32</v>
      </c>
      <c r="G62" s="8"/>
      <c r="H62" s="8" t="s">
        <v>107</v>
      </c>
      <c r="I62" s="8" t="s">
        <v>107</v>
      </c>
      <c r="J62" s="8" t="s">
        <v>107</v>
      </c>
      <c r="K62" s="8" t="s">
        <v>107</v>
      </c>
      <c r="L62" s="8" t="s">
        <v>107</v>
      </c>
      <c r="M62" s="8" t="s">
        <v>107</v>
      </c>
      <c r="N62" s="8" t="s">
        <v>107</v>
      </c>
      <c r="O62" s="8" t="s">
        <v>107</v>
      </c>
      <c r="P62" s="8" t="s">
        <v>107</v>
      </c>
      <c r="Q62" s="8" t="s">
        <v>107</v>
      </c>
      <c r="R62" s="8" t="s">
        <v>107</v>
      </c>
      <c r="S62" s="8" t="s">
        <v>107</v>
      </c>
      <c r="T62" s="8" t="s">
        <v>107</v>
      </c>
      <c r="U62" s="8"/>
      <c r="V62" s="8"/>
      <c r="W62" s="8"/>
      <c r="X62" s="8">
        <v>15</v>
      </c>
      <c r="Y62" s="8">
        <v>17</v>
      </c>
      <c r="Z62" s="8"/>
      <c r="AA62" s="8"/>
      <c r="AB62" s="8" t="s">
        <v>107</v>
      </c>
      <c r="AC62" s="8" t="s">
        <v>107</v>
      </c>
      <c r="AD62" s="8" t="s">
        <v>107</v>
      </c>
      <c r="AE62" s="967"/>
      <c r="AF62" s="8">
        <f t="shared" si="35"/>
        <v>26</v>
      </c>
      <c r="AG62" s="8"/>
      <c r="AH62" s="8" t="s">
        <v>107</v>
      </c>
      <c r="AI62" s="8" t="s">
        <v>107</v>
      </c>
      <c r="AJ62" s="8" t="s">
        <v>107</v>
      </c>
      <c r="AK62" s="8" t="s">
        <v>107</v>
      </c>
      <c r="AL62" s="8"/>
      <c r="AM62" s="8"/>
      <c r="AN62" s="8"/>
      <c r="AO62" s="8" t="s">
        <v>107</v>
      </c>
      <c r="AP62" s="8" t="s">
        <v>107</v>
      </c>
      <c r="AQ62" s="8"/>
      <c r="AR62" s="8"/>
      <c r="AS62" s="8"/>
      <c r="AT62" s="8"/>
      <c r="AU62" s="8"/>
      <c r="AV62" s="8"/>
      <c r="AW62" s="8"/>
      <c r="AX62" s="8">
        <v>23</v>
      </c>
      <c r="AY62" s="8">
        <v>3</v>
      </c>
      <c r="AZ62" s="8"/>
      <c r="BA62" s="8"/>
      <c r="BB62" s="8" t="s">
        <v>107</v>
      </c>
      <c r="BC62" s="8" t="s">
        <v>107</v>
      </c>
      <c r="BD62" s="8" t="s">
        <v>107</v>
      </c>
      <c r="BE62" s="967"/>
      <c r="BF62" s="8">
        <f t="shared" si="36"/>
        <v>8</v>
      </c>
      <c r="BG62" s="8"/>
      <c r="BH62" s="8" t="s">
        <v>107</v>
      </c>
      <c r="BI62" s="8"/>
      <c r="BJ62" s="8"/>
      <c r="BK62" s="8" t="s">
        <v>107</v>
      </c>
      <c r="BL62" s="8"/>
      <c r="BM62" s="8"/>
      <c r="BN62" s="8"/>
      <c r="BO62" s="8" t="s">
        <v>107</v>
      </c>
      <c r="BP62" s="8" t="s">
        <v>107</v>
      </c>
      <c r="BQ62" s="8"/>
      <c r="BR62" s="8"/>
      <c r="BS62" s="8"/>
      <c r="BT62" s="8"/>
      <c r="BU62" s="8"/>
      <c r="BV62" s="8"/>
      <c r="BW62" s="8"/>
      <c r="BX62" s="8">
        <v>5</v>
      </c>
      <c r="BY62" s="8">
        <v>3</v>
      </c>
      <c r="BZ62" s="8"/>
      <c r="CA62" s="8"/>
      <c r="CB62" s="8" t="s">
        <v>107</v>
      </c>
      <c r="CC62" s="8" t="s">
        <v>107</v>
      </c>
      <c r="CD62" s="8" t="s">
        <v>107</v>
      </c>
      <c r="CE62" s="967"/>
      <c r="CF62" s="8">
        <f t="shared" si="37"/>
        <v>34</v>
      </c>
      <c r="CG62" s="8"/>
      <c r="CH62" s="8" t="s">
        <v>107</v>
      </c>
      <c r="CI62" s="8"/>
      <c r="CJ62" s="8"/>
      <c r="CK62" s="8" t="s">
        <v>107</v>
      </c>
      <c r="CL62" s="8"/>
      <c r="CM62" s="8"/>
      <c r="CN62" s="8"/>
      <c r="CO62" s="8" t="s">
        <v>107</v>
      </c>
      <c r="CP62" s="8" t="s">
        <v>107</v>
      </c>
      <c r="CQ62" s="8"/>
      <c r="CR62" s="8"/>
      <c r="CS62" s="8"/>
      <c r="CT62" s="8"/>
      <c r="CU62" s="8"/>
      <c r="CV62" s="8"/>
      <c r="CW62" s="8"/>
      <c r="CX62" s="8">
        <v>28</v>
      </c>
      <c r="CY62" s="8">
        <v>6</v>
      </c>
      <c r="CZ62" s="8"/>
      <c r="DA62" s="8"/>
      <c r="DB62" s="8" t="s">
        <v>107</v>
      </c>
      <c r="DC62" s="8" t="s">
        <v>107</v>
      </c>
      <c r="DD62" s="8" t="s">
        <v>107</v>
      </c>
      <c r="DE62" s="967"/>
      <c r="DF62" s="8">
        <f t="shared" si="38"/>
        <v>0</v>
      </c>
      <c r="DG62" s="8"/>
      <c r="DH62" s="8" t="s">
        <v>107</v>
      </c>
      <c r="DI62" s="8" t="s">
        <v>107</v>
      </c>
      <c r="DJ62" s="8" t="s">
        <v>107</v>
      </c>
      <c r="DK62" s="8" t="s">
        <v>107</v>
      </c>
      <c r="DL62" s="8"/>
      <c r="DM62" s="8"/>
      <c r="DN62" s="8"/>
      <c r="DO62" s="8" t="s">
        <v>107</v>
      </c>
      <c r="DP62" s="8" t="s">
        <v>107</v>
      </c>
      <c r="DQ62" s="8"/>
      <c r="DR62" s="8"/>
      <c r="DS62" s="8"/>
      <c r="DT62" s="8"/>
      <c r="DU62" s="8"/>
      <c r="DV62" s="8"/>
      <c r="DW62" s="8"/>
      <c r="DX62" s="8">
        <v>0</v>
      </c>
      <c r="DY62" s="8">
        <v>0</v>
      </c>
      <c r="DZ62" s="8"/>
      <c r="EA62" s="8"/>
      <c r="EB62" s="8" t="s">
        <v>107</v>
      </c>
      <c r="EC62" s="8" t="s">
        <v>107</v>
      </c>
      <c r="ED62" s="8" t="s">
        <v>107</v>
      </c>
      <c r="EE62" s="967"/>
      <c r="EF62" s="8">
        <f t="shared" si="39"/>
        <v>104</v>
      </c>
      <c r="EG62" s="8"/>
      <c r="EH62" s="8" t="s">
        <v>107</v>
      </c>
      <c r="EI62" s="8" t="s">
        <v>107</v>
      </c>
      <c r="EJ62" s="8" t="s">
        <v>107</v>
      </c>
      <c r="EK62" s="8" t="s">
        <v>107</v>
      </c>
      <c r="EL62" s="8"/>
      <c r="EM62" s="8"/>
      <c r="EN62" s="8"/>
      <c r="EO62" s="8" t="s">
        <v>107</v>
      </c>
      <c r="EP62" s="8" t="s">
        <v>107</v>
      </c>
      <c r="EQ62" s="8"/>
      <c r="ER62" s="8"/>
      <c r="ES62" s="8"/>
      <c r="ET62" s="8"/>
      <c r="EU62" s="8"/>
      <c r="EV62" s="8"/>
      <c r="EW62" s="8"/>
      <c r="EX62" s="8">
        <v>63</v>
      </c>
      <c r="EY62" s="8">
        <v>41</v>
      </c>
      <c r="EZ62" s="8"/>
      <c r="FA62" s="8"/>
      <c r="FB62" s="8" t="s">
        <v>107</v>
      </c>
      <c r="FC62" s="8" t="s">
        <v>107</v>
      </c>
      <c r="FD62" s="8" t="s">
        <v>107</v>
      </c>
      <c r="FE62" s="967"/>
      <c r="FF62" s="8">
        <f t="shared" si="34"/>
        <v>3</v>
      </c>
      <c r="FG62" s="8"/>
      <c r="FH62" s="8" t="s">
        <v>107</v>
      </c>
      <c r="FI62" s="8" t="s">
        <v>107</v>
      </c>
      <c r="FJ62" s="8" t="s">
        <v>107</v>
      </c>
      <c r="FK62" s="8" t="s">
        <v>107</v>
      </c>
      <c r="FL62" s="8"/>
      <c r="FM62" s="8"/>
      <c r="FN62" s="8"/>
      <c r="FO62" s="8" t="s">
        <v>107</v>
      </c>
      <c r="FP62" s="8" t="s">
        <v>107</v>
      </c>
      <c r="FQ62" s="8"/>
      <c r="FR62" s="8"/>
      <c r="FS62" s="8"/>
      <c r="FT62" s="8"/>
      <c r="FU62" s="8"/>
      <c r="FV62" s="8"/>
      <c r="FW62" s="8"/>
      <c r="FX62" s="8">
        <v>3</v>
      </c>
      <c r="FY62" s="8">
        <v>0</v>
      </c>
      <c r="FZ62" s="8"/>
      <c r="GA62" s="8"/>
      <c r="GB62" s="8" t="s">
        <v>107</v>
      </c>
      <c r="GC62" s="8" t="s">
        <v>107</v>
      </c>
      <c r="GD62" s="8" t="s">
        <v>107</v>
      </c>
      <c r="GE62" s="967"/>
      <c r="GF62" s="8">
        <f t="shared" si="40"/>
        <v>1</v>
      </c>
      <c r="GG62" s="8"/>
      <c r="GH62" s="8" t="s">
        <v>107</v>
      </c>
      <c r="GI62" s="8" t="s">
        <v>107</v>
      </c>
      <c r="GJ62" s="8" t="s">
        <v>107</v>
      </c>
      <c r="GK62" s="8" t="s">
        <v>107</v>
      </c>
      <c r="GL62" s="8"/>
      <c r="GM62" s="8"/>
      <c r="GN62" s="8"/>
      <c r="GO62" s="8" t="s">
        <v>107</v>
      </c>
      <c r="GP62" s="8" t="s">
        <v>107</v>
      </c>
      <c r="GQ62" s="8"/>
      <c r="GR62" s="8"/>
      <c r="GS62" s="8"/>
      <c r="GT62" s="8"/>
      <c r="GU62" s="8"/>
      <c r="GV62" s="8"/>
      <c r="GW62" s="8"/>
      <c r="GX62" s="8">
        <v>0</v>
      </c>
      <c r="GY62" s="8">
        <v>1</v>
      </c>
      <c r="GZ62" s="8"/>
      <c r="HA62" s="8"/>
      <c r="HB62" s="8" t="s">
        <v>107</v>
      </c>
      <c r="HC62" s="8" t="s">
        <v>107</v>
      </c>
      <c r="HD62" s="8" t="s">
        <v>107</v>
      </c>
      <c r="HE62" s="967"/>
      <c r="HF62" s="8">
        <f t="shared" si="41"/>
        <v>1</v>
      </c>
      <c r="HG62" s="8"/>
      <c r="HH62" s="8" t="s">
        <v>107</v>
      </c>
      <c r="HI62" s="8" t="s">
        <v>107</v>
      </c>
      <c r="HJ62" s="8" t="s">
        <v>107</v>
      </c>
      <c r="HK62" s="8" t="s">
        <v>107</v>
      </c>
      <c r="HL62" s="8"/>
      <c r="HM62" s="8"/>
      <c r="HN62" s="8"/>
      <c r="HO62" s="8" t="s">
        <v>107</v>
      </c>
      <c r="HP62" s="8" t="s">
        <v>107</v>
      </c>
      <c r="HQ62" s="8"/>
      <c r="HR62" s="8"/>
      <c r="HS62" s="8"/>
      <c r="HT62" s="8"/>
      <c r="HU62" s="8"/>
      <c r="HV62" s="8"/>
      <c r="HW62" s="8"/>
      <c r="HX62" s="8">
        <v>1</v>
      </c>
      <c r="HY62" s="8">
        <v>0</v>
      </c>
      <c r="HZ62" s="8"/>
      <c r="IA62" s="8"/>
      <c r="IB62" s="8" t="s">
        <v>107</v>
      </c>
      <c r="IC62" s="8" t="s">
        <v>107</v>
      </c>
      <c r="ID62" s="8" t="s">
        <v>107</v>
      </c>
      <c r="IE62" s="967"/>
      <c r="IF62" s="8">
        <f t="shared" si="42"/>
        <v>0</v>
      </c>
      <c r="IG62" s="8"/>
      <c r="IH62" s="8" t="s">
        <v>107</v>
      </c>
      <c r="II62" s="8" t="s">
        <v>107</v>
      </c>
      <c r="IJ62" s="8" t="s">
        <v>107</v>
      </c>
      <c r="IK62" s="8" t="s">
        <v>107</v>
      </c>
      <c r="IL62" s="8"/>
      <c r="IM62" s="8"/>
      <c r="IN62" s="8"/>
      <c r="IO62" s="8" t="s">
        <v>107</v>
      </c>
      <c r="IP62" s="8" t="s">
        <v>107</v>
      </c>
      <c r="IQ62" s="8"/>
      <c r="IR62" s="8"/>
      <c r="IS62" s="8"/>
      <c r="IT62" s="8"/>
      <c r="IU62" s="8"/>
      <c r="IV62" s="8"/>
      <c r="IW62" s="8"/>
      <c r="IX62" s="8">
        <v>0</v>
      </c>
      <c r="IY62" s="8">
        <v>0</v>
      </c>
      <c r="IZ62" s="8"/>
      <c r="JA62" s="8"/>
      <c r="JB62" s="8" t="s">
        <v>107</v>
      </c>
      <c r="JC62" s="8" t="s">
        <v>107</v>
      </c>
      <c r="JD62" s="8" t="s">
        <v>107</v>
      </c>
      <c r="JE62" s="967"/>
      <c r="JF62" s="8">
        <f t="shared" si="43"/>
        <v>0</v>
      </c>
      <c r="JG62" s="8"/>
      <c r="JH62" s="8" t="s">
        <v>107</v>
      </c>
      <c r="JI62" s="8" t="s">
        <v>107</v>
      </c>
      <c r="JJ62" s="8" t="s">
        <v>107</v>
      </c>
      <c r="JK62" s="8" t="s">
        <v>107</v>
      </c>
      <c r="JL62" s="8"/>
      <c r="JM62" s="8"/>
      <c r="JN62" s="8"/>
      <c r="JO62" s="8" t="s">
        <v>107</v>
      </c>
      <c r="JP62" s="8" t="s">
        <v>107</v>
      </c>
      <c r="JQ62" s="8"/>
      <c r="JR62" s="8"/>
      <c r="JS62" s="8"/>
      <c r="JT62" s="8"/>
      <c r="JU62" s="8"/>
      <c r="JV62" s="8"/>
      <c r="JW62" s="8"/>
      <c r="JX62" s="8">
        <v>0</v>
      </c>
      <c r="JY62" s="8">
        <v>0</v>
      </c>
      <c r="JZ62" s="8"/>
      <c r="KA62" s="8"/>
      <c r="KB62" s="8" t="s">
        <v>107</v>
      </c>
      <c r="KC62" s="8" t="s">
        <v>107</v>
      </c>
      <c r="KD62" s="8" t="s">
        <v>107</v>
      </c>
      <c r="KE62" s="967"/>
      <c r="KF62" s="8">
        <f t="shared" si="44"/>
        <v>0</v>
      </c>
      <c r="KG62" s="8"/>
      <c r="KH62" s="8" t="s">
        <v>107</v>
      </c>
      <c r="KI62" s="8" t="s">
        <v>107</v>
      </c>
      <c r="KJ62" s="8" t="s">
        <v>107</v>
      </c>
      <c r="KK62" s="8" t="s">
        <v>107</v>
      </c>
      <c r="KL62" s="8"/>
      <c r="KM62" s="8"/>
      <c r="KN62" s="8"/>
      <c r="KO62" s="8" t="s">
        <v>107</v>
      </c>
      <c r="KP62" s="8" t="s">
        <v>107</v>
      </c>
      <c r="KQ62" s="8"/>
      <c r="KR62" s="8"/>
      <c r="KS62" s="8"/>
      <c r="KT62" s="8"/>
      <c r="KU62" s="8"/>
      <c r="KV62" s="8"/>
      <c r="KW62" s="8"/>
      <c r="KX62" s="8">
        <v>0</v>
      </c>
      <c r="KY62" s="8">
        <v>0</v>
      </c>
      <c r="KZ62" s="8"/>
      <c r="LA62" s="8"/>
      <c r="LB62" s="8" t="s">
        <v>107</v>
      </c>
      <c r="LC62" s="8" t="s">
        <v>107</v>
      </c>
      <c r="LD62" s="8" t="s">
        <v>107</v>
      </c>
      <c r="LE62" s="967"/>
      <c r="LF62" s="8">
        <f t="shared" si="45"/>
        <v>0</v>
      </c>
      <c r="LG62" s="8"/>
      <c r="LH62" s="8" t="s">
        <v>107</v>
      </c>
      <c r="LI62" s="8" t="s">
        <v>107</v>
      </c>
      <c r="LJ62" s="8" t="s">
        <v>107</v>
      </c>
      <c r="LK62" s="8" t="s">
        <v>107</v>
      </c>
      <c r="LL62" s="8"/>
      <c r="LM62" s="8"/>
      <c r="LN62" s="8"/>
      <c r="LO62" s="8" t="s">
        <v>107</v>
      </c>
      <c r="LP62" s="8" t="s">
        <v>107</v>
      </c>
      <c r="LQ62" s="8"/>
      <c r="LR62" s="8"/>
      <c r="LS62" s="8"/>
      <c r="LT62" s="8"/>
      <c r="LU62" s="8"/>
      <c r="LV62" s="8"/>
      <c r="LW62" s="8"/>
      <c r="LX62" s="8">
        <v>0</v>
      </c>
      <c r="LY62" s="8">
        <v>0</v>
      </c>
      <c r="LZ62" s="8"/>
      <c r="MA62" s="8"/>
      <c r="MB62" s="8" t="s">
        <v>107</v>
      </c>
      <c r="MC62" s="8" t="s">
        <v>107</v>
      </c>
      <c r="MD62" s="8" t="s">
        <v>107</v>
      </c>
      <c r="ME62" s="967"/>
      <c r="MF62" s="8">
        <f t="shared" si="46"/>
        <v>1</v>
      </c>
      <c r="MG62" s="8"/>
      <c r="MH62" s="8" t="s">
        <v>107</v>
      </c>
      <c r="MI62" s="8" t="s">
        <v>107</v>
      </c>
      <c r="MJ62" s="8" t="s">
        <v>107</v>
      </c>
      <c r="MK62" s="8" t="s">
        <v>107</v>
      </c>
      <c r="ML62" s="8"/>
      <c r="MM62" s="8"/>
      <c r="MN62" s="8"/>
      <c r="MO62" s="8" t="s">
        <v>107</v>
      </c>
      <c r="MP62" s="8" t="s">
        <v>107</v>
      </c>
      <c r="MQ62" s="8"/>
      <c r="MR62" s="8"/>
      <c r="MS62" s="8"/>
      <c r="MT62" s="8"/>
      <c r="MU62" s="8"/>
      <c r="MV62" s="8"/>
      <c r="MW62" s="8"/>
      <c r="MX62" s="8">
        <v>1</v>
      </c>
      <c r="MY62" s="8">
        <v>0</v>
      </c>
      <c r="MZ62" s="8"/>
      <c r="NA62" s="8"/>
      <c r="NB62" s="8" t="s">
        <v>107</v>
      </c>
      <c r="NC62" s="8" t="s">
        <v>107</v>
      </c>
      <c r="ND62" s="8" t="s">
        <v>107</v>
      </c>
      <c r="NE62" s="967"/>
      <c r="NF62" s="8">
        <f t="shared" si="47"/>
        <v>3</v>
      </c>
      <c r="NG62" s="8"/>
      <c r="NH62" s="8" t="s">
        <v>107</v>
      </c>
      <c r="NI62" s="8" t="s">
        <v>107</v>
      </c>
      <c r="NJ62" s="8" t="s">
        <v>107</v>
      </c>
      <c r="NK62" s="8" t="s">
        <v>107</v>
      </c>
      <c r="NL62" s="8"/>
      <c r="NM62" s="8"/>
      <c r="NN62" s="8"/>
      <c r="NO62" s="8" t="s">
        <v>107</v>
      </c>
      <c r="NP62" s="8" t="s">
        <v>107</v>
      </c>
      <c r="NQ62" s="8"/>
      <c r="NR62" s="8"/>
      <c r="NS62" s="8"/>
      <c r="NT62" s="8"/>
      <c r="NU62" s="8"/>
      <c r="NV62" s="8"/>
      <c r="NW62" s="8"/>
      <c r="NX62" s="8">
        <v>3</v>
      </c>
      <c r="NY62" s="8">
        <v>0</v>
      </c>
      <c r="NZ62" s="8"/>
      <c r="OA62" s="8"/>
      <c r="OB62" s="8" t="s">
        <v>107</v>
      </c>
      <c r="OC62" s="8" t="s">
        <v>107</v>
      </c>
      <c r="OD62" s="8" t="s">
        <v>107</v>
      </c>
      <c r="OE62" s="967"/>
      <c r="OF62" s="8">
        <f t="shared" si="48"/>
        <v>0</v>
      </c>
      <c r="OG62" s="8"/>
      <c r="OH62" s="8" t="s">
        <v>107</v>
      </c>
      <c r="OI62" s="8" t="s">
        <v>107</v>
      </c>
      <c r="OJ62" s="8" t="s">
        <v>107</v>
      </c>
      <c r="OK62" s="8" t="s">
        <v>107</v>
      </c>
      <c r="OL62" s="8"/>
      <c r="OM62" s="8"/>
      <c r="ON62" s="8"/>
      <c r="OO62" s="8" t="s">
        <v>107</v>
      </c>
      <c r="OP62" s="8" t="s">
        <v>107</v>
      </c>
      <c r="OQ62" s="8"/>
      <c r="OR62" s="8"/>
      <c r="OS62" s="8"/>
      <c r="OT62" s="8"/>
      <c r="OU62" s="8"/>
      <c r="OV62" s="8"/>
      <c r="OW62" s="8"/>
      <c r="OX62" s="8">
        <v>0</v>
      </c>
      <c r="OY62" s="8">
        <v>0</v>
      </c>
      <c r="OZ62" s="8"/>
      <c r="PA62" s="8"/>
      <c r="PB62" s="8" t="s">
        <v>107</v>
      </c>
      <c r="PC62" s="8" t="s">
        <v>107</v>
      </c>
      <c r="PD62" s="8" t="s">
        <v>107</v>
      </c>
      <c r="PE62" s="967"/>
      <c r="PF62" s="8">
        <f t="shared" si="49"/>
        <v>0</v>
      </c>
      <c r="PG62" s="8"/>
      <c r="PH62" s="8" t="s">
        <v>107</v>
      </c>
      <c r="PI62" s="8" t="s">
        <v>107</v>
      </c>
      <c r="PJ62" s="8" t="s">
        <v>107</v>
      </c>
      <c r="PK62" s="8" t="s">
        <v>107</v>
      </c>
      <c r="PL62" s="8"/>
      <c r="PM62" s="8"/>
      <c r="PN62" s="8"/>
      <c r="PO62" s="8" t="s">
        <v>107</v>
      </c>
      <c r="PP62" s="8" t="s">
        <v>107</v>
      </c>
      <c r="PQ62" s="8"/>
      <c r="PR62" s="8"/>
      <c r="PS62" s="8"/>
      <c r="PT62" s="8"/>
      <c r="PU62" s="8"/>
      <c r="PV62" s="8"/>
      <c r="PW62" s="8"/>
      <c r="PX62" s="8">
        <v>0</v>
      </c>
      <c r="PY62" s="8">
        <v>0</v>
      </c>
      <c r="PZ62" s="8"/>
      <c r="QA62" s="8"/>
      <c r="QB62" s="8" t="s">
        <v>107</v>
      </c>
      <c r="QC62" s="8" t="s">
        <v>107</v>
      </c>
      <c r="QD62" s="8" t="s">
        <v>107</v>
      </c>
      <c r="QE62" s="967"/>
    </row>
    <row r="63" spans="2:447" x14ac:dyDescent="0.3">
      <c r="B63">
        <v>55</v>
      </c>
      <c r="D63" t="s">
        <v>2255</v>
      </c>
      <c r="F63" s="8">
        <f t="shared" si="53"/>
        <v>13</v>
      </c>
      <c r="G63" s="8"/>
      <c r="H63" s="8" t="s">
        <v>107</v>
      </c>
      <c r="I63" s="8" t="s">
        <v>107</v>
      </c>
      <c r="J63" s="8" t="s">
        <v>107</v>
      </c>
      <c r="K63" s="8">
        <v>3</v>
      </c>
      <c r="L63" s="8">
        <v>1</v>
      </c>
      <c r="M63" s="8">
        <v>9</v>
      </c>
      <c r="N63" s="8" t="s">
        <v>107</v>
      </c>
      <c r="O63" s="8" t="s">
        <v>107</v>
      </c>
      <c r="P63" s="8"/>
      <c r="Q63" s="8"/>
      <c r="R63" s="8"/>
      <c r="S63" s="8"/>
      <c r="T63" s="8"/>
      <c r="U63" s="8"/>
      <c r="V63" s="8"/>
      <c r="W63" s="8"/>
      <c r="X63" s="8" t="s">
        <v>107</v>
      </c>
      <c r="Y63" s="8" t="s">
        <v>107</v>
      </c>
      <c r="Z63" s="8"/>
      <c r="AA63" s="8"/>
      <c r="AB63" s="8" t="s">
        <v>107</v>
      </c>
      <c r="AC63" s="8" t="s">
        <v>107</v>
      </c>
      <c r="AD63" s="8" t="s">
        <v>107</v>
      </c>
      <c r="AE63" s="967"/>
      <c r="AF63" s="8">
        <f t="shared" si="35"/>
        <v>1</v>
      </c>
      <c r="AG63" s="8"/>
      <c r="AH63" s="8" t="s">
        <v>107</v>
      </c>
      <c r="AI63" s="8" t="s">
        <v>107</v>
      </c>
      <c r="AJ63" s="8" t="s">
        <v>107</v>
      </c>
      <c r="AK63" s="8">
        <v>1</v>
      </c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 t="s">
        <v>107</v>
      </c>
      <c r="AY63" s="8" t="s">
        <v>107</v>
      </c>
      <c r="AZ63" s="8"/>
      <c r="BA63" s="8"/>
      <c r="BB63" s="8" t="s">
        <v>107</v>
      </c>
      <c r="BC63" s="8" t="s">
        <v>107</v>
      </c>
      <c r="BD63" s="8" t="s">
        <v>107</v>
      </c>
      <c r="BE63" s="967"/>
      <c r="BF63" s="8">
        <f t="shared" si="36"/>
        <v>0</v>
      </c>
      <c r="BG63" s="8"/>
      <c r="BH63" s="8" t="s">
        <v>107</v>
      </c>
      <c r="BI63" s="8"/>
      <c r="BJ63" s="8"/>
      <c r="BK63" s="8">
        <v>0</v>
      </c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 t="s">
        <v>107</v>
      </c>
      <c r="BY63" s="8" t="s">
        <v>107</v>
      </c>
      <c r="BZ63" s="8"/>
      <c r="CA63" s="8"/>
      <c r="CB63" s="8" t="s">
        <v>107</v>
      </c>
      <c r="CC63" s="8" t="s">
        <v>107</v>
      </c>
      <c r="CD63" s="8" t="s">
        <v>107</v>
      </c>
      <c r="CE63" s="967"/>
      <c r="CF63" s="8">
        <f t="shared" si="37"/>
        <v>1</v>
      </c>
      <c r="CG63" s="8"/>
      <c r="CH63" s="8" t="s">
        <v>107</v>
      </c>
      <c r="CI63" s="8"/>
      <c r="CJ63" s="8"/>
      <c r="CK63" s="8">
        <v>1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 t="s">
        <v>107</v>
      </c>
      <c r="CY63" s="8" t="s">
        <v>107</v>
      </c>
      <c r="CZ63" s="8"/>
      <c r="DA63" s="8"/>
      <c r="DB63" s="8" t="s">
        <v>107</v>
      </c>
      <c r="DC63" s="8" t="s">
        <v>107</v>
      </c>
      <c r="DD63" s="8" t="s">
        <v>107</v>
      </c>
      <c r="DE63" s="967"/>
      <c r="DF63" s="8">
        <f t="shared" si="38"/>
        <v>0</v>
      </c>
      <c r="DG63" s="8"/>
      <c r="DH63" s="8" t="s">
        <v>107</v>
      </c>
      <c r="DI63" s="8" t="s">
        <v>107</v>
      </c>
      <c r="DJ63" s="8" t="s">
        <v>107</v>
      </c>
      <c r="DK63" s="8">
        <v>0</v>
      </c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 t="s">
        <v>107</v>
      </c>
      <c r="DY63" s="8" t="s">
        <v>107</v>
      </c>
      <c r="DZ63" s="8"/>
      <c r="EA63" s="8"/>
      <c r="EB63" s="8" t="s">
        <v>107</v>
      </c>
      <c r="EC63" s="8" t="s">
        <v>107</v>
      </c>
      <c r="ED63" s="8" t="s">
        <v>107</v>
      </c>
      <c r="EE63" s="967"/>
      <c r="EF63" s="8">
        <f t="shared" si="39"/>
        <v>0</v>
      </c>
      <c r="EG63" s="8"/>
      <c r="EH63" s="8" t="s">
        <v>107</v>
      </c>
      <c r="EI63" s="8" t="s">
        <v>107</v>
      </c>
      <c r="EJ63" s="8" t="s">
        <v>107</v>
      </c>
      <c r="EK63" s="8">
        <v>0</v>
      </c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 t="s">
        <v>107</v>
      </c>
      <c r="EY63" s="8" t="s">
        <v>107</v>
      </c>
      <c r="EZ63" s="8"/>
      <c r="FA63" s="8"/>
      <c r="FB63" s="8" t="s">
        <v>107</v>
      </c>
      <c r="FC63" s="8" t="s">
        <v>107</v>
      </c>
      <c r="FD63" s="8" t="s">
        <v>107</v>
      </c>
      <c r="FE63" s="967"/>
      <c r="FF63" s="8">
        <f t="shared" si="34"/>
        <v>0</v>
      </c>
      <c r="FG63" s="8"/>
      <c r="FH63" s="8" t="s">
        <v>107</v>
      </c>
      <c r="FI63" s="8" t="s">
        <v>107</v>
      </c>
      <c r="FJ63" s="8" t="s">
        <v>107</v>
      </c>
      <c r="FK63" s="8">
        <v>0</v>
      </c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 t="s">
        <v>107</v>
      </c>
      <c r="FY63" s="8" t="s">
        <v>107</v>
      </c>
      <c r="FZ63" s="8"/>
      <c r="GA63" s="8"/>
      <c r="GB63" s="8" t="s">
        <v>107</v>
      </c>
      <c r="GC63" s="8" t="s">
        <v>107</v>
      </c>
      <c r="GD63" s="8" t="s">
        <v>107</v>
      </c>
      <c r="GE63" s="967"/>
      <c r="GF63" s="8">
        <f t="shared" si="40"/>
        <v>0</v>
      </c>
      <c r="GG63" s="8"/>
      <c r="GH63" s="8" t="s">
        <v>107</v>
      </c>
      <c r="GI63" s="8" t="s">
        <v>107</v>
      </c>
      <c r="GJ63" s="8" t="s">
        <v>107</v>
      </c>
      <c r="GK63" s="8">
        <v>0</v>
      </c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 t="s">
        <v>107</v>
      </c>
      <c r="GY63" s="8" t="s">
        <v>107</v>
      </c>
      <c r="GZ63" s="8"/>
      <c r="HA63" s="8"/>
      <c r="HB63" s="8" t="s">
        <v>107</v>
      </c>
      <c r="HC63" s="8" t="s">
        <v>107</v>
      </c>
      <c r="HD63" s="8" t="s">
        <v>107</v>
      </c>
      <c r="HE63" s="967"/>
      <c r="HF63" s="8">
        <f t="shared" si="41"/>
        <v>0</v>
      </c>
      <c r="HG63" s="8"/>
      <c r="HH63" s="8" t="s">
        <v>107</v>
      </c>
      <c r="HI63" s="8" t="s">
        <v>107</v>
      </c>
      <c r="HJ63" s="8" t="s">
        <v>107</v>
      </c>
      <c r="HK63" s="8">
        <v>0</v>
      </c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 t="s">
        <v>107</v>
      </c>
      <c r="HY63" s="8" t="s">
        <v>107</v>
      </c>
      <c r="HZ63" s="8"/>
      <c r="IA63" s="8"/>
      <c r="IB63" s="8" t="s">
        <v>107</v>
      </c>
      <c r="IC63" s="8" t="s">
        <v>107</v>
      </c>
      <c r="ID63" s="8" t="s">
        <v>107</v>
      </c>
      <c r="IE63" s="967"/>
      <c r="IF63" s="8">
        <f t="shared" si="42"/>
        <v>0</v>
      </c>
      <c r="IG63" s="8"/>
      <c r="IH63" s="8" t="s">
        <v>107</v>
      </c>
      <c r="II63" s="8" t="s">
        <v>107</v>
      </c>
      <c r="IJ63" s="8" t="s">
        <v>107</v>
      </c>
      <c r="IK63" s="8">
        <v>0</v>
      </c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 t="s">
        <v>107</v>
      </c>
      <c r="IY63" s="8" t="s">
        <v>107</v>
      </c>
      <c r="IZ63" s="8"/>
      <c r="JA63" s="8"/>
      <c r="JB63" s="8" t="s">
        <v>107</v>
      </c>
      <c r="JC63" s="8" t="s">
        <v>107</v>
      </c>
      <c r="JD63" s="8" t="s">
        <v>107</v>
      </c>
      <c r="JE63" s="967"/>
      <c r="JF63" s="8">
        <f t="shared" si="43"/>
        <v>0</v>
      </c>
      <c r="JG63" s="8"/>
      <c r="JH63" s="8" t="s">
        <v>107</v>
      </c>
      <c r="JI63" s="8" t="s">
        <v>107</v>
      </c>
      <c r="JJ63" s="8" t="s">
        <v>107</v>
      </c>
      <c r="JK63" s="8">
        <v>0</v>
      </c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 t="s">
        <v>107</v>
      </c>
      <c r="JY63" s="8" t="s">
        <v>107</v>
      </c>
      <c r="JZ63" s="8"/>
      <c r="KA63" s="8"/>
      <c r="KB63" s="8" t="s">
        <v>107</v>
      </c>
      <c r="KC63" s="8" t="s">
        <v>107</v>
      </c>
      <c r="KD63" s="8" t="s">
        <v>107</v>
      </c>
      <c r="KE63" s="967"/>
      <c r="KF63" s="8">
        <f t="shared" si="44"/>
        <v>0</v>
      </c>
      <c r="KG63" s="8"/>
      <c r="KH63" s="8" t="s">
        <v>107</v>
      </c>
      <c r="KI63" s="8" t="s">
        <v>107</v>
      </c>
      <c r="KJ63" s="8" t="s">
        <v>107</v>
      </c>
      <c r="KK63" s="8">
        <v>0</v>
      </c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 t="s">
        <v>107</v>
      </c>
      <c r="KY63" s="8" t="s">
        <v>107</v>
      </c>
      <c r="KZ63" s="8"/>
      <c r="LA63" s="8"/>
      <c r="LB63" s="8" t="s">
        <v>107</v>
      </c>
      <c r="LC63" s="8" t="s">
        <v>107</v>
      </c>
      <c r="LD63" s="8" t="s">
        <v>107</v>
      </c>
      <c r="LE63" s="967"/>
      <c r="LF63" s="8">
        <f t="shared" si="45"/>
        <v>0</v>
      </c>
      <c r="LG63" s="8"/>
      <c r="LH63" s="8" t="s">
        <v>107</v>
      </c>
      <c r="LI63" s="8" t="s">
        <v>107</v>
      </c>
      <c r="LJ63" s="8" t="s">
        <v>107</v>
      </c>
      <c r="LK63" s="8">
        <v>0</v>
      </c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 t="s">
        <v>107</v>
      </c>
      <c r="LY63" s="8" t="s">
        <v>107</v>
      </c>
      <c r="LZ63" s="8"/>
      <c r="MA63" s="8"/>
      <c r="MB63" s="8" t="s">
        <v>107</v>
      </c>
      <c r="MC63" s="8" t="s">
        <v>107</v>
      </c>
      <c r="MD63" s="8" t="s">
        <v>107</v>
      </c>
      <c r="ME63" s="967"/>
      <c r="MF63" s="8">
        <f t="shared" si="46"/>
        <v>0</v>
      </c>
      <c r="MG63" s="8"/>
      <c r="MH63" s="8" t="s">
        <v>107</v>
      </c>
      <c r="MI63" s="8" t="s">
        <v>107</v>
      </c>
      <c r="MJ63" s="8" t="s">
        <v>107</v>
      </c>
      <c r="MK63" s="8">
        <v>0</v>
      </c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 t="s">
        <v>107</v>
      </c>
      <c r="MY63" s="8" t="s">
        <v>107</v>
      </c>
      <c r="MZ63" s="8"/>
      <c r="NA63" s="8"/>
      <c r="NB63" s="8" t="s">
        <v>107</v>
      </c>
      <c r="NC63" s="8" t="s">
        <v>107</v>
      </c>
      <c r="ND63" s="8" t="s">
        <v>107</v>
      </c>
      <c r="NE63" s="967"/>
      <c r="NF63" s="8">
        <f t="shared" si="47"/>
        <v>0</v>
      </c>
      <c r="NG63" s="8"/>
      <c r="NH63" s="8" t="s">
        <v>107</v>
      </c>
      <c r="NI63" s="8" t="s">
        <v>107</v>
      </c>
      <c r="NJ63" s="8" t="s">
        <v>107</v>
      </c>
      <c r="NK63" s="8">
        <v>0</v>
      </c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 t="s">
        <v>107</v>
      </c>
      <c r="NY63" s="8" t="s">
        <v>107</v>
      </c>
      <c r="NZ63" s="8"/>
      <c r="OA63" s="8"/>
      <c r="OB63" s="8" t="s">
        <v>107</v>
      </c>
      <c r="OC63" s="8" t="s">
        <v>107</v>
      </c>
      <c r="OD63" s="8" t="s">
        <v>107</v>
      </c>
      <c r="OE63" s="967"/>
      <c r="OF63" s="8">
        <f t="shared" si="48"/>
        <v>0</v>
      </c>
      <c r="OG63" s="8"/>
      <c r="OH63" s="8" t="s">
        <v>107</v>
      </c>
      <c r="OI63" s="8" t="s">
        <v>107</v>
      </c>
      <c r="OJ63" s="8" t="s">
        <v>107</v>
      </c>
      <c r="OK63" s="8">
        <v>0</v>
      </c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 t="s">
        <v>107</v>
      </c>
      <c r="OY63" s="8" t="s">
        <v>107</v>
      </c>
      <c r="OZ63" s="8"/>
      <c r="PA63" s="8"/>
      <c r="PB63" s="8" t="s">
        <v>107</v>
      </c>
      <c r="PC63" s="8" t="s">
        <v>107</v>
      </c>
      <c r="PD63" s="8" t="s">
        <v>107</v>
      </c>
      <c r="PE63" s="967"/>
      <c r="PF63" s="8">
        <f t="shared" si="49"/>
        <v>0</v>
      </c>
      <c r="PG63" s="8"/>
      <c r="PH63" s="8" t="s">
        <v>107</v>
      </c>
      <c r="PI63" s="8" t="s">
        <v>107</v>
      </c>
      <c r="PJ63" s="8" t="s">
        <v>107</v>
      </c>
      <c r="PK63" s="8">
        <v>0</v>
      </c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 t="s">
        <v>107</v>
      </c>
      <c r="PY63" s="8" t="s">
        <v>107</v>
      </c>
      <c r="PZ63" s="8"/>
      <c r="QA63" s="8"/>
      <c r="QB63" s="8" t="s">
        <v>107</v>
      </c>
      <c r="QC63" s="8" t="s">
        <v>107</v>
      </c>
      <c r="QD63" s="8" t="s">
        <v>107</v>
      </c>
      <c r="QE63" s="967"/>
    </row>
    <row r="64" spans="2:447" x14ac:dyDescent="0.3">
      <c r="B64">
        <v>56</v>
      </c>
      <c r="D64" t="s">
        <v>2360</v>
      </c>
      <c r="F64" s="8">
        <f t="shared" si="53"/>
        <v>22</v>
      </c>
      <c r="G64" s="8"/>
      <c r="H64" s="8" t="s">
        <v>107</v>
      </c>
      <c r="I64" s="8" t="s">
        <v>107</v>
      </c>
      <c r="J64" s="8" t="s">
        <v>107</v>
      </c>
      <c r="K64" s="8">
        <v>22</v>
      </c>
      <c r="L64" s="8" t="s">
        <v>107</v>
      </c>
      <c r="M64" s="8" t="s">
        <v>107</v>
      </c>
      <c r="N64" s="8" t="s">
        <v>107</v>
      </c>
      <c r="O64" s="8" t="s">
        <v>107</v>
      </c>
      <c r="P64" s="8" t="s">
        <v>107</v>
      </c>
      <c r="Q64" s="8" t="s">
        <v>107</v>
      </c>
      <c r="R64" s="8" t="s">
        <v>107</v>
      </c>
      <c r="S64" s="8" t="s">
        <v>107</v>
      </c>
      <c r="T64" s="8" t="s">
        <v>107</v>
      </c>
      <c r="U64" s="8" t="s">
        <v>107</v>
      </c>
      <c r="V64" s="8" t="s">
        <v>107</v>
      </c>
      <c r="W64" s="8" t="s">
        <v>107</v>
      </c>
      <c r="X64" s="8" t="s">
        <v>107</v>
      </c>
      <c r="Y64" s="8" t="s">
        <v>107</v>
      </c>
      <c r="Z64" s="8" t="s">
        <v>107</v>
      </c>
      <c r="AA64" s="8" t="s">
        <v>107</v>
      </c>
      <c r="AB64" s="8" t="s">
        <v>107</v>
      </c>
      <c r="AC64" s="8" t="s">
        <v>107</v>
      </c>
      <c r="AD64" s="8" t="s">
        <v>107</v>
      </c>
      <c r="AE64" s="967"/>
      <c r="AF64" s="8">
        <f t="shared" si="35"/>
        <v>11</v>
      </c>
      <c r="AG64" s="8"/>
      <c r="AH64" s="8" t="s">
        <v>107</v>
      </c>
      <c r="AI64" s="8" t="s">
        <v>107</v>
      </c>
      <c r="AJ64" s="8" t="s">
        <v>107</v>
      </c>
      <c r="AK64" s="8">
        <v>11</v>
      </c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 t="s">
        <v>107</v>
      </c>
      <c r="AY64" s="8" t="s">
        <v>107</v>
      </c>
      <c r="AZ64" s="8"/>
      <c r="BA64" s="8"/>
      <c r="BB64" s="8"/>
      <c r="BC64" s="8"/>
      <c r="BD64" s="8"/>
      <c r="BE64" s="967"/>
      <c r="BF64" s="8">
        <f t="shared" si="36"/>
        <v>7</v>
      </c>
      <c r="BG64" s="8"/>
      <c r="BH64" s="8" t="s">
        <v>107</v>
      </c>
      <c r="BI64" s="8"/>
      <c r="BJ64" s="8"/>
      <c r="BK64" s="8">
        <v>7</v>
      </c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 t="s">
        <v>107</v>
      </c>
      <c r="BY64" s="8" t="s">
        <v>107</v>
      </c>
      <c r="BZ64" s="8"/>
      <c r="CA64" s="8"/>
      <c r="CB64" s="8"/>
      <c r="CC64" s="8"/>
      <c r="CD64" s="8"/>
      <c r="CE64" s="967"/>
      <c r="CF64" s="8">
        <f t="shared" si="37"/>
        <v>18</v>
      </c>
      <c r="CG64" s="8"/>
      <c r="CH64" s="8" t="s">
        <v>107</v>
      </c>
      <c r="CI64" s="8"/>
      <c r="CJ64" s="8"/>
      <c r="CK64" s="8">
        <v>18</v>
      </c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 t="s">
        <v>107</v>
      </c>
      <c r="CY64" s="8" t="s">
        <v>107</v>
      </c>
      <c r="CZ64" s="8"/>
      <c r="DA64" s="8"/>
      <c r="DB64" s="8"/>
      <c r="DC64" s="8"/>
      <c r="DD64" s="8"/>
      <c r="DE64" s="967"/>
      <c r="DF64" s="8">
        <f t="shared" si="38"/>
        <v>3</v>
      </c>
      <c r="DG64" s="8"/>
      <c r="DH64" s="8" t="s">
        <v>107</v>
      </c>
      <c r="DI64" s="8" t="s">
        <v>107</v>
      </c>
      <c r="DJ64" s="8" t="s">
        <v>107</v>
      </c>
      <c r="DK64" s="8">
        <v>3</v>
      </c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 t="s">
        <v>107</v>
      </c>
      <c r="DY64" s="8" t="s">
        <v>107</v>
      </c>
      <c r="DZ64" s="8"/>
      <c r="EA64" s="8"/>
      <c r="EB64" s="8"/>
      <c r="EC64" s="8"/>
      <c r="ED64" s="8"/>
      <c r="EE64" s="967"/>
      <c r="EF64" s="8">
        <f t="shared" si="39"/>
        <v>6</v>
      </c>
      <c r="EG64" s="8"/>
      <c r="EH64" s="8" t="s">
        <v>107</v>
      </c>
      <c r="EI64" s="8" t="s">
        <v>107</v>
      </c>
      <c r="EJ64" s="8" t="s">
        <v>107</v>
      </c>
      <c r="EK64" s="8">
        <v>6</v>
      </c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 t="s">
        <v>107</v>
      </c>
      <c r="EY64" s="8" t="s">
        <v>107</v>
      </c>
      <c r="EZ64" s="8"/>
      <c r="FA64" s="8"/>
      <c r="FB64" s="8"/>
      <c r="FC64" s="8"/>
      <c r="FD64" s="8"/>
      <c r="FE64" s="967"/>
      <c r="FF64" s="8">
        <f t="shared" si="34"/>
        <v>2</v>
      </c>
      <c r="FG64" s="8"/>
      <c r="FH64" s="8" t="s">
        <v>107</v>
      </c>
      <c r="FI64" s="8" t="s">
        <v>107</v>
      </c>
      <c r="FJ64" s="8" t="s">
        <v>107</v>
      </c>
      <c r="FK64" s="8">
        <v>2</v>
      </c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 t="s">
        <v>107</v>
      </c>
      <c r="FY64" s="8" t="s">
        <v>107</v>
      </c>
      <c r="FZ64" s="8"/>
      <c r="GA64" s="8"/>
      <c r="GB64" s="8"/>
      <c r="GC64" s="8"/>
      <c r="GD64" s="8"/>
      <c r="GE64" s="967"/>
      <c r="GF64" s="8">
        <f t="shared" si="40"/>
        <v>1</v>
      </c>
      <c r="GG64" s="8"/>
      <c r="GH64" s="8" t="s">
        <v>107</v>
      </c>
      <c r="GI64" s="8" t="s">
        <v>107</v>
      </c>
      <c r="GJ64" s="8" t="s">
        <v>107</v>
      </c>
      <c r="GK64" s="8">
        <v>1</v>
      </c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 t="s">
        <v>107</v>
      </c>
      <c r="GY64" s="8" t="s">
        <v>107</v>
      </c>
      <c r="GZ64" s="8"/>
      <c r="HA64" s="8"/>
      <c r="HB64" s="8"/>
      <c r="HC64" s="8"/>
      <c r="HD64" s="8"/>
      <c r="HE64" s="967"/>
      <c r="HF64" s="8">
        <f t="shared" si="41"/>
        <v>0</v>
      </c>
      <c r="HG64" s="8"/>
      <c r="HH64" s="8" t="s">
        <v>107</v>
      </c>
      <c r="HI64" s="8" t="s">
        <v>107</v>
      </c>
      <c r="HJ64" s="8" t="s">
        <v>107</v>
      </c>
      <c r="HK64" s="8">
        <v>0</v>
      </c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 t="s">
        <v>107</v>
      </c>
      <c r="HY64" s="8" t="s">
        <v>107</v>
      </c>
      <c r="HZ64" s="8"/>
      <c r="IA64" s="8"/>
      <c r="IB64" s="8"/>
      <c r="IC64" s="8"/>
      <c r="ID64" s="8"/>
      <c r="IE64" s="967"/>
      <c r="IF64" s="8">
        <f t="shared" si="42"/>
        <v>0</v>
      </c>
      <c r="IG64" s="8"/>
      <c r="IH64" s="8" t="s">
        <v>107</v>
      </c>
      <c r="II64" s="8" t="s">
        <v>107</v>
      </c>
      <c r="IJ64" s="8" t="s">
        <v>107</v>
      </c>
      <c r="IK64" s="8">
        <v>0</v>
      </c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 t="s">
        <v>107</v>
      </c>
      <c r="IY64" s="8" t="s">
        <v>107</v>
      </c>
      <c r="IZ64" s="8"/>
      <c r="JA64" s="8"/>
      <c r="JB64" s="8"/>
      <c r="JC64" s="8"/>
      <c r="JD64" s="8"/>
      <c r="JE64" s="967"/>
      <c r="JF64" s="8">
        <f t="shared" si="43"/>
        <v>0</v>
      </c>
      <c r="JG64" s="8"/>
      <c r="JH64" s="8" t="s">
        <v>107</v>
      </c>
      <c r="JI64" s="8" t="s">
        <v>107</v>
      </c>
      <c r="JJ64" s="8" t="s">
        <v>107</v>
      </c>
      <c r="JK64" s="8">
        <v>0</v>
      </c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 t="s">
        <v>107</v>
      </c>
      <c r="JY64" s="8" t="s">
        <v>107</v>
      </c>
      <c r="JZ64" s="8"/>
      <c r="KA64" s="8"/>
      <c r="KB64" s="8"/>
      <c r="KC64" s="8"/>
      <c r="KD64" s="8"/>
      <c r="KE64" s="967"/>
      <c r="KF64" s="8">
        <f t="shared" si="44"/>
        <v>0</v>
      </c>
      <c r="KG64" s="8"/>
      <c r="KH64" s="8" t="s">
        <v>107</v>
      </c>
      <c r="KI64" s="8" t="s">
        <v>107</v>
      </c>
      <c r="KJ64" s="8" t="s">
        <v>107</v>
      </c>
      <c r="KK64" s="8">
        <v>0</v>
      </c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 t="s">
        <v>107</v>
      </c>
      <c r="KY64" s="8" t="s">
        <v>107</v>
      </c>
      <c r="KZ64" s="8"/>
      <c r="LA64" s="8"/>
      <c r="LB64" s="8"/>
      <c r="LC64" s="8"/>
      <c r="LD64" s="8"/>
      <c r="LE64" s="967"/>
      <c r="LF64" s="8">
        <f t="shared" si="45"/>
        <v>0</v>
      </c>
      <c r="LG64" s="8"/>
      <c r="LH64" s="8" t="s">
        <v>107</v>
      </c>
      <c r="LI64" s="8" t="s">
        <v>107</v>
      </c>
      <c r="LJ64" s="8" t="s">
        <v>107</v>
      </c>
      <c r="LK64" s="8">
        <v>0</v>
      </c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 t="s">
        <v>107</v>
      </c>
      <c r="LY64" s="8" t="s">
        <v>107</v>
      </c>
      <c r="LZ64" s="8"/>
      <c r="MA64" s="8"/>
      <c r="MB64" s="8"/>
      <c r="MC64" s="8"/>
      <c r="MD64" s="8"/>
      <c r="ME64" s="967"/>
      <c r="MF64" s="8">
        <f t="shared" si="46"/>
        <v>0</v>
      </c>
      <c r="MG64" s="8"/>
      <c r="MH64" s="8" t="s">
        <v>107</v>
      </c>
      <c r="MI64" s="8" t="s">
        <v>107</v>
      </c>
      <c r="MJ64" s="8" t="s">
        <v>107</v>
      </c>
      <c r="MK64" s="8">
        <v>0</v>
      </c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 t="s">
        <v>107</v>
      </c>
      <c r="MY64" s="8" t="s">
        <v>107</v>
      </c>
      <c r="MZ64" s="8"/>
      <c r="NA64" s="8"/>
      <c r="NB64" s="8"/>
      <c r="NC64" s="8"/>
      <c r="ND64" s="8"/>
      <c r="NE64" s="967"/>
      <c r="NF64" s="8">
        <f t="shared" si="47"/>
        <v>1</v>
      </c>
      <c r="NG64" s="8"/>
      <c r="NH64" s="8" t="s">
        <v>107</v>
      </c>
      <c r="NI64" s="8" t="s">
        <v>107</v>
      </c>
      <c r="NJ64" s="8" t="s">
        <v>107</v>
      </c>
      <c r="NK64" s="8">
        <v>1</v>
      </c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 t="s">
        <v>107</v>
      </c>
      <c r="NY64" s="8" t="s">
        <v>107</v>
      </c>
      <c r="NZ64" s="8"/>
      <c r="OA64" s="8"/>
      <c r="OB64" s="8"/>
      <c r="OC64" s="8"/>
      <c r="OD64" s="8"/>
      <c r="OE64" s="967"/>
      <c r="OF64" s="8">
        <f t="shared" si="48"/>
        <v>1</v>
      </c>
      <c r="OG64" s="8"/>
      <c r="OH64" s="8" t="s">
        <v>107</v>
      </c>
      <c r="OI64" s="8" t="s">
        <v>107</v>
      </c>
      <c r="OJ64" s="8" t="s">
        <v>107</v>
      </c>
      <c r="OK64" s="8">
        <v>1</v>
      </c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 t="s">
        <v>107</v>
      </c>
      <c r="OY64" s="8" t="s">
        <v>107</v>
      </c>
      <c r="OZ64" s="8"/>
      <c r="PA64" s="8"/>
      <c r="PB64" s="8"/>
      <c r="PC64" s="8"/>
      <c r="PD64" s="8"/>
      <c r="PE64" s="967"/>
      <c r="PF64" s="8">
        <f t="shared" si="49"/>
        <v>0</v>
      </c>
      <c r="PG64" s="8"/>
      <c r="PH64" s="8" t="s">
        <v>107</v>
      </c>
      <c r="PI64" s="8" t="s">
        <v>107</v>
      </c>
      <c r="PJ64" s="8" t="s">
        <v>107</v>
      </c>
      <c r="PK64" s="8">
        <v>0</v>
      </c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 t="s">
        <v>107</v>
      </c>
      <c r="PY64" s="8" t="s">
        <v>107</v>
      </c>
      <c r="PZ64" s="8"/>
      <c r="QA64" s="8"/>
      <c r="QB64" s="8"/>
      <c r="QC64" s="8"/>
      <c r="QD64" s="8"/>
      <c r="QE64" s="967"/>
    </row>
    <row r="65" spans="2:447" x14ac:dyDescent="0.3">
      <c r="B65">
        <v>57</v>
      </c>
      <c r="D65" t="s">
        <v>1987</v>
      </c>
      <c r="F65" s="8">
        <f t="shared" si="53"/>
        <v>57</v>
      </c>
      <c r="G65" s="8"/>
      <c r="H65" s="8" t="s">
        <v>107</v>
      </c>
      <c r="I65" s="8" t="s">
        <v>107</v>
      </c>
      <c r="J65" s="8" t="s">
        <v>107</v>
      </c>
      <c r="K65" s="8" t="s">
        <v>107</v>
      </c>
      <c r="L65" s="8" t="s">
        <v>107</v>
      </c>
      <c r="M65" s="8" t="s">
        <v>107</v>
      </c>
      <c r="N65" s="8" t="s">
        <v>107</v>
      </c>
      <c r="O65" s="8" t="s">
        <v>107</v>
      </c>
      <c r="P65" s="8" t="s">
        <v>107</v>
      </c>
      <c r="Q65" s="8" t="s">
        <v>107</v>
      </c>
      <c r="R65" s="8" t="s">
        <v>107</v>
      </c>
      <c r="S65" s="8" t="s">
        <v>107</v>
      </c>
      <c r="T65" s="8" t="s">
        <v>107</v>
      </c>
      <c r="U65" s="8"/>
      <c r="V65" s="8"/>
      <c r="W65" s="8"/>
      <c r="X65" s="8">
        <v>10</v>
      </c>
      <c r="Y65" s="8" t="s">
        <v>107</v>
      </c>
      <c r="Z65" s="8"/>
      <c r="AA65" s="8"/>
      <c r="AB65" s="8">
        <v>13</v>
      </c>
      <c r="AC65" s="8">
        <v>18</v>
      </c>
      <c r="AD65" s="8">
        <v>16</v>
      </c>
      <c r="AE65" s="967"/>
      <c r="AF65" s="8">
        <f t="shared" si="35"/>
        <v>9</v>
      </c>
      <c r="AG65" s="8"/>
      <c r="AH65" s="8" t="s">
        <v>107</v>
      </c>
      <c r="AI65" s="8" t="s">
        <v>107</v>
      </c>
      <c r="AJ65" s="8" t="s">
        <v>107</v>
      </c>
      <c r="AK65" s="8" t="s">
        <v>107</v>
      </c>
      <c r="AL65" s="8"/>
      <c r="AM65" s="8"/>
      <c r="AN65" s="8"/>
      <c r="AO65" s="8" t="s">
        <v>107</v>
      </c>
      <c r="AP65" s="8" t="s">
        <v>107</v>
      </c>
      <c r="AQ65" s="8"/>
      <c r="AR65" s="8"/>
      <c r="AS65" s="8"/>
      <c r="AT65" s="8"/>
      <c r="AU65" s="8"/>
      <c r="AV65" s="8"/>
      <c r="AW65" s="8"/>
      <c r="AX65" s="8">
        <v>2</v>
      </c>
      <c r="AY65" s="8" t="s">
        <v>107</v>
      </c>
      <c r="AZ65" s="8"/>
      <c r="BA65" s="8"/>
      <c r="BB65" s="8">
        <v>5</v>
      </c>
      <c r="BC65" s="8">
        <v>1</v>
      </c>
      <c r="BD65" s="8">
        <v>1</v>
      </c>
      <c r="BE65" s="967"/>
      <c r="BF65" s="8">
        <f t="shared" si="36"/>
        <v>13</v>
      </c>
      <c r="BG65" s="8"/>
      <c r="BH65" s="8" t="s">
        <v>107</v>
      </c>
      <c r="BI65" s="8"/>
      <c r="BJ65" s="8"/>
      <c r="BK65" s="8" t="s">
        <v>107</v>
      </c>
      <c r="BL65" s="8"/>
      <c r="BM65" s="8"/>
      <c r="BN65" s="8"/>
      <c r="BO65" s="8" t="s">
        <v>107</v>
      </c>
      <c r="BP65" s="8" t="s">
        <v>107</v>
      </c>
      <c r="BQ65" s="8"/>
      <c r="BR65" s="8"/>
      <c r="BS65" s="8"/>
      <c r="BT65" s="8"/>
      <c r="BU65" s="8"/>
      <c r="BV65" s="8"/>
      <c r="BW65" s="8"/>
      <c r="BX65" s="8">
        <v>0</v>
      </c>
      <c r="BY65" s="8" t="s">
        <v>107</v>
      </c>
      <c r="BZ65" s="8"/>
      <c r="CA65" s="8"/>
      <c r="CB65" s="8">
        <v>2</v>
      </c>
      <c r="CC65" s="8">
        <v>5</v>
      </c>
      <c r="CD65" s="8">
        <v>6</v>
      </c>
      <c r="CE65" s="967"/>
      <c r="CF65" s="8">
        <f t="shared" si="37"/>
        <v>22</v>
      </c>
      <c r="CG65" s="8"/>
      <c r="CH65" s="8" t="s">
        <v>107</v>
      </c>
      <c r="CI65" s="8"/>
      <c r="CJ65" s="8"/>
      <c r="CK65" s="8" t="s">
        <v>107</v>
      </c>
      <c r="CL65" s="8"/>
      <c r="CM65" s="8"/>
      <c r="CN65" s="8"/>
      <c r="CO65" s="8" t="s">
        <v>107</v>
      </c>
      <c r="CP65" s="8" t="s">
        <v>107</v>
      </c>
      <c r="CQ65" s="8"/>
      <c r="CR65" s="8"/>
      <c r="CS65" s="8"/>
      <c r="CT65" s="8"/>
      <c r="CU65" s="8"/>
      <c r="CV65" s="8"/>
      <c r="CW65" s="8"/>
      <c r="CX65" s="8">
        <v>2</v>
      </c>
      <c r="CY65" s="8" t="s">
        <v>107</v>
      </c>
      <c r="CZ65" s="8"/>
      <c r="DA65" s="8"/>
      <c r="DB65" s="8">
        <f t="shared" si="51"/>
        <v>7</v>
      </c>
      <c r="DC65" s="8">
        <f t="shared" si="52"/>
        <v>6</v>
      </c>
      <c r="DD65" s="8">
        <f t="shared" si="50"/>
        <v>7</v>
      </c>
      <c r="DE65" s="967"/>
      <c r="DF65" s="8">
        <f t="shared" si="38"/>
        <v>0</v>
      </c>
      <c r="DG65" s="8"/>
      <c r="DH65" s="8" t="s">
        <v>107</v>
      </c>
      <c r="DI65" s="8" t="s">
        <v>107</v>
      </c>
      <c r="DJ65" s="8" t="s">
        <v>107</v>
      </c>
      <c r="DK65" s="8" t="s">
        <v>107</v>
      </c>
      <c r="DL65" s="8"/>
      <c r="DM65" s="8"/>
      <c r="DN65" s="8"/>
      <c r="DO65" s="8" t="s">
        <v>107</v>
      </c>
      <c r="DP65" s="8" t="s">
        <v>107</v>
      </c>
      <c r="DQ65" s="8"/>
      <c r="DR65" s="8"/>
      <c r="DS65" s="8"/>
      <c r="DT65" s="8"/>
      <c r="DU65" s="8"/>
      <c r="DV65" s="8"/>
      <c r="DW65" s="8"/>
      <c r="DX65" s="8">
        <v>0</v>
      </c>
      <c r="DY65" s="8" t="s">
        <v>107</v>
      </c>
      <c r="DZ65" s="8"/>
      <c r="EA65" s="8"/>
      <c r="EB65" s="8">
        <v>0</v>
      </c>
      <c r="EC65" s="8">
        <v>0</v>
      </c>
      <c r="ED65" s="8">
        <v>0</v>
      </c>
      <c r="EE65" s="967"/>
      <c r="EF65" s="8">
        <f t="shared" si="39"/>
        <v>0</v>
      </c>
      <c r="EG65" s="8"/>
      <c r="EH65" s="8" t="s">
        <v>107</v>
      </c>
      <c r="EI65" s="8" t="s">
        <v>107</v>
      </c>
      <c r="EJ65" s="8" t="s">
        <v>107</v>
      </c>
      <c r="EK65" s="8" t="s">
        <v>107</v>
      </c>
      <c r="EL65" s="8"/>
      <c r="EM65" s="8"/>
      <c r="EN65" s="8"/>
      <c r="EO65" s="8" t="s">
        <v>107</v>
      </c>
      <c r="EP65" s="8" t="s">
        <v>107</v>
      </c>
      <c r="EQ65" s="8"/>
      <c r="ER65" s="8"/>
      <c r="ES65" s="8"/>
      <c r="ET65" s="8"/>
      <c r="EU65" s="8"/>
      <c r="EV65" s="8"/>
      <c r="EW65" s="8"/>
      <c r="EX65" s="8">
        <v>0</v>
      </c>
      <c r="EY65" s="8" t="s">
        <v>107</v>
      </c>
      <c r="EZ65" s="8"/>
      <c r="FA65" s="8"/>
      <c r="FB65" s="8">
        <v>0</v>
      </c>
      <c r="FC65" s="8">
        <v>0</v>
      </c>
      <c r="FD65" s="8">
        <v>0</v>
      </c>
      <c r="FE65" s="967"/>
      <c r="FF65" s="8">
        <f t="shared" si="34"/>
        <v>2</v>
      </c>
      <c r="FG65" s="8"/>
      <c r="FH65" s="8" t="s">
        <v>107</v>
      </c>
      <c r="FI65" s="8" t="s">
        <v>107</v>
      </c>
      <c r="FJ65" s="8" t="s">
        <v>107</v>
      </c>
      <c r="FK65" s="8" t="s">
        <v>107</v>
      </c>
      <c r="FL65" s="8"/>
      <c r="FM65" s="8"/>
      <c r="FN65" s="8"/>
      <c r="FO65" s="8" t="s">
        <v>107</v>
      </c>
      <c r="FP65" s="8" t="s">
        <v>107</v>
      </c>
      <c r="FQ65" s="8"/>
      <c r="FR65" s="8"/>
      <c r="FS65" s="8"/>
      <c r="FT65" s="8"/>
      <c r="FU65" s="8"/>
      <c r="FV65" s="8"/>
      <c r="FW65" s="8"/>
      <c r="FX65" s="8">
        <v>0</v>
      </c>
      <c r="FY65" s="8" t="s">
        <v>107</v>
      </c>
      <c r="FZ65" s="8"/>
      <c r="GA65" s="8"/>
      <c r="GB65" s="8">
        <v>0</v>
      </c>
      <c r="GC65" s="8">
        <v>1</v>
      </c>
      <c r="GD65" s="8">
        <v>1</v>
      </c>
      <c r="GE65" s="967"/>
      <c r="GF65" s="8">
        <f t="shared" si="40"/>
        <v>1</v>
      </c>
      <c r="GG65" s="8"/>
      <c r="GH65" s="8" t="s">
        <v>107</v>
      </c>
      <c r="GI65" s="8" t="s">
        <v>107</v>
      </c>
      <c r="GJ65" s="8" t="s">
        <v>107</v>
      </c>
      <c r="GK65" s="8" t="s">
        <v>107</v>
      </c>
      <c r="GL65" s="8"/>
      <c r="GM65" s="8"/>
      <c r="GN65" s="8"/>
      <c r="GO65" s="8" t="s">
        <v>107</v>
      </c>
      <c r="GP65" s="8" t="s">
        <v>107</v>
      </c>
      <c r="GQ65" s="8"/>
      <c r="GR65" s="8"/>
      <c r="GS65" s="8"/>
      <c r="GT65" s="8"/>
      <c r="GU65" s="8"/>
      <c r="GV65" s="8"/>
      <c r="GW65" s="8"/>
      <c r="GX65" s="8">
        <v>0</v>
      </c>
      <c r="GY65" s="8" t="s">
        <v>107</v>
      </c>
      <c r="GZ65" s="8"/>
      <c r="HA65" s="8"/>
      <c r="HB65" s="8">
        <v>0</v>
      </c>
      <c r="HC65" s="8">
        <v>1</v>
      </c>
      <c r="HD65" s="8">
        <v>0</v>
      </c>
      <c r="HE65" s="967"/>
      <c r="HF65" s="8">
        <f t="shared" si="41"/>
        <v>0</v>
      </c>
      <c r="HG65" s="8"/>
      <c r="HH65" s="8" t="s">
        <v>107</v>
      </c>
      <c r="HI65" s="8" t="s">
        <v>107</v>
      </c>
      <c r="HJ65" s="8" t="s">
        <v>107</v>
      </c>
      <c r="HK65" s="8" t="s">
        <v>107</v>
      </c>
      <c r="HL65" s="8"/>
      <c r="HM65" s="8"/>
      <c r="HN65" s="8"/>
      <c r="HO65" s="8" t="s">
        <v>107</v>
      </c>
      <c r="HP65" s="8" t="s">
        <v>107</v>
      </c>
      <c r="HQ65" s="8"/>
      <c r="HR65" s="8"/>
      <c r="HS65" s="8"/>
      <c r="HT65" s="8"/>
      <c r="HU65" s="8"/>
      <c r="HV65" s="8"/>
      <c r="HW65" s="8"/>
      <c r="HX65" s="8">
        <v>0</v>
      </c>
      <c r="HY65" s="8" t="s">
        <v>107</v>
      </c>
      <c r="HZ65" s="8"/>
      <c r="IA65" s="8"/>
      <c r="IB65" s="8">
        <v>0</v>
      </c>
      <c r="IC65" s="8">
        <v>0</v>
      </c>
      <c r="ID65" s="8">
        <v>0</v>
      </c>
      <c r="IE65" s="967"/>
      <c r="IF65" s="8">
        <f t="shared" si="42"/>
        <v>0</v>
      </c>
      <c r="IG65" s="8"/>
      <c r="IH65" s="8" t="s">
        <v>107</v>
      </c>
      <c r="II65" s="8" t="s">
        <v>107</v>
      </c>
      <c r="IJ65" s="8" t="s">
        <v>107</v>
      </c>
      <c r="IK65" s="8" t="s">
        <v>107</v>
      </c>
      <c r="IL65" s="8"/>
      <c r="IM65" s="8"/>
      <c r="IN65" s="8"/>
      <c r="IO65" s="8" t="s">
        <v>107</v>
      </c>
      <c r="IP65" s="8" t="s">
        <v>107</v>
      </c>
      <c r="IQ65" s="8"/>
      <c r="IR65" s="8"/>
      <c r="IS65" s="8"/>
      <c r="IT65" s="8"/>
      <c r="IU65" s="8"/>
      <c r="IV65" s="8"/>
      <c r="IW65" s="8"/>
      <c r="IX65" s="8">
        <v>0</v>
      </c>
      <c r="IY65" s="8" t="s">
        <v>107</v>
      </c>
      <c r="IZ65" s="8"/>
      <c r="JA65" s="8"/>
      <c r="JB65" s="8">
        <v>0</v>
      </c>
      <c r="JC65" s="8">
        <v>0</v>
      </c>
      <c r="JD65" s="8">
        <v>0</v>
      </c>
      <c r="JE65" s="967"/>
      <c r="JF65" s="8">
        <f t="shared" si="43"/>
        <v>0</v>
      </c>
      <c r="JG65" s="8"/>
      <c r="JH65" s="8" t="s">
        <v>107</v>
      </c>
      <c r="JI65" s="8" t="s">
        <v>107</v>
      </c>
      <c r="JJ65" s="8" t="s">
        <v>107</v>
      </c>
      <c r="JK65" s="8" t="s">
        <v>107</v>
      </c>
      <c r="JL65" s="8"/>
      <c r="JM65" s="8"/>
      <c r="JN65" s="8"/>
      <c r="JO65" s="8" t="s">
        <v>107</v>
      </c>
      <c r="JP65" s="8" t="s">
        <v>107</v>
      </c>
      <c r="JQ65" s="8"/>
      <c r="JR65" s="8"/>
      <c r="JS65" s="8"/>
      <c r="JT65" s="8"/>
      <c r="JU65" s="8"/>
      <c r="JV65" s="8"/>
      <c r="JW65" s="8"/>
      <c r="JX65" s="8">
        <v>0</v>
      </c>
      <c r="JY65" s="8" t="s">
        <v>107</v>
      </c>
      <c r="JZ65" s="8"/>
      <c r="KA65" s="8"/>
      <c r="KB65" s="8">
        <v>0</v>
      </c>
      <c r="KC65" s="8">
        <v>0</v>
      </c>
      <c r="KD65" s="8">
        <v>0</v>
      </c>
      <c r="KE65" s="967"/>
      <c r="KF65" s="8">
        <f t="shared" si="44"/>
        <v>0</v>
      </c>
      <c r="KG65" s="8"/>
      <c r="KH65" s="8" t="s">
        <v>107</v>
      </c>
      <c r="KI65" s="8" t="s">
        <v>107</v>
      </c>
      <c r="KJ65" s="8" t="s">
        <v>107</v>
      </c>
      <c r="KK65" s="8" t="s">
        <v>107</v>
      </c>
      <c r="KL65" s="8"/>
      <c r="KM65" s="8"/>
      <c r="KN65" s="8"/>
      <c r="KO65" s="8" t="s">
        <v>107</v>
      </c>
      <c r="KP65" s="8" t="s">
        <v>107</v>
      </c>
      <c r="KQ65" s="8"/>
      <c r="KR65" s="8"/>
      <c r="KS65" s="8"/>
      <c r="KT65" s="8"/>
      <c r="KU65" s="8"/>
      <c r="KV65" s="8"/>
      <c r="KW65" s="8"/>
      <c r="KX65" s="8">
        <v>0</v>
      </c>
      <c r="KY65" s="8" t="s">
        <v>107</v>
      </c>
      <c r="KZ65" s="8"/>
      <c r="LA65" s="8"/>
      <c r="LB65" s="8">
        <v>0</v>
      </c>
      <c r="LC65" s="8">
        <v>0</v>
      </c>
      <c r="LD65" s="8">
        <v>0</v>
      </c>
      <c r="LE65" s="967"/>
      <c r="LF65" s="8">
        <f t="shared" si="45"/>
        <v>0</v>
      </c>
      <c r="LG65" s="8"/>
      <c r="LH65" s="8" t="s">
        <v>107</v>
      </c>
      <c r="LI65" s="8" t="s">
        <v>107</v>
      </c>
      <c r="LJ65" s="8" t="s">
        <v>107</v>
      </c>
      <c r="LK65" s="8" t="s">
        <v>107</v>
      </c>
      <c r="LL65" s="8"/>
      <c r="LM65" s="8"/>
      <c r="LN65" s="8"/>
      <c r="LO65" s="8" t="s">
        <v>107</v>
      </c>
      <c r="LP65" s="8" t="s">
        <v>107</v>
      </c>
      <c r="LQ65" s="8"/>
      <c r="LR65" s="8"/>
      <c r="LS65" s="8"/>
      <c r="LT65" s="8"/>
      <c r="LU65" s="8"/>
      <c r="LV65" s="8"/>
      <c r="LW65" s="8"/>
      <c r="LX65" s="8">
        <v>0</v>
      </c>
      <c r="LY65" s="8" t="s">
        <v>107</v>
      </c>
      <c r="LZ65" s="8"/>
      <c r="MA65" s="8"/>
      <c r="MB65" s="8">
        <v>0</v>
      </c>
      <c r="MC65" s="8">
        <v>0</v>
      </c>
      <c r="MD65" s="8">
        <v>0</v>
      </c>
      <c r="ME65" s="967"/>
      <c r="MF65" s="8">
        <f t="shared" si="46"/>
        <v>0</v>
      </c>
      <c r="MG65" s="8"/>
      <c r="MH65" s="8" t="s">
        <v>107</v>
      </c>
      <c r="MI65" s="8" t="s">
        <v>107</v>
      </c>
      <c r="MJ65" s="8" t="s">
        <v>107</v>
      </c>
      <c r="MK65" s="8" t="s">
        <v>107</v>
      </c>
      <c r="ML65" s="8"/>
      <c r="MM65" s="8"/>
      <c r="MN65" s="8"/>
      <c r="MO65" s="8" t="s">
        <v>107</v>
      </c>
      <c r="MP65" s="8" t="s">
        <v>107</v>
      </c>
      <c r="MQ65" s="8"/>
      <c r="MR65" s="8"/>
      <c r="MS65" s="8"/>
      <c r="MT65" s="8"/>
      <c r="MU65" s="8"/>
      <c r="MV65" s="8"/>
      <c r="MW65" s="8"/>
      <c r="MX65" s="8">
        <v>0</v>
      </c>
      <c r="MY65" s="8" t="s">
        <v>107</v>
      </c>
      <c r="MZ65" s="8"/>
      <c r="NA65" s="8"/>
      <c r="NB65" s="8">
        <v>0</v>
      </c>
      <c r="NC65" s="8">
        <v>0</v>
      </c>
      <c r="ND65" s="8">
        <v>0</v>
      </c>
      <c r="NE65" s="967"/>
      <c r="NF65" s="8">
        <f t="shared" si="47"/>
        <v>0</v>
      </c>
      <c r="NG65" s="8"/>
      <c r="NH65" s="8" t="s">
        <v>107</v>
      </c>
      <c r="NI65" s="8" t="s">
        <v>107</v>
      </c>
      <c r="NJ65" s="8" t="s">
        <v>107</v>
      </c>
      <c r="NK65" s="8" t="s">
        <v>107</v>
      </c>
      <c r="NL65" s="8"/>
      <c r="NM65" s="8"/>
      <c r="NN65" s="8"/>
      <c r="NO65" s="8" t="s">
        <v>107</v>
      </c>
      <c r="NP65" s="8" t="s">
        <v>107</v>
      </c>
      <c r="NQ65" s="8"/>
      <c r="NR65" s="8"/>
      <c r="NS65" s="8"/>
      <c r="NT65" s="8"/>
      <c r="NU65" s="8"/>
      <c r="NV65" s="8"/>
      <c r="NW65" s="8"/>
      <c r="NX65" s="8">
        <v>0</v>
      </c>
      <c r="NY65" s="8" t="s">
        <v>107</v>
      </c>
      <c r="NZ65" s="8"/>
      <c r="OA65" s="8"/>
      <c r="OB65" s="8">
        <v>0</v>
      </c>
      <c r="OC65" s="8">
        <v>0</v>
      </c>
      <c r="OD65" s="8">
        <v>0</v>
      </c>
      <c r="OE65" s="967"/>
      <c r="OF65" s="8">
        <f t="shared" si="48"/>
        <v>0</v>
      </c>
      <c r="OG65" s="8"/>
      <c r="OH65" s="8" t="s">
        <v>107</v>
      </c>
      <c r="OI65" s="8" t="s">
        <v>107</v>
      </c>
      <c r="OJ65" s="8" t="s">
        <v>107</v>
      </c>
      <c r="OK65" s="8" t="s">
        <v>107</v>
      </c>
      <c r="OL65" s="8"/>
      <c r="OM65" s="8"/>
      <c r="ON65" s="8"/>
      <c r="OO65" s="8" t="s">
        <v>107</v>
      </c>
      <c r="OP65" s="8" t="s">
        <v>107</v>
      </c>
      <c r="OQ65" s="8"/>
      <c r="OR65" s="8"/>
      <c r="OS65" s="8"/>
      <c r="OT65" s="8"/>
      <c r="OU65" s="8"/>
      <c r="OV65" s="8"/>
      <c r="OW65" s="8"/>
      <c r="OX65" s="8">
        <v>0</v>
      </c>
      <c r="OY65" s="8" t="s">
        <v>107</v>
      </c>
      <c r="OZ65" s="8"/>
      <c r="PA65" s="8"/>
      <c r="PB65" s="8">
        <v>0</v>
      </c>
      <c r="PC65" s="8">
        <v>0</v>
      </c>
      <c r="PD65" s="8">
        <v>0</v>
      </c>
      <c r="PE65" s="967"/>
      <c r="PF65" s="8">
        <f t="shared" si="49"/>
        <v>0</v>
      </c>
      <c r="PG65" s="8"/>
      <c r="PH65" s="8" t="s">
        <v>107</v>
      </c>
      <c r="PI65" s="8" t="s">
        <v>107</v>
      </c>
      <c r="PJ65" s="8" t="s">
        <v>107</v>
      </c>
      <c r="PK65" s="8" t="s">
        <v>107</v>
      </c>
      <c r="PL65" s="8"/>
      <c r="PM65" s="8"/>
      <c r="PN65" s="8"/>
      <c r="PO65" s="8" t="s">
        <v>107</v>
      </c>
      <c r="PP65" s="8" t="s">
        <v>107</v>
      </c>
      <c r="PQ65" s="8"/>
      <c r="PR65" s="8"/>
      <c r="PS65" s="8"/>
      <c r="PT65" s="8"/>
      <c r="PU65" s="8"/>
      <c r="PV65" s="8"/>
      <c r="PW65" s="8"/>
      <c r="PX65" s="8">
        <v>0</v>
      </c>
      <c r="PY65" s="8" t="s">
        <v>107</v>
      </c>
      <c r="PZ65" s="8"/>
      <c r="QA65" s="8"/>
      <c r="QB65" s="8">
        <v>0</v>
      </c>
      <c r="QC65" s="8">
        <v>0</v>
      </c>
      <c r="QD65" s="8">
        <v>0</v>
      </c>
      <c r="QE65" s="967"/>
    </row>
    <row r="66" spans="2:447" x14ac:dyDescent="0.3">
      <c r="B66">
        <v>58</v>
      </c>
      <c r="D66" t="s">
        <v>1988</v>
      </c>
      <c r="F66" s="8">
        <f t="shared" si="53"/>
        <v>32</v>
      </c>
      <c r="G66" s="8"/>
      <c r="H66" s="8" t="s">
        <v>107</v>
      </c>
      <c r="I66" s="8" t="s">
        <v>107</v>
      </c>
      <c r="J66" s="8" t="s">
        <v>107</v>
      </c>
      <c r="K66" s="8" t="s">
        <v>107</v>
      </c>
      <c r="L66" s="8" t="s">
        <v>107</v>
      </c>
      <c r="M66" s="8" t="s">
        <v>107</v>
      </c>
      <c r="N66" s="8" t="s">
        <v>107</v>
      </c>
      <c r="O66" s="8" t="s">
        <v>107</v>
      </c>
      <c r="P66" s="8" t="s">
        <v>107</v>
      </c>
      <c r="Q66" s="8" t="s">
        <v>107</v>
      </c>
      <c r="R66" s="8" t="s">
        <v>107</v>
      </c>
      <c r="S66" s="8" t="s">
        <v>107</v>
      </c>
      <c r="T66" s="8" t="s">
        <v>107</v>
      </c>
      <c r="U66" s="8"/>
      <c r="V66" s="8"/>
      <c r="W66" s="8"/>
      <c r="X66" s="8" t="s">
        <v>107</v>
      </c>
      <c r="Y66" s="8" t="s">
        <v>107</v>
      </c>
      <c r="Z66" s="8"/>
      <c r="AA66" s="8"/>
      <c r="AB66" s="8">
        <v>17</v>
      </c>
      <c r="AC66" s="8" t="s">
        <v>107</v>
      </c>
      <c r="AD66" s="8">
        <v>15</v>
      </c>
      <c r="AE66" s="967"/>
      <c r="AF66" s="8">
        <f t="shared" si="35"/>
        <v>45</v>
      </c>
      <c r="AG66" s="8"/>
      <c r="AH66" s="8" t="s">
        <v>107</v>
      </c>
      <c r="AI66" s="8" t="s">
        <v>107</v>
      </c>
      <c r="AJ66" s="8" t="s">
        <v>107</v>
      </c>
      <c r="AK66" s="8" t="s">
        <v>107</v>
      </c>
      <c r="AL66" s="8"/>
      <c r="AM66" s="8"/>
      <c r="AN66" s="8"/>
      <c r="AO66" s="8" t="s">
        <v>107</v>
      </c>
      <c r="AP66" s="8" t="s">
        <v>107</v>
      </c>
      <c r="AQ66" s="8"/>
      <c r="AR66" s="8"/>
      <c r="AS66" s="8"/>
      <c r="AT66" s="8"/>
      <c r="AU66" s="8"/>
      <c r="AV66" s="8"/>
      <c r="AW66" s="8"/>
      <c r="AX66" s="8" t="s">
        <v>107</v>
      </c>
      <c r="AY66" s="8" t="s">
        <v>107</v>
      </c>
      <c r="AZ66" s="8"/>
      <c r="BA66" s="8"/>
      <c r="BB66" s="8">
        <v>24</v>
      </c>
      <c r="BC66" s="8" t="s">
        <v>107</v>
      </c>
      <c r="BD66" s="8">
        <v>21</v>
      </c>
      <c r="BE66" s="967"/>
      <c r="BF66" s="8">
        <f t="shared" si="36"/>
        <v>10</v>
      </c>
      <c r="BG66" s="8"/>
      <c r="BH66" s="8" t="s">
        <v>107</v>
      </c>
      <c r="BI66" s="8"/>
      <c r="BJ66" s="8"/>
      <c r="BK66" s="8" t="s">
        <v>107</v>
      </c>
      <c r="BL66" s="8"/>
      <c r="BM66" s="8"/>
      <c r="BN66" s="8"/>
      <c r="BO66" s="8" t="s">
        <v>107</v>
      </c>
      <c r="BP66" s="8" t="s">
        <v>107</v>
      </c>
      <c r="BQ66" s="8"/>
      <c r="BR66" s="8"/>
      <c r="BS66" s="8"/>
      <c r="BT66" s="8"/>
      <c r="BU66" s="8"/>
      <c r="BV66" s="8"/>
      <c r="BW66" s="8"/>
      <c r="BX66" s="8" t="s">
        <v>107</v>
      </c>
      <c r="BY66" s="8" t="s">
        <v>107</v>
      </c>
      <c r="BZ66" s="8"/>
      <c r="CA66" s="8"/>
      <c r="CB66" s="8">
        <v>6</v>
      </c>
      <c r="CC66" s="8" t="s">
        <v>107</v>
      </c>
      <c r="CD66" s="8">
        <v>4</v>
      </c>
      <c r="CE66" s="967"/>
      <c r="CF66" s="8">
        <f t="shared" si="37"/>
        <v>55</v>
      </c>
      <c r="CG66" s="8"/>
      <c r="CH66" s="8" t="s">
        <v>107</v>
      </c>
      <c r="CI66" s="8"/>
      <c r="CJ66" s="8"/>
      <c r="CK66" s="8" t="s">
        <v>107</v>
      </c>
      <c r="CL66" s="8"/>
      <c r="CM66" s="8"/>
      <c r="CN66" s="8"/>
      <c r="CO66" s="8" t="s">
        <v>107</v>
      </c>
      <c r="CP66" s="8" t="s">
        <v>107</v>
      </c>
      <c r="CQ66" s="8"/>
      <c r="CR66" s="8"/>
      <c r="CS66" s="8"/>
      <c r="CT66" s="8"/>
      <c r="CU66" s="8"/>
      <c r="CV66" s="8"/>
      <c r="CW66" s="8"/>
      <c r="CX66" s="8" t="s">
        <v>107</v>
      </c>
      <c r="CY66" s="8" t="s">
        <v>107</v>
      </c>
      <c r="CZ66" s="8"/>
      <c r="DA66" s="8"/>
      <c r="DB66" s="8">
        <f t="shared" si="51"/>
        <v>30</v>
      </c>
      <c r="DC66" s="8" t="s">
        <v>107</v>
      </c>
      <c r="DD66" s="8">
        <f t="shared" si="50"/>
        <v>25</v>
      </c>
      <c r="DE66" s="967"/>
      <c r="DF66" s="8">
        <f t="shared" si="38"/>
        <v>0</v>
      </c>
      <c r="DG66" s="8"/>
      <c r="DH66" s="8" t="s">
        <v>107</v>
      </c>
      <c r="DI66" s="8" t="s">
        <v>107</v>
      </c>
      <c r="DJ66" s="8" t="s">
        <v>107</v>
      </c>
      <c r="DK66" s="8" t="s">
        <v>107</v>
      </c>
      <c r="DL66" s="8"/>
      <c r="DM66" s="8"/>
      <c r="DN66" s="8"/>
      <c r="DO66" s="8" t="s">
        <v>107</v>
      </c>
      <c r="DP66" s="8" t="s">
        <v>107</v>
      </c>
      <c r="DQ66" s="8"/>
      <c r="DR66" s="8"/>
      <c r="DS66" s="8"/>
      <c r="DT66" s="8"/>
      <c r="DU66" s="8"/>
      <c r="DV66" s="8"/>
      <c r="DW66" s="8"/>
      <c r="DX66" s="8" t="s">
        <v>107</v>
      </c>
      <c r="DY66" s="8" t="s">
        <v>107</v>
      </c>
      <c r="DZ66" s="8"/>
      <c r="EA66" s="8"/>
      <c r="EB66" s="8">
        <v>0</v>
      </c>
      <c r="EC66" s="8" t="s">
        <v>107</v>
      </c>
      <c r="ED66" s="8">
        <v>0</v>
      </c>
      <c r="EE66" s="967"/>
      <c r="EF66" s="8">
        <f t="shared" si="39"/>
        <v>2</v>
      </c>
      <c r="EG66" s="8"/>
      <c r="EH66" s="8" t="s">
        <v>107</v>
      </c>
      <c r="EI66" s="8" t="s">
        <v>107</v>
      </c>
      <c r="EJ66" s="8" t="s">
        <v>107</v>
      </c>
      <c r="EK66" s="8" t="s">
        <v>107</v>
      </c>
      <c r="EL66" s="8"/>
      <c r="EM66" s="8"/>
      <c r="EN66" s="8"/>
      <c r="EO66" s="8" t="s">
        <v>107</v>
      </c>
      <c r="EP66" s="8" t="s">
        <v>107</v>
      </c>
      <c r="EQ66" s="8"/>
      <c r="ER66" s="8"/>
      <c r="ES66" s="8"/>
      <c r="ET66" s="8"/>
      <c r="EU66" s="8"/>
      <c r="EV66" s="8"/>
      <c r="EW66" s="8"/>
      <c r="EX66" s="8" t="s">
        <v>107</v>
      </c>
      <c r="EY66" s="8" t="s">
        <v>107</v>
      </c>
      <c r="EZ66" s="8"/>
      <c r="FA66" s="8"/>
      <c r="FB66" s="8">
        <v>0</v>
      </c>
      <c r="FC66" s="8" t="s">
        <v>107</v>
      </c>
      <c r="FD66" s="8">
        <v>2</v>
      </c>
      <c r="FE66" s="967"/>
      <c r="FF66" s="8">
        <f t="shared" si="34"/>
        <v>9</v>
      </c>
      <c r="FG66" s="8"/>
      <c r="FH66" s="8" t="s">
        <v>107</v>
      </c>
      <c r="FI66" s="8" t="s">
        <v>107</v>
      </c>
      <c r="FJ66" s="8" t="s">
        <v>107</v>
      </c>
      <c r="FK66" s="8" t="s">
        <v>107</v>
      </c>
      <c r="FL66" s="8"/>
      <c r="FM66" s="8"/>
      <c r="FN66" s="8"/>
      <c r="FO66" s="8" t="s">
        <v>107</v>
      </c>
      <c r="FP66" s="8" t="s">
        <v>107</v>
      </c>
      <c r="FQ66" s="8"/>
      <c r="FR66" s="8"/>
      <c r="FS66" s="8"/>
      <c r="FT66" s="8"/>
      <c r="FU66" s="8"/>
      <c r="FV66" s="8"/>
      <c r="FW66" s="8"/>
      <c r="FX66" s="8" t="s">
        <v>107</v>
      </c>
      <c r="FY66" s="8" t="s">
        <v>107</v>
      </c>
      <c r="FZ66" s="8"/>
      <c r="GA66" s="8"/>
      <c r="GB66" s="8">
        <v>4</v>
      </c>
      <c r="GC66" s="8" t="s">
        <v>107</v>
      </c>
      <c r="GD66" s="8">
        <v>5</v>
      </c>
      <c r="GE66" s="967"/>
      <c r="GF66" s="8">
        <f t="shared" si="40"/>
        <v>4</v>
      </c>
      <c r="GG66" s="8"/>
      <c r="GH66" s="8" t="s">
        <v>107</v>
      </c>
      <c r="GI66" s="8" t="s">
        <v>107</v>
      </c>
      <c r="GJ66" s="8" t="s">
        <v>107</v>
      </c>
      <c r="GK66" s="8" t="s">
        <v>107</v>
      </c>
      <c r="GL66" s="8"/>
      <c r="GM66" s="8"/>
      <c r="GN66" s="8"/>
      <c r="GO66" s="8" t="s">
        <v>107</v>
      </c>
      <c r="GP66" s="8" t="s">
        <v>107</v>
      </c>
      <c r="GQ66" s="8"/>
      <c r="GR66" s="8"/>
      <c r="GS66" s="8"/>
      <c r="GT66" s="8"/>
      <c r="GU66" s="8"/>
      <c r="GV66" s="8"/>
      <c r="GW66" s="8"/>
      <c r="GX66" s="8" t="s">
        <v>107</v>
      </c>
      <c r="GY66" s="8" t="s">
        <v>107</v>
      </c>
      <c r="GZ66" s="8"/>
      <c r="HA66" s="8"/>
      <c r="HB66" s="8">
        <v>4</v>
      </c>
      <c r="HC66" s="8" t="s">
        <v>107</v>
      </c>
      <c r="HD66" s="8">
        <v>0</v>
      </c>
      <c r="HE66" s="967"/>
      <c r="HF66" s="8">
        <f t="shared" si="41"/>
        <v>0</v>
      </c>
      <c r="HG66" s="8"/>
      <c r="HH66" s="8" t="s">
        <v>107</v>
      </c>
      <c r="HI66" s="8" t="s">
        <v>107</v>
      </c>
      <c r="HJ66" s="8" t="s">
        <v>107</v>
      </c>
      <c r="HK66" s="8" t="s">
        <v>107</v>
      </c>
      <c r="HL66" s="8"/>
      <c r="HM66" s="8"/>
      <c r="HN66" s="8"/>
      <c r="HO66" s="8" t="s">
        <v>107</v>
      </c>
      <c r="HP66" s="8" t="s">
        <v>107</v>
      </c>
      <c r="HQ66" s="8"/>
      <c r="HR66" s="8"/>
      <c r="HS66" s="8"/>
      <c r="HT66" s="8"/>
      <c r="HU66" s="8"/>
      <c r="HV66" s="8"/>
      <c r="HW66" s="8"/>
      <c r="HX66" s="8" t="s">
        <v>107</v>
      </c>
      <c r="HY66" s="8" t="s">
        <v>107</v>
      </c>
      <c r="HZ66" s="8"/>
      <c r="IA66" s="8"/>
      <c r="IB66" s="8">
        <v>0</v>
      </c>
      <c r="IC66" s="8" t="s">
        <v>107</v>
      </c>
      <c r="ID66" s="8">
        <v>0</v>
      </c>
      <c r="IE66" s="967"/>
      <c r="IF66" s="8">
        <f t="shared" si="42"/>
        <v>0</v>
      </c>
      <c r="IG66" s="8"/>
      <c r="IH66" s="8" t="s">
        <v>107</v>
      </c>
      <c r="II66" s="8" t="s">
        <v>107</v>
      </c>
      <c r="IJ66" s="8" t="s">
        <v>107</v>
      </c>
      <c r="IK66" s="8" t="s">
        <v>107</v>
      </c>
      <c r="IL66" s="8"/>
      <c r="IM66" s="8"/>
      <c r="IN66" s="8"/>
      <c r="IO66" s="8" t="s">
        <v>107</v>
      </c>
      <c r="IP66" s="8" t="s">
        <v>107</v>
      </c>
      <c r="IQ66" s="8"/>
      <c r="IR66" s="8"/>
      <c r="IS66" s="8"/>
      <c r="IT66" s="8"/>
      <c r="IU66" s="8"/>
      <c r="IV66" s="8"/>
      <c r="IW66" s="8"/>
      <c r="IX66" s="8" t="s">
        <v>107</v>
      </c>
      <c r="IY66" s="8" t="s">
        <v>107</v>
      </c>
      <c r="IZ66" s="8"/>
      <c r="JA66" s="8"/>
      <c r="JB66" s="8">
        <v>0</v>
      </c>
      <c r="JC66" s="8" t="s">
        <v>107</v>
      </c>
      <c r="JD66" s="8">
        <v>0</v>
      </c>
      <c r="JE66" s="967"/>
      <c r="JF66" s="8">
        <f t="shared" si="43"/>
        <v>0</v>
      </c>
      <c r="JG66" s="8"/>
      <c r="JH66" s="8" t="s">
        <v>107</v>
      </c>
      <c r="JI66" s="8" t="s">
        <v>107</v>
      </c>
      <c r="JJ66" s="8" t="s">
        <v>107</v>
      </c>
      <c r="JK66" s="8" t="s">
        <v>107</v>
      </c>
      <c r="JL66" s="8"/>
      <c r="JM66" s="8"/>
      <c r="JN66" s="8"/>
      <c r="JO66" s="8" t="s">
        <v>107</v>
      </c>
      <c r="JP66" s="8" t="s">
        <v>107</v>
      </c>
      <c r="JQ66" s="8"/>
      <c r="JR66" s="8"/>
      <c r="JS66" s="8"/>
      <c r="JT66" s="8"/>
      <c r="JU66" s="8"/>
      <c r="JV66" s="8"/>
      <c r="JW66" s="8"/>
      <c r="JX66" s="8" t="s">
        <v>107</v>
      </c>
      <c r="JY66" s="8" t="s">
        <v>107</v>
      </c>
      <c r="JZ66" s="8"/>
      <c r="KA66" s="8"/>
      <c r="KB66" s="8">
        <v>0</v>
      </c>
      <c r="KC66" s="8" t="s">
        <v>107</v>
      </c>
      <c r="KD66" s="8">
        <v>0</v>
      </c>
      <c r="KE66" s="967"/>
      <c r="KF66" s="8">
        <f t="shared" si="44"/>
        <v>0</v>
      </c>
      <c r="KG66" s="8"/>
      <c r="KH66" s="8" t="s">
        <v>107</v>
      </c>
      <c r="KI66" s="8" t="s">
        <v>107</v>
      </c>
      <c r="KJ66" s="8" t="s">
        <v>107</v>
      </c>
      <c r="KK66" s="8" t="s">
        <v>107</v>
      </c>
      <c r="KL66" s="8"/>
      <c r="KM66" s="8"/>
      <c r="KN66" s="8"/>
      <c r="KO66" s="8" t="s">
        <v>107</v>
      </c>
      <c r="KP66" s="8" t="s">
        <v>107</v>
      </c>
      <c r="KQ66" s="8"/>
      <c r="KR66" s="8"/>
      <c r="KS66" s="8"/>
      <c r="KT66" s="8"/>
      <c r="KU66" s="8"/>
      <c r="KV66" s="8"/>
      <c r="KW66" s="8"/>
      <c r="KX66" s="8" t="s">
        <v>107</v>
      </c>
      <c r="KY66" s="8" t="s">
        <v>107</v>
      </c>
      <c r="KZ66" s="8"/>
      <c r="LA66" s="8"/>
      <c r="LB66" s="8">
        <v>0</v>
      </c>
      <c r="LC66" s="8" t="s">
        <v>107</v>
      </c>
      <c r="LD66" s="8">
        <v>0</v>
      </c>
      <c r="LE66" s="967"/>
      <c r="LF66" s="8">
        <f t="shared" si="45"/>
        <v>0</v>
      </c>
      <c r="LG66" s="8"/>
      <c r="LH66" s="8" t="s">
        <v>107</v>
      </c>
      <c r="LI66" s="8" t="s">
        <v>107</v>
      </c>
      <c r="LJ66" s="8" t="s">
        <v>107</v>
      </c>
      <c r="LK66" s="8" t="s">
        <v>107</v>
      </c>
      <c r="LL66" s="8"/>
      <c r="LM66" s="8"/>
      <c r="LN66" s="8"/>
      <c r="LO66" s="8" t="s">
        <v>107</v>
      </c>
      <c r="LP66" s="8" t="s">
        <v>107</v>
      </c>
      <c r="LQ66" s="8"/>
      <c r="LR66" s="8"/>
      <c r="LS66" s="8"/>
      <c r="LT66" s="8"/>
      <c r="LU66" s="8"/>
      <c r="LV66" s="8"/>
      <c r="LW66" s="8"/>
      <c r="LX66" s="8" t="s">
        <v>107</v>
      </c>
      <c r="LY66" s="8" t="s">
        <v>107</v>
      </c>
      <c r="LZ66" s="8"/>
      <c r="MA66" s="8"/>
      <c r="MB66" s="8">
        <v>0</v>
      </c>
      <c r="MC66" s="8" t="s">
        <v>107</v>
      </c>
      <c r="MD66" s="8">
        <v>0</v>
      </c>
      <c r="ME66" s="967"/>
      <c r="MF66" s="8">
        <f t="shared" si="46"/>
        <v>0</v>
      </c>
      <c r="MG66" s="8"/>
      <c r="MH66" s="8" t="s">
        <v>107</v>
      </c>
      <c r="MI66" s="8" t="s">
        <v>107</v>
      </c>
      <c r="MJ66" s="8" t="s">
        <v>107</v>
      </c>
      <c r="MK66" s="8" t="s">
        <v>107</v>
      </c>
      <c r="ML66" s="8"/>
      <c r="MM66" s="8"/>
      <c r="MN66" s="8"/>
      <c r="MO66" s="8" t="s">
        <v>107</v>
      </c>
      <c r="MP66" s="8" t="s">
        <v>107</v>
      </c>
      <c r="MQ66" s="8"/>
      <c r="MR66" s="8"/>
      <c r="MS66" s="8"/>
      <c r="MT66" s="8"/>
      <c r="MU66" s="8"/>
      <c r="MV66" s="8"/>
      <c r="MW66" s="8"/>
      <c r="MX66" s="8" t="s">
        <v>107</v>
      </c>
      <c r="MY66" s="8" t="s">
        <v>107</v>
      </c>
      <c r="MZ66" s="8"/>
      <c r="NA66" s="8"/>
      <c r="NB66" s="8">
        <v>0</v>
      </c>
      <c r="NC66" s="8" t="s">
        <v>107</v>
      </c>
      <c r="ND66" s="8">
        <v>0</v>
      </c>
      <c r="NE66" s="967"/>
      <c r="NF66" s="8">
        <f t="shared" si="47"/>
        <v>6</v>
      </c>
      <c r="NG66" s="8"/>
      <c r="NH66" s="8" t="s">
        <v>107</v>
      </c>
      <c r="NI66" s="8" t="s">
        <v>107</v>
      </c>
      <c r="NJ66" s="8" t="s">
        <v>107</v>
      </c>
      <c r="NK66" s="8" t="s">
        <v>107</v>
      </c>
      <c r="NL66" s="8"/>
      <c r="NM66" s="8"/>
      <c r="NN66" s="8"/>
      <c r="NO66" s="8" t="s">
        <v>107</v>
      </c>
      <c r="NP66" s="8" t="s">
        <v>107</v>
      </c>
      <c r="NQ66" s="8"/>
      <c r="NR66" s="8"/>
      <c r="NS66" s="8"/>
      <c r="NT66" s="8"/>
      <c r="NU66" s="8"/>
      <c r="NV66" s="8"/>
      <c r="NW66" s="8"/>
      <c r="NX66" s="8" t="s">
        <v>107</v>
      </c>
      <c r="NY66" s="8" t="s">
        <v>107</v>
      </c>
      <c r="NZ66" s="8"/>
      <c r="OA66" s="8"/>
      <c r="OB66" s="8">
        <v>3</v>
      </c>
      <c r="OC66" s="8" t="s">
        <v>107</v>
      </c>
      <c r="OD66" s="8">
        <v>3</v>
      </c>
      <c r="OE66" s="967"/>
      <c r="OF66" s="8">
        <f t="shared" si="48"/>
        <v>0</v>
      </c>
      <c r="OG66" s="8"/>
      <c r="OH66" s="8" t="s">
        <v>107</v>
      </c>
      <c r="OI66" s="8" t="s">
        <v>107</v>
      </c>
      <c r="OJ66" s="8" t="s">
        <v>107</v>
      </c>
      <c r="OK66" s="8" t="s">
        <v>107</v>
      </c>
      <c r="OL66" s="8"/>
      <c r="OM66" s="8"/>
      <c r="ON66" s="8"/>
      <c r="OO66" s="8" t="s">
        <v>107</v>
      </c>
      <c r="OP66" s="8" t="s">
        <v>107</v>
      </c>
      <c r="OQ66" s="8"/>
      <c r="OR66" s="8"/>
      <c r="OS66" s="8"/>
      <c r="OT66" s="8"/>
      <c r="OU66" s="8"/>
      <c r="OV66" s="8"/>
      <c r="OW66" s="8"/>
      <c r="OX66" s="8" t="s">
        <v>107</v>
      </c>
      <c r="OY66" s="8" t="s">
        <v>107</v>
      </c>
      <c r="OZ66" s="8"/>
      <c r="PA66" s="8"/>
      <c r="PB66" s="8">
        <v>0</v>
      </c>
      <c r="PC66" s="8" t="s">
        <v>107</v>
      </c>
      <c r="PD66" s="8">
        <v>0</v>
      </c>
      <c r="PE66" s="967"/>
      <c r="PF66" s="8">
        <f t="shared" si="49"/>
        <v>0</v>
      </c>
      <c r="PG66" s="8"/>
      <c r="PH66" s="8" t="s">
        <v>107</v>
      </c>
      <c r="PI66" s="8" t="s">
        <v>107</v>
      </c>
      <c r="PJ66" s="8" t="s">
        <v>107</v>
      </c>
      <c r="PK66" s="8" t="s">
        <v>107</v>
      </c>
      <c r="PL66" s="8"/>
      <c r="PM66" s="8"/>
      <c r="PN66" s="8"/>
      <c r="PO66" s="8" t="s">
        <v>107</v>
      </c>
      <c r="PP66" s="8" t="s">
        <v>107</v>
      </c>
      <c r="PQ66" s="8"/>
      <c r="PR66" s="8"/>
      <c r="PS66" s="8"/>
      <c r="PT66" s="8"/>
      <c r="PU66" s="8"/>
      <c r="PV66" s="8"/>
      <c r="PW66" s="8"/>
      <c r="PX66" s="8" t="s">
        <v>107</v>
      </c>
      <c r="PY66" s="8" t="s">
        <v>107</v>
      </c>
      <c r="PZ66" s="8"/>
      <c r="QA66" s="8"/>
      <c r="QB66" s="8">
        <v>0</v>
      </c>
      <c r="QC66" s="8" t="s">
        <v>107</v>
      </c>
      <c r="QD66" s="8">
        <v>0</v>
      </c>
      <c r="QE66" s="967"/>
    </row>
    <row r="67" spans="2:447" x14ac:dyDescent="0.3">
      <c r="B67">
        <v>59</v>
      </c>
      <c r="D67" t="s">
        <v>1989</v>
      </c>
      <c r="F67" s="8">
        <f t="shared" si="53"/>
        <v>17</v>
      </c>
      <c r="G67" s="8"/>
      <c r="H67" s="8" t="s">
        <v>107</v>
      </c>
      <c r="I67" s="8" t="s">
        <v>107</v>
      </c>
      <c r="J67" s="8" t="s">
        <v>107</v>
      </c>
      <c r="K67" s="8" t="s">
        <v>107</v>
      </c>
      <c r="L67" s="8" t="s">
        <v>107</v>
      </c>
      <c r="M67" s="8" t="s">
        <v>107</v>
      </c>
      <c r="N67" s="8" t="s">
        <v>107</v>
      </c>
      <c r="O67" s="8" t="s">
        <v>107</v>
      </c>
      <c r="P67" s="8" t="s">
        <v>107</v>
      </c>
      <c r="Q67" s="8" t="s">
        <v>107</v>
      </c>
      <c r="R67" s="8" t="s">
        <v>107</v>
      </c>
      <c r="S67" s="8" t="s">
        <v>107</v>
      </c>
      <c r="T67" s="8" t="s">
        <v>107</v>
      </c>
      <c r="U67" s="8"/>
      <c r="V67" s="8"/>
      <c r="W67" s="8"/>
      <c r="X67" s="8">
        <v>17</v>
      </c>
      <c r="Y67" s="8" t="s">
        <v>107</v>
      </c>
      <c r="Z67" s="8"/>
      <c r="AA67" s="8"/>
      <c r="AB67" s="8" t="s">
        <v>107</v>
      </c>
      <c r="AC67" s="8" t="s">
        <v>107</v>
      </c>
      <c r="AD67" s="8" t="s">
        <v>107</v>
      </c>
      <c r="AE67" s="967"/>
      <c r="AF67" s="8">
        <f t="shared" si="35"/>
        <v>4</v>
      </c>
      <c r="AG67" s="8"/>
      <c r="AH67" s="8" t="s">
        <v>107</v>
      </c>
      <c r="AI67" s="8" t="s">
        <v>107</v>
      </c>
      <c r="AJ67" s="8" t="s">
        <v>107</v>
      </c>
      <c r="AK67" s="8" t="s">
        <v>107</v>
      </c>
      <c r="AL67" s="8"/>
      <c r="AM67" s="8"/>
      <c r="AN67" s="8"/>
      <c r="AO67" s="8" t="s">
        <v>107</v>
      </c>
      <c r="AP67" s="8" t="s">
        <v>107</v>
      </c>
      <c r="AQ67" s="8"/>
      <c r="AR67" s="8"/>
      <c r="AS67" s="8"/>
      <c r="AT67" s="8"/>
      <c r="AU67" s="8"/>
      <c r="AV67" s="8"/>
      <c r="AW67" s="8"/>
      <c r="AX67" s="8">
        <v>4</v>
      </c>
      <c r="AY67" s="8" t="s">
        <v>107</v>
      </c>
      <c r="AZ67" s="8"/>
      <c r="BA67" s="8"/>
      <c r="BB67" s="8" t="s">
        <v>107</v>
      </c>
      <c r="BC67" s="8" t="s">
        <v>107</v>
      </c>
      <c r="BD67" s="8" t="s">
        <v>107</v>
      </c>
      <c r="BE67" s="967"/>
      <c r="BF67" s="8">
        <f t="shared" si="36"/>
        <v>6</v>
      </c>
      <c r="BG67" s="8"/>
      <c r="BH67" s="8" t="s">
        <v>107</v>
      </c>
      <c r="BI67" s="8"/>
      <c r="BJ67" s="8"/>
      <c r="BK67" s="8" t="s">
        <v>107</v>
      </c>
      <c r="BL67" s="8"/>
      <c r="BM67" s="8"/>
      <c r="BN67" s="8"/>
      <c r="BO67" s="8" t="s">
        <v>107</v>
      </c>
      <c r="BP67" s="8" t="s">
        <v>107</v>
      </c>
      <c r="BQ67" s="8"/>
      <c r="BR67" s="8"/>
      <c r="BS67" s="8"/>
      <c r="BT67" s="8"/>
      <c r="BU67" s="8"/>
      <c r="BV67" s="8"/>
      <c r="BW67" s="8"/>
      <c r="BX67" s="8">
        <v>6</v>
      </c>
      <c r="BY67" s="8" t="s">
        <v>107</v>
      </c>
      <c r="BZ67" s="8"/>
      <c r="CA67" s="8"/>
      <c r="CB67" s="8" t="s">
        <v>107</v>
      </c>
      <c r="CC67" s="8" t="s">
        <v>107</v>
      </c>
      <c r="CD67" s="8" t="s">
        <v>107</v>
      </c>
      <c r="CE67" s="967"/>
      <c r="CF67" s="8">
        <f t="shared" si="37"/>
        <v>10</v>
      </c>
      <c r="CG67" s="8"/>
      <c r="CH67" s="8" t="s">
        <v>107</v>
      </c>
      <c r="CI67" s="8"/>
      <c r="CJ67" s="8"/>
      <c r="CK67" s="8" t="s">
        <v>107</v>
      </c>
      <c r="CL67" s="8"/>
      <c r="CM67" s="8"/>
      <c r="CN67" s="8"/>
      <c r="CO67" s="8" t="s">
        <v>107</v>
      </c>
      <c r="CP67" s="8" t="s">
        <v>107</v>
      </c>
      <c r="CQ67" s="8"/>
      <c r="CR67" s="8"/>
      <c r="CS67" s="8"/>
      <c r="CT67" s="8"/>
      <c r="CU67" s="8"/>
      <c r="CV67" s="8"/>
      <c r="CW67" s="8"/>
      <c r="CX67" s="8">
        <v>10</v>
      </c>
      <c r="CY67" s="8" t="s">
        <v>107</v>
      </c>
      <c r="CZ67" s="8"/>
      <c r="DA67" s="8"/>
      <c r="DB67" s="8" t="s">
        <v>107</v>
      </c>
      <c r="DC67" s="8" t="s">
        <v>107</v>
      </c>
      <c r="DD67" s="8" t="s">
        <v>107</v>
      </c>
      <c r="DE67" s="967"/>
      <c r="DF67" s="8">
        <f t="shared" si="38"/>
        <v>0</v>
      </c>
      <c r="DG67" s="8"/>
      <c r="DH67" s="8" t="s">
        <v>107</v>
      </c>
      <c r="DI67" s="8" t="s">
        <v>107</v>
      </c>
      <c r="DJ67" s="8" t="s">
        <v>107</v>
      </c>
      <c r="DK67" s="8" t="s">
        <v>107</v>
      </c>
      <c r="DL67" s="8"/>
      <c r="DM67" s="8"/>
      <c r="DN67" s="8"/>
      <c r="DO67" s="8" t="s">
        <v>107</v>
      </c>
      <c r="DP67" s="8" t="s">
        <v>107</v>
      </c>
      <c r="DQ67" s="8"/>
      <c r="DR67" s="8"/>
      <c r="DS67" s="8"/>
      <c r="DT67" s="8"/>
      <c r="DU67" s="8"/>
      <c r="DV67" s="8"/>
      <c r="DW67" s="8"/>
      <c r="DX67" s="8">
        <v>0</v>
      </c>
      <c r="DY67" s="8" t="s">
        <v>107</v>
      </c>
      <c r="DZ67" s="8"/>
      <c r="EA67" s="8"/>
      <c r="EB67" s="8" t="s">
        <v>107</v>
      </c>
      <c r="EC67" s="8" t="s">
        <v>107</v>
      </c>
      <c r="ED67" s="8" t="s">
        <v>107</v>
      </c>
      <c r="EE67" s="967"/>
      <c r="EF67" s="8">
        <f t="shared" si="39"/>
        <v>2</v>
      </c>
      <c r="EG67" s="8"/>
      <c r="EH67" s="8" t="s">
        <v>107</v>
      </c>
      <c r="EI67" s="8" t="s">
        <v>107</v>
      </c>
      <c r="EJ67" s="8" t="s">
        <v>107</v>
      </c>
      <c r="EK67" s="8" t="s">
        <v>107</v>
      </c>
      <c r="EL67" s="8"/>
      <c r="EM67" s="8"/>
      <c r="EN67" s="8"/>
      <c r="EO67" s="8" t="s">
        <v>107</v>
      </c>
      <c r="EP67" s="8" t="s">
        <v>107</v>
      </c>
      <c r="EQ67" s="8"/>
      <c r="ER67" s="8"/>
      <c r="ES67" s="8"/>
      <c r="ET67" s="8"/>
      <c r="EU67" s="8"/>
      <c r="EV67" s="8"/>
      <c r="EW67" s="8"/>
      <c r="EX67" s="8">
        <v>2</v>
      </c>
      <c r="EY67" s="8" t="s">
        <v>107</v>
      </c>
      <c r="EZ67" s="8"/>
      <c r="FA67" s="8"/>
      <c r="FB67" s="8" t="s">
        <v>107</v>
      </c>
      <c r="FC67" s="8" t="s">
        <v>107</v>
      </c>
      <c r="FD67" s="8" t="s">
        <v>107</v>
      </c>
      <c r="FE67" s="967"/>
      <c r="FF67" s="8">
        <f t="shared" si="34"/>
        <v>0</v>
      </c>
      <c r="FG67" s="8"/>
      <c r="FH67" s="8" t="s">
        <v>107</v>
      </c>
      <c r="FI67" s="8" t="s">
        <v>107</v>
      </c>
      <c r="FJ67" s="8" t="s">
        <v>107</v>
      </c>
      <c r="FK67" s="8" t="s">
        <v>107</v>
      </c>
      <c r="FL67" s="8"/>
      <c r="FM67" s="8"/>
      <c r="FN67" s="8"/>
      <c r="FO67" s="8" t="s">
        <v>107</v>
      </c>
      <c r="FP67" s="8" t="s">
        <v>107</v>
      </c>
      <c r="FQ67" s="8"/>
      <c r="FR67" s="8"/>
      <c r="FS67" s="8"/>
      <c r="FT67" s="8"/>
      <c r="FU67" s="8"/>
      <c r="FV67" s="8"/>
      <c r="FW67" s="8"/>
      <c r="FX67" s="8">
        <v>0</v>
      </c>
      <c r="FY67" s="8" t="s">
        <v>107</v>
      </c>
      <c r="FZ67" s="8"/>
      <c r="GA67" s="8"/>
      <c r="GB67" s="8" t="s">
        <v>107</v>
      </c>
      <c r="GC67" s="8" t="s">
        <v>107</v>
      </c>
      <c r="GD67" s="8" t="s">
        <v>107</v>
      </c>
      <c r="GE67" s="967"/>
      <c r="GF67" s="8">
        <f t="shared" si="40"/>
        <v>0</v>
      </c>
      <c r="GG67" s="8"/>
      <c r="GH67" s="8" t="s">
        <v>107</v>
      </c>
      <c r="GI67" s="8" t="s">
        <v>107</v>
      </c>
      <c r="GJ67" s="8" t="s">
        <v>107</v>
      </c>
      <c r="GK67" s="8" t="s">
        <v>107</v>
      </c>
      <c r="GL67" s="8"/>
      <c r="GM67" s="8"/>
      <c r="GN67" s="8"/>
      <c r="GO67" s="8" t="s">
        <v>107</v>
      </c>
      <c r="GP67" s="8" t="s">
        <v>107</v>
      </c>
      <c r="GQ67" s="8"/>
      <c r="GR67" s="8"/>
      <c r="GS67" s="8"/>
      <c r="GT67" s="8"/>
      <c r="GU67" s="8"/>
      <c r="GV67" s="8"/>
      <c r="GW67" s="8"/>
      <c r="GX67" s="8">
        <v>0</v>
      </c>
      <c r="GY67" s="8" t="s">
        <v>107</v>
      </c>
      <c r="GZ67" s="8"/>
      <c r="HA67" s="8"/>
      <c r="HB67" s="8" t="s">
        <v>107</v>
      </c>
      <c r="HC67" s="8" t="s">
        <v>107</v>
      </c>
      <c r="HD67" s="8" t="s">
        <v>107</v>
      </c>
      <c r="HE67" s="967"/>
      <c r="HF67" s="8">
        <f t="shared" si="41"/>
        <v>0</v>
      </c>
      <c r="HG67" s="8"/>
      <c r="HH67" s="8" t="s">
        <v>107</v>
      </c>
      <c r="HI67" s="8" t="s">
        <v>107</v>
      </c>
      <c r="HJ67" s="8" t="s">
        <v>107</v>
      </c>
      <c r="HK67" s="8" t="s">
        <v>107</v>
      </c>
      <c r="HL67" s="8"/>
      <c r="HM67" s="8"/>
      <c r="HN67" s="8"/>
      <c r="HO67" s="8" t="s">
        <v>107</v>
      </c>
      <c r="HP67" s="8" t="s">
        <v>107</v>
      </c>
      <c r="HQ67" s="8"/>
      <c r="HR67" s="8"/>
      <c r="HS67" s="8"/>
      <c r="HT67" s="8"/>
      <c r="HU67" s="8"/>
      <c r="HV67" s="8"/>
      <c r="HW67" s="8"/>
      <c r="HX67" s="8">
        <v>0</v>
      </c>
      <c r="HY67" s="8" t="s">
        <v>107</v>
      </c>
      <c r="HZ67" s="8"/>
      <c r="IA67" s="8"/>
      <c r="IB67" s="8" t="s">
        <v>107</v>
      </c>
      <c r="IC67" s="8" t="s">
        <v>107</v>
      </c>
      <c r="ID67" s="8" t="s">
        <v>107</v>
      </c>
      <c r="IE67" s="967"/>
      <c r="IF67" s="8">
        <f t="shared" si="42"/>
        <v>0</v>
      </c>
      <c r="IG67" s="8"/>
      <c r="IH67" s="8" t="s">
        <v>107</v>
      </c>
      <c r="II67" s="8" t="s">
        <v>107</v>
      </c>
      <c r="IJ67" s="8" t="s">
        <v>107</v>
      </c>
      <c r="IK67" s="8" t="s">
        <v>107</v>
      </c>
      <c r="IL67" s="8"/>
      <c r="IM67" s="8"/>
      <c r="IN67" s="8"/>
      <c r="IO67" s="8" t="s">
        <v>107</v>
      </c>
      <c r="IP67" s="8" t="s">
        <v>107</v>
      </c>
      <c r="IQ67" s="8"/>
      <c r="IR67" s="8"/>
      <c r="IS67" s="8"/>
      <c r="IT67" s="8"/>
      <c r="IU67" s="8"/>
      <c r="IV67" s="8"/>
      <c r="IW67" s="8"/>
      <c r="IX67" s="8">
        <v>0</v>
      </c>
      <c r="IY67" s="8" t="s">
        <v>107</v>
      </c>
      <c r="IZ67" s="8"/>
      <c r="JA67" s="8"/>
      <c r="JB67" s="8" t="s">
        <v>107</v>
      </c>
      <c r="JC67" s="8" t="s">
        <v>107</v>
      </c>
      <c r="JD67" s="8" t="s">
        <v>107</v>
      </c>
      <c r="JE67" s="967"/>
      <c r="JF67" s="8">
        <f t="shared" si="43"/>
        <v>0</v>
      </c>
      <c r="JG67" s="8"/>
      <c r="JH67" s="8" t="s">
        <v>107</v>
      </c>
      <c r="JI67" s="8" t="s">
        <v>107</v>
      </c>
      <c r="JJ67" s="8" t="s">
        <v>107</v>
      </c>
      <c r="JK67" s="8" t="s">
        <v>107</v>
      </c>
      <c r="JL67" s="8"/>
      <c r="JM67" s="8"/>
      <c r="JN67" s="8"/>
      <c r="JO67" s="8" t="s">
        <v>107</v>
      </c>
      <c r="JP67" s="8" t="s">
        <v>107</v>
      </c>
      <c r="JQ67" s="8"/>
      <c r="JR67" s="8"/>
      <c r="JS67" s="8"/>
      <c r="JT67" s="8"/>
      <c r="JU67" s="8"/>
      <c r="JV67" s="8"/>
      <c r="JW67" s="8"/>
      <c r="JX67" s="8">
        <v>0</v>
      </c>
      <c r="JY67" s="8" t="s">
        <v>107</v>
      </c>
      <c r="JZ67" s="8"/>
      <c r="KA67" s="8"/>
      <c r="KB67" s="8" t="s">
        <v>107</v>
      </c>
      <c r="KC67" s="8" t="s">
        <v>107</v>
      </c>
      <c r="KD67" s="8" t="s">
        <v>107</v>
      </c>
      <c r="KE67" s="967"/>
      <c r="KF67" s="8">
        <f t="shared" si="44"/>
        <v>0</v>
      </c>
      <c r="KG67" s="8"/>
      <c r="KH67" s="8" t="s">
        <v>107</v>
      </c>
      <c r="KI67" s="8" t="s">
        <v>107</v>
      </c>
      <c r="KJ67" s="8" t="s">
        <v>107</v>
      </c>
      <c r="KK67" s="8" t="s">
        <v>107</v>
      </c>
      <c r="KL67" s="8"/>
      <c r="KM67" s="8"/>
      <c r="KN67" s="8"/>
      <c r="KO67" s="8" t="s">
        <v>107</v>
      </c>
      <c r="KP67" s="8" t="s">
        <v>107</v>
      </c>
      <c r="KQ67" s="8"/>
      <c r="KR67" s="8"/>
      <c r="KS67" s="8"/>
      <c r="KT67" s="8"/>
      <c r="KU67" s="8"/>
      <c r="KV67" s="8"/>
      <c r="KW67" s="8"/>
      <c r="KX67" s="8">
        <v>0</v>
      </c>
      <c r="KY67" s="8" t="s">
        <v>107</v>
      </c>
      <c r="KZ67" s="8"/>
      <c r="LA67" s="8"/>
      <c r="LB67" s="8" t="s">
        <v>107</v>
      </c>
      <c r="LC67" s="8" t="s">
        <v>107</v>
      </c>
      <c r="LD67" s="8" t="s">
        <v>107</v>
      </c>
      <c r="LE67" s="967"/>
      <c r="LF67" s="8">
        <f t="shared" si="45"/>
        <v>0</v>
      </c>
      <c r="LG67" s="8"/>
      <c r="LH67" s="8" t="s">
        <v>107</v>
      </c>
      <c r="LI67" s="8" t="s">
        <v>107</v>
      </c>
      <c r="LJ67" s="8" t="s">
        <v>107</v>
      </c>
      <c r="LK67" s="8" t="s">
        <v>107</v>
      </c>
      <c r="LL67" s="8"/>
      <c r="LM67" s="8"/>
      <c r="LN67" s="8"/>
      <c r="LO67" s="8" t="s">
        <v>107</v>
      </c>
      <c r="LP67" s="8" t="s">
        <v>107</v>
      </c>
      <c r="LQ67" s="8"/>
      <c r="LR67" s="8"/>
      <c r="LS67" s="8"/>
      <c r="LT67" s="8"/>
      <c r="LU67" s="8"/>
      <c r="LV67" s="8"/>
      <c r="LW67" s="8"/>
      <c r="LX67" s="8">
        <v>0</v>
      </c>
      <c r="LY67" s="8" t="s">
        <v>107</v>
      </c>
      <c r="LZ67" s="8"/>
      <c r="MA67" s="8"/>
      <c r="MB67" s="8" t="s">
        <v>107</v>
      </c>
      <c r="MC67" s="8" t="s">
        <v>107</v>
      </c>
      <c r="MD67" s="8" t="s">
        <v>107</v>
      </c>
      <c r="ME67" s="967"/>
      <c r="MF67" s="8">
        <f t="shared" si="46"/>
        <v>0</v>
      </c>
      <c r="MG67" s="8"/>
      <c r="MH67" s="8" t="s">
        <v>107</v>
      </c>
      <c r="MI67" s="8" t="s">
        <v>107</v>
      </c>
      <c r="MJ67" s="8" t="s">
        <v>107</v>
      </c>
      <c r="MK67" s="8" t="s">
        <v>107</v>
      </c>
      <c r="ML67" s="8"/>
      <c r="MM67" s="8"/>
      <c r="MN67" s="8"/>
      <c r="MO67" s="8" t="s">
        <v>107</v>
      </c>
      <c r="MP67" s="8" t="s">
        <v>107</v>
      </c>
      <c r="MQ67" s="8"/>
      <c r="MR67" s="8"/>
      <c r="MS67" s="8"/>
      <c r="MT67" s="8"/>
      <c r="MU67" s="8"/>
      <c r="MV67" s="8"/>
      <c r="MW67" s="8"/>
      <c r="MX67" s="8">
        <v>0</v>
      </c>
      <c r="MY67" s="8" t="s">
        <v>107</v>
      </c>
      <c r="MZ67" s="8"/>
      <c r="NA67" s="8"/>
      <c r="NB67" s="8" t="s">
        <v>107</v>
      </c>
      <c r="NC67" s="8" t="s">
        <v>107</v>
      </c>
      <c r="ND67" s="8" t="s">
        <v>107</v>
      </c>
      <c r="NE67" s="967"/>
      <c r="NF67" s="8">
        <f t="shared" si="47"/>
        <v>0</v>
      </c>
      <c r="NG67" s="8"/>
      <c r="NH67" s="8" t="s">
        <v>107</v>
      </c>
      <c r="NI67" s="8" t="s">
        <v>107</v>
      </c>
      <c r="NJ67" s="8" t="s">
        <v>107</v>
      </c>
      <c r="NK67" s="8" t="s">
        <v>107</v>
      </c>
      <c r="NL67" s="8"/>
      <c r="NM67" s="8"/>
      <c r="NN67" s="8"/>
      <c r="NO67" s="8" t="s">
        <v>107</v>
      </c>
      <c r="NP67" s="8" t="s">
        <v>107</v>
      </c>
      <c r="NQ67" s="8"/>
      <c r="NR67" s="8"/>
      <c r="NS67" s="8"/>
      <c r="NT67" s="8"/>
      <c r="NU67" s="8"/>
      <c r="NV67" s="8"/>
      <c r="NW67" s="8"/>
      <c r="NX67" s="8">
        <v>0</v>
      </c>
      <c r="NY67" s="8" t="s">
        <v>107</v>
      </c>
      <c r="NZ67" s="8"/>
      <c r="OA67" s="8"/>
      <c r="OB67" s="8" t="s">
        <v>107</v>
      </c>
      <c r="OC67" s="8" t="s">
        <v>107</v>
      </c>
      <c r="OD67" s="8" t="s">
        <v>107</v>
      </c>
      <c r="OE67" s="967"/>
      <c r="OF67" s="8">
        <f t="shared" si="48"/>
        <v>0</v>
      </c>
      <c r="OG67" s="8"/>
      <c r="OH67" s="8" t="s">
        <v>107</v>
      </c>
      <c r="OI67" s="8" t="s">
        <v>107</v>
      </c>
      <c r="OJ67" s="8" t="s">
        <v>107</v>
      </c>
      <c r="OK67" s="8" t="s">
        <v>107</v>
      </c>
      <c r="OL67" s="8"/>
      <c r="OM67" s="8"/>
      <c r="ON67" s="8"/>
      <c r="OO67" s="8" t="s">
        <v>107</v>
      </c>
      <c r="OP67" s="8" t="s">
        <v>107</v>
      </c>
      <c r="OQ67" s="8"/>
      <c r="OR67" s="8"/>
      <c r="OS67" s="8"/>
      <c r="OT67" s="8"/>
      <c r="OU67" s="8"/>
      <c r="OV67" s="8"/>
      <c r="OW67" s="8"/>
      <c r="OX67" s="8">
        <v>0</v>
      </c>
      <c r="OY67" s="8" t="s">
        <v>107</v>
      </c>
      <c r="OZ67" s="8"/>
      <c r="PA67" s="8"/>
      <c r="PB67" s="8" t="s">
        <v>107</v>
      </c>
      <c r="PC67" s="8" t="s">
        <v>107</v>
      </c>
      <c r="PD67" s="8" t="s">
        <v>107</v>
      </c>
      <c r="PE67" s="967"/>
      <c r="PF67" s="8">
        <f t="shared" si="49"/>
        <v>0</v>
      </c>
      <c r="PG67" s="8"/>
      <c r="PH67" s="8" t="s">
        <v>107</v>
      </c>
      <c r="PI67" s="8" t="s">
        <v>107</v>
      </c>
      <c r="PJ67" s="8" t="s">
        <v>107</v>
      </c>
      <c r="PK67" s="8" t="s">
        <v>107</v>
      </c>
      <c r="PL67" s="8"/>
      <c r="PM67" s="8"/>
      <c r="PN67" s="8"/>
      <c r="PO67" s="8" t="s">
        <v>107</v>
      </c>
      <c r="PP67" s="8" t="s">
        <v>107</v>
      </c>
      <c r="PQ67" s="8"/>
      <c r="PR67" s="8"/>
      <c r="PS67" s="8"/>
      <c r="PT67" s="8"/>
      <c r="PU67" s="8"/>
      <c r="PV67" s="8"/>
      <c r="PW67" s="8"/>
      <c r="PX67" s="8">
        <v>0</v>
      </c>
      <c r="PY67" s="8" t="s">
        <v>107</v>
      </c>
      <c r="PZ67" s="8"/>
      <c r="QA67" s="8"/>
      <c r="QB67" s="8" t="s">
        <v>107</v>
      </c>
      <c r="QC67" s="8" t="s">
        <v>107</v>
      </c>
      <c r="QD67" s="8" t="s">
        <v>107</v>
      </c>
      <c r="QE67" s="967"/>
    </row>
    <row r="68" spans="2:447" x14ac:dyDescent="0.3">
      <c r="B68">
        <v>60</v>
      </c>
      <c r="D68" t="s">
        <v>1990</v>
      </c>
      <c r="F68" s="8">
        <f t="shared" si="53"/>
        <v>34</v>
      </c>
      <c r="G68" s="8"/>
      <c r="H68" s="8" t="s">
        <v>107</v>
      </c>
      <c r="I68" s="8" t="s">
        <v>107</v>
      </c>
      <c r="J68" s="8" t="s">
        <v>107</v>
      </c>
      <c r="K68" s="8" t="s">
        <v>107</v>
      </c>
      <c r="L68" s="8" t="s">
        <v>107</v>
      </c>
      <c r="M68" s="8" t="s">
        <v>107</v>
      </c>
      <c r="N68" s="8" t="s">
        <v>107</v>
      </c>
      <c r="O68" s="8" t="s">
        <v>107</v>
      </c>
      <c r="P68" s="8" t="s">
        <v>107</v>
      </c>
      <c r="Q68" s="8" t="s">
        <v>107</v>
      </c>
      <c r="R68" s="8" t="s">
        <v>107</v>
      </c>
      <c r="S68" s="8" t="s">
        <v>107</v>
      </c>
      <c r="T68" s="8" t="s">
        <v>107</v>
      </c>
      <c r="U68" s="8"/>
      <c r="V68" s="8"/>
      <c r="W68" s="8"/>
      <c r="X68" s="8">
        <v>7</v>
      </c>
      <c r="Y68" s="8">
        <v>14</v>
      </c>
      <c r="Z68" s="8"/>
      <c r="AA68" s="8"/>
      <c r="AB68" s="8" t="s">
        <v>107</v>
      </c>
      <c r="AC68" s="8" t="s">
        <v>107</v>
      </c>
      <c r="AD68" s="8">
        <v>13</v>
      </c>
      <c r="AE68" s="967"/>
      <c r="AF68" s="8">
        <f t="shared" si="35"/>
        <v>2</v>
      </c>
      <c r="AG68" s="8"/>
      <c r="AH68" s="8" t="s">
        <v>107</v>
      </c>
      <c r="AI68" s="8" t="s">
        <v>107</v>
      </c>
      <c r="AJ68" s="8" t="s">
        <v>107</v>
      </c>
      <c r="AK68" s="8" t="s">
        <v>107</v>
      </c>
      <c r="AL68" s="8"/>
      <c r="AM68" s="8"/>
      <c r="AN68" s="8"/>
      <c r="AO68" s="8" t="s">
        <v>107</v>
      </c>
      <c r="AP68" s="8" t="s">
        <v>107</v>
      </c>
      <c r="AQ68" s="8"/>
      <c r="AR68" s="8"/>
      <c r="AS68" s="8"/>
      <c r="AT68" s="8"/>
      <c r="AU68" s="8"/>
      <c r="AV68" s="8"/>
      <c r="AW68" s="8"/>
      <c r="AX68" s="8">
        <v>0</v>
      </c>
      <c r="AY68" s="8">
        <v>0</v>
      </c>
      <c r="AZ68" s="8"/>
      <c r="BA68" s="8"/>
      <c r="BB68" s="8" t="s">
        <v>107</v>
      </c>
      <c r="BC68" s="8" t="s">
        <v>107</v>
      </c>
      <c r="BD68" s="8">
        <v>2</v>
      </c>
      <c r="BE68" s="967"/>
      <c r="BF68" s="8">
        <f t="shared" si="36"/>
        <v>11</v>
      </c>
      <c r="BG68" s="8"/>
      <c r="BH68" s="8" t="s">
        <v>107</v>
      </c>
      <c r="BI68" s="8"/>
      <c r="BJ68" s="8"/>
      <c r="BK68" s="8" t="s">
        <v>107</v>
      </c>
      <c r="BL68" s="8"/>
      <c r="BM68" s="8"/>
      <c r="BN68" s="8"/>
      <c r="BO68" s="8" t="s">
        <v>107</v>
      </c>
      <c r="BP68" s="8" t="s">
        <v>107</v>
      </c>
      <c r="BQ68" s="8"/>
      <c r="BR68" s="8"/>
      <c r="BS68" s="8"/>
      <c r="BT68" s="8"/>
      <c r="BU68" s="8"/>
      <c r="BV68" s="8"/>
      <c r="BW68" s="8"/>
      <c r="BX68" s="8">
        <v>0</v>
      </c>
      <c r="BY68" s="8">
        <v>4</v>
      </c>
      <c r="BZ68" s="8"/>
      <c r="CA68" s="8"/>
      <c r="CB68" s="8" t="s">
        <v>107</v>
      </c>
      <c r="CC68" s="8" t="s">
        <v>107</v>
      </c>
      <c r="CD68" s="8">
        <v>7</v>
      </c>
      <c r="CE68" s="967"/>
      <c r="CF68" s="8">
        <f t="shared" si="37"/>
        <v>13</v>
      </c>
      <c r="CG68" s="8"/>
      <c r="CH68" s="8" t="s">
        <v>107</v>
      </c>
      <c r="CI68" s="8"/>
      <c r="CJ68" s="8"/>
      <c r="CK68" s="8" t="s">
        <v>107</v>
      </c>
      <c r="CL68" s="8"/>
      <c r="CM68" s="8"/>
      <c r="CN68" s="8"/>
      <c r="CO68" s="8" t="s">
        <v>107</v>
      </c>
      <c r="CP68" s="8" t="s">
        <v>107</v>
      </c>
      <c r="CQ68" s="8"/>
      <c r="CR68" s="8"/>
      <c r="CS68" s="8"/>
      <c r="CT68" s="8"/>
      <c r="CU68" s="8"/>
      <c r="CV68" s="8"/>
      <c r="CW68" s="8"/>
      <c r="CX68" s="8">
        <v>0</v>
      </c>
      <c r="CY68" s="8">
        <v>4</v>
      </c>
      <c r="CZ68" s="8"/>
      <c r="DA68" s="8"/>
      <c r="DB68" s="8" t="s">
        <v>107</v>
      </c>
      <c r="DC68" s="8" t="s">
        <v>107</v>
      </c>
      <c r="DD68" s="8">
        <f t="shared" si="50"/>
        <v>9</v>
      </c>
      <c r="DE68" s="967"/>
      <c r="DF68" s="8">
        <f t="shared" si="38"/>
        <v>0</v>
      </c>
      <c r="DG68" s="8"/>
      <c r="DH68" s="8" t="s">
        <v>107</v>
      </c>
      <c r="DI68" s="8" t="s">
        <v>107</v>
      </c>
      <c r="DJ68" s="8" t="s">
        <v>107</v>
      </c>
      <c r="DK68" s="8" t="s">
        <v>107</v>
      </c>
      <c r="DL68" s="8"/>
      <c r="DM68" s="8"/>
      <c r="DN68" s="8"/>
      <c r="DO68" s="8" t="s">
        <v>107</v>
      </c>
      <c r="DP68" s="8" t="s">
        <v>107</v>
      </c>
      <c r="DQ68" s="8"/>
      <c r="DR68" s="8"/>
      <c r="DS68" s="8"/>
      <c r="DT68" s="8"/>
      <c r="DU68" s="8"/>
      <c r="DV68" s="8"/>
      <c r="DW68" s="8"/>
      <c r="DX68" s="8">
        <v>0</v>
      </c>
      <c r="DY68" s="8">
        <v>0</v>
      </c>
      <c r="DZ68" s="8"/>
      <c r="EA68" s="8"/>
      <c r="EB68" s="8" t="s">
        <v>107</v>
      </c>
      <c r="EC68" s="8" t="s">
        <v>107</v>
      </c>
      <c r="ED68" s="8">
        <v>0</v>
      </c>
      <c r="EE68" s="967"/>
      <c r="EF68" s="8">
        <f t="shared" si="39"/>
        <v>4</v>
      </c>
      <c r="EG68" s="8"/>
      <c r="EH68" s="8" t="s">
        <v>107</v>
      </c>
      <c r="EI68" s="8" t="s">
        <v>107</v>
      </c>
      <c r="EJ68" s="8" t="s">
        <v>107</v>
      </c>
      <c r="EK68" s="8" t="s">
        <v>107</v>
      </c>
      <c r="EL68" s="8"/>
      <c r="EM68" s="8"/>
      <c r="EN68" s="8"/>
      <c r="EO68" s="8" t="s">
        <v>107</v>
      </c>
      <c r="EP68" s="8" t="s">
        <v>107</v>
      </c>
      <c r="EQ68" s="8"/>
      <c r="ER68" s="8"/>
      <c r="ES68" s="8"/>
      <c r="ET68" s="8"/>
      <c r="EU68" s="8"/>
      <c r="EV68" s="8"/>
      <c r="EW68" s="8"/>
      <c r="EX68" s="8">
        <v>2</v>
      </c>
      <c r="EY68" s="8">
        <v>0</v>
      </c>
      <c r="EZ68" s="8"/>
      <c r="FA68" s="8"/>
      <c r="FB68" s="8" t="s">
        <v>107</v>
      </c>
      <c r="FC68" s="8" t="s">
        <v>107</v>
      </c>
      <c r="FD68" s="8">
        <v>2</v>
      </c>
      <c r="FE68" s="967"/>
      <c r="FF68" s="8">
        <f t="shared" si="34"/>
        <v>0</v>
      </c>
      <c r="FG68" s="8"/>
      <c r="FH68" s="8" t="s">
        <v>107</v>
      </c>
      <c r="FI68" s="8" t="s">
        <v>107</v>
      </c>
      <c r="FJ68" s="8" t="s">
        <v>107</v>
      </c>
      <c r="FK68" s="8" t="s">
        <v>107</v>
      </c>
      <c r="FL68" s="8"/>
      <c r="FM68" s="8"/>
      <c r="FN68" s="8"/>
      <c r="FO68" s="8" t="s">
        <v>107</v>
      </c>
      <c r="FP68" s="8" t="s">
        <v>107</v>
      </c>
      <c r="FQ68" s="8"/>
      <c r="FR68" s="8"/>
      <c r="FS68" s="8"/>
      <c r="FT68" s="8"/>
      <c r="FU68" s="8"/>
      <c r="FV68" s="8"/>
      <c r="FW68" s="8"/>
      <c r="FX68" s="8">
        <v>0</v>
      </c>
      <c r="FY68" s="8">
        <v>0</v>
      </c>
      <c r="FZ68" s="8"/>
      <c r="GA68" s="8"/>
      <c r="GB68" s="8" t="s">
        <v>107</v>
      </c>
      <c r="GC68" s="8" t="s">
        <v>107</v>
      </c>
      <c r="GD68" s="8">
        <v>0</v>
      </c>
      <c r="GE68" s="967"/>
      <c r="GF68" s="8">
        <f t="shared" si="40"/>
        <v>0</v>
      </c>
      <c r="GG68" s="8"/>
      <c r="GH68" s="8" t="s">
        <v>107</v>
      </c>
      <c r="GI68" s="8" t="s">
        <v>107</v>
      </c>
      <c r="GJ68" s="8" t="s">
        <v>107</v>
      </c>
      <c r="GK68" s="8" t="s">
        <v>107</v>
      </c>
      <c r="GL68" s="8"/>
      <c r="GM68" s="8"/>
      <c r="GN68" s="8"/>
      <c r="GO68" s="8" t="s">
        <v>107</v>
      </c>
      <c r="GP68" s="8" t="s">
        <v>107</v>
      </c>
      <c r="GQ68" s="8"/>
      <c r="GR68" s="8"/>
      <c r="GS68" s="8"/>
      <c r="GT68" s="8"/>
      <c r="GU68" s="8"/>
      <c r="GV68" s="8"/>
      <c r="GW68" s="8"/>
      <c r="GX68" s="8">
        <v>0</v>
      </c>
      <c r="GY68" s="8">
        <v>0</v>
      </c>
      <c r="GZ68" s="8"/>
      <c r="HA68" s="8"/>
      <c r="HB68" s="8" t="s">
        <v>107</v>
      </c>
      <c r="HC68" s="8" t="s">
        <v>107</v>
      </c>
      <c r="HD68" s="8">
        <v>0</v>
      </c>
      <c r="HE68" s="967"/>
      <c r="HF68" s="8">
        <f t="shared" si="41"/>
        <v>0</v>
      </c>
      <c r="HG68" s="8"/>
      <c r="HH68" s="8" t="s">
        <v>107</v>
      </c>
      <c r="HI68" s="8" t="s">
        <v>107</v>
      </c>
      <c r="HJ68" s="8" t="s">
        <v>107</v>
      </c>
      <c r="HK68" s="8" t="s">
        <v>107</v>
      </c>
      <c r="HL68" s="8"/>
      <c r="HM68" s="8"/>
      <c r="HN68" s="8"/>
      <c r="HO68" s="8" t="s">
        <v>107</v>
      </c>
      <c r="HP68" s="8" t="s">
        <v>107</v>
      </c>
      <c r="HQ68" s="8"/>
      <c r="HR68" s="8"/>
      <c r="HS68" s="8"/>
      <c r="HT68" s="8"/>
      <c r="HU68" s="8"/>
      <c r="HV68" s="8"/>
      <c r="HW68" s="8"/>
      <c r="HX68" s="8">
        <v>0</v>
      </c>
      <c r="HY68" s="8">
        <v>0</v>
      </c>
      <c r="HZ68" s="8"/>
      <c r="IA68" s="8"/>
      <c r="IB68" s="8" t="s">
        <v>107</v>
      </c>
      <c r="IC68" s="8" t="s">
        <v>107</v>
      </c>
      <c r="ID68" s="8">
        <v>0</v>
      </c>
      <c r="IE68" s="967"/>
      <c r="IF68" s="8">
        <f t="shared" si="42"/>
        <v>0</v>
      </c>
      <c r="IG68" s="8"/>
      <c r="IH68" s="8" t="s">
        <v>107</v>
      </c>
      <c r="II68" s="8" t="s">
        <v>107</v>
      </c>
      <c r="IJ68" s="8" t="s">
        <v>107</v>
      </c>
      <c r="IK68" s="8" t="s">
        <v>107</v>
      </c>
      <c r="IL68" s="8"/>
      <c r="IM68" s="8"/>
      <c r="IN68" s="8"/>
      <c r="IO68" s="8" t="s">
        <v>107</v>
      </c>
      <c r="IP68" s="8" t="s">
        <v>107</v>
      </c>
      <c r="IQ68" s="8"/>
      <c r="IR68" s="8"/>
      <c r="IS68" s="8"/>
      <c r="IT68" s="8"/>
      <c r="IU68" s="8"/>
      <c r="IV68" s="8"/>
      <c r="IW68" s="8"/>
      <c r="IX68" s="8">
        <v>0</v>
      </c>
      <c r="IY68" s="8">
        <v>0</v>
      </c>
      <c r="IZ68" s="8"/>
      <c r="JA68" s="8"/>
      <c r="JB68" s="8" t="s">
        <v>107</v>
      </c>
      <c r="JC68" s="8" t="s">
        <v>107</v>
      </c>
      <c r="JD68" s="8">
        <v>0</v>
      </c>
      <c r="JE68" s="967"/>
      <c r="JF68" s="8">
        <f t="shared" si="43"/>
        <v>0</v>
      </c>
      <c r="JG68" s="8"/>
      <c r="JH68" s="8" t="s">
        <v>107</v>
      </c>
      <c r="JI68" s="8" t="s">
        <v>107</v>
      </c>
      <c r="JJ68" s="8" t="s">
        <v>107</v>
      </c>
      <c r="JK68" s="8" t="s">
        <v>107</v>
      </c>
      <c r="JL68" s="8"/>
      <c r="JM68" s="8"/>
      <c r="JN68" s="8"/>
      <c r="JO68" s="8" t="s">
        <v>107</v>
      </c>
      <c r="JP68" s="8" t="s">
        <v>107</v>
      </c>
      <c r="JQ68" s="8"/>
      <c r="JR68" s="8"/>
      <c r="JS68" s="8"/>
      <c r="JT68" s="8"/>
      <c r="JU68" s="8"/>
      <c r="JV68" s="8"/>
      <c r="JW68" s="8"/>
      <c r="JX68" s="8">
        <v>0</v>
      </c>
      <c r="JY68" s="8">
        <v>0</v>
      </c>
      <c r="JZ68" s="8"/>
      <c r="KA68" s="8"/>
      <c r="KB68" s="8" t="s">
        <v>107</v>
      </c>
      <c r="KC68" s="8" t="s">
        <v>107</v>
      </c>
      <c r="KD68" s="8">
        <v>0</v>
      </c>
      <c r="KE68" s="967"/>
      <c r="KF68" s="8">
        <f t="shared" si="44"/>
        <v>0</v>
      </c>
      <c r="KG68" s="8"/>
      <c r="KH68" s="8" t="s">
        <v>107</v>
      </c>
      <c r="KI68" s="8" t="s">
        <v>107</v>
      </c>
      <c r="KJ68" s="8" t="s">
        <v>107</v>
      </c>
      <c r="KK68" s="8" t="s">
        <v>107</v>
      </c>
      <c r="KL68" s="8"/>
      <c r="KM68" s="8"/>
      <c r="KN68" s="8"/>
      <c r="KO68" s="8" t="s">
        <v>107</v>
      </c>
      <c r="KP68" s="8" t="s">
        <v>107</v>
      </c>
      <c r="KQ68" s="8"/>
      <c r="KR68" s="8"/>
      <c r="KS68" s="8"/>
      <c r="KT68" s="8"/>
      <c r="KU68" s="8"/>
      <c r="KV68" s="8"/>
      <c r="KW68" s="8"/>
      <c r="KX68" s="8">
        <v>0</v>
      </c>
      <c r="KY68" s="8">
        <v>0</v>
      </c>
      <c r="KZ68" s="8"/>
      <c r="LA68" s="8"/>
      <c r="LB68" s="8" t="s">
        <v>107</v>
      </c>
      <c r="LC68" s="8" t="s">
        <v>107</v>
      </c>
      <c r="LD68" s="8">
        <v>0</v>
      </c>
      <c r="LE68" s="967"/>
      <c r="LF68" s="8">
        <f t="shared" si="45"/>
        <v>0</v>
      </c>
      <c r="LG68" s="8"/>
      <c r="LH68" s="8" t="s">
        <v>107</v>
      </c>
      <c r="LI68" s="8" t="s">
        <v>107</v>
      </c>
      <c r="LJ68" s="8" t="s">
        <v>107</v>
      </c>
      <c r="LK68" s="8" t="s">
        <v>107</v>
      </c>
      <c r="LL68" s="8"/>
      <c r="LM68" s="8"/>
      <c r="LN68" s="8"/>
      <c r="LO68" s="8" t="s">
        <v>107</v>
      </c>
      <c r="LP68" s="8" t="s">
        <v>107</v>
      </c>
      <c r="LQ68" s="8"/>
      <c r="LR68" s="8"/>
      <c r="LS68" s="8"/>
      <c r="LT68" s="8"/>
      <c r="LU68" s="8"/>
      <c r="LV68" s="8"/>
      <c r="LW68" s="8"/>
      <c r="LX68" s="8">
        <v>0</v>
      </c>
      <c r="LY68" s="8">
        <v>0</v>
      </c>
      <c r="LZ68" s="8"/>
      <c r="MA68" s="8"/>
      <c r="MB68" s="8" t="s">
        <v>107</v>
      </c>
      <c r="MC68" s="8" t="s">
        <v>107</v>
      </c>
      <c r="MD68" s="8">
        <v>0</v>
      </c>
      <c r="ME68" s="967"/>
      <c r="MF68" s="8">
        <f t="shared" si="46"/>
        <v>0</v>
      </c>
      <c r="MG68" s="8"/>
      <c r="MH68" s="8" t="s">
        <v>107</v>
      </c>
      <c r="MI68" s="8" t="s">
        <v>107</v>
      </c>
      <c r="MJ68" s="8" t="s">
        <v>107</v>
      </c>
      <c r="MK68" s="8" t="s">
        <v>107</v>
      </c>
      <c r="ML68" s="8"/>
      <c r="MM68" s="8"/>
      <c r="MN68" s="8"/>
      <c r="MO68" s="8" t="s">
        <v>107</v>
      </c>
      <c r="MP68" s="8" t="s">
        <v>107</v>
      </c>
      <c r="MQ68" s="8"/>
      <c r="MR68" s="8"/>
      <c r="MS68" s="8"/>
      <c r="MT68" s="8"/>
      <c r="MU68" s="8"/>
      <c r="MV68" s="8"/>
      <c r="MW68" s="8"/>
      <c r="MX68" s="8">
        <v>0</v>
      </c>
      <c r="MY68" s="8">
        <v>0</v>
      </c>
      <c r="MZ68" s="8"/>
      <c r="NA68" s="8"/>
      <c r="NB68" s="8" t="s">
        <v>107</v>
      </c>
      <c r="NC68" s="8" t="s">
        <v>107</v>
      </c>
      <c r="ND68" s="8">
        <v>0</v>
      </c>
      <c r="NE68" s="967"/>
      <c r="NF68" s="8">
        <f t="shared" si="47"/>
        <v>0</v>
      </c>
      <c r="NG68" s="8"/>
      <c r="NH68" s="8" t="s">
        <v>107</v>
      </c>
      <c r="NI68" s="8" t="s">
        <v>107</v>
      </c>
      <c r="NJ68" s="8" t="s">
        <v>107</v>
      </c>
      <c r="NK68" s="8" t="s">
        <v>107</v>
      </c>
      <c r="NL68" s="8"/>
      <c r="NM68" s="8"/>
      <c r="NN68" s="8"/>
      <c r="NO68" s="8" t="s">
        <v>107</v>
      </c>
      <c r="NP68" s="8" t="s">
        <v>107</v>
      </c>
      <c r="NQ68" s="8"/>
      <c r="NR68" s="8"/>
      <c r="NS68" s="8"/>
      <c r="NT68" s="8"/>
      <c r="NU68" s="8"/>
      <c r="NV68" s="8"/>
      <c r="NW68" s="8"/>
      <c r="NX68" s="8">
        <v>0</v>
      </c>
      <c r="NY68" s="8">
        <v>0</v>
      </c>
      <c r="NZ68" s="8"/>
      <c r="OA68" s="8"/>
      <c r="OB68" s="8" t="s">
        <v>107</v>
      </c>
      <c r="OC68" s="8" t="s">
        <v>107</v>
      </c>
      <c r="OD68" s="8">
        <v>0</v>
      </c>
      <c r="OE68" s="967"/>
      <c r="OF68" s="8">
        <f t="shared" si="48"/>
        <v>0</v>
      </c>
      <c r="OG68" s="8"/>
      <c r="OH68" s="8" t="s">
        <v>107</v>
      </c>
      <c r="OI68" s="8" t="s">
        <v>107</v>
      </c>
      <c r="OJ68" s="8" t="s">
        <v>107</v>
      </c>
      <c r="OK68" s="8" t="s">
        <v>107</v>
      </c>
      <c r="OL68" s="8"/>
      <c r="OM68" s="8"/>
      <c r="ON68" s="8"/>
      <c r="OO68" s="8" t="s">
        <v>107</v>
      </c>
      <c r="OP68" s="8" t="s">
        <v>107</v>
      </c>
      <c r="OQ68" s="8"/>
      <c r="OR68" s="8"/>
      <c r="OS68" s="8"/>
      <c r="OT68" s="8"/>
      <c r="OU68" s="8"/>
      <c r="OV68" s="8"/>
      <c r="OW68" s="8"/>
      <c r="OX68" s="8">
        <v>0</v>
      </c>
      <c r="OY68" s="8">
        <v>0</v>
      </c>
      <c r="OZ68" s="8"/>
      <c r="PA68" s="8"/>
      <c r="PB68" s="8" t="s">
        <v>107</v>
      </c>
      <c r="PC68" s="8" t="s">
        <v>107</v>
      </c>
      <c r="PD68" s="8">
        <v>0</v>
      </c>
      <c r="PE68" s="967"/>
      <c r="PF68" s="8">
        <f t="shared" si="49"/>
        <v>0</v>
      </c>
      <c r="PG68" s="8"/>
      <c r="PH68" s="8" t="s">
        <v>107</v>
      </c>
      <c r="PI68" s="8" t="s">
        <v>107</v>
      </c>
      <c r="PJ68" s="8" t="s">
        <v>107</v>
      </c>
      <c r="PK68" s="8" t="s">
        <v>107</v>
      </c>
      <c r="PL68" s="8"/>
      <c r="PM68" s="8"/>
      <c r="PN68" s="8"/>
      <c r="PO68" s="8" t="s">
        <v>107</v>
      </c>
      <c r="PP68" s="8" t="s">
        <v>107</v>
      </c>
      <c r="PQ68" s="8"/>
      <c r="PR68" s="8"/>
      <c r="PS68" s="8"/>
      <c r="PT68" s="8"/>
      <c r="PU68" s="8"/>
      <c r="PV68" s="8"/>
      <c r="PW68" s="8"/>
      <c r="PX68" s="8">
        <v>0</v>
      </c>
      <c r="PY68" s="8">
        <v>0</v>
      </c>
      <c r="PZ68" s="8"/>
      <c r="QA68" s="8"/>
      <c r="QB68" s="8" t="s">
        <v>107</v>
      </c>
      <c r="QC68" s="8" t="s">
        <v>107</v>
      </c>
      <c r="QD68" s="8">
        <v>0</v>
      </c>
      <c r="QE68" s="967"/>
    </row>
    <row r="69" spans="2:447" x14ac:dyDescent="0.3">
      <c r="B69">
        <v>61</v>
      </c>
      <c r="D69" t="s">
        <v>1983</v>
      </c>
      <c r="F69" s="8">
        <f t="shared" si="53"/>
        <v>43</v>
      </c>
      <c r="G69" s="8"/>
      <c r="H69" s="8" t="s">
        <v>107</v>
      </c>
      <c r="I69" s="8" t="s">
        <v>107</v>
      </c>
      <c r="J69" s="8" t="s">
        <v>107</v>
      </c>
      <c r="K69" s="8" t="s">
        <v>107</v>
      </c>
      <c r="L69" s="8">
        <v>1</v>
      </c>
      <c r="M69" s="8">
        <v>4</v>
      </c>
      <c r="N69" s="8">
        <v>2</v>
      </c>
      <c r="O69" s="8">
        <v>15</v>
      </c>
      <c r="P69" s="8">
        <v>3</v>
      </c>
      <c r="Q69" s="8">
        <v>3</v>
      </c>
      <c r="R69" s="8">
        <v>15</v>
      </c>
      <c r="S69" s="8" t="s">
        <v>107</v>
      </c>
      <c r="T69" s="8" t="s">
        <v>107</v>
      </c>
      <c r="U69" s="8"/>
      <c r="V69" s="8"/>
      <c r="W69" s="8"/>
      <c r="X69" s="8" t="s">
        <v>107</v>
      </c>
      <c r="Y69" s="8" t="s">
        <v>107</v>
      </c>
      <c r="Z69" s="8"/>
      <c r="AA69" s="8"/>
      <c r="AB69" s="8" t="s">
        <v>107</v>
      </c>
      <c r="AC69" s="8" t="s">
        <v>107</v>
      </c>
      <c r="AD69" s="8" t="s">
        <v>107</v>
      </c>
      <c r="AE69" s="967"/>
      <c r="AF69" s="8">
        <f t="shared" si="35"/>
        <v>32</v>
      </c>
      <c r="AG69" s="8"/>
      <c r="AH69" s="8" t="s">
        <v>107</v>
      </c>
      <c r="AI69" s="8" t="s">
        <v>107</v>
      </c>
      <c r="AJ69" s="8" t="s">
        <v>107</v>
      </c>
      <c r="AK69" s="8" t="s">
        <v>107</v>
      </c>
      <c r="AL69" s="8"/>
      <c r="AM69" s="8"/>
      <c r="AN69" s="8"/>
      <c r="AO69" s="8">
        <v>19</v>
      </c>
      <c r="AP69" s="8">
        <v>5</v>
      </c>
      <c r="AQ69" s="8">
        <v>0</v>
      </c>
      <c r="AR69" s="8">
        <v>8</v>
      </c>
      <c r="AS69" s="8" t="s">
        <v>107</v>
      </c>
      <c r="AT69" s="8" t="s">
        <v>107</v>
      </c>
      <c r="AU69" s="8"/>
      <c r="AV69" s="8"/>
      <c r="AW69" s="8"/>
      <c r="AX69" s="8" t="s">
        <v>107</v>
      </c>
      <c r="AY69" s="8" t="s">
        <v>107</v>
      </c>
      <c r="AZ69" s="8"/>
      <c r="BA69" s="8"/>
      <c r="BB69" s="8" t="s">
        <v>107</v>
      </c>
      <c r="BC69" s="8" t="s">
        <v>107</v>
      </c>
      <c r="BD69" s="8" t="s">
        <v>107</v>
      </c>
      <c r="BE69" s="967"/>
      <c r="BF69" s="8">
        <f t="shared" si="36"/>
        <v>11</v>
      </c>
      <c r="BG69" s="8"/>
      <c r="BH69" s="8" t="s">
        <v>107</v>
      </c>
      <c r="BI69" s="8"/>
      <c r="BJ69" s="8"/>
      <c r="BK69" s="8" t="s">
        <v>107</v>
      </c>
      <c r="BL69" s="8"/>
      <c r="BM69" s="8"/>
      <c r="BN69" s="8"/>
      <c r="BO69" s="8">
        <v>7</v>
      </c>
      <c r="BP69" s="8">
        <v>0</v>
      </c>
      <c r="BQ69" s="8">
        <v>0</v>
      </c>
      <c r="BR69" s="8">
        <v>4</v>
      </c>
      <c r="BS69" s="8" t="s">
        <v>107</v>
      </c>
      <c r="BT69" s="8" t="s">
        <v>107</v>
      </c>
      <c r="BU69" s="8"/>
      <c r="BV69" s="8"/>
      <c r="BW69" s="8"/>
      <c r="BX69" s="8" t="s">
        <v>107</v>
      </c>
      <c r="BY69" s="8" t="s">
        <v>107</v>
      </c>
      <c r="BZ69" s="8"/>
      <c r="CA69" s="8"/>
      <c r="CB69" s="8" t="s">
        <v>107</v>
      </c>
      <c r="CC69" s="8" t="s">
        <v>107</v>
      </c>
      <c r="CD69" s="8" t="s">
        <v>107</v>
      </c>
      <c r="CE69" s="967"/>
      <c r="CF69" s="8">
        <f t="shared" si="37"/>
        <v>43</v>
      </c>
      <c r="CG69" s="8"/>
      <c r="CH69" s="8" t="s">
        <v>107</v>
      </c>
      <c r="CI69" s="8"/>
      <c r="CJ69" s="8"/>
      <c r="CK69" s="8" t="s">
        <v>107</v>
      </c>
      <c r="CL69" s="8"/>
      <c r="CM69" s="8"/>
      <c r="CN69" s="8"/>
      <c r="CO69" s="8">
        <v>26</v>
      </c>
      <c r="CP69" s="8">
        <v>5</v>
      </c>
      <c r="CQ69" s="8">
        <v>0</v>
      </c>
      <c r="CR69" s="8">
        <v>12</v>
      </c>
      <c r="CS69" s="8" t="s">
        <v>107</v>
      </c>
      <c r="CT69" s="8" t="s">
        <v>107</v>
      </c>
      <c r="CU69" s="8"/>
      <c r="CV69" s="8"/>
      <c r="CW69" s="8"/>
      <c r="CX69" s="8" t="s">
        <v>107</v>
      </c>
      <c r="CY69" s="8" t="s">
        <v>107</v>
      </c>
      <c r="CZ69" s="8"/>
      <c r="DA69" s="8"/>
      <c r="DB69" s="8" t="s">
        <v>107</v>
      </c>
      <c r="DC69" s="8" t="s">
        <v>107</v>
      </c>
      <c r="DD69" s="8" t="s">
        <v>107</v>
      </c>
      <c r="DE69" s="967"/>
      <c r="DF69" s="8">
        <f t="shared" si="38"/>
        <v>3</v>
      </c>
      <c r="DG69" s="8"/>
      <c r="DH69" s="8" t="s">
        <v>107</v>
      </c>
      <c r="DI69" s="8" t="s">
        <v>107</v>
      </c>
      <c r="DJ69" s="8" t="s">
        <v>107</v>
      </c>
      <c r="DK69" s="8" t="s">
        <v>107</v>
      </c>
      <c r="DL69" s="8"/>
      <c r="DM69" s="8"/>
      <c r="DN69" s="8"/>
      <c r="DO69" s="8">
        <v>0</v>
      </c>
      <c r="DP69" s="8">
        <v>0</v>
      </c>
      <c r="DQ69" s="8">
        <v>2</v>
      </c>
      <c r="DR69" s="8">
        <v>1</v>
      </c>
      <c r="DS69" s="8" t="s">
        <v>107</v>
      </c>
      <c r="DT69" s="8"/>
      <c r="DU69" s="8"/>
      <c r="DV69" s="8"/>
      <c r="DW69" s="8"/>
      <c r="DX69" s="8" t="s">
        <v>107</v>
      </c>
      <c r="DY69" s="8" t="s">
        <v>107</v>
      </c>
      <c r="DZ69" s="8"/>
      <c r="EA69" s="8"/>
      <c r="EB69" s="8" t="s">
        <v>107</v>
      </c>
      <c r="EC69" s="8" t="s">
        <v>107</v>
      </c>
      <c r="ED69" s="8" t="s">
        <v>107</v>
      </c>
      <c r="EE69" s="967"/>
      <c r="EF69" s="8">
        <f t="shared" si="39"/>
        <v>6</v>
      </c>
      <c r="EG69" s="8"/>
      <c r="EH69" s="8" t="s">
        <v>107</v>
      </c>
      <c r="EI69" s="8" t="s">
        <v>107</v>
      </c>
      <c r="EJ69" s="8" t="s">
        <v>107</v>
      </c>
      <c r="EK69" s="8" t="s">
        <v>107</v>
      </c>
      <c r="EL69" s="8"/>
      <c r="EM69" s="8"/>
      <c r="EN69" s="8"/>
      <c r="EO69" s="8">
        <v>0</v>
      </c>
      <c r="EP69" s="8">
        <v>0</v>
      </c>
      <c r="EQ69" s="8">
        <v>4</v>
      </c>
      <c r="ER69" s="8">
        <v>2</v>
      </c>
      <c r="ES69" s="8" t="s">
        <v>107</v>
      </c>
      <c r="ET69" s="8"/>
      <c r="EU69" s="8"/>
      <c r="EV69" s="8"/>
      <c r="EW69" s="8"/>
      <c r="EX69" s="8" t="s">
        <v>107</v>
      </c>
      <c r="EY69" s="8" t="s">
        <v>107</v>
      </c>
      <c r="EZ69" s="8"/>
      <c r="FA69" s="8"/>
      <c r="FB69" s="8" t="s">
        <v>107</v>
      </c>
      <c r="FC69" s="8" t="s">
        <v>107</v>
      </c>
      <c r="FD69" s="8" t="s">
        <v>107</v>
      </c>
      <c r="FE69" s="967"/>
      <c r="FF69" s="8">
        <f t="shared" si="34"/>
        <v>7</v>
      </c>
      <c r="FG69" s="8"/>
      <c r="FH69" s="8" t="s">
        <v>107</v>
      </c>
      <c r="FI69" s="8" t="s">
        <v>107</v>
      </c>
      <c r="FJ69" s="8" t="s">
        <v>107</v>
      </c>
      <c r="FK69" s="8" t="s">
        <v>107</v>
      </c>
      <c r="FL69" s="8"/>
      <c r="FM69" s="8"/>
      <c r="FN69" s="8"/>
      <c r="FO69" s="8">
        <v>5</v>
      </c>
      <c r="FP69" s="8">
        <v>1</v>
      </c>
      <c r="FQ69" s="8">
        <v>0</v>
      </c>
      <c r="FR69" s="8">
        <v>1</v>
      </c>
      <c r="FS69" s="8" t="s">
        <v>107</v>
      </c>
      <c r="FT69" s="8"/>
      <c r="FU69" s="8"/>
      <c r="FV69" s="8"/>
      <c r="FW69" s="8"/>
      <c r="FX69" s="8" t="s">
        <v>107</v>
      </c>
      <c r="FY69" s="8" t="s">
        <v>107</v>
      </c>
      <c r="FZ69" s="8"/>
      <c r="GA69" s="8"/>
      <c r="GB69" s="8" t="s">
        <v>107</v>
      </c>
      <c r="GC69" s="8" t="s">
        <v>107</v>
      </c>
      <c r="GD69" s="8" t="s">
        <v>107</v>
      </c>
      <c r="GE69" s="967"/>
      <c r="GF69" s="8">
        <f t="shared" si="40"/>
        <v>2</v>
      </c>
      <c r="GG69" s="8"/>
      <c r="GH69" s="8" t="s">
        <v>107</v>
      </c>
      <c r="GI69" s="8" t="s">
        <v>107</v>
      </c>
      <c r="GJ69" s="8" t="s">
        <v>107</v>
      </c>
      <c r="GK69" s="8" t="s">
        <v>107</v>
      </c>
      <c r="GL69" s="8"/>
      <c r="GM69" s="8"/>
      <c r="GN69" s="8"/>
      <c r="GO69" s="8">
        <v>1</v>
      </c>
      <c r="GP69" s="8">
        <v>0</v>
      </c>
      <c r="GQ69" s="8">
        <v>0</v>
      </c>
      <c r="GR69" s="8">
        <v>1</v>
      </c>
      <c r="GS69" s="8" t="s">
        <v>107</v>
      </c>
      <c r="GT69" s="8"/>
      <c r="GU69" s="8"/>
      <c r="GV69" s="8"/>
      <c r="GW69" s="8"/>
      <c r="GX69" s="8" t="s">
        <v>107</v>
      </c>
      <c r="GY69" s="8" t="s">
        <v>107</v>
      </c>
      <c r="GZ69" s="8"/>
      <c r="HA69" s="8"/>
      <c r="HB69" s="8" t="s">
        <v>107</v>
      </c>
      <c r="HC69" s="8" t="s">
        <v>107</v>
      </c>
      <c r="HD69" s="8" t="s">
        <v>107</v>
      </c>
      <c r="HE69" s="967"/>
      <c r="HF69" s="8">
        <f t="shared" si="41"/>
        <v>0</v>
      </c>
      <c r="HG69" s="8"/>
      <c r="HH69" s="8" t="s">
        <v>107</v>
      </c>
      <c r="HI69" s="8" t="s">
        <v>107</v>
      </c>
      <c r="HJ69" s="8" t="s">
        <v>107</v>
      </c>
      <c r="HK69" s="8" t="s">
        <v>107</v>
      </c>
      <c r="HL69" s="8"/>
      <c r="HM69" s="8"/>
      <c r="HN69" s="8"/>
      <c r="HO69" s="8">
        <v>0</v>
      </c>
      <c r="HP69" s="8">
        <v>0</v>
      </c>
      <c r="HQ69" s="8">
        <v>0</v>
      </c>
      <c r="HR69" s="8">
        <v>0</v>
      </c>
      <c r="HS69" s="8" t="s">
        <v>107</v>
      </c>
      <c r="HT69" s="8"/>
      <c r="HU69" s="8"/>
      <c r="HV69" s="8"/>
      <c r="HW69" s="8"/>
      <c r="HX69" s="8" t="s">
        <v>107</v>
      </c>
      <c r="HY69" s="8" t="s">
        <v>107</v>
      </c>
      <c r="HZ69" s="8"/>
      <c r="IA69" s="8"/>
      <c r="IB69" s="8" t="s">
        <v>107</v>
      </c>
      <c r="IC69" s="8" t="s">
        <v>107</v>
      </c>
      <c r="ID69" s="8" t="s">
        <v>107</v>
      </c>
      <c r="IE69" s="967"/>
      <c r="IF69" s="8">
        <f t="shared" si="42"/>
        <v>2</v>
      </c>
      <c r="IG69" s="8"/>
      <c r="IH69" s="8" t="s">
        <v>107</v>
      </c>
      <c r="II69" s="8" t="s">
        <v>107</v>
      </c>
      <c r="IJ69" s="8" t="s">
        <v>107</v>
      </c>
      <c r="IK69" s="8" t="s">
        <v>107</v>
      </c>
      <c r="IL69" s="8"/>
      <c r="IM69" s="8"/>
      <c r="IN69" s="8"/>
      <c r="IO69" s="8">
        <v>1</v>
      </c>
      <c r="IP69" s="8">
        <v>1</v>
      </c>
      <c r="IQ69" s="8">
        <v>0</v>
      </c>
      <c r="IR69" s="8">
        <v>0</v>
      </c>
      <c r="IS69" s="8" t="s">
        <v>107</v>
      </c>
      <c r="IT69" s="8"/>
      <c r="IU69" s="8"/>
      <c r="IV69" s="8"/>
      <c r="IW69" s="8"/>
      <c r="IX69" s="8" t="s">
        <v>107</v>
      </c>
      <c r="IY69" s="8" t="s">
        <v>107</v>
      </c>
      <c r="IZ69" s="8"/>
      <c r="JA69" s="8"/>
      <c r="JB69" s="8" t="s">
        <v>107</v>
      </c>
      <c r="JC69" s="8" t="s">
        <v>107</v>
      </c>
      <c r="JD69" s="8" t="s">
        <v>107</v>
      </c>
      <c r="JE69" s="967"/>
      <c r="JF69" s="8">
        <f t="shared" si="43"/>
        <v>2</v>
      </c>
      <c r="JG69" s="8"/>
      <c r="JH69" s="8" t="s">
        <v>107</v>
      </c>
      <c r="JI69" s="8" t="s">
        <v>107</v>
      </c>
      <c r="JJ69" s="8" t="s">
        <v>107</v>
      </c>
      <c r="JK69" s="8" t="s">
        <v>107</v>
      </c>
      <c r="JL69" s="8"/>
      <c r="JM69" s="8"/>
      <c r="JN69" s="8"/>
      <c r="JO69" s="8">
        <v>1</v>
      </c>
      <c r="JP69" s="8">
        <v>1</v>
      </c>
      <c r="JQ69" s="8">
        <v>0</v>
      </c>
      <c r="JR69" s="8">
        <v>0</v>
      </c>
      <c r="JS69" s="8" t="s">
        <v>107</v>
      </c>
      <c r="JT69" s="8"/>
      <c r="JU69" s="8"/>
      <c r="JV69" s="8"/>
      <c r="JW69" s="8"/>
      <c r="JX69" s="8" t="s">
        <v>107</v>
      </c>
      <c r="JY69" s="8" t="s">
        <v>107</v>
      </c>
      <c r="JZ69" s="8"/>
      <c r="KA69" s="8"/>
      <c r="KB69" s="8" t="s">
        <v>107</v>
      </c>
      <c r="KC69" s="8" t="s">
        <v>107</v>
      </c>
      <c r="KD69" s="8" t="s">
        <v>107</v>
      </c>
      <c r="KE69" s="967"/>
      <c r="KF69" s="8">
        <f t="shared" si="44"/>
        <v>0</v>
      </c>
      <c r="KG69" s="8"/>
      <c r="KH69" s="8" t="s">
        <v>107</v>
      </c>
      <c r="KI69" s="8" t="s">
        <v>107</v>
      </c>
      <c r="KJ69" s="8" t="s">
        <v>107</v>
      </c>
      <c r="KK69" s="8" t="s">
        <v>107</v>
      </c>
      <c r="KL69" s="8"/>
      <c r="KM69" s="8"/>
      <c r="KN69" s="8"/>
      <c r="KO69" s="8">
        <v>0</v>
      </c>
      <c r="KP69" s="8">
        <v>0</v>
      </c>
      <c r="KQ69" s="8">
        <v>0</v>
      </c>
      <c r="KR69" s="8">
        <v>0</v>
      </c>
      <c r="KS69" s="8" t="s">
        <v>107</v>
      </c>
      <c r="KT69" s="8"/>
      <c r="KU69" s="8"/>
      <c r="KV69" s="8"/>
      <c r="KW69" s="8"/>
      <c r="KX69" s="8" t="s">
        <v>107</v>
      </c>
      <c r="KY69" s="8" t="s">
        <v>107</v>
      </c>
      <c r="KZ69" s="8"/>
      <c r="LA69" s="8"/>
      <c r="LB69" s="8" t="s">
        <v>107</v>
      </c>
      <c r="LC69" s="8" t="s">
        <v>107</v>
      </c>
      <c r="LD69" s="8" t="s">
        <v>107</v>
      </c>
      <c r="LE69" s="967"/>
      <c r="LF69" s="8">
        <f t="shared" si="45"/>
        <v>0</v>
      </c>
      <c r="LG69" s="8"/>
      <c r="LH69" s="8" t="s">
        <v>107</v>
      </c>
      <c r="LI69" s="8" t="s">
        <v>107</v>
      </c>
      <c r="LJ69" s="8" t="s">
        <v>107</v>
      </c>
      <c r="LK69" s="8" t="s">
        <v>107</v>
      </c>
      <c r="LL69" s="8"/>
      <c r="LM69" s="8"/>
      <c r="LN69" s="8"/>
      <c r="LO69" s="8">
        <v>0</v>
      </c>
      <c r="LP69" s="8">
        <v>0</v>
      </c>
      <c r="LQ69" s="8">
        <v>0</v>
      </c>
      <c r="LR69" s="8">
        <v>0</v>
      </c>
      <c r="LS69" s="8" t="s">
        <v>107</v>
      </c>
      <c r="LT69" s="8"/>
      <c r="LU69" s="8"/>
      <c r="LV69" s="8"/>
      <c r="LW69" s="8"/>
      <c r="LX69" s="8" t="s">
        <v>107</v>
      </c>
      <c r="LY69" s="8" t="s">
        <v>107</v>
      </c>
      <c r="LZ69" s="8"/>
      <c r="MA69" s="8"/>
      <c r="MB69" s="8" t="s">
        <v>107</v>
      </c>
      <c r="MC69" s="8" t="s">
        <v>107</v>
      </c>
      <c r="MD69" s="8" t="s">
        <v>107</v>
      </c>
      <c r="ME69" s="967"/>
      <c r="MF69" s="8">
        <f t="shared" si="46"/>
        <v>0</v>
      </c>
      <c r="MG69" s="8"/>
      <c r="MH69" s="8" t="s">
        <v>107</v>
      </c>
      <c r="MI69" s="8" t="s">
        <v>107</v>
      </c>
      <c r="MJ69" s="8" t="s">
        <v>107</v>
      </c>
      <c r="MK69" s="8" t="s">
        <v>107</v>
      </c>
      <c r="ML69" s="8"/>
      <c r="MM69" s="8"/>
      <c r="MN69" s="8"/>
      <c r="MO69" s="8">
        <v>0</v>
      </c>
      <c r="MP69" s="8">
        <v>0</v>
      </c>
      <c r="MQ69" s="8">
        <v>0</v>
      </c>
      <c r="MR69" s="8">
        <v>0</v>
      </c>
      <c r="MS69" s="8" t="s">
        <v>107</v>
      </c>
      <c r="MT69" s="8"/>
      <c r="MU69" s="8"/>
      <c r="MV69" s="8"/>
      <c r="MW69" s="8"/>
      <c r="MX69" s="8" t="s">
        <v>107</v>
      </c>
      <c r="MY69" s="8" t="s">
        <v>107</v>
      </c>
      <c r="MZ69" s="8"/>
      <c r="NA69" s="8"/>
      <c r="NB69" s="8" t="s">
        <v>107</v>
      </c>
      <c r="NC69" s="8" t="s">
        <v>107</v>
      </c>
      <c r="ND69" s="8" t="s">
        <v>107</v>
      </c>
      <c r="NE69" s="967"/>
      <c r="NF69" s="8">
        <f t="shared" si="47"/>
        <v>2</v>
      </c>
      <c r="NG69" s="8"/>
      <c r="NH69" s="8" t="s">
        <v>107</v>
      </c>
      <c r="NI69" s="8" t="s">
        <v>107</v>
      </c>
      <c r="NJ69" s="8" t="s">
        <v>107</v>
      </c>
      <c r="NK69" s="8" t="s">
        <v>107</v>
      </c>
      <c r="NL69" s="8"/>
      <c r="NM69" s="8"/>
      <c r="NN69" s="8"/>
      <c r="NO69" s="8">
        <v>2</v>
      </c>
      <c r="NP69" s="8">
        <v>0</v>
      </c>
      <c r="NQ69" s="8">
        <v>0</v>
      </c>
      <c r="NR69" s="8">
        <v>0</v>
      </c>
      <c r="NS69" s="8" t="s">
        <v>107</v>
      </c>
      <c r="NT69" s="8"/>
      <c r="NU69" s="8"/>
      <c r="NV69" s="8"/>
      <c r="NW69" s="8"/>
      <c r="NX69" s="8" t="s">
        <v>107</v>
      </c>
      <c r="NY69" s="8" t="s">
        <v>107</v>
      </c>
      <c r="NZ69" s="8"/>
      <c r="OA69" s="8"/>
      <c r="OB69" s="8" t="s">
        <v>107</v>
      </c>
      <c r="OC69" s="8" t="s">
        <v>107</v>
      </c>
      <c r="OD69" s="8" t="s">
        <v>107</v>
      </c>
      <c r="OE69" s="967"/>
      <c r="OF69" s="8">
        <f t="shared" si="48"/>
        <v>1</v>
      </c>
      <c r="OG69" s="8"/>
      <c r="OH69" s="8" t="s">
        <v>107</v>
      </c>
      <c r="OI69" s="8" t="s">
        <v>107</v>
      </c>
      <c r="OJ69" s="8" t="s">
        <v>107</v>
      </c>
      <c r="OK69" s="8" t="s">
        <v>107</v>
      </c>
      <c r="OL69" s="8"/>
      <c r="OM69" s="8"/>
      <c r="ON69" s="8"/>
      <c r="OO69" s="8">
        <v>0</v>
      </c>
      <c r="OP69" s="8">
        <v>0</v>
      </c>
      <c r="OQ69" s="8">
        <v>0</v>
      </c>
      <c r="OR69" s="8">
        <v>1</v>
      </c>
      <c r="OS69" s="8" t="s">
        <v>107</v>
      </c>
      <c r="OT69" s="8"/>
      <c r="OU69" s="8"/>
      <c r="OV69" s="8"/>
      <c r="OW69" s="8"/>
      <c r="OX69" s="8" t="s">
        <v>107</v>
      </c>
      <c r="OY69" s="8" t="s">
        <v>107</v>
      </c>
      <c r="OZ69" s="8"/>
      <c r="PA69" s="8"/>
      <c r="PB69" s="8" t="s">
        <v>107</v>
      </c>
      <c r="PC69" s="8" t="s">
        <v>107</v>
      </c>
      <c r="PD69" s="8" t="s">
        <v>107</v>
      </c>
      <c r="PE69" s="967"/>
      <c r="PF69" s="8">
        <f t="shared" si="49"/>
        <v>1</v>
      </c>
      <c r="PG69" s="8"/>
      <c r="PH69" s="8" t="s">
        <v>107</v>
      </c>
      <c r="PI69" s="8" t="s">
        <v>107</v>
      </c>
      <c r="PJ69" s="8" t="s">
        <v>107</v>
      </c>
      <c r="PK69" s="8" t="s">
        <v>107</v>
      </c>
      <c r="PL69" s="8"/>
      <c r="PM69" s="8"/>
      <c r="PN69" s="8"/>
      <c r="PO69" s="8">
        <v>0</v>
      </c>
      <c r="PP69" s="8">
        <v>1</v>
      </c>
      <c r="PQ69" s="8">
        <v>0</v>
      </c>
      <c r="PR69" s="8">
        <v>0</v>
      </c>
      <c r="PS69" s="8" t="s">
        <v>107</v>
      </c>
      <c r="PT69" s="8"/>
      <c r="PU69" s="8"/>
      <c r="PV69" s="8"/>
      <c r="PW69" s="8"/>
      <c r="PX69" s="8" t="s">
        <v>107</v>
      </c>
      <c r="PY69" s="8" t="s">
        <v>107</v>
      </c>
      <c r="PZ69" s="8"/>
      <c r="QA69" s="8"/>
      <c r="QB69" s="8" t="s">
        <v>107</v>
      </c>
      <c r="QC69" s="8" t="s">
        <v>107</v>
      </c>
      <c r="QD69" s="8" t="s">
        <v>107</v>
      </c>
      <c r="QE69" s="967"/>
    </row>
    <row r="70" spans="2:447" x14ac:dyDescent="0.3">
      <c r="B70">
        <v>62</v>
      </c>
      <c r="D70" t="s">
        <v>2004</v>
      </c>
      <c r="F70" s="8">
        <f t="shared" si="53"/>
        <v>47</v>
      </c>
      <c r="G70" s="8"/>
      <c r="H70" s="8" t="s">
        <v>107</v>
      </c>
      <c r="I70" s="8" t="s">
        <v>107</v>
      </c>
      <c r="J70" s="8" t="s">
        <v>107</v>
      </c>
      <c r="K70" s="8" t="s">
        <v>107</v>
      </c>
      <c r="L70" s="8" t="s">
        <v>107</v>
      </c>
      <c r="M70" s="8" t="s">
        <v>107</v>
      </c>
      <c r="N70" s="8" t="s">
        <v>107</v>
      </c>
      <c r="O70" s="8" t="s">
        <v>107</v>
      </c>
      <c r="P70" s="8" t="s">
        <v>107</v>
      </c>
      <c r="Q70" s="8" t="s">
        <v>107</v>
      </c>
      <c r="R70" s="8" t="s">
        <v>107</v>
      </c>
      <c r="S70" s="8" t="s">
        <v>107</v>
      </c>
      <c r="T70" s="8" t="s">
        <v>107</v>
      </c>
      <c r="U70" s="8"/>
      <c r="V70" s="8"/>
      <c r="W70" s="8"/>
      <c r="X70" s="8" t="s">
        <v>107</v>
      </c>
      <c r="Y70" s="8">
        <v>16</v>
      </c>
      <c r="Z70" s="8"/>
      <c r="AA70" s="8"/>
      <c r="AB70" s="8">
        <v>15</v>
      </c>
      <c r="AC70" s="8">
        <v>16</v>
      </c>
      <c r="AD70" s="8" t="s">
        <v>107</v>
      </c>
      <c r="AE70" s="967"/>
      <c r="AF70" s="8">
        <f t="shared" si="35"/>
        <v>22</v>
      </c>
      <c r="AG70" s="8"/>
      <c r="AH70" s="8" t="s">
        <v>107</v>
      </c>
      <c r="AI70" s="8" t="s">
        <v>107</v>
      </c>
      <c r="AJ70" s="8" t="s">
        <v>107</v>
      </c>
      <c r="AK70" s="8" t="s">
        <v>107</v>
      </c>
      <c r="AL70" s="8"/>
      <c r="AM70" s="8"/>
      <c r="AN70" s="8"/>
      <c r="AO70" s="8" t="s">
        <v>107</v>
      </c>
      <c r="AP70" s="8" t="s">
        <v>107</v>
      </c>
      <c r="AQ70" s="8"/>
      <c r="AR70" s="8"/>
      <c r="AS70" s="8"/>
      <c r="AT70" s="8"/>
      <c r="AU70" s="8"/>
      <c r="AV70" s="8"/>
      <c r="AW70" s="8"/>
      <c r="AX70" s="8" t="s">
        <v>107</v>
      </c>
      <c r="AY70" s="8">
        <v>5</v>
      </c>
      <c r="AZ70" s="8"/>
      <c r="BA70" s="8"/>
      <c r="BB70" s="8">
        <v>13</v>
      </c>
      <c r="BC70" s="8">
        <v>4</v>
      </c>
      <c r="BD70" s="8" t="s">
        <v>107</v>
      </c>
      <c r="BE70" s="967"/>
      <c r="BF70" s="8">
        <f t="shared" si="36"/>
        <v>13</v>
      </c>
      <c r="BG70" s="8"/>
      <c r="BH70" s="8" t="s">
        <v>107</v>
      </c>
      <c r="BI70" s="8"/>
      <c r="BJ70" s="8"/>
      <c r="BK70" s="8" t="s">
        <v>107</v>
      </c>
      <c r="BL70" s="8"/>
      <c r="BM70" s="8"/>
      <c r="BN70" s="8"/>
      <c r="BO70" s="8" t="s">
        <v>107</v>
      </c>
      <c r="BP70" s="8" t="s">
        <v>107</v>
      </c>
      <c r="BQ70" s="8"/>
      <c r="BR70" s="8"/>
      <c r="BS70" s="8"/>
      <c r="BT70" s="8"/>
      <c r="BU70" s="8"/>
      <c r="BV70" s="8"/>
      <c r="BW70" s="8"/>
      <c r="BX70" s="8" t="s">
        <v>107</v>
      </c>
      <c r="BY70" s="8">
        <v>5</v>
      </c>
      <c r="BZ70" s="8"/>
      <c r="CA70" s="8"/>
      <c r="CB70" s="8">
        <v>4</v>
      </c>
      <c r="CC70" s="8">
        <v>4</v>
      </c>
      <c r="CD70" s="8" t="s">
        <v>107</v>
      </c>
      <c r="CE70" s="967"/>
      <c r="CF70" s="8">
        <f t="shared" si="37"/>
        <v>35</v>
      </c>
      <c r="CG70" s="8"/>
      <c r="CH70" s="8" t="s">
        <v>107</v>
      </c>
      <c r="CI70" s="8"/>
      <c r="CJ70" s="8"/>
      <c r="CK70" s="8" t="s">
        <v>107</v>
      </c>
      <c r="CL70" s="8"/>
      <c r="CM70" s="8"/>
      <c r="CN70" s="8"/>
      <c r="CO70" s="8" t="s">
        <v>107</v>
      </c>
      <c r="CP70" s="8" t="s">
        <v>107</v>
      </c>
      <c r="CQ70" s="8"/>
      <c r="CR70" s="8"/>
      <c r="CS70" s="8"/>
      <c r="CT70" s="8"/>
      <c r="CU70" s="8"/>
      <c r="CV70" s="8"/>
      <c r="CW70" s="8"/>
      <c r="CX70" s="8" t="s">
        <v>107</v>
      </c>
      <c r="CY70" s="8">
        <v>10</v>
      </c>
      <c r="CZ70" s="8"/>
      <c r="DA70" s="8"/>
      <c r="DB70" s="8">
        <f t="shared" si="51"/>
        <v>17</v>
      </c>
      <c r="DC70" s="8">
        <f t="shared" si="52"/>
        <v>8</v>
      </c>
      <c r="DD70" s="8" t="s">
        <v>107</v>
      </c>
      <c r="DE70" s="967"/>
      <c r="DF70" s="8">
        <f t="shared" si="38"/>
        <v>0</v>
      </c>
      <c r="DG70" s="8"/>
      <c r="DH70" s="8" t="s">
        <v>107</v>
      </c>
      <c r="DI70" s="8" t="s">
        <v>107</v>
      </c>
      <c r="DJ70" s="8" t="s">
        <v>107</v>
      </c>
      <c r="DK70" s="8" t="s">
        <v>107</v>
      </c>
      <c r="DL70" s="8"/>
      <c r="DM70" s="8"/>
      <c r="DN70" s="8"/>
      <c r="DO70" s="8" t="s">
        <v>107</v>
      </c>
      <c r="DP70" s="8" t="s">
        <v>107</v>
      </c>
      <c r="DQ70" s="8"/>
      <c r="DR70" s="8"/>
      <c r="DS70" s="8"/>
      <c r="DT70" s="8"/>
      <c r="DU70" s="8"/>
      <c r="DV70" s="8"/>
      <c r="DW70" s="8"/>
      <c r="DX70" s="8" t="s">
        <v>107</v>
      </c>
      <c r="DY70" s="8">
        <v>0</v>
      </c>
      <c r="DZ70" s="8"/>
      <c r="EA70" s="8"/>
      <c r="EB70" s="8">
        <v>0</v>
      </c>
      <c r="EC70" s="8">
        <v>0</v>
      </c>
      <c r="ED70" s="8" t="s">
        <v>107</v>
      </c>
      <c r="EE70" s="967"/>
      <c r="EF70" s="8">
        <f t="shared" si="39"/>
        <v>0</v>
      </c>
      <c r="EG70" s="8"/>
      <c r="EH70" s="8" t="s">
        <v>107</v>
      </c>
      <c r="EI70" s="8" t="s">
        <v>107</v>
      </c>
      <c r="EJ70" s="8" t="s">
        <v>107</v>
      </c>
      <c r="EK70" s="8" t="s">
        <v>107</v>
      </c>
      <c r="EL70" s="8"/>
      <c r="EM70" s="8"/>
      <c r="EN70" s="8"/>
      <c r="EO70" s="8" t="s">
        <v>107</v>
      </c>
      <c r="EP70" s="8" t="s">
        <v>107</v>
      </c>
      <c r="EQ70" s="8"/>
      <c r="ER70" s="8"/>
      <c r="ES70" s="8"/>
      <c r="ET70" s="8"/>
      <c r="EU70" s="8"/>
      <c r="EV70" s="8"/>
      <c r="EW70" s="8"/>
      <c r="EX70" s="8" t="s">
        <v>107</v>
      </c>
      <c r="EY70" s="8">
        <v>0</v>
      </c>
      <c r="EZ70" s="8"/>
      <c r="FA70" s="8"/>
      <c r="FB70" s="8">
        <v>0</v>
      </c>
      <c r="FC70" s="8">
        <v>0</v>
      </c>
      <c r="FD70" s="8" t="s">
        <v>107</v>
      </c>
      <c r="FE70" s="967"/>
      <c r="FF70" s="8">
        <f t="shared" si="34"/>
        <v>2</v>
      </c>
      <c r="FG70" s="8"/>
      <c r="FH70" s="8" t="s">
        <v>107</v>
      </c>
      <c r="FI70" s="8" t="s">
        <v>107</v>
      </c>
      <c r="FJ70" s="8" t="s">
        <v>107</v>
      </c>
      <c r="FK70" s="8" t="s">
        <v>107</v>
      </c>
      <c r="FL70" s="8"/>
      <c r="FM70" s="8"/>
      <c r="FN70" s="8"/>
      <c r="FO70" s="8" t="s">
        <v>107</v>
      </c>
      <c r="FP70" s="8" t="s">
        <v>107</v>
      </c>
      <c r="FQ70" s="8"/>
      <c r="FR70" s="8"/>
      <c r="FS70" s="8"/>
      <c r="FT70" s="8"/>
      <c r="FU70" s="8"/>
      <c r="FV70" s="8"/>
      <c r="FW70" s="8"/>
      <c r="FX70" s="8" t="s">
        <v>107</v>
      </c>
      <c r="FY70" s="8">
        <v>0</v>
      </c>
      <c r="FZ70" s="8"/>
      <c r="GA70" s="8"/>
      <c r="GB70" s="8">
        <v>2</v>
      </c>
      <c r="GC70" s="8">
        <v>0</v>
      </c>
      <c r="GD70" s="8" t="s">
        <v>107</v>
      </c>
      <c r="GE70" s="967"/>
      <c r="GF70" s="8">
        <f t="shared" si="40"/>
        <v>1</v>
      </c>
      <c r="GG70" s="8"/>
      <c r="GH70" s="8" t="s">
        <v>107</v>
      </c>
      <c r="GI70" s="8" t="s">
        <v>107</v>
      </c>
      <c r="GJ70" s="8" t="s">
        <v>107</v>
      </c>
      <c r="GK70" s="8" t="s">
        <v>107</v>
      </c>
      <c r="GL70" s="8"/>
      <c r="GM70" s="8"/>
      <c r="GN70" s="8"/>
      <c r="GO70" s="8" t="s">
        <v>107</v>
      </c>
      <c r="GP70" s="8" t="s">
        <v>107</v>
      </c>
      <c r="GQ70" s="8"/>
      <c r="GR70" s="8"/>
      <c r="GS70" s="8"/>
      <c r="GT70" s="8"/>
      <c r="GU70" s="8"/>
      <c r="GV70" s="8"/>
      <c r="GW70" s="8"/>
      <c r="GX70" s="8" t="s">
        <v>107</v>
      </c>
      <c r="GY70" s="8">
        <v>0</v>
      </c>
      <c r="GZ70" s="8"/>
      <c r="HA70" s="8"/>
      <c r="HB70" s="8">
        <v>1</v>
      </c>
      <c r="HC70" s="8">
        <v>0</v>
      </c>
      <c r="HD70" s="8" t="s">
        <v>107</v>
      </c>
      <c r="HE70" s="967"/>
      <c r="HF70" s="8">
        <f t="shared" si="41"/>
        <v>1</v>
      </c>
      <c r="HG70" s="8"/>
      <c r="HH70" s="8" t="s">
        <v>107</v>
      </c>
      <c r="HI70" s="8" t="s">
        <v>107</v>
      </c>
      <c r="HJ70" s="8" t="s">
        <v>107</v>
      </c>
      <c r="HK70" s="8" t="s">
        <v>107</v>
      </c>
      <c r="HL70" s="8"/>
      <c r="HM70" s="8"/>
      <c r="HN70" s="8"/>
      <c r="HO70" s="8" t="s">
        <v>107</v>
      </c>
      <c r="HP70" s="8" t="s">
        <v>107</v>
      </c>
      <c r="HQ70" s="8"/>
      <c r="HR70" s="8"/>
      <c r="HS70" s="8"/>
      <c r="HT70" s="8"/>
      <c r="HU70" s="8"/>
      <c r="HV70" s="8"/>
      <c r="HW70" s="8"/>
      <c r="HX70" s="8" t="s">
        <v>107</v>
      </c>
      <c r="HY70" s="8">
        <v>0</v>
      </c>
      <c r="HZ70" s="8"/>
      <c r="IA70" s="8"/>
      <c r="IB70" s="8">
        <v>0</v>
      </c>
      <c r="IC70" s="8">
        <v>1</v>
      </c>
      <c r="ID70" s="8" t="s">
        <v>107</v>
      </c>
      <c r="IE70" s="967"/>
      <c r="IF70" s="8">
        <f t="shared" si="42"/>
        <v>0</v>
      </c>
      <c r="IG70" s="8"/>
      <c r="IH70" s="8" t="s">
        <v>107</v>
      </c>
      <c r="II70" s="8" t="s">
        <v>107</v>
      </c>
      <c r="IJ70" s="8" t="s">
        <v>107</v>
      </c>
      <c r="IK70" s="8" t="s">
        <v>107</v>
      </c>
      <c r="IL70" s="8"/>
      <c r="IM70" s="8"/>
      <c r="IN70" s="8"/>
      <c r="IO70" s="8" t="s">
        <v>107</v>
      </c>
      <c r="IP70" s="8" t="s">
        <v>107</v>
      </c>
      <c r="IQ70" s="8"/>
      <c r="IR70" s="8"/>
      <c r="IS70" s="8"/>
      <c r="IT70" s="8"/>
      <c r="IU70" s="8"/>
      <c r="IV70" s="8"/>
      <c r="IW70" s="8"/>
      <c r="IX70" s="8" t="s">
        <v>107</v>
      </c>
      <c r="IY70" s="8">
        <v>0</v>
      </c>
      <c r="IZ70" s="8"/>
      <c r="JA70" s="8"/>
      <c r="JB70" s="8">
        <v>0</v>
      </c>
      <c r="JC70" s="8">
        <v>0</v>
      </c>
      <c r="JD70" s="8" t="s">
        <v>107</v>
      </c>
      <c r="JE70" s="967"/>
      <c r="JF70" s="8">
        <f t="shared" si="43"/>
        <v>1</v>
      </c>
      <c r="JG70" s="8"/>
      <c r="JH70" s="8" t="s">
        <v>107</v>
      </c>
      <c r="JI70" s="8" t="s">
        <v>107</v>
      </c>
      <c r="JJ70" s="8" t="s">
        <v>107</v>
      </c>
      <c r="JK70" s="8" t="s">
        <v>107</v>
      </c>
      <c r="JL70" s="8"/>
      <c r="JM70" s="8"/>
      <c r="JN70" s="8"/>
      <c r="JO70" s="8" t="s">
        <v>107</v>
      </c>
      <c r="JP70" s="8" t="s">
        <v>107</v>
      </c>
      <c r="JQ70" s="8"/>
      <c r="JR70" s="8"/>
      <c r="JS70" s="8"/>
      <c r="JT70" s="8"/>
      <c r="JU70" s="8"/>
      <c r="JV70" s="8"/>
      <c r="JW70" s="8"/>
      <c r="JX70" s="8" t="s">
        <v>107</v>
      </c>
      <c r="JY70" s="8">
        <v>0</v>
      </c>
      <c r="JZ70" s="8"/>
      <c r="KA70" s="8"/>
      <c r="KB70" s="8">
        <v>0</v>
      </c>
      <c r="KC70" s="8">
        <v>1</v>
      </c>
      <c r="KD70" s="8" t="s">
        <v>107</v>
      </c>
      <c r="KE70" s="967"/>
      <c r="KF70" s="8">
        <f t="shared" si="44"/>
        <v>0</v>
      </c>
      <c r="KG70" s="8"/>
      <c r="KH70" s="8" t="s">
        <v>107</v>
      </c>
      <c r="KI70" s="8" t="s">
        <v>107</v>
      </c>
      <c r="KJ70" s="8" t="s">
        <v>107</v>
      </c>
      <c r="KK70" s="8" t="s">
        <v>107</v>
      </c>
      <c r="KL70" s="8"/>
      <c r="KM70" s="8"/>
      <c r="KN70" s="8"/>
      <c r="KO70" s="8" t="s">
        <v>107</v>
      </c>
      <c r="KP70" s="8" t="s">
        <v>107</v>
      </c>
      <c r="KQ70" s="8"/>
      <c r="KR70" s="8"/>
      <c r="KS70" s="8"/>
      <c r="KT70" s="8"/>
      <c r="KU70" s="8"/>
      <c r="KV70" s="8"/>
      <c r="KW70" s="8"/>
      <c r="KX70" s="8" t="s">
        <v>107</v>
      </c>
      <c r="KY70" s="8">
        <v>0</v>
      </c>
      <c r="KZ70" s="8"/>
      <c r="LA70" s="8"/>
      <c r="LB70" s="8">
        <v>0</v>
      </c>
      <c r="LC70" s="8">
        <v>0</v>
      </c>
      <c r="LD70" s="8" t="s">
        <v>107</v>
      </c>
      <c r="LE70" s="967"/>
      <c r="LF70" s="8">
        <f t="shared" si="45"/>
        <v>0</v>
      </c>
      <c r="LG70" s="8"/>
      <c r="LH70" s="8" t="s">
        <v>107</v>
      </c>
      <c r="LI70" s="8" t="s">
        <v>107</v>
      </c>
      <c r="LJ70" s="8" t="s">
        <v>107</v>
      </c>
      <c r="LK70" s="8" t="s">
        <v>107</v>
      </c>
      <c r="LL70" s="8"/>
      <c r="LM70" s="8"/>
      <c r="LN70" s="8"/>
      <c r="LO70" s="8" t="s">
        <v>107</v>
      </c>
      <c r="LP70" s="8" t="s">
        <v>107</v>
      </c>
      <c r="LQ70" s="8"/>
      <c r="LR70" s="8"/>
      <c r="LS70" s="8"/>
      <c r="LT70" s="8"/>
      <c r="LU70" s="8"/>
      <c r="LV70" s="8"/>
      <c r="LW70" s="8"/>
      <c r="LX70" s="8" t="s">
        <v>107</v>
      </c>
      <c r="LY70" s="8">
        <v>0</v>
      </c>
      <c r="LZ70" s="8"/>
      <c r="MA70" s="8"/>
      <c r="MB70" s="8">
        <v>0</v>
      </c>
      <c r="MC70" s="8">
        <v>0</v>
      </c>
      <c r="MD70" s="8" t="s">
        <v>107</v>
      </c>
      <c r="ME70" s="967"/>
      <c r="MF70" s="8">
        <f t="shared" si="46"/>
        <v>0</v>
      </c>
      <c r="MG70" s="8"/>
      <c r="MH70" s="8" t="s">
        <v>107</v>
      </c>
      <c r="MI70" s="8" t="s">
        <v>107</v>
      </c>
      <c r="MJ70" s="8" t="s">
        <v>107</v>
      </c>
      <c r="MK70" s="8" t="s">
        <v>107</v>
      </c>
      <c r="ML70" s="8"/>
      <c r="MM70" s="8"/>
      <c r="MN70" s="8"/>
      <c r="MO70" s="8" t="s">
        <v>107</v>
      </c>
      <c r="MP70" s="8" t="s">
        <v>107</v>
      </c>
      <c r="MQ70" s="8"/>
      <c r="MR70" s="8"/>
      <c r="MS70" s="8"/>
      <c r="MT70" s="8"/>
      <c r="MU70" s="8"/>
      <c r="MV70" s="8"/>
      <c r="MW70" s="8"/>
      <c r="MX70" s="8" t="s">
        <v>107</v>
      </c>
      <c r="MY70" s="8">
        <v>0</v>
      </c>
      <c r="MZ70" s="8"/>
      <c r="NA70" s="8"/>
      <c r="NB70" s="8">
        <v>0</v>
      </c>
      <c r="NC70" s="8">
        <v>0</v>
      </c>
      <c r="ND70" s="8" t="s">
        <v>107</v>
      </c>
      <c r="NE70" s="967"/>
      <c r="NF70" s="8">
        <f t="shared" si="47"/>
        <v>2</v>
      </c>
      <c r="NG70" s="8"/>
      <c r="NH70" s="8" t="s">
        <v>107</v>
      </c>
      <c r="NI70" s="8" t="s">
        <v>107</v>
      </c>
      <c r="NJ70" s="8" t="s">
        <v>107</v>
      </c>
      <c r="NK70" s="8" t="s">
        <v>107</v>
      </c>
      <c r="NL70" s="8"/>
      <c r="NM70" s="8"/>
      <c r="NN70" s="8"/>
      <c r="NO70" s="8" t="s">
        <v>107</v>
      </c>
      <c r="NP70" s="8" t="s">
        <v>107</v>
      </c>
      <c r="NQ70" s="8"/>
      <c r="NR70" s="8"/>
      <c r="NS70" s="8"/>
      <c r="NT70" s="8"/>
      <c r="NU70" s="8"/>
      <c r="NV70" s="8"/>
      <c r="NW70" s="8"/>
      <c r="NX70" s="8" t="s">
        <v>107</v>
      </c>
      <c r="NY70" s="8">
        <v>0</v>
      </c>
      <c r="NZ70" s="8"/>
      <c r="OA70" s="8"/>
      <c r="OB70" s="8">
        <v>2</v>
      </c>
      <c r="OC70" s="8">
        <v>0</v>
      </c>
      <c r="OD70" s="8" t="s">
        <v>107</v>
      </c>
      <c r="OE70" s="967"/>
      <c r="OF70" s="8">
        <f t="shared" si="48"/>
        <v>0</v>
      </c>
      <c r="OG70" s="8"/>
      <c r="OH70" s="8" t="s">
        <v>107</v>
      </c>
      <c r="OI70" s="8" t="s">
        <v>107</v>
      </c>
      <c r="OJ70" s="8" t="s">
        <v>107</v>
      </c>
      <c r="OK70" s="8" t="s">
        <v>107</v>
      </c>
      <c r="OL70" s="8"/>
      <c r="OM70" s="8"/>
      <c r="ON70" s="8"/>
      <c r="OO70" s="8" t="s">
        <v>107</v>
      </c>
      <c r="OP70" s="8" t="s">
        <v>107</v>
      </c>
      <c r="OQ70" s="8"/>
      <c r="OR70" s="8"/>
      <c r="OS70" s="8"/>
      <c r="OT70" s="8"/>
      <c r="OU70" s="8"/>
      <c r="OV70" s="8"/>
      <c r="OW70" s="8"/>
      <c r="OX70" s="8" t="s">
        <v>107</v>
      </c>
      <c r="OY70" s="8">
        <v>0</v>
      </c>
      <c r="OZ70" s="8"/>
      <c r="PA70" s="8"/>
      <c r="PB70" s="8">
        <v>0</v>
      </c>
      <c r="PC70" s="8">
        <v>0</v>
      </c>
      <c r="PD70" s="8" t="s">
        <v>107</v>
      </c>
      <c r="PE70" s="967"/>
      <c r="PF70" s="8">
        <f t="shared" si="49"/>
        <v>0</v>
      </c>
      <c r="PG70" s="8"/>
      <c r="PH70" s="8" t="s">
        <v>107</v>
      </c>
      <c r="PI70" s="8" t="s">
        <v>107</v>
      </c>
      <c r="PJ70" s="8" t="s">
        <v>107</v>
      </c>
      <c r="PK70" s="8" t="s">
        <v>107</v>
      </c>
      <c r="PL70" s="8"/>
      <c r="PM70" s="8"/>
      <c r="PN70" s="8"/>
      <c r="PO70" s="8" t="s">
        <v>107</v>
      </c>
      <c r="PP70" s="8" t="s">
        <v>107</v>
      </c>
      <c r="PQ70" s="8"/>
      <c r="PR70" s="8"/>
      <c r="PS70" s="8"/>
      <c r="PT70" s="8"/>
      <c r="PU70" s="8"/>
      <c r="PV70" s="8"/>
      <c r="PW70" s="8"/>
      <c r="PX70" s="8" t="s">
        <v>107</v>
      </c>
      <c r="PY70" s="8">
        <v>0</v>
      </c>
      <c r="PZ70" s="8"/>
      <c r="QA70" s="8"/>
      <c r="QB70" s="8">
        <v>0</v>
      </c>
      <c r="QC70" s="8">
        <v>0</v>
      </c>
      <c r="QD70" s="8" t="s">
        <v>107</v>
      </c>
      <c r="QE70" s="967"/>
    </row>
    <row r="71" spans="2:447" x14ac:dyDescent="0.3">
      <c r="B71">
        <v>63</v>
      </c>
      <c r="C71" t="s">
        <v>681</v>
      </c>
      <c r="D71" t="s">
        <v>2265</v>
      </c>
      <c r="F71" s="8">
        <f t="shared" si="53"/>
        <v>23</v>
      </c>
      <c r="G71" s="8"/>
      <c r="H71" s="8" t="s">
        <v>107</v>
      </c>
      <c r="I71" s="8" t="s">
        <v>107</v>
      </c>
      <c r="J71" s="8" t="s">
        <v>107</v>
      </c>
      <c r="K71" s="8" t="s">
        <v>107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 t="s">
        <v>107</v>
      </c>
      <c r="Y71" s="8" t="s">
        <v>107</v>
      </c>
      <c r="Z71" s="8"/>
      <c r="AA71" s="8"/>
      <c r="AB71" s="8" t="s">
        <v>107</v>
      </c>
      <c r="AC71" s="1087">
        <v>8</v>
      </c>
      <c r="AD71" s="8">
        <v>15</v>
      </c>
      <c r="AE71" s="967"/>
      <c r="AF71" s="8">
        <f t="shared" si="35"/>
        <v>1</v>
      </c>
      <c r="AG71" s="8"/>
      <c r="AH71" s="8" t="s">
        <v>107</v>
      </c>
      <c r="AI71" s="8" t="s">
        <v>107</v>
      </c>
      <c r="AJ71" s="8" t="s">
        <v>107</v>
      </c>
      <c r="AK71" s="8" t="s">
        <v>107</v>
      </c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 t="s">
        <v>107</v>
      </c>
      <c r="AY71" s="8" t="s">
        <v>107</v>
      </c>
      <c r="AZ71" s="8"/>
      <c r="BA71" s="8"/>
      <c r="BB71" s="8" t="s">
        <v>107</v>
      </c>
      <c r="BC71" s="8">
        <v>1</v>
      </c>
      <c r="BD71" s="8">
        <v>0</v>
      </c>
      <c r="BE71" s="967"/>
      <c r="BF71" s="8">
        <f t="shared" si="36"/>
        <v>3</v>
      </c>
      <c r="BG71" s="8"/>
      <c r="BH71" s="8" t="s">
        <v>107</v>
      </c>
      <c r="BI71" s="8"/>
      <c r="BJ71" s="8"/>
      <c r="BK71" s="8" t="s">
        <v>107</v>
      </c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 t="s">
        <v>107</v>
      </c>
      <c r="BY71" s="8" t="s">
        <v>107</v>
      </c>
      <c r="BZ71" s="8"/>
      <c r="CA71" s="8"/>
      <c r="CB71" s="8" t="s">
        <v>107</v>
      </c>
      <c r="CC71" s="8">
        <v>2</v>
      </c>
      <c r="CD71" s="8">
        <v>1</v>
      </c>
      <c r="CE71" s="967"/>
      <c r="CF71" s="8">
        <f t="shared" si="37"/>
        <v>4</v>
      </c>
      <c r="CG71" s="8"/>
      <c r="CH71" s="8" t="s">
        <v>107</v>
      </c>
      <c r="CI71" s="8"/>
      <c r="CJ71" s="8"/>
      <c r="CK71" s="8" t="s">
        <v>107</v>
      </c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 t="s">
        <v>107</v>
      </c>
      <c r="CY71" s="8" t="s">
        <v>107</v>
      </c>
      <c r="CZ71" s="8"/>
      <c r="DA71" s="8"/>
      <c r="DB71" s="8" t="s">
        <v>107</v>
      </c>
      <c r="DC71" s="8">
        <f t="shared" si="52"/>
        <v>3</v>
      </c>
      <c r="DD71" s="8">
        <f t="shared" si="50"/>
        <v>1</v>
      </c>
      <c r="DE71" s="967"/>
      <c r="DF71" s="8">
        <f t="shared" si="38"/>
        <v>0</v>
      </c>
      <c r="DG71" s="8"/>
      <c r="DH71" s="8" t="s">
        <v>107</v>
      </c>
      <c r="DI71" s="8" t="s">
        <v>107</v>
      </c>
      <c r="DJ71" s="8" t="s">
        <v>107</v>
      </c>
      <c r="DK71" s="8" t="s">
        <v>107</v>
      </c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 t="s">
        <v>107</v>
      </c>
      <c r="DY71" s="8" t="s">
        <v>107</v>
      </c>
      <c r="DZ71" s="8"/>
      <c r="EA71" s="8"/>
      <c r="EB71" s="8" t="s">
        <v>107</v>
      </c>
      <c r="EC71" s="8">
        <v>0</v>
      </c>
      <c r="ED71" s="8">
        <v>0</v>
      </c>
      <c r="EE71" s="967"/>
      <c r="EF71" s="8">
        <f t="shared" si="39"/>
        <v>0</v>
      </c>
      <c r="EG71" s="8"/>
      <c r="EH71" s="8" t="s">
        <v>107</v>
      </c>
      <c r="EI71" s="8" t="s">
        <v>107</v>
      </c>
      <c r="EJ71" s="8" t="s">
        <v>107</v>
      </c>
      <c r="EK71" s="8" t="s">
        <v>107</v>
      </c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 t="s">
        <v>107</v>
      </c>
      <c r="EY71" s="8" t="s">
        <v>107</v>
      </c>
      <c r="EZ71" s="8"/>
      <c r="FA71" s="8"/>
      <c r="FB71" s="8" t="s">
        <v>107</v>
      </c>
      <c r="FC71" s="8">
        <v>0</v>
      </c>
      <c r="FD71" s="8">
        <v>0</v>
      </c>
      <c r="FE71" s="967"/>
      <c r="FF71" s="8">
        <f t="shared" si="34"/>
        <v>0</v>
      </c>
      <c r="FG71" s="8"/>
      <c r="FH71" s="8" t="s">
        <v>107</v>
      </c>
      <c r="FI71" s="8" t="s">
        <v>107</v>
      </c>
      <c r="FJ71" s="8" t="s">
        <v>107</v>
      </c>
      <c r="FK71" s="8" t="s">
        <v>107</v>
      </c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 t="s">
        <v>107</v>
      </c>
      <c r="FY71" s="8" t="s">
        <v>107</v>
      </c>
      <c r="FZ71" s="8"/>
      <c r="GA71" s="8"/>
      <c r="GB71" s="8" t="s">
        <v>107</v>
      </c>
      <c r="GC71" s="8">
        <v>0</v>
      </c>
      <c r="GD71" s="8">
        <v>0</v>
      </c>
      <c r="GE71" s="967"/>
      <c r="GF71" s="8">
        <f t="shared" si="40"/>
        <v>0</v>
      </c>
      <c r="GG71" s="8"/>
      <c r="GH71" s="8" t="s">
        <v>107</v>
      </c>
      <c r="GI71" s="8" t="s">
        <v>107</v>
      </c>
      <c r="GJ71" s="8" t="s">
        <v>107</v>
      </c>
      <c r="GK71" s="8" t="s">
        <v>107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 t="s">
        <v>107</v>
      </c>
      <c r="GY71" s="8" t="s">
        <v>107</v>
      </c>
      <c r="GZ71" s="8"/>
      <c r="HA71" s="8"/>
      <c r="HB71" s="8" t="s">
        <v>107</v>
      </c>
      <c r="HC71" s="8">
        <v>0</v>
      </c>
      <c r="HD71" s="8">
        <v>0</v>
      </c>
      <c r="HE71" s="967"/>
      <c r="HF71" s="8">
        <f t="shared" si="41"/>
        <v>0</v>
      </c>
      <c r="HG71" s="8"/>
      <c r="HH71" s="8" t="s">
        <v>107</v>
      </c>
      <c r="HI71" s="8" t="s">
        <v>107</v>
      </c>
      <c r="HJ71" s="8" t="s">
        <v>107</v>
      </c>
      <c r="HK71" s="8" t="s">
        <v>107</v>
      </c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 t="s">
        <v>107</v>
      </c>
      <c r="HY71" s="8" t="s">
        <v>107</v>
      </c>
      <c r="HZ71" s="8"/>
      <c r="IA71" s="8"/>
      <c r="IB71" s="8" t="s">
        <v>107</v>
      </c>
      <c r="IC71" s="8">
        <v>0</v>
      </c>
      <c r="ID71" s="8">
        <v>0</v>
      </c>
      <c r="IE71" s="967"/>
      <c r="IF71" s="8">
        <f t="shared" si="42"/>
        <v>0</v>
      </c>
      <c r="IG71" s="8"/>
      <c r="IH71" s="8" t="s">
        <v>107</v>
      </c>
      <c r="II71" s="8" t="s">
        <v>107</v>
      </c>
      <c r="IJ71" s="8" t="s">
        <v>107</v>
      </c>
      <c r="IK71" s="8" t="s">
        <v>107</v>
      </c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 t="s">
        <v>107</v>
      </c>
      <c r="IY71" s="8" t="s">
        <v>107</v>
      </c>
      <c r="IZ71" s="8"/>
      <c r="JA71" s="8"/>
      <c r="JB71" s="8" t="s">
        <v>107</v>
      </c>
      <c r="JC71" s="8">
        <v>0</v>
      </c>
      <c r="JD71" s="8">
        <v>0</v>
      </c>
      <c r="JE71" s="967"/>
      <c r="JF71" s="8">
        <f t="shared" si="43"/>
        <v>0</v>
      </c>
      <c r="JG71" s="8"/>
      <c r="JH71" s="8" t="s">
        <v>107</v>
      </c>
      <c r="JI71" s="8" t="s">
        <v>107</v>
      </c>
      <c r="JJ71" s="8" t="s">
        <v>107</v>
      </c>
      <c r="JK71" s="8" t="s">
        <v>107</v>
      </c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 t="s">
        <v>107</v>
      </c>
      <c r="JY71" s="8" t="s">
        <v>107</v>
      </c>
      <c r="JZ71" s="8"/>
      <c r="KA71" s="8"/>
      <c r="KB71" s="8" t="s">
        <v>107</v>
      </c>
      <c r="KC71" s="8">
        <v>0</v>
      </c>
      <c r="KD71" s="8">
        <v>0</v>
      </c>
      <c r="KE71" s="967"/>
      <c r="KF71" s="8">
        <f t="shared" si="44"/>
        <v>0</v>
      </c>
      <c r="KG71" s="8"/>
      <c r="KH71" s="8" t="s">
        <v>107</v>
      </c>
      <c r="KI71" s="8" t="s">
        <v>107</v>
      </c>
      <c r="KJ71" s="8" t="s">
        <v>107</v>
      </c>
      <c r="KK71" s="8" t="s">
        <v>107</v>
      </c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 t="s">
        <v>107</v>
      </c>
      <c r="KY71" s="8" t="s">
        <v>107</v>
      </c>
      <c r="KZ71" s="8"/>
      <c r="LA71" s="8"/>
      <c r="LB71" s="8" t="s">
        <v>107</v>
      </c>
      <c r="LC71" s="8">
        <v>0</v>
      </c>
      <c r="LD71" s="8">
        <v>0</v>
      </c>
      <c r="LE71" s="967"/>
      <c r="LF71" s="8">
        <f t="shared" si="45"/>
        <v>0</v>
      </c>
      <c r="LG71" s="8"/>
      <c r="LH71" s="8" t="s">
        <v>107</v>
      </c>
      <c r="LI71" s="8" t="s">
        <v>107</v>
      </c>
      <c r="LJ71" s="8" t="s">
        <v>107</v>
      </c>
      <c r="LK71" s="8" t="s">
        <v>107</v>
      </c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 t="s">
        <v>107</v>
      </c>
      <c r="LY71" s="8" t="s">
        <v>107</v>
      </c>
      <c r="LZ71" s="8"/>
      <c r="MA71" s="8"/>
      <c r="MB71" s="8" t="s">
        <v>107</v>
      </c>
      <c r="MC71" s="8">
        <v>0</v>
      </c>
      <c r="MD71" s="8">
        <v>0</v>
      </c>
      <c r="ME71" s="967"/>
      <c r="MF71" s="8">
        <f t="shared" si="46"/>
        <v>0</v>
      </c>
      <c r="MG71" s="8"/>
      <c r="MH71" s="8" t="s">
        <v>107</v>
      </c>
      <c r="MI71" s="8" t="s">
        <v>107</v>
      </c>
      <c r="MJ71" s="8" t="s">
        <v>107</v>
      </c>
      <c r="MK71" s="8" t="s">
        <v>107</v>
      </c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 t="s">
        <v>107</v>
      </c>
      <c r="MY71" s="8" t="s">
        <v>107</v>
      </c>
      <c r="MZ71" s="8"/>
      <c r="NA71" s="8"/>
      <c r="NB71" s="8" t="s">
        <v>107</v>
      </c>
      <c r="NC71" s="8">
        <v>0</v>
      </c>
      <c r="ND71" s="8">
        <v>0</v>
      </c>
      <c r="NE71" s="967"/>
      <c r="NF71" s="8">
        <f t="shared" si="47"/>
        <v>0</v>
      </c>
      <c r="NG71" s="8"/>
      <c r="NH71" s="8" t="s">
        <v>107</v>
      </c>
      <c r="NI71" s="8" t="s">
        <v>107</v>
      </c>
      <c r="NJ71" s="8" t="s">
        <v>107</v>
      </c>
      <c r="NK71" s="8" t="s">
        <v>107</v>
      </c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 t="s">
        <v>107</v>
      </c>
      <c r="NY71" s="8" t="s">
        <v>107</v>
      </c>
      <c r="NZ71" s="8"/>
      <c r="OA71" s="8"/>
      <c r="OB71" s="8" t="s">
        <v>107</v>
      </c>
      <c r="OC71" s="8">
        <v>0</v>
      </c>
      <c r="OD71" s="8">
        <v>0</v>
      </c>
      <c r="OE71" s="967"/>
      <c r="OF71" s="8">
        <f t="shared" si="48"/>
        <v>0</v>
      </c>
      <c r="OG71" s="8"/>
      <c r="OH71" s="8" t="s">
        <v>107</v>
      </c>
      <c r="OI71" s="8" t="s">
        <v>107</v>
      </c>
      <c r="OJ71" s="8" t="s">
        <v>107</v>
      </c>
      <c r="OK71" s="8" t="s">
        <v>107</v>
      </c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 t="s">
        <v>107</v>
      </c>
      <c r="OY71" s="8" t="s">
        <v>107</v>
      </c>
      <c r="OZ71" s="8"/>
      <c r="PA71" s="8"/>
      <c r="PB71" s="8" t="s">
        <v>107</v>
      </c>
      <c r="PC71" s="8">
        <v>0</v>
      </c>
      <c r="PD71" s="8">
        <v>0</v>
      </c>
      <c r="PE71" s="967"/>
      <c r="PF71" s="8">
        <f t="shared" si="49"/>
        <v>0</v>
      </c>
      <c r="PG71" s="8"/>
      <c r="PH71" s="8" t="s">
        <v>107</v>
      </c>
      <c r="PI71" s="8" t="s">
        <v>107</v>
      </c>
      <c r="PJ71" s="8" t="s">
        <v>107</v>
      </c>
      <c r="PK71" s="8" t="s">
        <v>107</v>
      </c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 t="s">
        <v>107</v>
      </c>
      <c r="PY71" s="8" t="s">
        <v>107</v>
      </c>
      <c r="PZ71" s="8"/>
      <c r="QA71" s="8"/>
      <c r="QB71" s="8" t="s">
        <v>107</v>
      </c>
      <c r="QC71" s="8">
        <v>0</v>
      </c>
      <c r="QD71" s="8">
        <v>0</v>
      </c>
      <c r="QE71" s="967"/>
    </row>
    <row r="72" spans="2:447" x14ac:dyDescent="0.3">
      <c r="B72">
        <v>64</v>
      </c>
      <c r="D72" t="s">
        <v>2266</v>
      </c>
      <c r="F72" s="8">
        <f t="shared" si="53"/>
        <v>28</v>
      </c>
      <c r="G72" s="8"/>
      <c r="H72" s="8" t="s">
        <v>107</v>
      </c>
      <c r="I72" s="8" t="s">
        <v>107</v>
      </c>
      <c r="J72" s="8" t="s">
        <v>107</v>
      </c>
      <c r="K72" s="8" t="s">
        <v>107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 t="s">
        <v>107</v>
      </c>
      <c r="Y72" s="8" t="s">
        <v>107</v>
      </c>
      <c r="Z72" s="8"/>
      <c r="AA72" s="8"/>
      <c r="AB72" s="8" t="s">
        <v>107</v>
      </c>
      <c r="AC72" s="8">
        <v>14</v>
      </c>
      <c r="AD72" s="8">
        <v>14</v>
      </c>
      <c r="AE72" s="967"/>
      <c r="AF72" s="8">
        <f t="shared" si="35"/>
        <v>12</v>
      </c>
      <c r="AG72" s="8"/>
      <c r="AH72" s="8" t="s">
        <v>107</v>
      </c>
      <c r="AI72" s="8" t="s">
        <v>107</v>
      </c>
      <c r="AJ72" s="8" t="s">
        <v>107</v>
      </c>
      <c r="AK72" s="8" t="s">
        <v>107</v>
      </c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 t="s">
        <v>107</v>
      </c>
      <c r="AY72" s="8" t="s">
        <v>107</v>
      </c>
      <c r="AZ72" s="8"/>
      <c r="BA72" s="8"/>
      <c r="BB72" s="8" t="s">
        <v>107</v>
      </c>
      <c r="BC72" s="8">
        <v>7</v>
      </c>
      <c r="BD72" s="8">
        <v>5</v>
      </c>
      <c r="BE72" s="967"/>
      <c r="BF72" s="8">
        <f t="shared" si="36"/>
        <v>7</v>
      </c>
      <c r="BG72" s="8"/>
      <c r="BH72" s="8" t="s">
        <v>107</v>
      </c>
      <c r="BI72" s="8"/>
      <c r="BJ72" s="8"/>
      <c r="BK72" s="8" t="s">
        <v>107</v>
      </c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 t="s">
        <v>107</v>
      </c>
      <c r="BY72" s="8" t="s">
        <v>107</v>
      </c>
      <c r="BZ72" s="8"/>
      <c r="CA72" s="8"/>
      <c r="CB72" s="8" t="s">
        <v>107</v>
      </c>
      <c r="CC72" s="8">
        <v>1</v>
      </c>
      <c r="CD72" s="8">
        <v>6</v>
      </c>
      <c r="CE72" s="967"/>
      <c r="CF72" s="8">
        <f t="shared" si="37"/>
        <v>19</v>
      </c>
      <c r="CG72" s="8"/>
      <c r="CH72" s="8" t="s">
        <v>107</v>
      </c>
      <c r="CI72" s="8"/>
      <c r="CJ72" s="8"/>
      <c r="CK72" s="8" t="s">
        <v>107</v>
      </c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 t="s">
        <v>107</v>
      </c>
      <c r="CY72" s="8" t="s">
        <v>107</v>
      </c>
      <c r="CZ72" s="8"/>
      <c r="DA72" s="8"/>
      <c r="DB72" s="8" t="s">
        <v>107</v>
      </c>
      <c r="DC72" s="8">
        <f t="shared" si="52"/>
        <v>8</v>
      </c>
      <c r="DD72" s="8">
        <f t="shared" si="50"/>
        <v>11</v>
      </c>
      <c r="DE72" s="967"/>
      <c r="DF72" s="8">
        <f t="shared" si="38"/>
        <v>0</v>
      </c>
      <c r="DG72" s="8"/>
      <c r="DH72" s="8" t="s">
        <v>107</v>
      </c>
      <c r="DI72" s="8" t="s">
        <v>107</v>
      </c>
      <c r="DJ72" s="8" t="s">
        <v>107</v>
      </c>
      <c r="DK72" s="8" t="s">
        <v>107</v>
      </c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 t="s">
        <v>107</v>
      </c>
      <c r="DY72" s="8" t="s">
        <v>107</v>
      </c>
      <c r="DZ72" s="8"/>
      <c r="EA72" s="8"/>
      <c r="EB72" s="8" t="s">
        <v>107</v>
      </c>
      <c r="EC72" s="8">
        <v>0</v>
      </c>
      <c r="ED72" s="8">
        <v>0</v>
      </c>
      <c r="EE72" s="967"/>
      <c r="EF72" s="8">
        <f t="shared" si="39"/>
        <v>6</v>
      </c>
      <c r="EG72" s="8"/>
      <c r="EH72" s="8" t="s">
        <v>107</v>
      </c>
      <c r="EI72" s="8" t="s">
        <v>107</v>
      </c>
      <c r="EJ72" s="8" t="s">
        <v>107</v>
      </c>
      <c r="EK72" s="8" t="s">
        <v>107</v>
      </c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 t="s">
        <v>107</v>
      </c>
      <c r="EY72" s="8" t="s">
        <v>107</v>
      </c>
      <c r="EZ72" s="8"/>
      <c r="FA72" s="8"/>
      <c r="FB72" s="8" t="s">
        <v>107</v>
      </c>
      <c r="FC72" s="8">
        <v>2</v>
      </c>
      <c r="FD72" s="8">
        <v>4</v>
      </c>
      <c r="FE72" s="967"/>
      <c r="FF72" s="8">
        <f t="shared" si="34"/>
        <v>1</v>
      </c>
      <c r="FG72" s="8"/>
      <c r="FH72" s="8" t="s">
        <v>107</v>
      </c>
      <c r="FI72" s="8" t="s">
        <v>107</v>
      </c>
      <c r="FJ72" s="8" t="s">
        <v>107</v>
      </c>
      <c r="FK72" s="8" t="s">
        <v>107</v>
      </c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 t="s">
        <v>107</v>
      </c>
      <c r="FY72" s="8" t="s">
        <v>107</v>
      </c>
      <c r="FZ72" s="8"/>
      <c r="GA72" s="8"/>
      <c r="GB72" s="8" t="s">
        <v>107</v>
      </c>
      <c r="GC72" s="8">
        <v>0</v>
      </c>
      <c r="GD72" s="8">
        <v>1</v>
      </c>
      <c r="GE72" s="967"/>
      <c r="GF72" s="8">
        <f t="shared" si="40"/>
        <v>1</v>
      </c>
      <c r="GG72" s="8"/>
      <c r="GH72" s="8" t="s">
        <v>107</v>
      </c>
      <c r="GI72" s="8" t="s">
        <v>107</v>
      </c>
      <c r="GJ72" s="8" t="s">
        <v>107</v>
      </c>
      <c r="GK72" s="8" t="s">
        <v>107</v>
      </c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 t="s">
        <v>107</v>
      </c>
      <c r="GY72" s="8" t="s">
        <v>107</v>
      </c>
      <c r="GZ72" s="8"/>
      <c r="HA72" s="8"/>
      <c r="HB72" s="8" t="s">
        <v>107</v>
      </c>
      <c r="HC72" s="8">
        <v>0</v>
      </c>
      <c r="HD72" s="8">
        <v>1</v>
      </c>
      <c r="HE72" s="967"/>
      <c r="HF72" s="8">
        <f t="shared" si="41"/>
        <v>0</v>
      </c>
      <c r="HG72" s="8"/>
      <c r="HH72" s="8" t="s">
        <v>107</v>
      </c>
      <c r="HI72" s="8" t="s">
        <v>107</v>
      </c>
      <c r="HJ72" s="8" t="s">
        <v>107</v>
      </c>
      <c r="HK72" s="8" t="s">
        <v>107</v>
      </c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 t="s">
        <v>107</v>
      </c>
      <c r="HY72" s="8" t="s">
        <v>107</v>
      </c>
      <c r="HZ72" s="8"/>
      <c r="IA72" s="8"/>
      <c r="IB72" s="8" t="s">
        <v>107</v>
      </c>
      <c r="IC72" s="8">
        <v>0</v>
      </c>
      <c r="ID72" s="8">
        <v>0</v>
      </c>
      <c r="IE72" s="967"/>
      <c r="IF72" s="8">
        <f t="shared" si="42"/>
        <v>0</v>
      </c>
      <c r="IG72" s="8"/>
      <c r="IH72" s="8" t="s">
        <v>107</v>
      </c>
      <c r="II72" s="8" t="s">
        <v>107</v>
      </c>
      <c r="IJ72" s="8" t="s">
        <v>107</v>
      </c>
      <c r="IK72" s="8" t="s">
        <v>107</v>
      </c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 t="s">
        <v>107</v>
      </c>
      <c r="IY72" s="8" t="s">
        <v>107</v>
      </c>
      <c r="IZ72" s="8"/>
      <c r="JA72" s="8"/>
      <c r="JB72" s="8" t="s">
        <v>107</v>
      </c>
      <c r="JC72" s="8">
        <v>0</v>
      </c>
      <c r="JD72" s="8">
        <v>0</v>
      </c>
      <c r="JE72" s="967"/>
      <c r="JF72" s="8">
        <f t="shared" si="43"/>
        <v>0</v>
      </c>
      <c r="JG72" s="8"/>
      <c r="JH72" s="8" t="s">
        <v>107</v>
      </c>
      <c r="JI72" s="8" t="s">
        <v>107</v>
      </c>
      <c r="JJ72" s="8" t="s">
        <v>107</v>
      </c>
      <c r="JK72" s="8" t="s">
        <v>107</v>
      </c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 t="s">
        <v>107</v>
      </c>
      <c r="JY72" s="8" t="s">
        <v>107</v>
      </c>
      <c r="JZ72" s="8"/>
      <c r="KA72" s="8"/>
      <c r="KB72" s="8" t="s">
        <v>107</v>
      </c>
      <c r="KC72" s="8">
        <v>0</v>
      </c>
      <c r="KD72" s="8">
        <v>0</v>
      </c>
      <c r="KE72" s="967"/>
      <c r="KF72" s="8">
        <f t="shared" si="44"/>
        <v>0</v>
      </c>
      <c r="KG72" s="8"/>
      <c r="KH72" s="8" t="s">
        <v>107</v>
      </c>
      <c r="KI72" s="8" t="s">
        <v>107</v>
      </c>
      <c r="KJ72" s="8" t="s">
        <v>107</v>
      </c>
      <c r="KK72" s="8" t="s">
        <v>107</v>
      </c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 t="s">
        <v>107</v>
      </c>
      <c r="KY72" s="8" t="s">
        <v>107</v>
      </c>
      <c r="KZ72" s="8"/>
      <c r="LA72" s="8"/>
      <c r="LB72" s="8" t="s">
        <v>107</v>
      </c>
      <c r="LC72" s="8">
        <v>0</v>
      </c>
      <c r="LD72" s="8">
        <v>0</v>
      </c>
      <c r="LE72" s="967"/>
      <c r="LF72" s="8">
        <f t="shared" si="45"/>
        <v>1</v>
      </c>
      <c r="LG72" s="8"/>
      <c r="LH72" s="8" t="s">
        <v>107</v>
      </c>
      <c r="LI72" s="8" t="s">
        <v>107</v>
      </c>
      <c r="LJ72" s="8" t="s">
        <v>107</v>
      </c>
      <c r="LK72" s="8" t="s">
        <v>107</v>
      </c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 t="s">
        <v>107</v>
      </c>
      <c r="LY72" s="8" t="s">
        <v>107</v>
      </c>
      <c r="LZ72" s="8"/>
      <c r="MA72" s="8"/>
      <c r="MB72" s="8" t="s">
        <v>107</v>
      </c>
      <c r="MC72" s="8">
        <v>0</v>
      </c>
      <c r="MD72" s="8">
        <v>1</v>
      </c>
      <c r="ME72" s="967"/>
      <c r="MF72" s="8">
        <f t="shared" si="46"/>
        <v>0</v>
      </c>
      <c r="MG72" s="8"/>
      <c r="MH72" s="8" t="s">
        <v>107</v>
      </c>
      <c r="MI72" s="8" t="s">
        <v>107</v>
      </c>
      <c r="MJ72" s="8" t="s">
        <v>107</v>
      </c>
      <c r="MK72" s="8" t="s">
        <v>107</v>
      </c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 t="s">
        <v>107</v>
      </c>
      <c r="MY72" s="8" t="s">
        <v>107</v>
      </c>
      <c r="MZ72" s="8"/>
      <c r="NA72" s="8"/>
      <c r="NB72" s="8" t="s">
        <v>107</v>
      </c>
      <c r="NC72" s="8">
        <v>0</v>
      </c>
      <c r="ND72" s="8">
        <v>0</v>
      </c>
      <c r="NE72" s="967"/>
      <c r="NF72" s="8">
        <f t="shared" si="47"/>
        <v>0</v>
      </c>
      <c r="NG72" s="8"/>
      <c r="NH72" s="8" t="s">
        <v>107</v>
      </c>
      <c r="NI72" s="8" t="s">
        <v>107</v>
      </c>
      <c r="NJ72" s="8" t="s">
        <v>107</v>
      </c>
      <c r="NK72" s="8" t="s">
        <v>107</v>
      </c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 t="s">
        <v>107</v>
      </c>
      <c r="NY72" s="8" t="s">
        <v>107</v>
      </c>
      <c r="NZ72" s="8"/>
      <c r="OA72" s="8"/>
      <c r="OB72" s="8" t="s">
        <v>107</v>
      </c>
      <c r="OC72" s="8">
        <v>0</v>
      </c>
      <c r="OD72" s="8">
        <v>0</v>
      </c>
      <c r="OE72" s="967"/>
      <c r="OF72" s="8">
        <f t="shared" si="48"/>
        <v>0</v>
      </c>
      <c r="OG72" s="8"/>
      <c r="OH72" s="8" t="s">
        <v>107</v>
      </c>
      <c r="OI72" s="8" t="s">
        <v>107</v>
      </c>
      <c r="OJ72" s="8" t="s">
        <v>107</v>
      </c>
      <c r="OK72" s="8" t="s">
        <v>107</v>
      </c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 t="s">
        <v>107</v>
      </c>
      <c r="OY72" s="8" t="s">
        <v>107</v>
      </c>
      <c r="OZ72" s="8"/>
      <c r="PA72" s="8"/>
      <c r="PB72" s="8" t="s">
        <v>107</v>
      </c>
      <c r="PC72" s="8">
        <v>0</v>
      </c>
      <c r="PD72" s="8">
        <v>0</v>
      </c>
      <c r="PE72" s="967"/>
      <c r="PF72" s="8">
        <f t="shared" si="49"/>
        <v>0</v>
      </c>
      <c r="PG72" s="8"/>
      <c r="PH72" s="8" t="s">
        <v>107</v>
      </c>
      <c r="PI72" s="8" t="s">
        <v>107</v>
      </c>
      <c r="PJ72" s="8" t="s">
        <v>107</v>
      </c>
      <c r="PK72" s="8" t="s">
        <v>107</v>
      </c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 t="s">
        <v>107</v>
      </c>
      <c r="PY72" s="8" t="s">
        <v>107</v>
      </c>
      <c r="PZ72" s="8"/>
      <c r="QA72" s="8"/>
      <c r="QB72" s="8" t="s">
        <v>107</v>
      </c>
      <c r="QC72" s="8">
        <v>0</v>
      </c>
      <c r="QD72" s="8">
        <v>0</v>
      </c>
      <c r="QE72" s="967"/>
    </row>
    <row r="73" spans="2:447" x14ac:dyDescent="0.3">
      <c r="B73">
        <v>65</v>
      </c>
      <c r="D73" t="s">
        <v>2512</v>
      </c>
      <c r="F73" s="8">
        <f t="shared" si="53"/>
        <v>42</v>
      </c>
      <c r="G73" s="8"/>
      <c r="H73" s="8">
        <v>19</v>
      </c>
      <c r="I73" s="8">
        <v>4</v>
      </c>
      <c r="J73" s="8">
        <v>19</v>
      </c>
      <c r="K73" s="8" t="s">
        <v>107</v>
      </c>
      <c r="L73" s="8" t="s">
        <v>107</v>
      </c>
      <c r="M73" s="8" t="s">
        <v>107</v>
      </c>
      <c r="N73" s="8" t="s">
        <v>107</v>
      </c>
      <c r="O73" s="8" t="s">
        <v>107</v>
      </c>
      <c r="P73" s="8" t="s">
        <v>107</v>
      </c>
      <c r="Q73" s="8" t="s">
        <v>107</v>
      </c>
      <c r="R73" s="8" t="s">
        <v>107</v>
      </c>
      <c r="S73" s="8" t="s">
        <v>107</v>
      </c>
      <c r="T73" s="8" t="s">
        <v>107</v>
      </c>
      <c r="U73" s="8" t="s">
        <v>107</v>
      </c>
      <c r="V73" s="8" t="s">
        <v>107</v>
      </c>
      <c r="W73" s="8" t="s">
        <v>107</v>
      </c>
      <c r="X73" s="8" t="s">
        <v>107</v>
      </c>
      <c r="Y73" s="8" t="s">
        <v>107</v>
      </c>
      <c r="Z73" s="8" t="s">
        <v>107</v>
      </c>
      <c r="AA73" s="8" t="s">
        <v>107</v>
      </c>
      <c r="AB73" s="8" t="s">
        <v>107</v>
      </c>
      <c r="AC73" s="8" t="s">
        <v>107</v>
      </c>
      <c r="AD73" s="8" t="s">
        <v>107</v>
      </c>
      <c r="AE73" s="967"/>
      <c r="AF73" s="8">
        <f t="shared" si="35"/>
        <v>10</v>
      </c>
      <c r="AG73" s="8"/>
      <c r="AH73" s="8">
        <v>3</v>
      </c>
      <c r="AI73" s="8">
        <v>1</v>
      </c>
      <c r="AJ73" s="8">
        <v>6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 t="s">
        <v>107</v>
      </c>
      <c r="AY73" s="8" t="s">
        <v>107</v>
      </c>
      <c r="AZ73" s="8"/>
      <c r="BA73" s="8"/>
      <c r="BB73" s="8"/>
      <c r="BC73" s="8"/>
      <c r="BD73" s="8"/>
      <c r="BE73" s="967"/>
      <c r="BF73" s="8">
        <f t="shared" si="36"/>
        <v>22</v>
      </c>
      <c r="BG73" s="8"/>
      <c r="BH73" s="8">
        <v>11</v>
      </c>
      <c r="BI73" s="8">
        <v>2</v>
      </c>
      <c r="BJ73" s="8">
        <v>9</v>
      </c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 t="s">
        <v>107</v>
      </c>
      <c r="BY73" s="8" t="s">
        <v>107</v>
      </c>
      <c r="BZ73" s="8"/>
      <c r="CA73" s="8"/>
      <c r="CB73" s="8"/>
      <c r="CC73" s="8"/>
      <c r="CD73" s="8"/>
      <c r="CE73" s="967"/>
      <c r="CF73" s="8">
        <f t="shared" si="37"/>
        <v>32</v>
      </c>
      <c r="CG73" s="8"/>
      <c r="CH73" s="8">
        <v>14</v>
      </c>
      <c r="CI73" s="8">
        <v>3</v>
      </c>
      <c r="CJ73" s="8">
        <v>15</v>
      </c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 t="s">
        <v>107</v>
      </c>
      <c r="CY73" s="8" t="s">
        <v>107</v>
      </c>
      <c r="CZ73" s="8"/>
      <c r="DA73" s="8"/>
      <c r="DB73" s="8"/>
      <c r="DC73" s="8"/>
      <c r="DD73" s="8"/>
      <c r="DE73" s="967"/>
      <c r="DF73" s="8">
        <f t="shared" si="38"/>
        <v>6</v>
      </c>
      <c r="DG73" s="8"/>
      <c r="DH73" s="8">
        <v>2</v>
      </c>
      <c r="DI73" s="8">
        <v>1</v>
      </c>
      <c r="DJ73" s="8">
        <v>3</v>
      </c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 t="s">
        <v>107</v>
      </c>
      <c r="DY73" s="8" t="s">
        <v>107</v>
      </c>
      <c r="DZ73" s="8"/>
      <c r="EA73" s="8"/>
      <c r="EB73" s="8"/>
      <c r="EC73" s="8"/>
      <c r="ED73" s="8"/>
      <c r="EE73" s="967"/>
      <c r="EF73" s="8">
        <f t="shared" si="39"/>
        <v>30</v>
      </c>
      <c r="EG73" s="8"/>
      <c r="EH73" s="8">
        <v>4</v>
      </c>
      <c r="EI73" s="8">
        <v>2</v>
      </c>
      <c r="EJ73" s="8">
        <v>24</v>
      </c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 t="s">
        <v>107</v>
      </c>
      <c r="EY73" s="8" t="s">
        <v>107</v>
      </c>
      <c r="EZ73" s="8"/>
      <c r="FA73" s="8"/>
      <c r="FB73" s="8"/>
      <c r="FC73" s="8"/>
      <c r="FD73" s="8"/>
      <c r="FE73" s="967"/>
      <c r="FF73" s="8">
        <f t="shared" ref="FF73:FF93" si="54">SUM(FG73:GD73)</f>
        <v>0</v>
      </c>
      <c r="FG73" s="8"/>
      <c r="FH73" s="8">
        <v>0</v>
      </c>
      <c r="FI73" s="8">
        <v>0</v>
      </c>
      <c r="FJ73" s="8">
        <v>0</v>
      </c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 t="s">
        <v>107</v>
      </c>
      <c r="FY73" s="8" t="s">
        <v>107</v>
      </c>
      <c r="FZ73" s="8"/>
      <c r="GA73" s="8"/>
      <c r="GB73" s="8"/>
      <c r="GC73" s="8"/>
      <c r="GD73" s="8"/>
      <c r="GE73" s="967"/>
      <c r="GF73" s="8">
        <f t="shared" si="40"/>
        <v>0</v>
      </c>
      <c r="GG73" s="8"/>
      <c r="GH73" s="8">
        <v>0</v>
      </c>
      <c r="GI73" s="8">
        <v>0</v>
      </c>
      <c r="GJ73" s="8">
        <v>0</v>
      </c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 t="s">
        <v>107</v>
      </c>
      <c r="GY73" s="8" t="s">
        <v>107</v>
      </c>
      <c r="GZ73" s="8"/>
      <c r="HA73" s="8"/>
      <c r="HB73" s="8"/>
      <c r="HC73" s="8"/>
      <c r="HD73" s="8"/>
      <c r="HE73" s="967"/>
      <c r="HF73" s="8">
        <f t="shared" si="41"/>
        <v>0</v>
      </c>
      <c r="HG73" s="8"/>
      <c r="HH73" s="8">
        <v>0</v>
      </c>
      <c r="HI73" s="8">
        <v>0</v>
      </c>
      <c r="HJ73" s="8">
        <v>0</v>
      </c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 t="s">
        <v>107</v>
      </c>
      <c r="HY73" s="8" t="s">
        <v>107</v>
      </c>
      <c r="HZ73" s="8"/>
      <c r="IA73" s="8"/>
      <c r="IB73" s="8"/>
      <c r="IC73" s="8"/>
      <c r="ID73" s="8"/>
      <c r="IE73" s="967"/>
      <c r="IF73" s="8">
        <f t="shared" si="42"/>
        <v>0</v>
      </c>
      <c r="IG73" s="8"/>
      <c r="IH73" s="8">
        <v>0</v>
      </c>
      <c r="II73" s="8">
        <v>0</v>
      </c>
      <c r="IJ73" s="8">
        <v>0</v>
      </c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 t="s">
        <v>107</v>
      </c>
      <c r="IY73" s="8" t="s">
        <v>107</v>
      </c>
      <c r="IZ73" s="8"/>
      <c r="JA73" s="8"/>
      <c r="JB73" s="8"/>
      <c r="JC73" s="8"/>
      <c r="JD73" s="8"/>
      <c r="JE73" s="967"/>
      <c r="JF73" s="8">
        <f t="shared" si="43"/>
        <v>0</v>
      </c>
      <c r="JG73" s="8"/>
      <c r="JH73" s="8">
        <v>0</v>
      </c>
      <c r="JI73" s="8">
        <v>0</v>
      </c>
      <c r="JJ73" s="8">
        <v>0</v>
      </c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 t="s">
        <v>107</v>
      </c>
      <c r="JY73" s="8" t="s">
        <v>107</v>
      </c>
      <c r="JZ73" s="8"/>
      <c r="KA73" s="8"/>
      <c r="KB73" s="8"/>
      <c r="KC73" s="8"/>
      <c r="KD73" s="8"/>
      <c r="KE73" s="967"/>
      <c r="KF73" s="8">
        <f t="shared" si="44"/>
        <v>0</v>
      </c>
      <c r="KG73" s="8"/>
      <c r="KH73" s="8">
        <v>0</v>
      </c>
      <c r="KI73" s="8">
        <v>0</v>
      </c>
      <c r="KJ73" s="8">
        <v>0</v>
      </c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 t="s">
        <v>107</v>
      </c>
      <c r="KY73" s="8" t="s">
        <v>107</v>
      </c>
      <c r="KZ73" s="8"/>
      <c r="LA73" s="8"/>
      <c r="LB73" s="8"/>
      <c r="LC73" s="8"/>
      <c r="LD73" s="8"/>
      <c r="LE73" s="967"/>
      <c r="LF73" s="8">
        <f t="shared" si="45"/>
        <v>1</v>
      </c>
      <c r="LG73" s="8"/>
      <c r="LH73" s="8">
        <v>1</v>
      </c>
      <c r="LI73" s="8">
        <v>0</v>
      </c>
      <c r="LJ73" s="8">
        <v>0</v>
      </c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 t="s">
        <v>107</v>
      </c>
      <c r="LY73" s="8" t="s">
        <v>107</v>
      </c>
      <c r="LZ73" s="8"/>
      <c r="MA73" s="8"/>
      <c r="MB73" s="8"/>
      <c r="MC73" s="8"/>
      <c r="MD73" s="8"/>
      <c r="ME73" s="967"/>
      <c r="MF73" s="8">
        <f t="shared" si="46"/>
        <v>0</v>
      </c>
      <c r="MG73" s="8"/>
      <c r="MH73" s="8">
        <v>0</v>
      </c>
      <c r="MI73" s="8">
        <v>0</v>
      </c>
      <c r="MJ73" s="8">
        <v>0</v>
      </c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 t="s">
        <v>107</v>
      </c>
      <c r="MY73" s="8" t="s">
        <v>107</v>
      </c>
      <c r="MZ73" s="8"/>
      <c r="NA73" s="8"/>
      <c r="NB73" s="8"/>
      <c r="NC73" s="8"/>
      <c r="ND73" s="8"/>
      <c r="NE73" s="967"/>
      <c r="NF73" s="8">
        <f t="shared" si="47"/>
        <v>0</v>
      </c>
      <c r="NG73" s="8"/>
      <c r="NH73" s="8">
        <v>0</v>
      </c>
      <c r="NI73" s="8">
        <v>0</v>
      </c>
      <c r="NJ73" s="8">
        <v>0</v>
      </c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 t="s">
        <v>107</v>
      </c>
      <c r="NY73" s="8" t="s">
        <v>107</v>
      </c>
      <c r="NZ73" s="8"/>
      <c r="OA73" s="8"/>
      <c r="OB73" s="8"/>
      <c r="OC73" s="8"/>
      <c r="OD73" s="8"/>
      <c r="OE73" s="967"/>
      <c r="OF73" s="8">
        <f t="shared" si="48"/>
        <v>0</v>
      </c>
      <c r="OG73" s="8"/>
      <c r="OH73" s="8">
        <v>0</v>
      </c>
      <c r="OI73" s="8">
        <v>0</v>
      </c>
      <c r="OJ73" s="8">
        <v>0</v>
      </c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 t="s">
        <v>107</v>
      </c>
      <c r="OY73" s="8" t="s">
        <v>107</v>
      </c>
      <c r="OZ73" s="8"/>
      <c r="PA73" s="8"/>
      <c r="PB73" s="8"/>
      <c r="PC73" s="8"/>
      <c r="PD73" s="8"/>
      <c r="PE73" s="967"/>
      <c r="PF73" s="8">
        <f t="shared" si="49"/>
        <v>0</v>
      </c>
      <c r="PG73" s="8"/>
      <c r="PH73" s="8">
        <v>0</v>
      </c>
      <c r="PI73" s="8">
        <v>0</v>
      </c>
      <c r="PJ73" s="8">
        <v>0</v>
      </c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 t="s">
        <v>107</v>
      </c>
      <c r="PY73" s="8" t="s">
        <v>107</v>
      </c>
      <c r="PZ73" s="8"/>
      <c r="QA73" s="8"/>
      <c r="QB73" s="8"/>
      <c r="QC73" s="8"/>
      <c r="QD73" s="8"/>
      <c r="QE73" s="967"/>
    </row>
    <row r="74" spans="2:447" x14ac:dyDescent="0.3">
      <c r="B74">
        <v>66</v>
      </c>
      <c r="D74" t="s">
        <v>1985</v>
      </c>
      <c r="F74" s="8">
        <f t="shared" si="53"/>
        <v>68</v>
      </c>
      <c r="G74" s="8"/>
      <c r="H74" s="8" t="s">
        <v>107</v>
      </c>
      <c r="I74" s="8" t="s">
        <v>107</v>
      </c>
      <c r="J74" s="8" t="s">
        <v>107</v>
      </c>
      <c r="K74" s="8">
        <v>6</v>
      </c>
      <c r="L74" s="8" t="s">
        <v>107</v>
      </c>
      <c r="M74" s="8" t="s">
        <v>107</v>
      </c>
      <c r="N74" s="8" t="s">
        <v>107</v>
      </c>
      <c r="O74" s="8">
        <v>6</v>
      </c>
      <c r="P74" s="8" t="s">
        <v>107</v>
      </c>
      <c r="Q74" s="8">
        <v>3</v>
      </c>
      <c r="R74" s="8">
        <v>12</v>
      </c>
      <c r="S74" s="8" t="s">
        <v>107</v>
      </c>
      <c r="T74" s="8" t="s">
        <v>107</v>
      </c>
      <c r="U74" s="8"/>
      <c r="V74" s="8"/>
      <c r="W74" s="8"/>
      <c r="X74" s="8">
        <v>15</v>
      </c>
      <c r="Y74" s="8" t="s">
        <v>107</v>
      </c>
      <c r="Z74" s="8"/>
      <c r="AA74" s="8"/>
      <c r="AB74" s="8">
        <v>10</v>
      </c>
      <c r="AC74" s="8" t="s">
        <v>107</v>
      </c>
      <c r="AD74" s="8">
        <v>16</v>
      </c>
      <c r="AE74" s="967"/>
      <c r="AF74" s="8">
        <f t="shared" si="35"/>
        <v>24</v>
      </c>
      <c r="AG74" s="8"/>
      <c r="AH74" s="8" t="s">
        <v>107</v>
      </c>
      <c r="AI74" s="8" t="s">
        <v>107</v>
      </c>
      <c r="AJ74" s="8" t="s">
        <v>107</v>
      </c>
      <c r="AK74" s="8">
        <v>0</v>
      </c>
      <c r="AL74" s="8"/>
      <c r="AM74" s="8"/>
      <c r="AN74" s="8"/>
      <c r="AO74" s="8">
        <v>0</v>
      </c>
      <c r="AP74" s="8" t="s">
        <v>107</v>
      </c>
      <c r="AQ74" s="8">
        <v>0</v>
      </c>
      <c r="AR74" s="8">
        <v>1</v>
      </c>
      <c r="AS74" s="8" t="s">
        <v>107</v>
      </c>
      <c r="AT74" s="8" t="s">
        <v>107</v>
      </c>
      <c r="AU74" s="8"/>
      <c r="AV74" s="8"/>
      <c r="AW74" s="8"/>
      <c r="AX74" s="8">
        <v>3</v>
      </c>
      <c r="AY74" s="8" t="s">
        <v>107</v>
      </c>
      <c r="AZ74" s="8"/>
      <c r="BA74" s="8"/>
      <c r="BB74" s="8">
        <v>7</v>
      </c>
      <c r="BC74" s="8" t="s">
        <v>107</v>
      </c>
      <c r="BD74" s="8">
        <v>13</v>
      </c>
      <c r="BE74" s="967"/>
      <c r="BF74" s="8">
        <f t="shared" si="36"/>
        <v>23</v>
      </c>
      <c r="BG74" s="8"/>
      <c r="BH74" s="8" t="s">
        <v>107</v>
      </c>
      <c r="BI74" s="8"/>
      <c r="BJ74" s="8"/>
      <c r="BK74" s="8">
        <v>0</v>
      </c>
      <c r="BL74" s="8"/>
      <c r="BM74" s="8"/>
      <c r="BN74" s="8"/>
      <c r="BO74" s="8">
        <v>1</v>
      </c>
      <c r="BP74" s="8" t="s">
        <v>107</v>
      </c>
      <c r="BQ74" s="8">
        <v>1</v>
      </c>
      <c r="BR74" s="8">
        <v>1</v>
      </c>
      <c r="BS74" s="8" t="s">
        <v>107</v>
      </c>
      <c r="BT74" s="8" t="s">
        <v>107</v>
      </c>
      <c r="BU74" s="8"/>
      <c r="BV74" s="8"/>
      <c r="BW74" s="8"/>
      <c r="BX74" s="8">
        <v>6</v>
      </c>
      <c r="BY74" s="8" t="s">
        <v>107</v>
      </c>
      <c r="BZ74" s="8"/>
      <c r="CA74" s="8"/>
      <c r="CB74" s="8">
        <v>7</v>
      </c>
      <c r="CC74" s="8" t="s">
        <v>107</v>
      </c>
      <c r="CD74" s="8">
        <v>7</v>
      </c>
      <c r="CE74" s="967"/>
      <c r="CF74" s="8">
        <f t="shared" si="37"/>
        <v>47</v>
      </c>
      <c r="CG74" s="8"/>
      <c r="CH74" s="8" t="s">
        <v>107</v>
      </c>
      <c r="CI74" s="8"/>
      <c r="CJ74" s="8"/>
      <c r="CK74" s="8">
        <v>0</v>
      </c>
      <c r="CL74" s="8"/>
      <c r="CM74" s="8"/>
      <c r="CN74" s="8"/>
      <c r="CO74" s="8">
        <v>1</v>
      </c>
      <c r="CP74" s="8" t="s">
        <v>107</v>
      </c>
      <c r="CQ74" s="8">
        <v>1</v>
      </c>
      <c r="CR74" s="8">
        <v>2</v>
      </c>
      <c r="CS74" s="8" t="s">
        <v>107</v>
      </c>
      <c r="CT74" s="8" t="s">
        <v>107</v>
      </c>
      <c r="CU74" s="8"/>
      <c r="CV74" s="8"/>
      <c r="CW74" s="8"/>
      <c r="CX74" s="8">
        <v>9</v>
      </c>
      <c r="CY74" s="8" t="s">
        <v>107</v>
      </c>
      <c r="CZ74" s="8"/>
      <c r="DA74" s="8"/>
      <c r="DB74" s="8">
        <f t="shared" si="51"/>
        <v>14</v>
      </c>
      <c r="DC74" s="8" t="s">
        <v>107</v>
      </c>
      <c r="DD74" s="8">
        <f t="shared" si="50"/>
        <v>20</v>
      </c>
      <c r="DE74" s="967"/>
      <c r="DF74" s="8">
        <f t="shared" si="38"/>
        <v>0</v>
      </c>
      <c r="DG74" s="8"/>
      <c r="DH74" s="8" t="s">
        <v>107</v>
      </c>
      <c r="DI74" s="8" t="s">
        <v>107</v>
      </c>
      <c r="DJ74" s="8" t="s">
        <v>107</v>
      </c>
      <c r="DK74" s="8">
        <v>0</v>
      </c>
      <c r="DL74" s="8"/>
      <c r="DM74" s="8"/>
      <c r="DN74" s="8"/>
      <c r="DO74" s="8">
        <v>0</v>
      </c>
      <c r="DP74" s="8" t="s">
        <v>107</v>
      </c>
      <c r="DQ74" s="8">
        <v>0</v>
      </c>
      <c r="DR74" s="8">
        <v>0</v>
      </c>
      <c r="DS74" s="8" t="s">
        <v>107</v>
      </c>
      <c r="DT74" s="8"/>
      <c r="DU74" s="8"/>
      <c r="DV74" s="8"/>
      <c r="DW74" s="8"/>
      <c r="DX74" s="8">
        <v>0</v>
      </c>
      <c r="DY74" s="8" t="s">
        <v>107</v>
      </c>
      <c r="DZ74" s="8"/>
      <c r="EA74" s="8"/>
      <c r="EB74" s="8">
        <v>0</v>
      </c>
      <c r="EC74" s="8" t="s">
        <v>107</v>
      </c>
      <c r="ED74" s="8">
        <v>0</v>
      </c>
      <c r="EE74" s="967"/>
      <c r="EF74" s="8">
        <f t="shared" si="39"/>
        <v>4</v>
      </c>
      <c r="EG74" s="8"/>
      <c r="EH74" s="8" t="s">
        <v>107</v>
      </c>
      <c r="EI74" s="8" t="s">
        <v>107</v>
      </c>
      <c r="EJ74" s="8" t="s">
        <v>107</v>
      </c>
      <c r="EK74" s="8">
        <v>0</v>
      </c>
      <c r="EL74" s="8"/>
      <c r="EM74" s="8"/>
      <c r="EN74" s="8"/>
      <c r="EO74" s="8">
        <v>0</v>
      </c>
      <c r="EP74" s="8" t="s">
        <v>107</v>
      </c>
      <c r="EQ74" s="8">
        <v>0</v>
      </c>
      <c r="ER74" s="8">
        <v>0</v>
      </c>
      <c r="ES74" s="8" t="s">
        <v>107</v>
      </c>
      <c r="ET74" s="8"/>
      <c r="EU74" s="8"/>
      <c r="EV74" s="8"/>
      <c r="EW74" s="8"/>
      <c r="EX74" s="8">
        <v>0</v>
      </c>
      <c r="EY74" s="8" t="s">
        <v>107</v>
      </c>
      <c r="EZ74" s="8"/>
      <c r="FA74" s="8"/>
      <c r="FB74" s="8">
        <v>2</v>
      </c>
      <c r="FC74" s="8" t="s">
        <v>107</v>
      </c>
      <c r="FD74" s="8">
        <v>2</v>
      </c>
      <c r="FE74" s="967"/>
      <c r="FF74" s="8">
        <f t="shared" si="54"/>
        <v>2</v>
      </c>
      <c r="FG74" s="8"/>
      <c r="FH74" s="8" t="s">
        <v>107</v>
      </c>
      <c r="FI74" s="8" t="s">
        <v>107</v>
      </c>
      <c r="FJ74" s="8" t="s">
        <v>107</v>
      </c>
      <c r="FK74" s="8">
        <v>0</v>
      </c>
      <c r="FL74" s="8"/>
      <c r="FM74" s="8"/>
      <c r="FN74" s="8"/>
      <c r="FO74" s="8">
        <v>0</v>
      </c>
      <c r="FP74" s="8" t="s">
        <v>107</v>
      </c>
      <c r="FQ74" s="8">
        <v>0</v>
      </c>
      <c r="FR74" s="8">
        <v>0</v>
      </c>
      <c r="FS74" s="8" t="s">
        <v>107</v>
      </c>
      <c r="FT74" s="8"/>
      <c r="FU74" s="8"/>
      <c r="FV74" s="8"/>
      <c r="FW74" s="8"/>
      <c r="FX74" s="8">
        <v>0</v>
      </c>
      <c r="FY74" s="8" t="s">
        <v>107</v>
      </c>
      <c r="FZ74" s="8"/>
      <c r="GA74" s="8"/>
      <c r="GB74" s="8">
        <v>1</v>
      </c>
      <c r="GC74" s="8" t="s">
        <v>107</v>
      </c>
      <c r="GD74" s="8">
        <v>1</v>
      </c>
      <c r="GE74" s="967"/>
      <c r="GF74" s="8">
        <f t="shared" si="40"/>
        <v>2</v>
      </c>
      <c r="GG74" s="8"/>
      <c r="GH74" s="8" t="s">
        <v>107</v>
      </c>
      <c r="GI74" s="8" t="s">
        <v>107</v>
      </c>
      <c r="GJ74" s="8" t="s">
        <v>107</v>
      </c>
      <c r="GK74" s="8">
        <v>0</v>
      </c>
      <c r="GL74" s="8"/>
      <c r="GM74" s="8"/>
      <c r="GN74" s="8"/>
      <c r="GO74" s="8">
        <v>0</v>
      </c>
      <c r="GP74" s="8" t="s">
        <v>107</v>
      </c>
      <c r="GQ74" s="8">
        <v>0</v>
      </c>
      <c r="GR74" s="8">
        <v>0</v>
      </c>
      <c r="GS74" s="8" t="s">
        <v>107</v>
      </c>
      <c r="GT74" s="8"/>
      <c r="GU74" s="8"/>
      <c r="GV74" s="8"/>
      <c r="GW74" s="8"/>
      <c r="GX74" s="8">
        <v>0</v>
      </c>
      <c r="GY74" s="8" t="s">
        <v>107</v>
      </c>
      <c r="GZ74" s="8"/>
      <c r="HA74" s="8"/>
      <c r="HB74" s="8">
        <v>1</v>
      </c>
      <c r="HC74" s="8" t="s">
        <v>107</v>
      </c>
      <c r="HD74" s="8">
        <v>1</v>
      </c>
      <c r="HE74" s="967"/>
      <c r="HF74" s="8">
        <f t="shared" si="41"/>
        <v>2</v>
      </c>
      <c r="HG74" s="8"/>
      <c r="HH74" s="8" t="s">
        <v>107</v>
      </c>
      <c r="HI74" s="8" t="s">
        <v>107</v>
      </c>
      <c r="HJ74" s="8" t="s">
        <v>107</v>
      </c>
      <c r="HK74" s="8">
        <v>0</v>
      </c>
      <c r="HL74" s="8"/>
      <c r="HM74" s="8"/>
      <c r="HN74" s="8"/>
      <c r="HO74" s="8">
        <v>0</v>
      </c>
      <c r="HP74" s="8" t="s">
        <v>107</v>
      </c>
      <c r="HQ74" s="8">
        <v>0</v>
      </c>
      <c r="HR74" s="8">
        <v>0</v>
      </c>
      <c r="HS74" s="8" t="s">
        <v>107</v>
      </c>
      <c r="HT74" s="8"/>
      <c r="HU74" s="8"/>
      <c r="HV74" s="8"/>
      <c r="HW74" s="8"/>
      <c r="HX74" s="8">
        <v>0</v>
      </c>
      <c r="HY74" s="8" t="s">
        <v>107</v>
      </c>
      <c r="HZ74" s="8"/>
      <c r="IA74" s="8"/>
      <c r="IB74" s="8">
        <v>0</v>
      </c>
      <c r="IC74" s="8" t="s">
        <v>107</v>
      </c>
      <c r="ID74" s="8">
        <v>2</v>
      </c>
      <c r="IE74" s="967"/>
      <c r="IF74" s="8">
        <f t="shared" si="42"/>
        <v>0</v>
      </c>
      <c r="IG74" s="8"/>
      <c r="IH74" s="8" t="s">
        <v>107</v>
      </c>
      <c r="II74" s="8" t="s">
        <v>107</v>
      </c>
      <c r="IJ74" s="8" t="s">
        <v>107</v>
      </c>
      <c r="IK74" s="8">
        <v>0</v>
      </c>
      <c r="IL74" s="8"/>
      <c r="IM74" s="8"/>
      <c r="IN74" s="8"/>
      <c r="IO74" s="8">
        <v>0</v>
      </c>
      <c r="IP74" s="8" t="s">
        <v>107</v>
      </c>
      <c r="IQ74" s="8">
        <v>0</v>
      </c>
      <c r="IR74" s="8">
        <v>0</v>
      </c>
      <c r="IS74" s="8" t="s">
        <v>107</v>
      </c>
      <c r="IT74" s="8"/>
      <c r="IU74" s="8"/>
      <c r="IV74" s="8"/>
      <c r="IW74" s="8"/>
      <c r="IX74" s="8">
        <v>0</v>
      </c>
      <c r="IY74" s="8" t="s">
        <v>107</v>
      </c>
      <c r="IZ74" s="8"/>
      <c r="JA74" s="8"/>
      <c r="JB74" s="8">
        <v>0</v>
      </c>
      <c r="JC74" s="8" t="s">
        <v>107</v>
      </c>
      <c r="JD74" s="8">
        <v>0</v>
      </c>
      <c r="JE74" s="967"/>
      <c r="JF74" s="8">
        <f t="shared" si="43"/>
        <v>1</v>
      </c>
      <c r="JG74" s="8"/>
      <c r="JH74" s="8" t="s">
        <v>107</v>
      </c>
      <c r="JI74" s="8" t="s">
        <v>107</v>
      </c>
      <c r="JJ74" s="8" t="s">
        <v>107</v>
      </c>
      <c r="JK74" s="8">
        <v>0</v>
      </c>
      <c r="JL74" s="8"/>
      <c r="JM74" s="8"/>
      <c r="JN74" s="8"/>
      <c r="JO74" s="8">
        <v>0</v>
      </c>
      <c r="JP74" s="8" t="s">
        <v>107</v>
      </c>
      <c r="JQ74" s="8">
        <v>0</v>
      </c>
      <c r="JR74" s="8">
        <v>0</v>
      </c>
      <c r="JS74" s="8" t="s">
        <v>107</v>
      </c>
      <c r="JT74" s="8"/>
      <c r="JU74" s="8"/>
      <c r="JV74" s="8"/>
      <c r="JW74" s="8"/>
      <c r="JX74" s="8">
        <v>0</v>
      </c>
      <c r="JY74" s="8" t="s">
        <v>107</v>
      </c>
      <c r="JZ74" s="8"/>
      <c r="KA74" s="8"/>
      <c r="KB74" s="8">
        <v>0</v>
      </c>
      <c r="KC74" s="8" t="s">
        <v>107</v>
      </c>
      <c r="KD74" s="8">
        <v>1</v>
      </c>
      <c r="KE74" s="967"/>
      <c r="KF74" s="8">
        <f t="shared" si="44"/>
        <v>0</v>
      </c>
      <c r="KG74" s="8"/>
      <c r="KH74" s="8" t="s">
        <v>107</v>
      </c>
      <c r="KI74" s="8" t="s">
        <v>107</v>
      </c>
      <c r="KJ74" s="8" t="s">
        <v>107</v>
      </c>
      <c r="KK74" s="8">
        <v>0</v>
      </c>
      <c r="KL74" s="8"/>
      <c r="KM74" s="8"/>
      <c r="KN74" s="8"/>
      <c r="KO74" s="8">
        <v>0</v>
      </c>
      <c r="KP74" s="8" t="s">
        <v>107</v>
      </c>
      <c r="KQ74" s="8">
        <v>0</v>
      </c>
      <c r="KR74" s="8">
        <v>0</v>
      </c>
      <c r="KS74" s="8" t="s">
        <v>107</v>
      </c>
      <c r="KT74" s="8"/>
      <c r="KU74" s="8"/>
      <c r="KV74" s="8"/>
      <c r="KW74" s="8"/>
      <c r="KX74" s="8">
        <v>0</v>
      </c>
      <c r="KY74" s="8" t="s">
        <v>107</v>
      </c>
      <c r="KZ74" s="8"/>
      <c r="LA74" s="8"/>
      <c r="LB74" s="8">
        <v>0</v>
      </c>
      <c r="LC74" s="8" t="s">
        <v>107</v>
      </c>
      <c r="LD74" s="8">
        <v>0</v>
      </c>
      <c r="LE74" s="967"/>
      <c r="LF74" s="8">
        <f t="shared" si="45"/>
        <v>1</v>
      </c>
      <c r="LG74" s="8"/>
      <c r="LH74" s="8" t="s">
        <v>107</v>
      </c>
      <c r="LI74" s="8" t="s">
        <v>107</v>
      </c>
      <c r="LJ74" s="8" t="s">
        <v>107</v>
      </c>
      <c r="LK74" s="8">
        <v>0</v>
      </c>
      <c r="LL74" s="8"/>
      <c r="LM74" s="8"/>
      <c r="LN74" s="8"/>
      <c r="LO74" s="8">
        <v>0</v>
      </c>
      <c r="LP74" s="8" t="s">
        <v>107</v>
      </c>
      <c r="LQ74" s="8">
        <v>0</v>
      </c>
      <c r="LR74" s="8">
        <v>0</v>
      </c>
      <c r="LS74" s="8" t="s">
        <v>107</v>
      </c>
      <c r="LT74" s="8"/>
      <c r="LU74" s="8"/>
      <c r="LV74" s="8"/>
      <c r="LW74" s="8"/>
      <c r="LX74" s="8">
        <v>0</v>
      </c>
      <c r="LY74" s="8" t="s">
        <v>107</v>
      </c>
      <c r="LZ74" s="8"/>
      <c r="MA74" s="8"/>
      <c r="MB74" s="8">
        <v>0</v>
      </c>
      <c r="MC74" s="8" t="s">
        <v>107</v>
      </c>
      <c r="MD74" s="8">
        <v>1</v>
      </c>
      <c r="ME74" s="967"/>
      <c r="MF74" s="8">
        <f t="shared" si="46"/>
        <v>0</v>
      </c>
      <c r="MG74" s="8"/>
      <c r="MH74" s="8" t="s">
        <v>107</v>
      </c>
      <c r="MI74" s="8" t="s">
        <v>107</v>
      </c>
      <c r="MJ74" s="8" t="s">
        <v>107</v>
      </c>
      <c r="MK74" s="8">
        <v>0</v>
      </c>
      <c r="ML74" s="8"/>
      <c r="MM74" s="8"/>
      <c r="MN74" s="8"/>
      <c r="MO74" s="8">
        <v>0</v>
      </c>
      <c r="MP74" s="8" t="s">
        <v>107</v>
      </c>
      <c r="MQ74" s="8">
        <v>0</v>
      </c>
      <c r="MR74" s="8">
        <v>0</v>
      </c>
      <c r="MS74" s="8" t="s">
        <v>107</v>
      </c>
      <c r="MT74" s="8"/>
      <c r="MU74" s="8"/>
      <c r="MV74" s="8"/>
      <c r="MW74" s="8"/>
      <c r="MX74" s="8">
        <v>0</v>
      </c>
      <c r="MY74" s="8" t="s">
        <v>107</v>
      </c>
      <c r="MZ74" s="8"/>
      <c r="NA74" s="8"/>
      <c r="NB74" s="8">
        <v>0</v>
      </c>
      <c r="NC74" s="8" t="s">
        <v>107</v>
      </c>
      <c r="ND74" s="8">
        <v>0</v>
      </c>
      <c r="NE74" s="967"/>
      <c r="NF74" s="8">
        <f t="shared" si="47"/>
        <v>2</v>
      </c>
      <c r="NG74" s="8"/>
      <c r="NH74" s="8" t="s">
        <v>107</v>
      </c>
      <c r="NI74" s="8" t="s">
        <v>107</v>
      </c>
      <c r="NJ74" s="8" t="s">
        <v>107</v>
      </c>
      <c r="NK74" s="8">
        <v>0</v>
      </c>
      <c r="NL74" s="8"/>
      <c r="NM74" s="8"/>
      <c r="NN74" s="8"/>
      <c r="NO74" s="8">
        <v>0</v>
      </c>
      <c r="NP74" s="8" t="s">
        <v>107</v>
      </c>
      <c r="NQ74" s="8">
        <v>0</v>
      </c>
      <c r="NR74" s="8">
        <v>0</v>
      </c>
      <c r="NS74" s="8" t="s">
        <v>107</v>
      </c>
      <c r="NT74" s="8"/>
      <c r="NU74" s="8"/>
      <c r="NV74" s="8"/>
      <c r="NW74" s="8"/>
      <c r="NX74" s="8">
        <v>0</v>
      </c>
      <c r="NY74" s="8" t="s">
        <v>107</v>
      </c>
      <c r="NZ74" s="8"/>
      <c r="OA74" s="8"/>
      <c r="OB74" s="8">
        <v>0</v>
      </c>
      <c r="OC74" s="8" t="s">
        <v>107</v>
      </c>
      <c r="OD74" s="8">
        <v>2</v>
      </c>
      <c r="OE74" s="967"/>
      <c r="OF74" s="8">
        <f t="shared" si="48"/>
        <v>0</v>
      </c>
      <c r="OG74" s="8"/>
      <c r="OH74" s="8" t="s">
        <v>107</v>
      </c>
      <c r="OI74" s="8" t="s">
        <v>107</v>
      </c>
      <c r="OJ74" s="8" t="s">
        <v>107</v>
      </c>
      <c r="OK74" s="8">
        <v>0</v>
      </c>
      <c r="OL74" s="8"/>
      <c r="OM74" s="8"/>
      <c r="ON74" s="8"/>
      <c r="OO74" s="8">
        <v>0</v>
      </c>
      <c r="OP74" s="8" t="s">
        <v>107</v>
      </c>
      <c r="OQ74" s="8">
        <v>0</v>
      </c>
      <c r="OR74" s="8">
        <v>0</v>
      </c>
      <c r="OS74" s="8" t="s">
        <v>107</v>
      </c>
      <c r="OT74" s="8"/>
      <c r="OU74" s="8"/>
      <c r="OV74" s="8"/>
      <c r="OW74" s="8"/>
      <c r="OX74" s="8">
        <v>0</v>
      </c>
      <c r="OY74" s="8" t="s">
        <v>107</v>
      </c>
      <c r="OZ74" s="8"/>
      <c r="PA74" s="8"/>
      <c r="PB74" s="8">
        <v>0</v>
      </c>
      <c r="PC74" s="8" t="s">
        <v>107</v>
      </c>
      <c r="PD74" s="8">
        <v>0</v>
      </c>
      <c r="PE74" s="967"/>
      <c r="PF74" s="8">
        <f t="shared" si="49"/>
        <v>0</v>
      </c>
      <c r="PG74" s="8"/>
      <c r="PH74" s="8" t="s">
        <v>107</v>
      </c>
      <c r="PI74" s="8" t="s">
        <v>107</v>
      </c>
      <c r="PJ74" s="8" t="s">
        <v>107</v>
      </c>
      <c r="PK74" s="8">
        <v>0</v>
      </c>
      <c r="PL74" s="8"/>
      <c r="PM74" s="8"/>
      <c r="PN74" s="8"/>
      <c r="PO74" s="8">
        <v>0</v>
      </c>
      <c r="PP74" s="8" t="s">
        <v>107</v>
      </c>
      <c r="PQ74" s="8">
        <v>0</v>
      </c>
      <c r="PR74" s="8">
        <v>0</v>
      </c>
      <c r="PS74" s="8" t="s">
        <v>107</v>
      </c>
      <c r="PT74" s="8"/>
      <c r="PU74" s="8"/>
      <c r="PV74" s="8"/>
      <c r="PW74" s="8"/>
      <c r="PX74" s="8">
        <v>0</v>
      </c>
      <c r="PY74" s="8" t="s">
        <v>107</v>
      </c>
      <c r="PZ74" s="8"/>
      <c r="QA74" s="8"/>
      <c r="QB74" s="8">
        <v>0</v>
      </c>
      <c r="QC74" s="8" t="s">
        <v>107</v>
      </c>
      <c r="QD74" s="8">
        <v>0</v>
      </c>
      <c r="QE74" s="967"/>
    </row>
    <row r="75" spans="2:447" x14ac:dyDescent="0.3">
      <c r="B75">
        <v>67</v>
      </c>
      <c r="D75" t="s">
        <v>1815</v>
      </c>
      <c r="F75" s="8">
        <f t="shared" si="53"/>
        <v>137</v>
      </c>
      <c r="G75" s="8"/>
      <c r="H75" s="8">
        <v>18</v>
      </c>
      <c r="I75" s="8">
        <v>3</v>
      </c>
      <c r="J75" s="8">
        <v>18</v>
      </c>
      <c r="K75" s="8">
        <v>24</v>
      </c>
      <c r="L75" s="8">
        <v>1</v>
      </c>
      <c r="M75" s="8">
        <v>14</v>
      </c>
      <c r="N75" s="8">
        <v>2</v>
      </c>
      <c r="O75" s="8">
        <v>6</v>
      </c>
      <c r="P75" s="8" t="s">
        <v>107</v>
      </c>
      <c r="Q75" s="8">
        <v>3</v>
      </c>
      <c r="R75" s="8">
        <v>15</v>
      </c>
      <c r="S75" s="8">
        <v>17</v>
      </c>
      <c r="T75" s="8">
        <v>16</v>
      </c>
      <c r="U75" s="8"/>
      <c r="V75" s="8"/>
      <c r="W75" s="8"/>
      <c r="X75" s="8" t="s">
        <v>107</v>
      </c>
      <c r="Y75" s="8" t="s">
        <v>107</v>
      </c>
      <c r="Z75" s="8"/>
      <c r="AA75" s="8"/>
      <c r="AB75" s="8" t="s">
        <v>107</v>
      </c>
      <c r="AC75" s="8" t="s">
        <v>107</v>
      </c>
      <c r="AD75" s="8" t="s">
        <v>107</v>
      </c>
      <c r="AE75" s="967"/>
      <c r="AF75" s="8">
        <f t="shared" si="35"/>
        <v>53</v>
      </c>
      <c r="AG75" s="8"/>
      <c r="AH75" s="8">
        <v>4</v>
      </c>
      <c r="AI75" s="8">
        <v>0</v>
      </c>
      <c r="AJ75" s="8">
        <v>6</v>
      </c>
      <c r="AK75" s="8">
        <v>17</v>
      </c>
      <c r="AL75" s="8"/>
      <c r="AM75" s="8"/>
      <c r="AN75" s="8"/>
      <c r="AO75" s="8">
        <v>2</v>
      </c>
      <c r="AP75" s="8" t="s">
        <v>107</v>
      </c>
      <c r="AQ75" s="8">
        <v>3</v>
      </c>
      <c r="AR75" s="8">
        <v>7</v>
      </c>
      <c r="AS75" s="8">
        <v>7</v>
      </c>
      <c r="AT75" s="8">
        <v>7</v>
      </c>
      <c r="AU75" s="8"/>
      <c r="AV75" s="8"/>
      <c r="AW75" s="8"/>
      <c r="AX75" s="8" t="s">
        <v>107</v>
      </c>
      <c r="AY75" s="8" t="s">
        <v>107</v>
      </c>
      <c r="AZ75" s="8"/>
      <c r="BA75" s="8"/>
      <c r="BB75" s="8" t="s">
        <v>107</v>
      </c>
      <c r="BC75" s="8" t="s">
        <v>107</v>
      </c>
      <c r="BD75" s="8" t="s">
        <v>107</v>
      </c>
      <c r="BE75" s="967"/>
      <c r="BF75" s="8">
        <f t="shared" si="36"/>
        <v>18</v>
      </c>
      <c r="BG75" s="8"/>
      <c r="BH75" s="8">
        <v>0</v>
      </c>
      <c r="BI75" s="8">
        <v>0</v>
      </c>
      <c r="BJ75" s="8">
        <v>3</v>
      </c>
      <c r="BK75" s="8">
        <v>9</v>
      </c>
      <c r="BL75" s="8"/>
      <c r="BM75" s="8"/>
      <c r="BN75" s="8"/>
      <c r="BO75" s="8">
        <v>1</v>
      </c>
      <c r="BP75" s="8" t="s">
        <v>107</v>
      </c>
      <c r="BQ75" s="8">
        <v>0</v>
      </c>
      <c r="BR75" s="8">
        <v>2</v>
      </c>
      <c r="BS75" s="8">
        <v>2</v>
      </c>
      <c r="BT75" s="8">
        <v>1</v>
      </c>
      <c r="BU75" s="8"/>
      <c r="BV75" s="8"/>
      <c r="BW75" s="8"/>
      <c r="BX75" s="8" t="s">
        <v>107</v>
      </c>
      <c r="BY75" s="8" t="s">
        <v>107</v>
      </c>
      <c r="BZ75" s="8"/>
      <c r="CA75" s="8"/>
      <c r="CB75" s="8" t="s">
        <v>107</v>
      </c>
      <c r="CC75" s="8" t="s">
        <v>107</v>
      </c>
      <c r="CD75" s="8" t="s">
        <v>107</v>
      </c>
      <c r="CE75" s="967"/>
      <c r="CF75" s="8">
        <f t="shared" si="37"/>
        <v>71</v>
      </c>
      <c r="CG75" s="8"/>
      <c r="CH75" s="8">
        <v>4</v>
      </c>
      <c r="CI75" s="8">
        <v>0</v>
      </c>
      <c r="CJ75" s="8">
        <v>9</v>
      </c>
      <c r="CK75" s="8">
        <v>26</v>
      </c>
      <c r="CL75" s="8"/>
      <c r="CM75" s="8"/>
      <c r="CN75" s="8"/>
      <c r="CO75" s="8">
        <v>3</v>
      </c>
      <c r="CP75" s="8" t="s">
        <v>107</v>
      </c>
      <c r="CQ75" s="8">
        <v>3</v>
      </c>
      <c r="CR75" s="8">
        <v>9</v>
      </c>
      <c r="CS75" s="8">
        <v>9</v>
      </c>
      <c r="CT75" s="8">
        <v>8</v>
      </c>
      <c r="CU75" s="8"/>
      <c r="CV75" s="8"/>
      <c r="CW75" s="8"/>
      <c r="CX75" s="8" t="s">
        <v>107</v>
      </c>
      <c r="CY75" s="8" t="s">
        <v>107</v>
      </c>
      <c r="CZ75" s="8"/>
      <c r="DA75" s="8"/>
      <c r="DB75" s="8" t="s">
        <v>107</v>
      </c>
      <c r="DC75" s="8" t="s">
        <v>107</v>
      </c>
      <c r="DD75" s="8" t="s">
        <v>107</v>
      </c>
      <c r="DE75" s="967"/>
      <c r="DF75" s="8">
        <f t="shared" si="38"/>
        <v>7</v>
      </c>
      <c r="DG75" s="8"/>
      <c r="DH75" s="8">
        <v>2</v>
      </c>
      <c r="DI75" s="8">
        <v>0</v>
      </c>
      <c r="DJ75" s="8">
        <v>0</v>
      </c>
      <c r="DK75" s="8">
        <v>3</v>
      </c>
      <c r="DL75" s="8"/>
      <c r="DM75" s="8"/>
      <c r="DN75" s="8"/>
      <c r="DO75" s="8">
        <v>0</v>
      </c>
      <c r="DP75" s="8" t="s">
        <v>107</v>
      </c>
      <c r="DQ75" s="8">
        <v>0</v>
      </c>
      <c r="DR75" s="8">
        <v>1</v>
      </c>
      <c r="DS75" s="8">
        <v>1</v>
      </c>
      <c r="DT75" s="8"/>
      <c r="DU75" s="8"/>
      <c r="DV75" s="8"/>
      <c r="DW75" s="8"/>
      <c r="DX75" s="8" t="s">
        <v>107</v>
      </c>
      <c r="DY75" s="8" t="s">
        <v>107</v>
      </c>
      <c r="DZ75" s="8"/>
      <c r="EA75" s="8"/>
      <c r="EB75" s="8" t="s">
        <v>107</v>
      </c>
      <c r="EC75" s="8" t="s">
        <v>107</v>
      </c>
      <c r="ED75" s="8" t="s">
        <v>107</v>
      </c>
      <c r="EE75" s="967"/>
      <c r="EF75" s="8">
        <f t="shared" si="39"/>
        <v>14</v>
      </c>
      <c r="EG75" s="8"/>
      <c r="EH75" s="8">
        <v>4</v>
      </c>
      <c r="EI75" s="8">
        <v>0</v>
      </c>
      <c r="EJ75" s="8">
        <v>0</v>
      </c>
      <c r="EK75" s="8">
        <v>6</v>
      </c>
      <c r="EL75" s="8"/>
      <c r="EM75" s="8"/>
      <c r="EN75" s="8"/>
      <c r="EO75" s="8">
        <v>0</v>
      </c>
      <c r="EP75" s="8" t="s">
        <v>107</v>
      </c>
      <c r="EQ75" s="8">
        <v>0</v>
      </c>
      <c r="ER75" s="8">
        <v>2</v>
      </c>
      <c r="ES75" s="8">
        <v>2</v>
      </c>
      <c r="ET75" s="8"/>
      <c r="EU75" s="8"/>
      <c r="EV75" s="8"/>
      <c r="EW75" s="8"/>
      <c r="EX75" s="8" t="s">
        <v>107</v>
      </c>
      <c r="EY75" s="8" t="s">
        <v>107</v>
      </c>
      <c r="EZ75" s="8"/>
      <c r="FA75" s="8"/>
      <c r="FB75" s="8" t="s">
        <v>107</v>
      </c>
      <c r="FC75" s="8" t="s">
        <v>107</v>
      </c>
      <c r="FD75" s="8" t="s">
        <v>107</v>
      </c>
      <c r="FE75" s="967"/>
      <c r="FF75" s="8">
        <f t="shared" si="54"/>
        <v>4</v>
      </c>
      <c r="FG75" s="8"/>
      <c r="FH75" s="8">
        <v>0</v>
      </c>
      <c r="FI75" s="8">
        <v>0</v>
      </c>
      <c r="FJ75" s="8">
        <v>1</v>
      </c>
      <c r="FK75" s="8">
        <v>1</v>
      </c>
      <c r="FL75" s="8"/>
      <c r="FM75" s="8"/>
      <c r="FN75" s="8"/>
      <c r="FO75" s="8">
        <v>0</v>
      </c>
      <c r="FP75" s="8" t="s">
        <v>107</v>
      </c>
      <c r="FQ75" s="8">
        <v>0</v>
      </c>
      <c r="FR75" s="8">
        <v>1</v>
      </c>
      <c r="FS75" s="8">
        <v>0</v>
      </c>
      <c r="FT75" s="8">
        <v>1</v>
      </c>
      <c r="FU75" s="8"/>
      <c r="FV75" s="8"/>
      <c r="FW75" s="8"/>
      <c r="FX75" s="8" t="s">
        <v>107</v>
      </c>
      <c r="FY75" s="8" t="s">
        <v>107</v>
      </c>
      <c r="FZ75" s="8"/>
      <c r="GA75" s="8"/>
      <c r="GB75" s="8" t="s">
        <v>107</v>
      </c>
      <c r="GC75" s="8" t="s">
        <v>107</v>
      </c>
      <c r="GD75" s="8" t="s">
        <v>107</v>
      </c>
      <c r="GE75" s="967"/>
      <c r="GF75" s="8">
        <f t="shared" si="40"/>
        <v>2</v>
      </c>
      <c r="GG75" s="8"/>
      <c r="GH75" s="8">
        <v>0</v>
      </c>
      <c r="GI75" s="8">
        <v>0</v>
      </c>
      <c r="GJ75" s="8">
        <v>0</v>
      </c>
      <c r="GK75" s="8">
        <v>0</v>
      </c>
      <c r="GL75" s="8"/>
      <c r="GM75" s="8"/>
      <c r="GN75" s="8"/>
      <c r="GO75" s="8">
        <v>0</v>
      </c>
      <c r="GP75" s="8" t="s">
        <v>107</v>
      </c>
      <c r="GQ75" s="8">
        <v>0</v>
      </c>
      <c r="GR75" s="8">
        <v>1</v>
      </c>
      <c r="GS75" s="8">
        <v>1</v>
      </c>
      <c r="GT75" s="8"/>
      <c r="GU75" s="8"/>
      <c r="GV75" s="8"/>
      <c r="GW75" s="8"/>
      <c r="GX75" s="8" t="s">
        <v>107</v>
      </c>
      <c r="GY75" s="8" t="s">
        <v>107</v>
      </c>
      <c r="GZ75" s="8"/>
      <c r="HA75" s="8"/>
      <c r="HB75" s="8" t="s">
        <v>107</v>
      </c>
      <c r="HC75" s="8" t="s">
        <v>107</v>
      </c>
      <c r="HD75" s="8" t="s">
        <v>107</v>
      </c>
      <c r="HE75" s="967"/>
      <c r="HF75" s="8">
        <f t="shared" si="41"/>
        <v>0</v>
      </c>
      <c r="HG75" s="8"/>
      <c r="HH75" s="8">
        <v>0</v>
      </c>
      <c r="HI75" s="8">
        <v>0</v>
      </c>
      <c r="HJ75" s="8">
        <v>0</v>
      </c>
      <c r="HK75" s="8">
        <v>0</v>
      </c>
      <c r="HL75" s="8"/>
      <c r="HM75" s="8"/>
      <c r="HN75" s="8"/>
      <c r="HO75" s="8">
        <v>0</v>
      </c>
      <c r="HP75" s="8" t="s">
        <v>107</v>
      </c>
      <c r="HQ75" s="8">
        <v>0</v>
      </c>
      <c r="HR75" s="8">
        <v>0</v>
      </c>
      <c r="HS75" s="8">
        <v>0</v>
      </c>
      <c r="HT75" s="8"/>
      <c r="HU75" s="8"/>
      <c r="HV75" s="8"/>
      <c r="HW75" s="8"/>
      <c r="HX75" s="8" t="s">
        <v>107</v>
      </c>
      <c r="HY75" s="8" t="s">
        <v>107</v>
      </c>
      <c r="HZ75" s="8"/>
      <c r="IA75" s="8"/>
      <c r="IB75" s="8" t="s">
        <v>107</v>
      </c>
      <c r="IC75" s="8" t="s">
        <v>107</v>
      </c>
      <c r="ID75" s="8" t="s">
        <v>107</v>
      </c>
      <c r="IE75" s="967"/>
      <c r="IF75" s="8">
        <f t="shared" si="42"/>
        <v>0</v>
      </c>
      <c r="IG75" s="8"/>
      <c r="IH75" s="8">
        <v>0</v>
      </c>
      <c r="II75" s="8">
        <v>0</v>
      </c>
      <c r="IJ75" s="8">
        <v>0</v>
      </c>
      <c r="IK75" s="8">
        <v>0</v>
      </c>
      <c r="IL75" s="8"/>
      <c r="IM75" s="8"/>
      <c r="IN75" s="8"/>
      <c r="IO75" s="8">
        <v>0</v>
      </c>
      <c r="IP75" s="8" t="s">
        <v>107</v>
      </c>
      <c r="IQ75" s="8">
        <v>0</v>
      </c>
      <c r="IR75" s="8">
        <v>0</v>
      </c>
      <c r="IS75" s="8">
        <v>0</v>
      </c>
      <c r="IT75" s="8"/>
      <c r="IU75" s="8"/>
      <c r="IV75" s="8"/>
      <c r="IW75" s="8"/>
      <c r="IX75" s="8" t="s">
        <v>107</v>
      </c>
      <c r="IY75" s="8" t="s">
        <v>107</v>
      </c>
      <c r="IZ75" s="8"/>
      <c r="JA75" s="8"/>
      <c r="JB75" s="8" t="s">
        <v>107</v>
      </c>
      <c r="JC75" s="8" t="s">
        <v>107</v>
      </c>
      <c r="JD75" s="8" t="s">
        <v>107</v>
      </c>
      <c r="JE75" s="967"/>
      <c r="JF75" s="8">
        <f t="shared" si="43"/>
        <v>0</v>
      </c>
      <c r="JG75" s="8"/>
      <c r="JH75" s="8">
        <v>0</v>
      </c>
      <c r="JI75" s="8">
        <v>0</v>
      </c>
      <c r="JJ75" s="8">
        <v>0</v>
      </c>
      <c r="JK75" s="8">
        <v>0</v>
      </c>
      <c r="JL75" s="8"/>
      <c r="JM75" s="8"/>
      <c r="JN75" s="8"/>
      <c r="JO75" s="8">
        <v>0</v>
      </c>
      <c r="JP75" s="8" t="s">
        <v>107</v>
      </c>
      <c r="JQ75" s="8">
        <v>0</v>
      </c>
      <c r="JR75" s="8">
        <v>0</v>
      </c>
      <c r="JS75" s="8">
        <v>0</v>
      </c>
      <c r="JT75" s="8"/>
      <c r="JU75" s="8"/>
      <c r="JV75" s="8"/>
      <c r="JW75" s="8"/>
      <c r="JX75" s="8" t="s">
        <v>107</v>
      </c>
      <c r="JY75" s="8" t="s">
        <v>107</v>
      </c>
      <c r="JZ75" s="8"/>
      <c r="KA75" s="8"/>
      <c r="KB75" s="8" t="s">
        <v>107</v>
      </c>
      <c r="KC75" s="8" t="s">
        <v>107</v>
      </c>
      <c r="KD75" s="8" t="s">
        <v>107</v>
      </c>
      <c r="KE75" s="967"/>
      <c r="KF75" s="8">
        <f t="shared" si="44"/>
        <v>0</v>
      </c>
      <c r="KG75" s="8"/>
      <c r="KH75" s="8">
        <v>0</v>
      </c>
      <c r="KI75" s="8">
        <v>0</v>
      </c>
      <c r="KJ75" s="8">
        <v>0</v>
      </c>
      <c r="KK75" s="8">
        <v>0</v>
      </c>
      <c r="KL75" s="8"/>
      <c r="KM75" s="8"/>
      <c r="KN75" s="8"/>
      <c r="KO75" s="8">
        <v>0</v>
      </c>
      <c r="KP75" s="8" t="s">
        <v>107</v>
      </c>
      <c r="KQ75" s="8">
        <v>0</v>
      </c>
      <c r="KR75" s="8">
        <v>0</v>
      </c>
      <c r="KS75" s="8">
        <v>0</v>
      </c>
      <c r="KT75" s="8"/>
      <c r="KU75" s="8"/>
      <c r="KV75" s="8"/>
      <c r="KW75" s="8"/>
      <c r="KX75" s="8" t="s">
        <v>107</v>
      </c>
      <c r="KY75" s="8" t="s">
        <v>107</v>
      </c>
      <c r="KZ75" s="8"/>
      <c r="LA75" s="8"/>
      <c r="LB75" s="8" t="s">
        <v>107</v>
      </c>
      <c r="LC75" s="8" t="s">
        <v>107</v>
      </c>
      <c r="LD75" s="8" t="s">
        <v>107</v>
      </c>
      <c r="LE75" s="967"/>
      <c r="LF75" s="8">
        <f t="shared" si="45"/>
        <v>0</v>
      </c>
      <c r="LG75" s="8"/>
      <c r="LH75" s="8">
        <v>0</v>
      </c>
      <c r="LI75" s="8">
        <v>0</v>
      </c>
      <c r="LJ75" s="8">
        <v>0</v>
      </c>
      <c r="LK75" s="8">
        <v>0</v>
      </c>
      <c r="LL75" s="8"/>
      <c r="LM75" s="8"/>
      <c r="LN75" s="8"/>
      <c r="LO75" s="8">
        <v>0</v>
      </c>
      <c r="LP75" s="8" t="s">
        <v>107</v>
      </c>
      <c r="LQ75" s="8">
        <v>0</v>
      </c>
      <c r="LR75" s="8">
        <v>0</v>
      </c>
      <c r="LS75" s="8">
        <v>0</v>
      </c>
      <c r="LT75" s="8"/>
      <c r="LU75" s="8"/>
      <c r="LV75" s="8"/>
      <c r="LW75" s="8"/>
      <c r="LX75" s="8" t="s">
        <v>107</v>
      </c>
      <c r="LY75" s="8" t="s">
        <v>107</v>
      </c>
      <c r="LZ75" s="8"/>
      <c r="MA75" s="8"/>
      <c r="MB75" s="8" t="s">
        <v>107</v>
      </c>
      <c r="MC75" s="8" t="s">
        <v>107</v>
      </c>
      <c r="MD75" s="8" t="s">
        <v>107</v>
      </c>
      <c r="ME75" s="967"/>
      <c r="MF75" s="8">
        <f t="shared" si="46"/>
        <v>0</v>
      </c>
      <c r="MG75" s="8"/>
      <c r="MH75" s="8">
        <v>0</v>
      </c>
      <c r="MI75" s="8">
        <v>0</v>
      </c>
      <c r="MJ75" s="8">
        <v>0</v>
      </c>
      <c r="MK75" s="8">
        <v>0</v>
      </c>
      <c r="ML75" s="8"/>
      <c r="MM75" s="8"/>
      <c r="MN75" s="8"/>
      <c r="MO75" s="8">
        <v>0</v>
      </c>
      <c r="MP75" s="8" t="s">
        <v>107</v>
      </c>
      <c r="MQ75" s="8">
        <v>0</v>
      </c>
      <c r="MR75" s="8">
        <v>0</v>
      </c>
      <c r="MS75" s="8">
        <v>0</v>
      </c>
      <c r="MT75" s="8"/>
      <c r="MU75" s="8"/>
      <c r="MV75" s="8"/>
      <c r="MW75" s="8"/>
      <c r="MX75" s="8" t="s">
        <v>107</v>
      </c>
      <c r="MY75" s="8" t="s">
        <v>107</v>
      </c>
      <c r="MZ75" s="8"/>
      <c r="NA75" s="8"/>
      <c r="NB75" s="8" t="s">
        <v>107</v>
      </c>
      <c r="NC75" s="8" t="s">
        <v>107</v>
      </c>
      <c r="ND75" s="8" t="s">
        <v>107</v>
      </c>
      <c r="NE75" s="967"/>
      <c r="NF75" s="8">
        <f t="shared" si="47"/>
        <v>1</v>
      </c>
      <c r="NG75" s="8"/>
      <c r="NH75" s="8">
        <v>0</v>
      </c>
      <c r="NI75" s="8">
        <v>0</v>
      </c>
      <c r="NJ75" s="8">
        <v>0</v>
      </c>
      <c r="NK75" s="8">
        <v>0</v>
      </c>
      <c r="NL75" s="8"/>
      <c r="NM75" s="8"/>
      <c r="NN75" s="8"/>
      <c r="NO75" s="8">
        <v>0</v>
      </c>
      <c r="NP75" s="8" t="s">
        <v>107</v>
      </c>
      <c r="NQ75" s="8">
        <v>1</v>
      </c>
      <c r="NR75" s="8">
        <v>0</v>
      </c>
      <c r="NS75" s="8">
        <v>0</v>
      </c>
      <c r="NT75" s="8"/>
      <c r="NU75" s="8"/>
      <c r="NV75" s="8"/>
      <c r="NW75" s="8"/>
      <c r="NX75" s="8" t="s">
        <v>107</v>
      </c>
      <c r="NY75" s="8" t="s">
        <v>107</v>
      </c>
      <c r="NZ75" s="8"/>
      <c r="OA75" s="8"/>
      <c r="OB75" s="8" t="s">
        <v>107</v>
      </c>
      <c r="OC75" s="8" t="s">
        <v>107</v>
      </c>
      <c r="OD75" s="8" t="s">
        <v>107</v>
      </c>
      <c r="OE75" s="967"/>
      <c r="OF75" s="8">
        <f t="shared" si="48"/>
        <v>0</v>
      </c>
      <c r="OG75" s="8"/>
      <c r="OH75" s="8">
        <v>0</v>
      </c>
      <c r="OI75" s="8">
        <v>0</v>
      </c>
      <c r="OJ75" s="8">
        <v>0</v>
      </c>
      <c r="OK75" s="8">
        <v>0</v>
      </c>
      <c r="OL75" s="8"/>
      <c r="OM75" s="8"/>
      <c r="ON75" s="8"/>
      <c r="OO75" s="8">
        <v>0</v>
      </c>
      <c r="OP75" s="8" t="s">
        <v>107</v>
      </c>
      <c r="OQ75" s="8">
        <v>0</v>
      </c>
      <c r="OR75" s="8">
        <v>0</v>
      </c>
      <c r="OS75" s="8">
        <v>0</v>
      </c>
      <c r="OT75" s="8"/>
      <c r="OU75" s="8"/>
      <c r="OV75" s="8"/>
      <c r="OW75" s="8"/>
      <c r="OX75" s="8" t="s">
        <v>107</v>
      </c>
      <c r="OY75" s="8" t="s">
        <v>107</v>
      </c>
      <c r="OZ75" s="8"/>
      <c r="PA75" s="8"/>
      <c r="PB75" s="8" t="s">
        <v>107</v>
      </c>
      <c r="PC75" s="8" t="s">
        <v>107</v>
      </c>
      <c r="PD75" s="8" t="s">
        <v>107</v>
      </c>
      <c r="PE75" s="967"/>
      <c r="PF75" s="8">
        <f t="shared" si="49"/>
        <v>0</v>
      </c>
      <c r="PG75" s="8"/>
      <c r="PH75" s="8">
        <v>0</v>
      </c>
      <c r="PI75" s="8">
        <v>0</v>
      </c>
      <c r="PJ75" s="8">
        <v>0</v>
      </c>
      <c r="PK75" s="8">
        <v>0</v>
      </c>
      <c r="PL75" s="8"/>
      <c r="PM75" s="8"/>
      <c r="PN75" s="8"/>
      <c r="PO75" s="8">
        <v>0</v>
      </c>
      <c r="PP75" s="8" t="s">
        <v>107</v>
      </c>
      <c r="PQ75" s="8">
        <v>0</v>
      </c>
      <c r="PR75" s="8">
        <v>0</v>
      </c>
      <c r="PS75" s="8">
        <v>0</v>
      </c>
      <c r="PT75" s="8"/>
      <c r="PU75" s="8"/>
      <c r="PV75" s="8"/>
      <c r="PW75" s="8"/>
      <c r="PX75" s="8" t="s">
        <v>107</v>
      </c>
      <c r="PY75" s="8" t="s">
        <v>107</v>
      </c>
      <c r="PZ75" s="8"/>
      <c r="QA75" s="8"/>
      <c r="QB75" s="8" t="s">
        <v>107</v>
      </c>
      <c r="QC75" s="8" t="s">
        <v>107</v>
      </c>
      <c r="QD75" s="8" t="s">
        <v>107</v>
      </c>
      <c r="QE75" s="967"/>
    </row>
    <row r="76" spans="2:447" x14ac:dyDescent="0.3">
      <c r="B76">
        <v>68</v>
      </c>
      <c r="D76" t="s">
        <v>2263</v>
      </c>
      <c r="F76" s="8">
        <f t="shared" si="53"/>
        <v>13</v>
      </c>
      <c r="G76" s="8"/>
      <c r="H76" s="8" t="s">
        <v>107</v>
      </c>
      <c r="I76" s="8" t="s">
        <v>107</v>
      </c>
      <c r="J76" s="8" t="s">
        <v>107</v>
      </c>
      <c r="K76" s="8" t="s">
        <v>107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 t="s">
        <v>107</v>
      </c>
      <c r="Y76" s="8" t="s">
        <v>107</v>
      </c>
      <c r="Z76" s="8"/>
      <c r="AA76" s="8"/>
      <c r="AB76" s="8" t="s">
        <v>107</v>
      </c>
      <c r="AC76" s="8">
        <v>4</v>
      </c>
      <c r="AD76" s="8">
        <v>9</v>
      </c>
      <c r="AE76" s="967"/>
      <c r="AF76" s="8">
        <f t="shared" si="35"/>
        <v>3</v>
      </c>
      <c r="AG76" s="8"/>
      <c r="AH76" s="8" t="s">
        <v>107</v>
      </c>
      <c r="AI76" s="8" t="s">
        <v>107</v>
      </c>
      <c r="AJ76" s="8" t="s">
        <v>107</v>
      </c>
      <c r="AK76" s="8" t="s">
        <v>107</v>
      </c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 t="s">
        <v>107</v>
      </c>
      <c r="AY76" s="8" t="s">
        <v>107</v>
      </c>
      <c r="AZ76" s="8"/>
      <c r="BA76" s="8"/>
      <c r="BB76" s="8" t="s">
        <v>107</v>
      </c>
      <c r="BC76" s="8">
        <v>1</v>
      </c>
      <c r="BD76" s="8">
        <v>2</v>
      </c>
      <c r="BE76" s="967"/>
      <c r="BF76" s="8">
        <f t="shared" si="36"/>
        <v>2</v>
      </c>
      <c r="BG76" s="8"/>
      <c r="BH76" s="8" t="s">
        <v>107</v>
      </c>
      <c r="BI76" s="8"/>
      <c r="BJ76" s="8"/>
      <c r="BK76" s="8" t="s">
        <v>107</v>
      </c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 t="s">
        <v>107</v>
      </c>
      <c r="BY76" s="8" t="s">
        <v>107</v>
      </c>
      <c r="BZ76" s="8"/>
      <c r="CA76" s="8"/>
      <c r="CB76" s="8" t="s">
        <v>107</v>
      </c>
      <c r="CC76" s="8">
        <v>2</v>
      </c>
      <c r="CD76" s="8">
        <v>0</v>
      </c>
      <c r="CE76" s="967"/>
      <c r="CF76" s="8">
        <f t="shared" si="37"/>
        <v>5</v>
      </c>
      <c r="CG76" s="8"/>
      <c r="CH76" s="8" t="s">
        <v>107</v>
      </c>
      <c r="CI76" s="8"/>
      <c r="CJ76" s="8"/>
      <c r="CK76" s="8" t="s">
        <v>107</v>
      </c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 t="s">
        <v>107</v>
      </c>
      <c r="CY76" s="8" t="s">
        <v>107</v>
      </c>
      <c r="CZ76" s="8"/>
      <c r="DA76" s="8"/>
      <c r="DB76" s="8" t="s">
        <v>107</v>
      </c>
      <c r="DC76" s="8">
        <f t="shared" si="52"/>
        <v>3</v>
      </c>
      <c r="DD76" s="8">
        <f t="shared" si="50"/>
        <v>2</v>
      </c>
      <c r="DE76" s="967"/>
      <c r="DF76" s="8">
        <f t="shared" si="38"/>
        <v>0</v>
      </c>
      <c r="DG76" s="8"/>
      <c r="DH76" s="8" t="s">
        <v>107</v>
      </c>
      <c r="DI76" s="8" t="s">
        <v>107</v>
      </c>
      <c r="DJ76" s="8" t="s">
        <v>107</v>
      </c>
      <c r="DK76" s="8" t="s">
        <v>107</v>
      </c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 t="s">
        <v>107</v>
      </c>
      <c r="DY76" s="8" t="s">
        <v>107</v>
      </c>
      <c r="DZ76" s="8"/>
      <c r="EA76" s="8"/>
      <c r="EB76" s="8" t="s">
        <v>107</v>
      </c>
      <c r="EC76" s="8">
        <v>0</v>
      </c>
      <c r="ED76" s="8">
        <v>0</v>
      </c>
      <c r="EE76" s="967"/>
      <c r="EF76" s="8">
        <f t="shared" si="39"/>
        <v>4</v>
      </c>
      <c r="EG76" s="8"/>
      <c r="EH76" s="8" t="s">
        <v>107</v>
      </c>
      <c r="EI76" s="8" t="s">
        <v>107</v>
      </c>
      <c r="EJ76" s="8" t="s">
        <v>107</v>
      </c>
      <c r="EK76" s="8" t="s">
        <v>107</v>
      </c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 t="s">
        <v>107</v>
      </c>
      <c r="EY76" s="8" t="s">
        <v>107</v>
      </c>
      <c r="EZ76" s="8"/>
      <c r="FA76" s="8"/>
      <c r="FB76" s="8" t="s">
        <v>107</v>
      </c>
      <c r="FC76" s="8">
        <v>0</v>
      </c>
      <c r="FD76" s="8">
        <v>4</v>
      </c>
      <c r="FE76" s="967"/>
      <c r="FF76" s="8">
        <f t="shared" si="54"/>
        <v>0</v>
      </c>
      <c r="FG76" s="8"/>
      <c r="FH76" s="8" t="s">
        <v>107</v>
      </c>
      <c r="FI76" s="8" t="s">
        <v>107</v>
      </c>
      <c r="FJ76" s="8" t="s">
        <v>107</v>
      </c>
      <c r="FK76" s="8" t="s">
        <v>107</v>
      </c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 t="s">
        <v>107</v>
      </c>
      <c r="FY76" s="8" t="s">
        <v>107</v>
      </c>
      <c r="FZ76" s="8"/>
      <c r="GA76" s="8"/>
      <c r="GB76" s="8" t="s">
        <v>107</v>
      </c>
      <c r="GC76" s="8">
        <v>0</v>
      </c>
      <c r="GD76" s="8">
        <v>0</v>
      </c>
      <c r="GE76" s="967"/>
      <c r="GF76" s="8">
        <f t="shared" si="40"/>
        <v>1</v>
      </c>
      <c r="GG76" s="8"/>
      <c r="GH76" s="8" t="s">
        <v>107</v>
      </c>
      <c r="GI76" s="8" t="s">
        <v>107</v>
      </c>
      <c r="GJ76" s="8" t="s">
        <v>107</v>
      </c>
      <c r="GK76" s="8" t="s">
        <v>107</v>
      </c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 t="s">
        <v>107</v>
      </c>
      <c r="GY76" s="8" t="s">
        <v>107</v>
      </c>
      <c r="GZ76" s="8"/>
      <c r="HA76" s="8"/>
      <c r="HB76" s="8" t="s">
        <v>107</v>
      </c>
      <c r="HC76" s="8">
        <v>0</v>
      </c>
      <c r="HD76" s="8">
        <v>1</v>
      </c>
      <c r="HE76" s="967"/>
      <c r="HF76" s="8">
        <f t="shared" si="41"/>
        <v>0</v>
      </c>
      <c r="HG76" s="8"/>
      <c r="HH76" s="8" t="s">
        <v>107</v>
      </c>
      <c r="HI76" s="8" t="s">
        <v>107</v>
      </c>
      <c r="HJ76" s="8" t="s">
        <v>107</v>
      </c>
      <c r="HK76" s="8" t="s">
        <v>107</v>
      </c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 t="s">
        <v>107</v>
      </c>
      <c r="HY76" s="8" t="s">
        <v>107</v>
      </c>
      <c r="HZ76" s="8"/>
      <c r="IA76" s="8"/>
      <c r="IB76" s="8" t="s">
        <v>107</v>
      </c>
      <c r="IC76" s="8">
        <v>0</v>
      </c>
      <c r="ID76" s="8">
        <v>0</v>
      </c>
      <c r="IE76" s="967"/>
      <c r="IF76" s="8">
        <f t="shared" si="42"/>
        <v>0</v>
      </c>
      <c r="IG76" s="8"/>
      <c r="IH76" s="8" t="s">
        <v>107</v>
      </c>
      <c r="II76" s="8" t="s">
        <v>107</v>
      </c>
      <c r="IJ76" s="8" t="s">
        <v>107</v>
      </c>
      <c r="IK76" s="8" t="s">
        <v>107</v>
      </c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 t="s">
        <v>107</v>
      </c>
      <c r="IY76" s="8" t="s">
        <v>107</v>
      </c>
      <c r="IZ76" s="8"/>
      <c r="JA76" s="8"/>
      <c r="JB76" s="8" t="s">
        <v>107</v>
      </c>
      <c r="JC76" s="8">
        <v>0</v>
      </c>
      <c r="JD76" s="8">
        <v>0</v>
      </c>
      <c r="JE76" s="967"/>
      <c r="JF76" s="8">
        <f t="shared" si="43"/>
        <v>0</v>
      </c>
      <c r="JG76" s="8"/>
      <c r="JH76" s="8" t="s">
        <v>107</v>
      </c>
      <c r="JI76" s="8" t="s">
        <v>107</v>
      </c>
      <c r="JJ76" s="8" t="s">
        <v>107</v>
      </c>
      <c r="JK76" s="8" t="s">
        <v>107</v>
      </c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 t="s">
        <v>107</v>
      </c>
      <c r="JY76" s="8" t="s">
        <v>107</v>
      </c>
      <c r="JZ76" s="8"/>
      <c r="KA76" s="8"/>
      <c r="KB76" s="8" t="s">
        <v>107</v>
      </c>
      <c r="KC76" s="8">
        <v>0</v>
      </c>
      <c r="KD76" s="8">
        <v>0</v>
      </c>
      <c r="KE76" s="967"/>
      <c r="KF76" s="8">
        <f t="shared" si="44"/>
        <v>0</v>
      </c>
      <c r="KG76" s="8"/>
      <c r="KH76" s="8" t="s">
        <v>107</v>
      </c>
      <c r="KI76" s="8" t="s">
        <v>107</v>
      </c>
      <c r="KJ76" s="8" t="s">
        <v>107</v>
      </c>
      <c r="KK76" s="8" t="s">
        <v>107</v>
      </c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 t="s">
        <v>107</v>
      </c>
      <c r="KY76" s="8" t="s">
        <v>107</v>
      </c>
      <c r="KZ76" s="8"/>
      <c r="LA76" s="8"/>
      <c r="LB76" s="8" t="s">
        <v>107</v>
      </c>
      <c r="LC76" s="8">
        <v>0</v>
      </c>
      <c r="LD76" s="8">
        <v>0</v>
      </c>
      <c r="LE76" s="967"/>
      <c r="LF76" s="8">
        <f t="shared" si="45"/>
        <v>0</v>
      </c>
      <c r="LG76" s="8"/>
      <c r="LH76" s="8" t="s">
        <v>107</v>
      </c>
      <c r="LI76" s="8" t="s">
        <v>107</v>
      </c>
      <c r="LJ76" s="8" t="s">
        <v>107</v>
      </c>
      <c r="LK76" s="8" t="s">
        <v>107</v>
      </c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 t="s">
        <v>107</v>
      </c>
      <c r="LY76" s="8" t="s">
        <v>107</v>
      </c>
      <c r="LZ76" s="8"/>
      <c r="MA76" s="8"/>
      <c r="MB76" s="8" t="s">
        <v>107</v>
      </c>
      <c r="MC76" s="8">
        <v>0</v>
      </c>
      <c r="MD76" s="8">
        <v>0</v>
      </c>
      <c r="ME76" s="967"/>
      <c r="MF76" s="8">
        <f t="shared" si="46"/>
        <v>0</v>
      </c>
      <c r="MG76" s="8"/>
      <c r="MH76" s="8" t="s">
        <v>107</v>
      </c>
      <c r="MI76" s="8" t="s">
        <v>107</v>
      </c>
      <c r="MJ76" s="8" t="s">
        <v>107</v>
      </c>
      <c r="MK76" s="8" t="s">
        <v>107</v>
      </c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 t="s">
        <v>107</v>
      </c>
      <c r="MY76" s="8" t="s">
        <v>107</v>
      </c>
      <c r="MZ76" s="8"/>
      <c r="NA76" s="8"/>
      <c r="NB76" s="8" t="s">
        <v>107</v>
      </c>
      <c r="NC76" s="8">
        <v>0</v>
      </c>
      <c r="ND76" s="8">
        <v>0</v>
      </c>
      <c r="NE76" s="967"/>
      <c r="NF76" s="8">
        <f t="shared" si="47"/>
        <v>0</v>
      </c>
      <c r="NG76" s="8"/>
      <c r="NH76" s="8" t="s">
        <v>107</v>
      </c>
      <c r="NI76" s="8" t="s">
        <v>107</v>
      </c>
      <c r="NJ76" s="8" t="s">
        <v>107</v>
      </c>
      <c r="NK76" s="8" t="s">
        <v>107</v>
      </c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 t="s">
        <v>107</v>
      </c>
      <c r="NY76" s="8" t="s">
        <v>107</v>
      </c>
      <c r="NZ76" s="8"/>
      <c r="OA76" s="8"/>
      <c r="OB76" s="8" t="s">
        <v>107</v>
      </c>
      <c r="OC76" s="8">
        <v>0</v>
      </c>
      <c r="OD76" s="8">
        <v>0</v>
      </c>
      <c r="OE76" s="967"/>
      <c r="OF76" s="8">
        <f t="shared" si="48"/>
        <v>0</v>
      </c>
      <c r="OG76" s="8"/>
      <c r="OH76" s="8" t="s">
        <v>107</v>
      </c>
      <c r="OI76" s="8" t="s">
        <v>107</v>
      </c>
      <c r="OJ76" s="8" t="s">
        <v>107</v>
      </c>
      <c r="OK76" s="8" t="s">
        <v>107</v>
      </c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 t="s">
        <v>107</v>
      </c>
      <c r="OY76" s="8" t="s">
        <v>107</v>
      </c>
      <c r="OZ76" s="8"/>
      <c r="PA76" s="8"/>
      <c r="PB76" s="8" t="s">
        <v>107</v>
      </c>
      <c r="PC76" s="8">
        <v>0</v>
      </c>
      <c r="PD76" s="8">
        <v>0</v>
      </c>
      <c r="PE76" s="967"/>
      <c r="PF76" s="8">
        <f t="shared" si="49"/>
        <v>0</v>
      </c>
      <c r="PG76" s="8"/>
      <c r="PH76" s="8" t="s">
        <v>107</v>
      </c>
      <c r="PI76" s="8" t="s">
        <v>107</v>
      </c>
      <c r="PJ76" s="8" t="s">
        <v>107</v>
      </c>
      <c r="PK76" s="8" t="s">
        <v>107</v>
      </c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 t="s">
        <v>107</v>
      </c>
      <c r="PY76" s="8" t="s">
        <v>107</v>
      </c>
      <c r="PZ76" s="8"/>
      <c r="QA76" s="8"/>
      <c r="QB76" s="8" t="s">
        <v>107</v>
      </c>
      <c r="QC76" s="8">
        <v>0</v>
      </c>
      <c r="QD76" s="8">
        <v>0</v>
      </c>
      <c r="QE76" s="967"/>
    </row>
    <row r="77" spans="2:447" x14ac:dyDescent="0.3">
      <c r="B77">
        <v>69</v>
      </c>
      <c r="D77" t="s">
        <v>2511</v>
      </c>
      <c r="F77" s="8">
        <f t="shared" si="53"/>
        <v>28</v>
      </c>
      <c r="G77" s="8"/>
      <c r="H77" s="8">
        <v>4</v>
      </c>
      <c r="I77" s="8">
        <v>4</v>
      </c>
      <c r="J77" s="8">
        <v>20</v>
      </c>
      <c r="K77" s="8" t="s">
        <v>107</v>
      </c>
      <c r="L77" s="8" t="s">
        <v>107</v>
      </c>
      <c r="M77" s="8" t="s">
        <v>107</v>
      </c>
      <c r="N77" s="8" t="s">
        <v>107</v>
      </c>
      <c r="O77" s="8" t="s">
        <v>107</v>
      </c>
      <c r="P77" s="8" t="s">
        <v>107</v>
      </c>
      <c r="Q77" s="8" t="s">
        <v>107</v>
      </c>
      <c r="R77" s="8" t="s">
        <v>107</v>
      </c>
      <c r="S77" s="8" t="s">
        <v>107</v>
      </c>
      <c r="T77" s="8" t="s">
        <v>107</v>
      </c>
      <c r="U77" s="8" t="s">
        <v>107</v>
      </c>
      <c r="V77" s="8" t="s">
        <v>107</v>
      </c>
      <c r="W77" s="8" t="s">
        <v>107</v>
      </c>
      <c r="X77" s="8" t="s">
        <v>107</v>
      </c>
      <c r="Y77" s="8" t="s">
        <v>107</v>
      </c>
      <c r="Z77" s="8" t="s">
        <v>107</v>
      </c>
      <c r="AA77" s="8" t="s">
        <v>107</v>
      </c>
      <c r="AB77" s="8" t="s">
        <v>107</v>
      </c>
      <c r="AC77" s="8" t="s">
        <v>107</v>
      </c>
      <c r="AD77" s="8" t="s">
        <v>107</v>
      </c>
      <c r="AE77" s="967"/>
      <c r="AF77" s="8">
        <f t="shared" si="35"/>
        <v>4</v>
      </c>
      <c r="AG77" s="8"/>
      <c r="AH77" s="8">
        <v>0</v>
      </c>
      <c r="AI77" s="8">
        <v>1</v>
      </c>
      <c r="AJ77" s="8">
        <v>3</v>
      </c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 t="s">
        <v>107</v>
      </c>
      <c r="AY77" s="8" t="s">
        <v>107</v>
      </c>
      <c r="AZ77" s="8"/>
      <c r="BA77" s="8"/>
      <c r="BB77" s="8"/>
      <c r="BC77" s="8"/>
      <c r="BD77" s="8"/>
      <c r="BE77" s="967"/>
      <c r="BF77" s="8">
        <f t="shared" si="36"/>
        <v>3</v>
      </c>
      <c r="BG77" s="8"/>
      <c r="BH77" s="8">
        <v>0</v>
      </c>
      <c r="BI77" s="8">
        <v>0</v>
      </c>
      <c r="BJ77" s="8">
        <v>3</v>
      </c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 t="s">
        <v>107</v>
      </c>
      <c r="BY77" s="8" t="s">
        <v>107</v>
      </c>
      <c r="BZ77" s="8"/>
      <c r="CA77" s="8"/>
      <c r="CB77" s="8"/>
      <c r="CC77" s="8"/>
      <c r="CD77" s="8"/>
      <c r="CE77" s="967"/>
      <c r="CF77" s="8">
        <f t="shared" si="37"/>
        <v>7</v>
      </c>
      <c r="CG77" s="8"/>
      <c r="CH77" s="8">
        <v>0</v>
      </c>
      <c r="CI77" s="8">
        <v>1</v>
      </c>
      <c r="CJ77" s="8">
        <v>6</v>
      </c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 t="s">
        <v>107</v>
      </c>
      <c r="CY77" s="8" t="s">
        <v>107</v>
      </c>
      <c r="CZ77" s="8"/>
      <c r="DA77" s="8"/>
      <c r="DB77" s="8"/>
      <c r="DC77" s="8"/>
      <c r="DD77" s="8"/>
      <c r="DE77" s="967"/>
      <c r="DF77" s="8">
        <f t="shared" si="38"/>
        <v>1</v>
      </c>
      <c r="DG77" s="8"/>
      <c r="DH77" s="8">
        <v>0</v>
      </c>
      <c r="DI77" s="8">
        <v>1</v>
      </c>
      <c r="DJ77" s="8">
        <v>0</v>
      </c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 t="s">
        <v>107</v>
      </c>
      <c r="DY77" s="8" t="s">
        <v>107</v>
      </c>
      <c r="DZ77" s="8"/>
      <c r="EA77" s="8"/>
      <c r="EB77" s="8"/>
      <c r="EC77" s="8"/>
      <c r="ED77" s="8"/>
      <c r="EE77" s="967"/>
      <c r="EF77" s="8">
        <f t="shared" si="39"/>
        <v>2</v>
      </c>
      <c r="EG77" s="8"/>
      <c r="EH77" s="8">
        <v>0</v>
      </c>
      <c r="EI77" s="8">
        <v>2</v>
      </c>
      <c r="EJ77" s="8">
        <v>0</v>
      </c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 t="s">
        <v>107</v>
      </c>
      <c r="EY77" s="8" t="s">
        <v>107</v>
      </c>
      <c r="EZ77" s="8"/>
      <c r="FA77" s="8"/>
      <c r="FB77" s="8"/>
      <c r="FC77" s="8"/>
      <c r="FD77" s="8"/>
      <c r="FE77" s="967"/>
      <c r="FF77" s="8">
        <f t="shared" si="54"/>
        <v>2</v>
      </c>
      <c r="FG77" s="8"/>
      <c r="FH77" s="8">
        <v>0</v>
      </c>
      <c r="FI77" s="8">
        <v>1</v>
      </c>
      <c r="FJ77" s="8">
        <v>1</v>
      </c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 t="s">
        <v>107</v>
      </c>
      <c r="FY77" s="8" t="s">
        <v>107</v>
      </c>
      <c r="FZ77" s="8"/>
      <c r="GA77" s="8"/>
      <c r="GB77" s="8"/>
      <c r="GC77" s="8"/>
      <c r="GD77" s="8"/>
      <c r="GE77" s="967"/>
      <c r="GF77" s="8">
        <f t="shared" si="40"/>
        <v>0</v>
      </c>
      <c r="GG77" s="8"/>
      <c r="GH77" s="8">
        <v>0</v>
      </c>
      <c r="GI77" s="8">
        <v>0</v>
      </c>
      <c r="GJ77" s="8">
        <v>0</v>
      </c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 t="s">
        <v>107</v>
      </c>
      <c r="GY77" s="8" t="s">
        <v>107</v>
      </c>
      <c r="GZ77" s="8"/>
      <c r="HA77" s="8"/>
      <c r="HB77" s="8"/>
      <c r="HC77" s="8"/>
      <c r="HD77" s="8"/>
      <c r="HE77" s="967"/>
      <c r="HF77" s="8">
        <f t="shared" si="41"/>
        <v>0</v>
      </c>
      <c r="HG77" s="8"/>
      <c r="HH77" s="8">
        <v>0</v>
      </c>
      <c r="HI77" s="8">
        <v>0</v>
      </c>
      <c r="HJ77" s="8">
        <v>0</v>
      </c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 t="s">
        <v>107</v>
      </c>
      <c r="HY77" s="8" t="s">
        <v>107</v>
      </c>
      <c r="HZ77" s="8"/>
      <c r="IA77" s="8"/>
      <c r="IB77" s="8"/>
      <c r="IC77" s="8"/>
      <c r="ID77" s="8"/>
      <c r="IE77" s="967"/>
      <c r="IF77" s="8">
        <f t="shared" si="42"/>
        <v>0</v>
      </c>
      <c r="IG77" s="8"/>
      <c r="IH77" s="8">
        <v>0</v>
      </c>
      <c r="II77" s="8">
        <v>0</v>
      </c>
      <c r="IJ77" s="8">
        <v>0</v>
      </c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 t="s">
        <v>107</v>
      </c>
      <c r="IY77" s="8" t="s">
        <v>107</v>
      </c>
      <c r="IZ77" s="8"/>
      <c r="JA77" s="8"/>
      <c r="JB77" s="8"/>
      <c r="JC77" s="8"/>
      <c r="JD77" s="8"/>
      <c r="JE77" s="967"/>
      <c r="JF77" s="8">
        <f t="shared" si="43"/>
        <v>0</v>
      </c>
      <c r="JG77" s="8"/>
      <c r="JH77" s="8">
        <v>0</v>
      </c>
      <c r="JI77" s="8">
        <v>0</v>
      </c>
      <c r="JJ77" s="8">
        <v>0</v>
      </c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 t="s">
        <v>107</v>
      </c>
      <c r="JY77" s="8" t="s">
        <v>107</v>
      </c>
      <c r="JZ77" s="8"/>
      <c r="KA77" s="8"/>
      <c r="KB77" s="8"/>
      <c r="KC77" s="8"/>
      <c r="KD77" s="8"/>
      <c r="KE77" s="967"/>
      <c r="KF77" s="8">
        <f t="shared" si="44"/>
        <v>0</v>
      </c>
      <c r="KG77" s="8"/>
      <c r="KH77" s="8">
        <v>0</v>
      </c>
      <c r="KI77" s="8">
        <v>0</v>
      </c>
      <c r="KJ77" s="8">
        <v>0</v>
      </c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 t="s">
        <v>107</v>
      </c>
      <c r="KY77" s="8" t="s">
        <v>107</v>
      </c>
      <c r="KZ77" s="8"/>
      <c r="LA77" s="8"/>
      <c r="LB77" s="8"/>
      <c r="LC77" s="8"/>
      <c r="LD77" s="8"/>
      <c r="LE77" s="967"/>
      <c r="LF77" s="8">
        <f t="shared" si="45"/>
        <v>0</v>
      </c>
      <c r="LG77" s="8"/>
      <c r="LH77" s="8">
        <v>0</v>
      </c>
      <c r="LI77" s="8">
        <v>0</v>
      </c>
      <c r="LJ77" s="8">
        <v>0</v>
      </c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 t="s">
        <v>107</v>
      </c>
      <c r="LY77" s="8" t="s">
        <v>107</v>
      </c>
      <c r="LZ77" s="8"/>
      <c r="MA77" s="8"/>
      <c r="MB77" s="8"/>
      <c r="MC77" s="8"/>
      <c r="MD77" s="8"/>
      <c r="ME77" s="967"/>
      <c r="MF77" s="8">
        <f t="shared" si="46"/>
        <v>0</v>
      </c>
      <c r="MG77" s="8"/>
      <c r="MH77" s="8">
        <v>0</v>
      </c>
      <c r="MI77" s="8">
        <v>0</v>
      </c>
      <c r="MJ77" s="8">
        <v>0</v>
      </c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 t="s">
        <v>107</v>
      </c>
      <c r="MY77" s="8" t="s">
        <v>107</v>
      </c>
      <c r="MZ77" s="8"/>
      <c r="NA77" s="8"/>
      <c r="NB77" s="8"/>
      <c r="NC77" s="8"/>
      <c r="ND77" s="8"/>
      <c r="NE77" s="967"/>
      <c r="NF77" s="8">
        <f t="shared" si="47"/>
        <v>0</v>
      </c>
      <c r="NG77" s="8"/>
      <c r="NH77" s="8">
        <v>0</v>
      </c>
      <c r="NI77" s="8">
        <v>0</v>
      </c>
      <c r="NJ77" s="8">
        <v>0</v>
      </c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 t="s">
        <v>107</v>
      </c>
      <c r="NY77" s="8" t="s">
        <v>107</v>
      </c>
      <c r="NZ77" s="8"/>
      <c r="OA77" s="8"/>
      <c r="OB77" s="8"/>
      <c r="OC77" s="8"/>
      <c r="OD77" s="8"/>
      <c r="OE77" s="967"/>
      <c r="OF77" s="8">
        <f t="shared" si="48"/>
        <v>1</v>
      </c>
      <c r="OG77" s="8"/>
      <c r="OH77" s="8">
        <v>0</v>
      </c>
      <c r="OI77" s="8">
        <v>0</v>
      </c>
      <c r="OJ77" s="8">
        <v>1</v>
      </c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 t="s">
        <v>107</v>
      </c>
      <c r="OY77" s="8" t="s">
        <v>107</v>
      </c>
      <c r="OZ77" s="8"/>
      <c r="PA77" s="8"/>
      <c r="PB77" s="8"/>
      <c r="PC77" s="8"/>
      <c r="PD77" s="8"/>
      <c r="PE77" s="967"/>
      <c r="PF77" s="8">
        <f t="shared" si="49"/>
        <v>0</v>
      </c>
      <c r="PG77" s="8"/>
      <c r="PH77" s="8">
        <v>0</v>
      </c>
      <c r="PI77" s="8">
        <v>0</v>
      </c>
      <c r="PJ77" s="8">
        <v>0</v>
      </c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 t="s">
        <v>107</v>
      </c>
      <c r="PY77" s="8" t="s">
        <v>107</v>
      </c>
      <c r="PZ77" s="8"/>
      <c r="QA77" s="8"/>
      <c r="QB77" s="8"/>
      <c r="QC77" s="8"/>
      <c r="QD77" s="8"/>
      <c r="QE77" s="967"/>
    </row>
    <row r="78" spans="2:447" x14ac:dyDescent="0.3">
      <c r="B78">
        <v>70</v>
      </c>
      <c r="D78" t="s">
        <v>2254</v>
      </c>
      <c r="F78" s="8">
        <f t="shared" si="53"/>
        <v>70</v>
      </c>
      <c r="G78" s="8"/>
      <c r="H78" s="8">
        <v>22</v>
      </c>
      <c r="I78" s="8">
        <v>4</v>
      </c>
      <c r="J78" s="8">
        <v>18</v>
      </c>
      <c r="K78" s="8">
        <v>22</v>
      </c>
      <c r="L78" s="8" t="s">
        <v>107</v>
      </c>
      <c r="M78" s="8">
        <v>4</v>
      </c>
      <c r="N78" s="8" t="s">
        <v>107</v>
      </c>
      <c r="O78" s="8"/>
      <c r="P78" s="8"/>
      <c r="Q78" s="8"/>
      <c r="R78" s="8"/>
      <c r="S78" s="8"/>
      <c r="T78" s="8"/>
      <c r="U78" s="8"/>
      <c r="V78" s="8"/>
      <c r="W78" s="8"/>
      <c r="X78" s="8" t="s">
        <v>107</v>
      </c>
      <c r="Y78" s="8" t="s">
        <v>107</v>
      </c>
      <c r="Z78" s="8"/>
      <c r="AA78" s="8"/>
      <c r="AB78" s="8" t="s">
        <v>107</v>
      </c>
      <c r="AC78" s="8" t="s">
        <v>107</v>
      </c>
      <c r="AD78" s="8" t="s">
        <v>107</v>
      </c>
      <c r="AE78" s="967"/>
      <c r="AF78" s="8">
        <f t="shared" si="35"/>
        <v>32</v>
      </c>
      <c r="AG78" s="8"/>
      <c r="AH78" s="8">
        <v>8</v>
      </c>
      <c r="AI78" s="8">
        <v>1</v>
      </c>
      <c r="AJ78" s="8">
        <v>7</v>
      </c>
      <c r="AK78" s="8">
        <v>16</v>
      </c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 t="s">
        <v>107</v>
      </c>
      <c r="AY78" s="8" t="s">
        <v>107</v>
      </c>
      <c r="AZ78" s="8"/>
      <c r="BA78" s="8"/>
      <c r="BB78" s="8" t="s">
        <v>107</v>
      </c>
      <c r="BC78" s="8" t="s">
        <v>107</v>
      </c>
      <c r="BD78" s="8" t="s">
        <v>107</v>
      </c>
      <c r="BE78" s="967"/>
      <c r="BF78" s="8">
        <f t="shared" si="36"/>
        <v>35</v>
      </c>
      <c r="BG78" s="8"/>
      <c r="BH78" s="8">
        <v>10</v>
      </c>
      <c r="BI78" s="8">
        <v>1</v>
      </c>
      <c r="BJ78" s="8">
        <v>17</v>
      </c>
      <c r="BK78" s="8">
        <v>7</v>
      </c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 t="s">
        <v>107</v>
      </c>
      <c r="BY78" s="8" t="s">
        <v>107</v>
      </c>
      <c r="BZ78" s="8"/>
      <c r="CA78" s="8"/>
      <c r="CB78" s="8" t="s">
        <v>107</v>
      </c>
      <c r="CC78" s="8" t="s">
        <v>107</v>
      </c>
      <c r="CD78" s="8" t="s">
        <v>107</v>
      </c>
      <c r="CE78" s="967"/>
      <c r="CF78" s="8">
        <f t="shared" si="37"/>
        <v>67</v>
      </c>
      <c r="CG78" s="8"/>
      <c r="CH78" s="8">
        <v>18</v>
      </c>
      <c r="CI78" s="8">
        <v>2</v>
      </c>
      <c r="CJ78" s="8">
        <v>24</v>
      </c>
      <c r="CK78" s="8">
        <v>23</v>
      </c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 t="s">
        <v>107</v>
      </c>
      <c r="CY78" s="8" t="s">
        <v>107</v>
      </c>
      <c r="CZ78" s="8"/>
      <c r="DA78" s="8"/>
      <c r="DB78" s="8" t="s">
        <v>107</v>
      </c>
      <c r="DC78" s="8" t="s">
        <v>107</v>
      </c>
      <c r="DD78" s="8" t="s">
        <v>107</v>
      </c>
      <c r="DE78" s="967"/>
      <c r="DF78" s="8">
        <f t="shared" si="38"/>
        <v>3</v>
      </c>
      <c r="DG78" s="8"/>
      <c r="DH78" s="8">
        <v>0</v>
      </c>
      <c r="DI78" s="8">
        <v>0</v>
      </c>
      <c r="DJ78" s="8">
        <v>2</v>
      </c>
      <c r="DK78" s="8">
        <v>1</v>
      </c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 t="s">
        <v>107</v>
      </c>
      <c r="DY78" s="8" t="s">
        <v>107</v>
      </c>
      <c r="DZ78" s="8"/>
      <c r="EA78" s="8"/>
      <c r="EB78" s="8" t="s">
        <v>107</v>
      </c>
      <c r="EC78" s="8" t="s">
        <v>107</v>
      </c>
      <c r="ED78" s="8" t="s">
        <v>107</v>
      </c>
      <c r="EE78" s="967"/>
      <c r="EF78" s="8">
        <f t="shared" si="39"/>
        <v>6</v>
      </c>
      <c r="EG78" s="8"/>
      <c r="EH78" s="8">
        <v>0</v>
      </c>
      <c r="EI78" s="8">
        <v>0</v>
      </c>
      <c r="EJ78" s="8">
        <v>4</v>
      </c>
      <c r="EK78" s="8">
        <v>2</v>
      </c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 t="s">
        <v>107</v>
      </c>
      <c r="EY78" s="8" t="s">
        <v>107</v>
      </c>
      <c r="EZ78" s="8"/>
      <c r="FA78" s="8"/>
      <c r="FB78" s="8" t="s">
        <v>107</v>
      </c>
      <c r="FC78" s="8" t="s">
        <v>107</v>
      </c>
      <c r="FD78" s="8" t="s">
        <v>107</v>
      </c>
      <c r="FE78" s="967"/>
      <c r="FF78" s="8">
        <f t="shared" si="54"/>
        <v>3</v>
      </c>
      <c r="FG78" s="8"/>
      <c r="FH78" s="8">
        <v>1</v>
      </c>
      <c r="FI78" s="8">
        <v>1</v>
      </c>
      <c r="FJ78" s="8">
        <v>1</v>
      </c>
      <c r="FK78" s="8">
        <v>0</v>
      </c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 t="s">
        <v>107</v>
      </c>
      <c r="FY78" s="8" t="s">
        <v>107</v>
      </c>
      <c r="FZ78" s="8"/>
      <c r="GA78" s="8"/>
      <c r="GB78" s="8" t="s">
        <v>107</v>
      </c>
      <c r="GC78" s="8" t="s">
        <v>107</v>
      </c>
      <c r="GD78" s="8" t="s">
        <v>107</v>
      </c>
      <c r="GE78" s="967"/>
      <c r="GF78" s="8">
        <f t="shared" si="40"/>
        <v>1</v>
      </c>
      <c r="GG78" s="8"/>
      <c r="GH78" s="8">
        <v>0</v>
      </c>
      <c r="GI78" s="8">
        <v>0</v>
      </c>
      <c r="GJ78" s="8">
        <v>0</v>
      </c>
      <c r="GK78" s="8">
        <v>1</v>
      </c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 t="s">
        <v>107</v>
      </c>
      <c r="GY78" s="8" t="s">
        <v>107</v>
      </c>
      <c r="GZ78" s="8"/>
      <c r="HA78" s="8"/>
      <c r="HB78" s="8" t="s">
        <v>107</v>
      </c>
      <c r="HC78" s="8" t="s">
        <v>107</v>
      </c>
      <c r="HD78" s="8" t="s">
        <v>107</v>
      </c>
      <c r="HE78" s="967"/>
      <c r="HF78" s="8">
        <f t="shared" si="41"/>
        <v>0</v>
      </c>
      <c r="HG78" s="8"/>
      <c r="HH78" s="8">
        <v>0</v>
      </c>
      <c r="HI78" s="8">
        <v>0</v>
      </c>
      <c r="HJ78" s="8">
        <v>0</v>
      </c>
      <c r="HK78" s="8">
        <v>0</v>
      </c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 t="s">
        <v>107</v>
      </c>
      <c r="HY78" s="8" t="s">
        <v>107</v>
      </c>
      <c r="HZ78" s="8"/>
      <c r="IA78" s="8"/>
      <c r="IB78" s="8" t="s">
        <v>107</v>
      </c>
      <c r="IC78" s="8" t="s">
        <v>107</v>
      </c>
      <c r="ID78" s="8" t="s">
        <v>107</v>
      </c>
      <c r="IE78" s="967"/>
      <c r="IF78" s="8">
        <f t="shared" si="42"/>
        <v>0</v>
      </c>
      <c r="IG78" s="8"/>
      <c r="IH78" s="8">
        <v>0</v>
      </c>
      <c r="II78" s="8">
        <v>0</v>
      </c>
      <c r="IJ78" s="8">
        <v>0</v>
      </c>
      <c r="IK78" s="8">
        <v>0</v>
      </c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 t="s">
        <v>107</v>
      </c>
      <c r="IY78" s="8" t="s">
        <v>107</v>
      </c>
      <c r="IZ78" s="8"/>
      <c r="JA78" s="8"/>
      <c r="JB78" s="8" t="s">
        <v>107</v>
      </c>
      <c r="JC78" s="8" t="s">
        <v>107</v>
      </c>
      <c r="JD78" s="8" t="s">
        <v>107</v>
      </c>
      <c r="JE78" s="967"/>
      <c r="JF78" s="8">
        <f t="shared" si="43"/>
        <v>3</v>
      </c>
      <c r="JG78" s="8"/>
      <c r="JH78" s="8">
        <v>1</v>
      </c>
      <c r="JI78" s="8">
        <v>0</v>
      </c>
      <c r="JJ78" s="8">
        <v>0</v>
      </c>
      <c r="JK78" s="8">
        <v>2</v>
      </c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 t="s">
        <v>107</v>
      </c>
      <c r="JY78" s="8" t="s">
        <v>107</v>
      </c>
      <c r="JZ78" s="8"/>
      <c r="KA78" s="8"/>
      <c r="KB78" s="8" t="s">
        <v>107</v>
      </c>
      <c r="KC78" s="8" t="s">
        <v>107</v>
      </c>
      <c r="KD78" s="8" t="s">
        <v>107</v>
      </c>
      <c r="KE78" s="967"/>
      <c r="KF78" s="8">
        <f t="shared" si="44"/>
        <v>0</v>
      </c>
      <c r="KG78" s="8"/>
      <c r="KH78" s="8">
        <v>0</v>
      </c>
      <c r="KI78" s="8">
        <v>0</v>
      </c>
      <c r="KJ78" s="8">
        <v>0</v>
      </c>
      <c r="KK78" s="8">
        <v>0</v>
      </c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 t="s">
        <v>107</v>
      </c>
      <c r="KY78" s="8" t="s">
        <v>107</v>
      </c>
      <c r="KZ78" s="8"/>
      <c r="LA78" s="8"/>
      <c r="LB78" s="8" t="s">
        <v>107</v>
      </c>
      <c r="LC78" s="8" t="s">
        <v>107</v>
      </c>
      <c r="LD78" s="8" t="s">
        <v>107</v>
      </c>
      <c r="LE78" s="967"/>
      <c r="LF78" s="8">
        <f t="shared" si="45"/>
        <v>0</v>
      </c>
      <c r="LG78" s="8"/>
      <c r="LH78" s="8">
        <v>0</v>
      </c>
      <c r="LI78" s="8">
        <v>0</v>
      </c>
      <c r="LJ78" s="8">
        <v>0</v>
      </c>
      <c r="LK78" s="8">
        <v>0</v>
      </c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 t="s">
        <v>107</v>
      </c>
      <c r="LY78" s="8" t="s">
        <v>107</v>
      </c>
      <c r="LZ78" s="8"/>
      <c r="MA78" s="8"/>
      <c r="MB78" s="8" t="s">
        <v>107</v>
      </c>
      <c r="MC78" s="8" t="s">
        <v>107</v>
      </c>
      <c r="MD78" s="8" t="s">
        <v>107</v>
      </c>
      <c r="ME78" s="967"/>
      <c r="MF78" s="8">
        <f t="shared" si="46"/>
        <v>0</v>
      </c>
      <c r="MG78" s="8"/>
      <c r="MH78" s="8">
        <v>0</v>
      </c>
      <c r="MI78" s="8">
        <v>0</v>
      </c>
      <c r="MJ78" s="8">
        <v>0</v>
      </c>
      <c r="MK78" s="8">
        <v>0</v>
      </c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 t="s">
        <v>107</v>
      </c>
      <c r="MY78" s="8" t="s">
        <v>107</v>
      </c>
      <c r="MZ78" s="8"/>
      <c r="NA78" s="8"/>
      <c r="NB78" s="8" t="s">
        <v>107</v>
      </c>
      <c r="NC78" s="8" t="s">
        <v>107</v>
      </c>
      <c r="ND78" s="8" t="s">
        <v>107</v>
      </c>
      <c r="NE78" s="967"/>
      <c r="NF78" s="8">
        <f t="shared" si="47"/>
        <v>1</v>
      </c>
      <c r="NG78" s="8"/>
      <c r="NH78" s="8">
        <v>0</v>
      </c>
      <c r="NI78" s="8">
        <v>0</v>
      </c>
      <c r="NJ78" s="8">
        <v>0</v>
      </c>
      <c r="NK78" s="8">
        <v>1</v>
      </c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 t="s">
        <v>107</v>
      </c>
      <c r="NY78" s="8" t="s">
        <v>107</v>
      </c>
      <c r="NZ78" s="8"/>
      <c r="OA78" s="8"/>
      <c r="OB78" s="8" t="s">
        <v>107</v>
      </c>
      <c r="OC78" s="8" t="s">
        <v>107</v>
      </c>
      <c r="OD78" s="8" t="s">
        <v>107</v>
      </c>
      <c r="OE78" s="967"/>
      <c r="OF78" s="8">
        <f t="shared" si="48"/>
        <v>0</v>
      </c>
      <c r="OG78" s="8"/>
      <c r="OH78" s="8">
        <v>0</v>
      </c>
      <c r="OI78" s="8">
        <v>0</v>
      </c>
      <c r="OJ78" s="8">
        <v>0</v>
      </c>
      <c r="OK78" s="8">
        <v>0</v>
      </c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 t="s">
        <v>107</v>
      </c>
      <c r="OY78" s="8" t="s">
        <v>107</v>
      </c>
      <c r="OZ78" s="8"/>
      <c r="PA78" s="8"/>
      <c r="PB78" s="8" t="s">
        <v>107</v>
      </c>
      <c r="PC78" s="8" t="s">
        <v>107</v>
      </c>
      <c r="PD78" s="8" t="s">
        <v>107</v>
      </c>
      <c r="PE78" s="967"/>
      <c r="PF78" s="8">
        <f t="shared" si="49"/>
        <v>0</v>
      </c>
      <c r="PG78" s="8"/>
      <c r="PH78" s="8">
        <v>0</v>
      </c>
      <c r="PI78" s="8">
        <v>0</v>
      </c>
      <c r="PJ78" s="8">
        <v>0</v>
      </c>
      <c r="PK78" s="8">
        <v>0</v>
      </c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 t="s">
        <v>107</v>
      </c>
      <c r="PY78" s="8" t="s">
        <v>107</v>
      </c>
      <c r="PZ78" s="8"/>
      <c r="QA78" s="8"/>
      <c r="QB78" s="8" t="s">
        <v>107</v>
      </c>
      <c r="QC78" s="8" t="s">
        <v>107</v>
      </c>
      <c r="QD78" s="8" t="s">
        <v>107</v>
      </c>
      <c r="QE78" s="967"/>
    </row>
    <row r="79" spans="2:447" x14ac:dyDescent="0.3">
      <c r="B79">
        <v>71</v>
      </c>
      <c r="D79" t="s">
        <v>2739</v>
      </c>
      <c r="F79" s="8">
        <f t="shared" si="53"/>
        <v>6</v>
      </c>
      <c r="G79" s="8"/>
      <c r="H79" s="8">
        <v>6</v>
      </c>
      <c r="I79" s="8" t="s">
        <v>107</v>
      </c>
      <c r="J79" s="8" t="s">
        <v>107</v>
      </c>
      <c r="K79" s="8" t="s">
        <v>107</v>
      </c>
      <c r="L79" s="8" t="s">
        <v>107</v>
      </c>
      <c r="M79" s="8" t="s">
        <v>107</v>
      </c>
      <c r="N79" s="8" t="s">
        <v>107</v>
      </c>
      <c r="O79" s="8" t="s">
        <v>107</v>
      </c>
      <c r="P79" s="8" t="s">
        <v>107</v>
      </c>
      <c r="Q79" s="8" t="s">
        <v>107</v>
      </c>
      <c r="R79" s="8" t="s">
        <v>107</v>
      </c>
      <c r="S79" s="8" t="s">
        <v>107</v>
      </c>
      <c r="T79" s="8" t="s">
        <v>107</v>
      </c>
      <c r="U79" s="8" t="s">
        <v>107</v>
      </c>
      <c r="V79" s="8" t="s">
        <v>107</v>
      </c>
      <c r="W79" s="8" t="s">
        <v>107</v>
      </c>
      <c r="X79" s="8" t="s">
        <v>107</v>
      </c>
      <c r="Y79" s="8" t="s">
        <v>107</v>
      </c>
      <c r="Z79" s="8" t="s">
        <v>107</v>
      </c>
      <c r="AA79" s="8" t="s">
        <v>107</v>
      </c>
      <c r="AB79" s="8" t="s">
        <v>107</v>
      </c>
      <c r="AC79" s="8" t="s">
        <v>107</v>
      </c>
      <c r="AD79" s="8" t="s">
        <v>107</v>
      </c>
      <c r="AE79" s="967"/>
      <c r="AF79" s="8">
        <f t="shared" si="35"/>
        <v>0</v>
      </c>
      <c r="AG79" s="8"/>
      <c r="AH79" s="8">
        <v>0</v>
      </c>
      <c r="AI79" s="8" t="s">
        <v>107</v>
      </c>
      <c r="AJ79" s="8" t="s">
        <v>107</v>
      </c>
      <c r="AK79" s="8" t="s">
        <v>107</v>
      </c>
      <c r="AL79" s="8" t="s">
        <v>107</v>
      </c>
      <c r="AM79" s="8" t="s">
        <v>107</v>
      </c>
      <c r="AN79" s="8" t="s">
        <v>107</v>
      </c>
      <c r="AO79" s="8" t="s">
        <v>107</v>
      </c>
      <c r="AP79" s="8" t="s">
        <v>107</v>
      </c>
      <c r="AQ79" s="8" t="s">
        <v>107</v>
      </c>
      <c r="AR79" s="8" t="s">
        <v>107</v>
      </c>
      <c r="AS79" s="8" t="s">
        <v>107</v>
      </c>
      <c r="AT79" s="8" t="s">
        <v>107</v>
      </c>
      <c r="AU79" s="8" t="s">
        <v>107</v>
      </c>
      <c r="AV79" s="8" t="s">
        <v>107</v>
      </c>
      <c r="AW79" s="8" t="s">
        <v>107</v>
      </c>
      <c r="AX79" s="8" t="s">
        <v>107</v>
      </c>
      <c r="AY79" s="8" t="s">
        <v>107</v>
      </c>
      <c r="AZ79" s="8" t="s">
        <v>107</v>
      </c>
      <c r="BA79" s="8" t="s">
        <v>107</v>
      </c>
      <c r="BB79" s="8" t="s">
        <v>107</v>
      </c>
      <c r="BC79" s="8" t="s">
        <v>107</v>
      </c>
      <c r="BD79" s="8" t="s">
        <v>107</v>
      </c>
      <c r="BE79" s="967"/>
      <c r="BF79" s="8">
        <f t="shared" si="36"/>
        <v>3</v>
      </c>
      <c r="BG79" s="8"/>
      <c r="BH79" s="8">
        <v>3</v>
      </c>
      <c r="BI79" s="8" t="s">
        <v>107</v>
      </c>
      <c r="BJ79" s="8" t="s">
        <v>107</v>
      </c>
      <c r="BK79" s="8" t="s">
        <v>107</v>
      </c>
      <c r="BL79" s="8" t="s">
        <v>107</v>
      </c>
      <c r="BM79" s="8" t="s">
        <v>107</v>
      </c>
      <c r="BN79" s="8" t="s">
        <v>107</v>
      </c>
      <c r="BO79" s="8" t="s">
        <v>107</v>
      </c>
      <c r="BP79" s="8" t="s">
        <v>107</v>
      </c>
      <c r="BQ79" s="8" t="s">
        <v>107</v>
      </c>
      <c r="BR79" s="8" t="s">
        <v>107</v>
      </c>
      <c r="BS79" s="8" t="s">
        <v>107</v>
      </c>
      <c r="BT79" s="8" t="s">
        <v>107</v>
      </c>
      <c r="BU79" s="8" t="s">
        <v>107</v>
      </c>
      <c r="BV79" s="8" t="s">
        <v>107</v>
      </c>
      <c r="BW79" s="8" t="s">
        <v>107</v>
      </c>
      <c r="BX79" s="8" t="s">
        <v>107</v>
      </c>
      <c r="BY79" s="8" t="s">
        <v>107</v>
      </c>
      <c r="BZ79" s="8" t="s">
        <v>107</v>
      </c>
      <c r="CA79" s="8" t="s">
        <v>107</v>
      </c>
      <c r="CB79" s="8" t="s">
        <v>107</v>
      </c>
      <c r="CC79" s="8" t="s">
        <v>107</v>
      </c>
      <c r="CD79" s="8" t="s">
        <v>107</v>
      </c>
      <c r="CE79" s="967"/>
      <c r="CF79" s="8">
        <f t="shared" si="37"/>
        <v>3</v>
      </c>
      <c r="CG79" s="8"/>
      <c r="CH79" s="8">
        <v>3</v>
      </c>
      <c r="CI79" s="8" t="s">
        <v>107</v>
      </c>
      <c r="CJ79" s="8" t="s">
        <v>107</v>
      </c>
      <c r="CK79" s="8" t="s">
        <v>107</v>
      </c>
      <c r="CL79" s="8" t="s">
        <v>107</v>
      </c>
      <c r="CM79" s="8" t="s">
        <v>107</v>
      </c>
      <c r="CN79" s="8" t="s">
        <v>107</v>
      </c>
      <c r="CO79" s="8" t="s">
        <v>107</v>
      </c>
      <c r="CP79" s="8" t="s">
        <v>107</v>
      </c>
      <c r="CQ79" s="8" t="s">
        <v>107</v>
      </c>
      <c r="CR79" s="8" t="s">
        <v>107</v>
      </c>
      <c r="CS79" s="8" t="s">
        <v>107</v>
      </c>
      <c r="CT79" s="8" t="s">
        <v>107</v>
      </c>
      <c r="CU79" s="8" t="s">
        <v>107</v>
      </c>
      <c r="CV79" s="8" t="s">
        <v>107</v>
      </c>
      <c r="CW79" s="8" t="s">
        <v>107</v>
      </c>
      <c r="CX79" s="8" t="s">
        <v>107</v>
      </c>
      <c r="CY79" s="8" t="s">
        <v>107</v>
      </c>
      <c r="CZ79" s="8" t="s">
        <v>107</v>
      </c>
      <c r="DA79" s="8" t="s">
        <v>107</v>
      </c>
      <c r="DB79" s="8" t="s">
        <v>107</v>
      </c>
      <c r="DC79" s="8" t="s">
        <v>107</v>
      </c>
      <c r="DD79" s="8" t="s">
        <v>107</v>
      </c>
      <c r="DE79" s="967"/>
      <c r="DF79" s="8">
        <f t="shared" si="38"/>
        <v>0</v>
      </c>
      <c r="DG79" s="8"/>
      <c r="DH79" s="8">
        <v>0</v>
      </c>
      <c r="DI79" s="8" t="s">
        <v>107</v>
      </c>
      <c r="DJ79" s="8" t="s">
        <v>107</v>
      </c>
      <c r="DK79" s="8" t="s">
        <v>107</v>
      </c>
      <c r="DL79" s="8" t="s">
        <v>107</v>
      </c>
      <c r="DM79" s="8" t="s">
        <v>107</v>
      </c>
      <c r="DN79" s="8" t="s">
        <v>107</v>
      </c>
      <c r="DO79" s="8" t="s">
        <v>107</v>
      </c>
      <c r="DP79" s="8" t="s">
        <v>107</v>
      </c>
      <c r="DQ79" s="8" t="s">
        <v>107</v>
      </c>
      <c r="DR79" s="8" t="s">
        <v>107</v>
      </c>
      <c r="DS79" s="8" t="s">
        <v>107</v>
      </c>
      <c r="DT79" s="8" t="s">
        <v>107</v>
      </c>
      <c r="DU79" s="8" t="s">
        <v>107</v>
      </c>
      <c r="DV79" s="8" t="s">
        <v>107</v>
      </c>
      <c r="DW79" s="8" t="s">
        <v>107</v>
      </c>
      <c r="DX79" s="8" t="s">
        <v>107</v>
      </c>
      <c r="DY79" s="8" t="s">
        <v>107</v>
      </c>
      <c r="DZ79" s="8" t="s">
        <v>107</v>
      </c>
      <c r="EA79" s="8" t="s">
        <v>107</v>
      </c>
      <c r="EB79" s="8" t="s">
        <v>107</v>
      </c>
      <c r="EC79" s="8" t="s">
        <v>107</v>
      </c>
      <c r="ED79" s="8" t="s">
        <v>107</v>
      </c>
      <c r="EE79" s="967"/>
      <c r="EF79" s="8">
        <f t="shared" si="39"/>
        <v>0</v>
      </c>
      <c r="EG79" s="8"/>
      <c r="EH79" s="8">
        <v>0</v>
      </c>
      <c r="EI79" s="8" t="s">
        <v>107</v>
      </c>
      <c r="EJ79" s="8" t="s">
        <v>107</v>
      </c>
      <c r="EK79" s="8" t="s">
        <v>107</v>
      </c>
      <c r="EL79" s="8" t="s">
        <v>107</v>
      </c>
      <c r="EM79" s="8" t="s">
        <v>107</v>
      </c>
      <c r="EN79" s="8" t="s">
        <v>107</v>
      </c>
      <c r="EO79" s="8" t="s">
        <v>107</v>
      </c>
      <c r="EP79" s="8" t="s">
        <v>107</v>
      </c>
      <c r="EQ79" s="8" t="s">
        <v>107</v>
      </c>
      <c r="ER79" s="8" t="s">
        <v>107</v>
      </c>
      <c r="ES79" s="8" t="s">
        <v>107</v>
      </c>
      <c r="ET79" s="8" t="s">
        <v>107</v>
      </c>
      <c r="EU79" s="8" t="s">
        <v>107</v>
      </c>
      <c r="EV79" s="8" t="s">
        <v>107</v>
      </c>
      <c r="EW79" s="8" t="s">
        <v>107</v>
      </c>
      <c r="EX79" s="8" t="s">
        <v>107</v>
      </c>
      <c r="EY79" s="8" t="s">
        <v>107</v>
      </c>
      <c r="EZ79" s="8" t="s">
        <v>107</v>
      </c>
      <c r="FA79" s="8" t="s">
        <v>107</v>
      </c>
      <c r="FB79" s="8" t="s">
        <v>107</v>
      </c>
      <c r="FC79" s="8" t="s">
        <v>107</v>
      </c>
      <c r="FD79" s="8" t="s">
        <v>107</v>
      </c>
      <c r="FE79" s="967"/>
      <c r="FF79" s="8">
        <f t="shared" si="54"/>
        <v>0</v>
      </c>
      <c r="FG79" s="8"/>
      <c r="FH79" s="8">
        <v>0</v>
      </c>
      <c r="FI79" s="8" t="s">
        <v>107</v>
      </c>
      <c r="FJ79" s="8" t="s">
        <v>107</v>
      </c>
      <c r="FK79" s="8" t="s">
        <v>107</v>
      </c>
      <c r="FL79" s="8" t="s">
        <v>107</v>
      </c>
      <c r="FM79" s="8" t="s">
        <v>107</v>
      </c>
      <c r="FN79" s="8" t="s">
        <v>107</v>
      </c>
      <c r="FO79" s="8" t="s">
        <v>107</v>
      </c>
      <c r="FP79" s="8" t="s">
        <v>107</v>
      </c>
      <c r="FQ79" s="8" t="s">
        <v>107</v>
      </c>
      <c r="FR79" s="8" t="s">
        <v>107</v>
      </c>
      <c r="FS79" s="8" t="s">
        <v>107</v>
      </c>
      <c r="FT79" s="8" t="s">
        <v>107</v>
      </c>
      <c r="FU79" s="8" t="s">
        <v>107</v>
      </c>
      <c r="FV79" s="8" t="s">
        <v>107</v>
      </c>
      <c r="FW79" s="8" t="s">
        <v>107</v>
      </c>
      <c r="FX79" s="8" t="s">
        <v>107</v>
      </c>
      <c r="FY79" s="8" t="s">
        <v>107</v>
      </c>
      <c r="FZ79" s="8" t="s">
        <v>107</v>
      </c>
      <c r="GA79" s="8" t="s">
        <v>107</v>
      </c>
      <c r="GB79" s="8" t="s">
        <v>107</v>
      </c>
      <c r="GC79" s="8" t="s">
        <v>107</v>
      </c>
      <c r="GD79" s="8" t="s">
        <v>107</v>
      </c>
      <c r="GE79" s="967"/>
      <c r="GF79" s="8">
        <f t="shared" si="40"/>
        <v>0</v>
      </c>
      <c r="GG79" s="8"/>
      <c r="GH79" s="8">
        <v>0</v>
      </c>
      <c r="GI79" s="8" t="s">
        <v>107</v>
      </c>
      <c r="GJ79" s="8" t="s">
        <v>107</v>
      </c>
      <c r="GK79" s="8" t="s">
        <v>107</v>
      </c>
      <c r="GL79" s="8" t="s">
        <v>107</v>
      </c>
      <c r="GM79" s="8" t="s">
        <v>107</v>
      </c>
      <c r="GN79" s="8" t="s">
        <v>107</v>
      </c>
      <c r="GO79" s="8" t="s">
        <v>107</v>
      </c>
      <c r="GP79" s="8" t="s">
        <v>107</v>
      </c>
      <c r="GQ79" s="8" t="s">
        <v>107</v>
      </c>
      <c r="GR79" s="8" t="s">
        <v>107</v>
      </c>
      <c r="GS79" s="8" t="s">
        <v>107</v>
      </c>
      <c r="GT79" s="8" t="s">
        <v>107</v>
      </c>
      <c r="GU79" s="8" t="s">
        <v>107</v>
      </c>
      <c r="GV79" s="8" t="s">
        <v>107</v>
      </c>
      <c r="GW79" s="8" t="s">
        <v>107</v>
      </c>
      <c r="GX79" s="8" t="s">
        <v>107</v>
      </c>
      <c r="GY79" s="8" t="s">
        <v>107</v>
      </c>
      <c r="GZ79" s="8" t="s">
        <v>107</v>
      </c>
      <c r="HA79" s="8" t="s">
        <v>107</v>
      </c>
      <c r="HB79" s="8" t="s">
        <v>107</v>
      </c>
      <c r="HC79" s="8" t="s">
        <v>107</v>
      </c>
      <c r="HD79" s="8" t="s">
        <v>107</v>
      </c>
      <c r="HE79" s="967"/>
      <c r="HF79" s="8">
        <f t="shared" si="41"/>
        <v>0</v>
      </c>
      <c r="HG79" s="8"/>
      <c r="HH79" s="8">
        <v>0</v>
      </c>
      <c r="HI79" s="8" t="s">
        <v>107</v>
      </c>
      <c r="HJ79" s="8" t="s">
        <v>107</v>
      </c>
      <c r="HK79" s="8" t="s">
        <v>107</v>
      </c>
      <c r="HL79" s="8" t="s">
        <v>107</v>
      </c>
      <c r="HM79" s="8" t="s">
        <v>107</v>
      </c>
      <c r="HN79" s="8" t="s">
        <v>107</v>
      </c>
      <c r="HO79" s="8" t="s">
        <v>107</v>
      </c>
      <c r="HP79" s="8" t="s">
        <v>107</v>
      </c>
      <c r="HQ79" s="8" t="s">
        <v>107</v>
      </c>
      <c r="HR79" s="8" t="s">
        <v>107</v>
      </c>
      <c r="HS79" s="8" t="s">
        <v>107</v>
      </c>
      <c r="HT79" s="8" t="s">
        <v>107</v>
      </c>
      <c r="HU79" s="8" t="s">
        <v>107</v>
      </c>
      <c r="HV79" s="8" t="s">
        <v>107</v>
      </c>
      <c r="HW79" s="8" t="s">
        <v>107</v>
      </c>
      <c r="HX79" s="8" t="s">
        <v>107</v>
      </c>
      <c r="HY79" s="8" t="s">
        <v>107</v>
      </c>
      <c r="HZ79" s="8" t="s">
        <v>107</v>
      </c>
      <c r="IA79" s="8" t="s">
        <v>107</v>
      </c>
      <c r="IB79" s="8" t="s">
        <v>107</v>
      </c>
      <c r="IC79" s="8" t="s">
        <v>107</v>
      </c>
      <c r="ID79" s="8" t="s">
        <v>107</v>
      </c>
      <c r="IE79" s="967"/>
      <c r="IF79" s="8">
        <f t="shared" si="42"/>
        <v>0</v>
      </c>
      <c r="IG79" s="8"/>
      <c r="IH79" s="8">
        <v>0</v>
      </c>
      <c r="II79" s="8" t="s">
        <v>107</v>
      </c>
      <c r="IJ79" s="8" t="s">
        <v>107</v>
      </c>
      <c r="IK79" s="8" t="s">
        <v>107</v>
      </c>
      <c r="IL79" s="8" t="s">
        <v>107</v>
      </c>
      <c r="IM79" s="8" t="s">
        <v>107</v>
      </c>
      <c r="IN79" s="8" t="s">
        <v>107</v>
      </c>
      <c r="IO79" s="8" t="s">
        <v>107</v>
      </c>
      <c r="IP79" s="8" t="s">
        <v>107</v>
      </c>
      <c r="IQ79" s="8" t="s">
        <v>107</v>
      </c>
      <c r="IR79" s="8" t="s">
        <v>107</v>
      </c>
      <c r="IS79" s="8" t="s">
        <v>107</v>
      </c>
      <c r="IT79" s="8" t="s">
        <v>107</v>
      </c>
      <c r="IU79" s="8" t="s">
        <v>107</v>
      </c>
      <c r="IV79" s="8" t="s">
        <v>107</v>
      </c>
      <c r="IW79" s="8" t="s">
        <v>107</v>
      </c>
      <c r="IX79" s="8" t="s">
        <v>107</v>
      </c>
      <c r="IY79" s="8" t="s">
        <v>107</v>
      </c>
      <c r="IZ79" s="8" t="s">
        <v>107</v>
      </c>
      <c r="JA79" s="8" t="s">
        <v>107</v>
      </c>
      <c r="JB79" s="8" t="s">
        <v>107</v>
      </c>
      <c r="JC79" s="8" t="s">
        <v>107</v>
      </c>
      <c r="JD79" s="8" t="s">
        <v>107</v>
      </c>
      <c r="JE79" s="967"/>
      <c r="JF79" s="8">
        <f t="shared" si="43"/>
        <v>0</v>
      </c>
      <c r="JG79" s="8"/>
      <c r="JH79" s="8">
        <v>0</v>
      </c>
      <c r="JI79" s="8" t="s">
        <v>107</v>
      </c>
      <c r="JJ79" s="8" t="s">
        <v>107</v>
      </c>
      <c r="JK79" s="8" t="s">
        <v>107</v>
      </c>
      <c r="JL79" s="8" t="s">
        <v>107</v>
      </c>
      <c r="JM79" s="8" t="s">
        <v>107</v>
      </c>
      <c r="JN79" s="8" t="s">
        <v>107</v>
      </c>
      <c r="JO79" s="8" t="s">
        <v>107</v>
      </c>
      <c r="JP79" s="8" t="s">
        <v>107</v>
      </c>
      <c r="JQ79" s="8" t="s">
        <v>107</v>
      </c>
      <c r="JR79" s="8" t="s">
        <v>107</v>
      </c>
      <c r="JS79" s="8" t="s">
        <v>107</v>
      </c>
      <c r="JT79" s="8" t="s">
        <v>107</v>
      </c>
      <c r="JU79" s="8" t="s">
        <v>107</v>
      </c>
      <c r="JV79" s="8" t="s">
        <v>107</v>
      </c>
      <c r="JW79" s="8" t="s">
        <v>107</v>
      </c>
      <c r="JX79" s="8" t="s">
        <v>107</v>
      </c>
      <c r="JY79" s="8" t="s">
        <v>107</v>
      </c>
      <c r="JZ79" s="8" t="s">
        <v>107</v>
      </c>
      <c r="KA79" s="8" t="s">
        <v>107</v>
      </c>
      <c r="KB79" s="8" t="s">
        <v>107</v>
      </c>
      <c r="KC79" s="8" t="s">
        <v>107</v>
      </c>
      <c r="KD79" s="8" t="s">
        <v>107</v>
      </c>
      <c r="KE79" s="967"/>
      <c r="KF79" s="8">
        <f t="shared" si="44"/>
        <v>0</v>
      </c>
      <c r="KG79" s="8"/>
      <c r="KH79" s="8">
        <v>0</v>
      </c>
      <c r="KI79" s="8" t="s">
        <v>107</v>
      </c>
      <c r="KJ79" s="8" t="s">
        <v>107</v>
      </c>
      <c r="KK79" s="8" t="s">
        <v>107</v>
      </c>
      <c r="KL79" s="8" t="s">
        <v>107</v>
      </c>
      <c r="KM79" s="8" t="s">
        <v>107</v>
      </c>
      <c r="KN79" s="8" t="s">
        <v>107</v>
      </c>
      <c r="KO79" s="8" t="s">
        <v>107</v>
      </c>
      <c r="KP79" s="8" t="s">
        <v>107</v>
      </c>
      <c r="KQ79" s="8" t="s">
        <v>107</v>
      </c>
      <c r="KR79" s="8" t="s">
        <v>107</v>
      </c>
      <c r="KS79" s="8" t="s">
        <v>107</v>
      </c>
      <c r="KT79" s="8" t="s">
        <v>107</v>
      </c>
      <c r="KU79" s="8" t="s">
        <v>107</v>
      </c>
      <c r="KV79" s="8" t="s">
        <v>107</v>
      </c>
      <c r="KW79" s="8" t="s">
        <v>107</v>
      </c>
      <c r="KX79" s="8" t="s">
        <v>107</v>
      </c>
      <c r="KY79" s="8" t="s">
        <v>107</v>
      </c>
      <c r="KZ79" s="8" t="s">
        <v>107</v>
      </c>
      <c r="LA79" s="8" t="s">
        <v>107</v>
      </c>
      <c r="LB79" s="8" t="s">
        <v>107</v>
      </c>
      <c r="LC79" s="8" t="s">
        <v>107</v>
      </c>
      <c r="LD79" s="8" t="s">
        <v>107</v>
      </c>
      <c r="LE79" s="967"/>
      <c r="LF79" s="8">
        <f t="shared" si="45"/>
        <v>0</v>
      </c>
      <c r="LG79" s="8"/>
      <c r="LH79" s="8">
        <v>0</v>
      </c>
      <c r="LI79" s="8" t="s">
        <v>107</v>
      </c>
      <c r="LJ79" s="8" t="s">
        <v>107</v>
      </c>
      <c r="LK79" s="8" t="s">
        <v>107</v>
      </c>
      <c r="LL79" s="8" t="s">
        <v>107</v>
      </c>
      <c r="LM79" s="8" t="s">
        <v>107</v>
      </c>
      <c r="LN79" s="8" t="s">
        <v>107</v>
      </c>
      <c r="LO79" s="8" t="s">
        <v>107</v>
      </c>
      <c r="LP79" s="8" t="s">
        <v>107</v>
      </c>
      <c r="LQ79" s="8" t="s">
        <v>107</v>
      </c>
      <c r="LR79" s="8" t="s">
        <v>107</v>
      </c>
      <c r="LS79" s="8" t="s">
        <v>107</v>
      </c>
      <c r="LT79" s="8" t="s">
        <v>107</v>
      </c>
      <c r="LU79" s="8" t="s">
        <v>107</v>
      </c>
      <c r="LV79" s="8" t="s">
        <v>107</v>
      </c>
      <c r="LW79" s="8" t="s">
        <v>107</v>
      </c>
      <c r="LX79" s="8" t="s">
        <v>107</v>
      </c>
      <c r="LY79" s="8" t="s">
        <v>107</v>
      </c>
      <c r="LZ79" s="8" t="s">
        <v>107</v>
      </c>
      <c r="MA79" s="8" t="s">
        <v>107</v>
      </c>
      <c r="MB79" s="8" t="s">
        <v>107</v>
      </c>
      <c r="MC79" s="8" t="s">
        <v>107</v>
      </c>
      <c r="MD79" s="8" t="s">
        <v>107</v>
      </c>
      <c r="ME79" s="967"/>
      <c r="MF79" s="8">
        <f t="shared" si="46"/>
        <v>0</v>
      </c>
      <c r="MG79" s="8"/>
      <c r="MH79" s="8">
        <v>0</v>
      </c>
      <c r="MI79" s="8" t="s">
        <v>107</v>
      </c>
      <c r="MJ79" s="8" t="s">
        <v>107</v>
      </c>
      <c r="MK79" s="8" t="s">
        <v>107</v>
      </c>
      <c r="ML79" s="8" t="s">
        <v>107</v>
      </c>
      <c r="MM79" s="8" t="s">
        <v>107</v>
      </c>
      <c r="MN79" s="8" t="s">
        <v>107</v>
      </c>
      <c r="MO79" s="8" t="s">
        <v>107</v>
      </c>
      <c r="MP79" s="8" t="s">
        <v>107</v>
      </c>
      <c r="MQ79" s="8" t="s">
        <v>107</v>
      </c>
      <c r="MR79" s="8" t="s">
        <v>107</v>
      </c>
      <c r="MS79" s="8" t="s">
        <v>107</v>
      </c>
      <c r="MT79" s="8" t="s">
        <v>107</v>
      </c>
      <c r="MU79" s="8" t="s">
        <v>107</v>
      </c>
      <c r="MV79" s="8" t="s">
        <v>107</v>
      </c>
      <c r="MW79" s="8" t="s">
        <v>107</v>
      </c>
      <c r="MX79" s="8" t="s">
        <v>107</v>
      </c>
      <c r="MY79" s="8" t="s">
        <v>107</v>
      </c>
      <c r="MZ79" s="8" t="s">
        <v>107</v>
      </c>
      <c r="NA79" s="8" t="s">
        <v>107</v>
      </c>
      <c r="NB79" s="8" t="s">
        <v>107</v>
      </c>
      <c r="NC79" s="8" t="s">
        <v>107</v>
      </c>
      <c r="ND79" s="8" t="s">
        <v>107</v>
      </c>
      <c r="NE79" s="967"/>
      <c r="NF79" s="8">
        <f t="shared" si="47"/>
        <v>0</v>
      </c>
      <c r="NG79" s="8"/>
      <c r="NH79" s="8">
        <v>0</v>
      </c>
      <c r="NI79" s="8" t="s">
        <v>107</v>
      </c>
      <c r="NJ79" s="8" t="s">
        <v>107</v>
      </c>
      <c r="NK79" s="8" t="s">
        <v>107</v>
      </c>
      <c r="NL79" s="8" t="s">
        <v>107</v>
      </c>
      <c r="NM79" s="8" t="s">
        <v>107</v>
      </c>
      <c r="NN79" s="8" t="s">
        <v>107</v>
      </c>
      <c r="NO79" s="8" t="s">
        <v>107</v>
      </c>
      <c r="NP79" s="8" t="s">
        <v>107</v>
      </c>
      <c r="NQ79" s="8" t="s">
        <v>107</v>
      </c>
      <c r="NR79" s="8" t="s">
        <v>107</v>
      </c>
      <c r="NS79" s="8" t="s">
        <v>107</v>
      </c>
      <c r="NT79" s="8" t="s">
        <v>107</v>
      </c>
      <c r="NU79" s="8" t="s">
        <v>107</v>
      </c>
      <c r="NV79" s="8" t="s">
        <v>107</v>
      </c>
      <c r="NW79" s="8" t="s">
        <v>107</v>
      </c>
      <c r="NX79" s="8" t="s">
        <v>107</v>
      </c>
      <c r="NY79" s="8" t="s">
        <v>107</v>
      </c>
      <c r="NZ79" s="8" t="s">
        <v>107</v>
      </c>
      <c r="OA79" s="8" t="s">
        <v>107</v>
      </c>
      <c r="OB79" s="8" t="s">
        <v>107</v>
      </c>
      <c r="OC79" s="8" t="s">
        <v>107</v>
      </c>
      <c r="OD79" s="8" t="s">
        <v>107</v>
      </c>
      <c r="OE79" s="967"/>
      <c r="OF79" s="8">
        <f t="shared" si="48"/>
        <v>0</v>
      </c>
      <c r="OG79" s="8"/>
      <c r="OH79" s="8">
        <v>0</v>
      </c>
      <c r="OI79" s="8" t="s">
        <v>107</v>
      </c>
      <c r="OJ79" s="8" t="s">
        <v>107</v>
      </c>
      <c r="OK79" s="8" t="s">
        <v>107</v>
      </c>
      <c r="OL79" s="8" t="s">
        <v>107</v>
      </c>
      <c r="OM79" s="8" t="s">
        <v>107</v>
      </c>
      <c r="ON79" s="8" t="s">
        <v>107</v>
      </c>
      <c r="OO79" s="8" t="s">
        <v>107</v>
      </c>
      <c r="OP79" s="8" t="s">
        <v>107</v>
      </c>
      <c r="OQ79" s="8" t="s">
        <v>107</v>
      </c>
      <c r="OR79" s="8" t="s">
        <v>107</v>
      </c>
      <c r="OS79" s="8" t="s">
        <v>107</v>
      </c>
      <c r="OT79" s="8" t="s">
        <v>107</v>
      </c>
      <c r="OU79" s="8" t="s">
        <v>107</v>
      </c>
      <c r="OV79" s="8" t="s">
        <v>107</v>
      </c>
      <c r="OW79" s="8" t="s">
        <v>107</v>
      </c>
      <c r="OX79" s="8" t="s">
        <v>107</v>
      </c>
      <c r="OY79" s="8" t="s">
        <v>107</v>
      </c>
      <c r="OZ79" s="8" t="s">
        <v>107</v>
      </c>
      <c r="PA79" s="8" t="s">
        <v>107</v>
      </c>
      <c r="PB79" s="8" t="s">
        <v>107</v>
      </c>
      <c r="PC79" s="8" t="s">
        <v>107</v>
      </c>
      <c r="PD79" s="8" t="s">
        <v>107</v>
      </c>
      <c r="PE79" s="967"/>
      <c r="PF79" s="8">
        <f t="shared" si="49"/>
        <v>0</v>
      </c>
      <c r="PG79" s="8"/>
      <c r="PH79" s="8">
        <v>0</v>
      </c>
      <c r="PI79" s="8" t="s">
        <v>107</v>
      </c>
      <c r="PJ79" s="8" t="s">
        <v>107</v>
      </c>
      <c r="PK79" s="8" t="s">
        <v>107</v>
      </c>
      <c r="PL79" s="8" t="s">
        <v>107</v>
      </c>
      <c r="PM79" s="8" t="s">
        <v>107</v>
      </c>
      <c r="PN79" s="8" t="s">
        <v>107</v>
      </c>
      <c r="PO79" s="8" t="s">
        <v>107</v>
      </c>
      <c r="PP79" s="8" t="s">
        <v>107</v>
      </c>
      <c r="PQ79" s="8" t="s">
        <v>107</v>
      </c>
      <c r="PR79" s="8" t="s">
        <v>107</v>
      </c>
      <c r="PS79" s="8" t="s">
        <v>107</v>
      </c>
      <c r="PT79" s="8" t="s">
        <v>107</v>
      </c>
      <c r="PU79" s="8" t="s">
        <v>107</v>
      </c>
      <c r="PV79" s="8" t="s">
        <v>107</v>
      </c>
      <c r="PW79" s="8" t="s">
        <v>107</v>
      </c>
      <c r="PX79" s="8" t="s">
        <v>107</v>
      </c>
      <c r="PY79" s="8" t="s">
        <v>107</v>
      </c>
      <c r="PZ79" s="8" t="s">
        <v>107</v>
      </c>
      <c r="QA79" s="8" t="s">
        <v>107</v>
      </c>
      <c r="QB79" s="8" t="s">
        <v>107</v>
      </c>
      <c r="QC79" s="8" t="s">
        <v>107</v>
      </c>
      <c r="QD79" s="8" t="s">
        <v>107</v>
      </c>
      <c r="QE79" s="967"/>
    </row>
    <row r="80" spans="2:447" x14ac:dyDescent="0.3">
      <c r="B80">
        <v>72</v>
      </c>
      <c r="C80" t="s">
        <v>681</v>
      </c>
      <c r="D80" t="s">
        <v>1816</v>
      </c>
      <c r="F80" s="8">
        <f t="shared" ref="F80:F105" si="55">SUM(G80:AD80)</f>
        <v>96</v>
      </c>
      <c r="G80" s="8"/>
      <c r="H80" s="8">
        <v>22</v>
      </c>
      <c r="I80" s="8">
        <v>3</v>
      </c>
      <c r="J80" s="8">
        <v>20</v>
      </c>
      <c r="K80" s="8">
        <v>18</v>
      </c>
      <c r="L80" s="8" t="s">
        <v>107</v>
      </c>
      <c r="M80" s="8" t="s">
        <v>107</v>
      </c>
      <c r="N80" s="8" t="s">
        <v>107</v>
      </c>
      <c r="O80" s="8" t="s">
        <v>107</v>
      </c>
      <c r="P80" s="8" t="s">
        <v>107</v>
      </c>
      <c r="Q80" s="8" t="s">
        <v>107</v>
      </c>
      <c r="R80" s="8" t="s">
        <v>107</v>
      </c>
      <c r="S80" s="8">
        <v>17</v>
      </c>
      <c r="T80" s="8">
        <v>16</v>
      </c>
      <c r="U80" s="8"/>
      <c r="V80" s="8"/>
      <c r="W80" s="8"/>
      <c r="X80" s="8" t="s">
        <v>107</v>
      </c>
      <c r="Y80" s="8" t="s">
        <v>107</v>
      </c>
      <c r="Z80" s="8"/>
      <c r="AA80" s="8"/>
      <c r="AB80" s="8" t="s">
        <v>107</v>
      </c>
      <c r="AC80" s="8" t="s">
        <v>107</v>
      </c>
      <c r="AD80" s="8" t="s">
        <v>107</v>
      </c>
      <c r="AE80" s="967"/>
      <c r="AF80" s="8">
        <f t="shared" si="35"/>
        <v>0</v>
      </c>
      <c r="AG80" s="8"/>
      <c r="AH80" s="8">
        <v>0</v>
      </c>
      <c r="AI80" s="8">
        <v>0</v>
      </c>
      <c r="AJ80" s="8">
        <v>0</v>
      </c>
      <c r="AK80" s="8">
        <v>0</v>
      </c>
      <c r="AL80" s="8"/>
      <c r="AM80" s="8"/>
      <c r="AN80" s="8"/>
      <c r="AO80" s="8" t="s">
        <v>107</v>
      </c>
      <c r="AP80" s="8" t="s">
        <v>107</v>
      </c>
      <c r="AQ80" s="8" t="s">
        <v>107</v>
      </c>
      <c r="AR80" s="8" t="s">
        <v>107</v>
      </c>
      <c r="AS80" s="8">
        <v>0</v>
      </c>
      <c r="AT80" s="8">
        <v>0</v>
      </c>
      <c r="AU80" s="8"/>
      <c r="AV80" s="8"/>
      <c r="AW80" s="8"/>
      <c r="AX80" s="8" t="s">
        <v>107</v>
      </c>
      <c r="AY80" s="8" t="s">
        <v>107</v>
      </c>
      <c r="AZ80" s="8"/>
      <c r="BA80" s="8"/>
      <c r="BB80" s="8" t="s">
        <v>107</v>
      </c>
      <c r="BC80" s="8" t="s">
        <v>107</v>
      </c>
      <c r="BD80" s="8" t="s">
        <v>107</v>
      </c>
      <c r="BE80" s="967"/>
      <c r="BF80" s="8">
        <f t="shared" si="36"/>
        <v>0</v>
      </c>
      <c r="BG80" s="8"/>
      <c r="BH80" s="8">
        <v>0</v>
      </c>
      <c r="BI80" s="8">
        <v>0</v>
      </c>
      <c r="BJ80" s="8">
        <v>0</v>
      </c>
      <c r="BK80" s="8">
        <v>0</v>
      </c>
      <c r="BL80" s="8"/>
      <c r="BM80" s="8"/>
      <c r="BN80" s="8"/>
      <c r="BO80" s="8" t="s">
        <v>107</v>
      </c>
      <c r="BP80" s="8" t="s">
        <v>107</v>
      </c>
      <c r="BQ80" s="8" t="s">
        <v>107</v>
      </c>
      <c r="BR80" s="8" t="s">
        <v>107</v>
      </c>
      <c r="BS80" s="8">
        <v>0</v>
      </c>
      <c r="BT80" s="8">
        <v>0</v>
      </c>
      <c r="BU80" s="8"/>
      <c r="BV80" s="8"/>
      <c r="BW80" s="8"/>
      <c r="BX80" s="8" t="s">
        <v>107</v>
      </c>
      <c r="BY80" s="8" t="s">
        <v>107</v>
      </c>
      <c r="BZ80" s="8"/>
      <c r="CA80" s="8"/>
      <c r="CB80" s="8" t="s">
        <v>107</v>
      </c>
      <c r="CC80" s="8" t="s">
        <v>107</v>
      </c>
      <c r="CD80" s="8" t="s">
        <v>107</v>
      </c>
      <c r="CE80" s="967"/>
      <c r="CF80" s="8">
        <f t="shared" si="37"/>
        <v>0</v>
      </c>
      <c r="CG80" s="8"/>
      <c r="CH80" s="8">
        <v>0</v>
      </c>
      <c r="CI80" s="8">
        <v>0</v>
      </c>
      <c r="CJ80" s="8">
        <v>0</v>
      </c>
      <c r="CK80" s="8">
        <v>0</v>
      </c>
      <c r="CL80" s="8"/>
      <c r="CM80" s="8"/>
      <c r="CN80" s="8"/>
      <c r="CO80" s="8" t="s">
        <v>107</v>
      </c>
      <c r="CP80" s="8" t="s">
        <v>107</v>
      </c>
      <c r="CQ80" s="8" t="s">
        <v>107</v>
      </c>
      <c r="CR80" s="8" t="s">
        <v>107</v>
      </c>
      <c r="CS80" s="8">
        <v>0</v>
      </c>
      <c r="CT80" s="8">
        <v>0</v>
      </c>
      <c r="CU80" s="8"/>
      <c r="CV80" s="8"/>
      <c r="CW80" s="8"/>
      <c r="CX80" s="8" t="s">
        <v>107</v>
      </c>
      <c r="CY80" s="8" t="s">
        <v>107</v>
      </c>
      <c r="CZ80" s="8"/>
      <c r="DA80" s="8"/>
      <c r="DB80" s="8" t="s">
        <v>107</v>
      </c>
      <c r="DC80" s="8" t="s">
        <v>107</v>
      </c>
      <c r="DD80" s="8" t="s">
        <v>107</v>
      </c>
      <c r="DE80" s="967"/>
      <c r="DF80" s="8">
        <f t="shared" si="38"/>
        <v>0</v>
      </c>
      <c r="DG80" s="8"/>
      <c r="DH80" s="8">
        <v>0</v>
      </c>
      <c r="DI80" s="8">
        <v>0</v>
      </c>
      <c r="DJ80" s="8">
        <v>0</v>
      </c>
      <c r="DK80" s="8">
        <v>0</v>
      </c>
      <c r="DL80" s="8"/>
      <c r="DM80" s="8"/>
      <c r="DN80" s="8"/>
      <c r="DO80" s="8" t="s">
        <v>107</v>
      </c>
      <c r="DP80" s="8" t="s">
        <v>107</v>
      </c>
      <c r="DQ80" s="8" t="s">
        <v>107</v>
      </c>
      <c r="DR80" s="8" t="s">
        <v>107</v>
      </c>
      <c r="DS80" s="8">
        <v>0</v>
      </c>
      <c r="DT80" s="8"/>
      <c r="DU80" s="8"/>
      <c r="DV80" s="8"/>
      <c r="DW80" s="8"/>
      <c r="DX80" s="8" t="s">
        <v>107</v>
      </c>
      <c r="DY80" s="8" t="s">
        <v>107</v>
      </c>
      <c r="DZ80" s="8"/>
      <c r="EA80" s="8"/>
      <c r="EB80" s="8" t="s">
        <v>107</v>
      </c>
      <c r="EC80" s="8" t="s">
        <v>107</v>
      </c>
      <c r="ED80" s="8" t="s">
        <v>107</v>
      </c>
      <c r="EE80" s="967"/>
      <c r="EF80" s="8">
        <f t="shared" si="39"/>
        <v>0</v>
      </c>
      <c r="EG80" s="8"/>
      <c r="EH80" s="8">
        <v>0</v>
      </c>
      <c r="EI80" s="8">
        <v>0</v>
      </c>
      <c r="EJ80" s="8">
        <v>0</v>
      </c>
      <c r="EK80" s="8">
        <v>0</v>
      </c>
      <c r="EL80" s="8"/>
      <c r="EM80" s="8"/>
      <c r="EN80" s="8"/>
      <c r="EO80" s="8" t="s">
        <v>107</v>
      </c>
      <c r="EP80" s="8" t="s">
        <v>107</v>
      </c>
      <c r="EQ80" s="8" t="s">
        <v>107</v>
      </c>
      <c r="ER80" s="8" t="s">
        <v>107</v>
      </c>
      <c r="ES80" s="8">
        <v>0</v>
      </c>
      <c r="ET80" s="8"/>
      <c r="EU80" s="8"/>
      <c r="EV80" s="8"/>
      <c r="EW80" s="8"/>
      <c r="EX80" s="8" t="s">
        <v>107</v>
      </c>
      <c r="EY80" s="8" t="s">
        <v>107</v>
      </c>
      <c r="EZ80" s="8"/>
      <c r="FA80" s="8"/>
      <c r="FB80" s="8" t="s">
        <v>107</v>
      </c>
      <c r="FC80" s="8" t="s">
        <v>107</v>
      </c>
      <c r="FD80" s="8" t="s">
        <v>107</v>
      </c>
      <c r="FE80" s="967"/>
      <c r="FF80" s="8">
        <f t="shared" si="54"/>
        <v>0</v>
      </c>
      <c r="FG80" s="8"/>
      <c r="FH80" s="8">
        <v>0</v>
      </c>
      <c r="FI80" s="8">
        <v>0</v>
      </c>
      <c r="FJ80" s="8">
        <v>0</v>
      </c>
      <c r="FK80" s="8">
        <v>0</v>
      </c>
      <c r="FL80" s="8"/>
      <c r="FM80" s="8"/>
      <c r="FN80" s="8"/>
      <c r="FO80" s="8" t="s">
        <v>107</v>
      </c>
      <c r="FP80" s="8" t="s">
        <v>107</v>
      </c>
      <c r="FQ80" s="8" t="s">
        <v>107</v>
      </c>
      <c r="FR80" s="8" t="s">
        <v>107</v>
      </c>
      <c r="FS80" s="8">
        <v>0</v>
      </c>
      <c r="FT80" s="8">
        <v>0</v>
      </c>
      <c r="FU80" s="8"/>
      <c r="FV80" s="8"/>
      <c r="FW80" s="8"/>
      <c r="FX80" s="8" t="s">
        <v>107</v>
      </c>
      <c r="FY80" s="8" t="s">
        <v>107</v>
      </c>
      <c r="FZ80" s="8"/>
      <c r="GA80" s="8"/>
      <c r="GB80" s="8" t="s">
        <v>107</v>
      </c>
      <c r="GC80" s="8" t="s">
        <v>107</v>
      </c>
      <c r="GD80" s="8" t="s">
        <v>107</v>
      </c>
      <c r="GE80" s="967"/>
      <c r="GF80" s="8">
        <f t="shared" si="40"/>
        <v>0</v>
      </c>
      <c r="GG80" s="8"/>
      <c r="GH80" s="8">
        <v>0</v>
      </c>
      <c r="GI80" s="8">
        <v>0</v>
      </c>
      <c r="GJ80" s="8">
        <v>0</v>
      </c>
      <c r="GK80" s="8">
        <v>0</v>
      </c>
      <c r="GL80" s="8"/>
      <c r="GM80" s="8"/>
      <c r="GN80" s="8"/>
      <c r="GO80" s="8" t="s">
        <v>107</v>
      </c>
      <c r="GP80" s="8" t="s">
        <v>107</v>
      </c>
      <c r="GQ80" s="8" t="s">
        <v>107</v>
      </c>
      <c r="GR80" s="8" t="s">
        <v>107</v>
      </c>
      <c r="GS80" s="8">
        <v>0</v>
      </c>
      <c r="GT80" s="8"/>
      <c r="GU80" s="8"/>
      <c r="GV80" s="8"/>
      <c r="GW80" s="8"/>
      <c r="GX80" s="8" t="s">
        <v>107</v>
      </c>
      <c r="GY80" s="8" t="s">
        <v>107</v>
      </c>
      <c r="GZ80" s="8"/>
      <c r="HA80" s="8"/>
      <c r="HB80" s="8" t="s">
        <v>107</v>
      </c>
      <c r="HC80" s="8" t="s">
        <v>107</v>
      </c>
      <c r="HD80" s="8" t="s">
        <v>107</v>
      </c>
      <c r="HE80" s="967"/>
      <c r="HF80" s="8">
        <f t="shared" si="41"/>
        <v>0</v>
      </c>
      <c r="HG80" s="8"/>
      <c r="HH80" s="8">
        <v>0</v>
      </c>
      <c r="HI80" s="8">
        <v>0</v>
      </c>
      <c r="HJ80" s="8">
        <v>0</v>
      </c>
      <c r="HK80" s="8">
        <v>0</v>
      </c>
      <c r="HL80" s="8"/>
      <c r="HM80" s="8"/>
      <c r="HN80" s="8"/>
      <c r="HO80" s="8" t="s">
        <v>107</v>
      </c>
      <c r="HP80" s="8" t="s">
        <v>107</v>
      </c>
      <c r="HQ80" s="8" t="s">
        <v>107</v>
      </c>
      <c r="HR80" s="8" t="s">
        <v>107</v>
      </c>
      <c r="HS80" s="8">
        <v>0</v>
      </c>
      <c r="HT80" s="8"/>
      <c r="HU80" s="8"/>
      <c r="HV80" s="8"/>
      <c r="HW80" s="8"/>
      <c r="HX80" s="8" t="s">
        <v>107</v>
      </c>
      <c r="HY80" s="8" t="s">
        <v>107</v>
      </c>
      <c r="HZ80" s="8"/>
      <c r="IA80" s="8"/>
      <c r="IB80" s="8" t="s">
        <v>107</v>
      </c>
      <c r="IC80" s="8" t="s">
        <v>107</v>
      </c>
      <c r="ID80" s="8" t="s">
        <v>107</v>
      </c>
      <c r="IE80" s="967"/>
      <c r="IF80" s="8">
        <f t="shared" si="42"/>
        <v>0</v>
      </c>
      <c r="IG80" s="8"/>
      <c r="IH80" s="8">
        <v>0</v>
      </c>
      <c r="II80" s="8">
        <v>0</v>
      </c>
      <c r="IJ80" s="8">
        <v>0</v>
      </c>
      <c r="IK80" s="8">
        <v>0</v>
      </c>
      <c r="IL80" s="8"/>
      <c r="IM80" s="8"/>
      <c r="IN80" s="8"/>
      <c r="IO80" s="8" t="s">
        <v>107</v>
      </c>
      <c r="IP80" s="8" t="s">
        <v>107</v>
      </c>
      <c r="IQ80" s="8" t="s">
        <v>107</v>
      </c>
      <c r="IR80" s="8" t="s">
        <v>107</v>
      </c>
      <c r="IS80" s="8">
        <v>0</v>
      </c>
      <c r="IT80" s="8"/>
      <c r="IU80" s="8"/>
      <c r="IV80" s="8"/>
      <c r="IW80" s="8"/>
      <c r="IX80" s="8" t="s">
        <v>107</v>
      </c>
      <c r="IY80" s="8" t="s">
        <v>107</v>
      </c>
      <c r="IZ80" s="8"/>
      <c r="JA80" s="8"/>
      <c r="JB80" s="8" t="s">
        <v>107</v>
      </c>
      <c r="JC80" s="8" t="s">
        <v>107</v>
      </c>
      <c r="JD80" s="8" t="s">
        <v>107</v>
      </c>
      <c r="JE80" s="967"/>
      <c r="JF80" s="8">
        <f t="shared" si="43"/>
        <v>0</v>
      </c>
      <c r="JG80" s="8"/>
      <c r="JH80" s="8">
        <v>0</v>
      </c>
      <c r="JI80" s="8">
        <v>0</v>
      </c>
      <c r="JJ80" s="8">
        <v>0</v>
      </c>
      <c r="JK80" s="8">
        <v>0</v>
      </c>
      <c r="JL80" s="8"/>
      <c r="JM80" s="8"/>
      <c r="JN80" s="8"/>
      <c r="JO80" s="8" t="s">
        <v>107</v>
      </c>
      <c r="JP80" s="8" t="s">
        <v>107</v>
      </c>
      <c r="JQ80" s="8" t="s">
        <v>107</v>
      </c>
      <c r="JR80" s="8" t="s">
        <v>107</v>
      </c>
      <c r="JS80" s="8">
        <v>0</v>
      </c>
      <c r="JT80" s="8"/>
      <c r="JU80" s="8"/>
      <c r="JV80" s="8"/>
      <c r="JW80" s="8"/>
      <c r="JX80" s="8" t="s">
        <v>107</v>
      </c>
      <c r="JY80" s="8" t="s">
        <v>107</v>
      </c>
      <c r="JZ80" s="8"/>
      <c r="KA80" s="8"/>
      <c r="KB80" s="8" t="s">
        <v>107</v>
      </c>
      <c r="KC80" s="8" t="s">
        <v>107</v>
      </c>
      <c r="KD80" s="8" t="s">
        <v>107</v>
      </c>
      <c r="KE80" s="967"/>
      <c r="KF80" s="8">
        <f t="shared" si="44"/>
        <v>0</v>
      </c>
      <c r="KG80" s="8"/>
      <c r="KH80" s="8">
        <v>0</v>
      </c>
      <c r="KI80" s="8">
        <v>0</v>
      </c>
      <c r="KJ80" s="8">
        <v>0</v>
      </c>
      <c r="KK80" s="8">
        <v>0</v>
      </c>
      <c r="KL80" s="8"/>
      <c r="KM80" s="8"/>
      <c r="KN80" s="8"/>
      <c r="KO80" s="8" t="s">
        <v>107</v>
      </c>
      <c r="KP80" s="8" t="s">
        <v>107</v>
      </c>
      <c r="KQ80" s="8" t="s">
        <v>107</v>
      </c>
      <c r="KR80" s="8" t="s">
        <v>107</v>
      </c>
      <c r="KS80" s="8">
        <v>0</v>
      </c>
      <c r="KT80" s="8"/>
      <c r="KU80" s="8"/>
      <c r="KV80" s="8"/>
      <c r="KW80" s="8"/>
      <c r="KX80" s="8" t="s">
        <v>107</v>
      </c>
      <c r="KY80" s="8" t="s">
        <v>107</v>
      </c>
      <c r="KZ80" s="8"/>
      <c r="LA80" s="8"/>
      <c r="LB80" s="8" t="s">
        <v>107</v>
      </c>
      <c r="LC80" s="8" t="s">
        <v>107</v>
      </c>
      <c r="LD80" s="8" t="s">
        <v>107</v>
      </c>
      <c r="LE80" s="967"/>
      <c r="LF80" s="8">
        <f t="shared" si="45"/>
        <v>0</v>
      </c>
      <c r="LG80" s="8"/>
      <c r="LH80" s="8">
        <v>0</v>
      </c>
      <c r="LI80" s="8">
        <v>0</v>
      </c>
      <c r="LJ80" s="8">
        <v>0</v>
      </c>
      <c r="LK80" s="8">
        <v>0</v>
      </c>
      <c r="LL80" s="8"/>
      <c r="LM80" s="8"/>
      <c r="LN80" s="8"/>
      <c r="LO80" s="8" t="s">
        <v>107</v>
      </c>
      <c r="LP80" s="8" t="s">
        <v>107</v>
      </c>
      <c r="LQ80" s="8" t="s">
        <v>107</v>
      </c>
      <c r="LR80" s="8" t="s">
        <v>107</v>
      </c>
      <c r="LS80" s="8">
        <v>0</v>
      </c>
      <c r="LT80" s="8"/>
      <c r="LU80" s="8"/>
      <c r="LV80" s="8"/>
      <c r="LW80" s="8"/>
      <c r="LX80" s="8" t="s">
        <v>107</v>
      </c>
      <c r="LY80" s="8" t="s">
        <v>107</v>
      </c>
      <c r="LZ80" s="8"/>
      <c r="MA80" s="8"/>
      <c r="MB80" s="8" t="s">
        <v>107</v>
      </c>
      <c r="MC80" s="8" t="s">
        <v>107</v>
      </c>
      <c r="MD80" s="8" t="s">
        <v>107</v>
      </c>
      <c r="ME80" s="967"/>
      <c r="MF80" s="8">
        <f t="shared" si="46"/>
        <v>0</v>
      </c>
      <c r="MG80" s="8"/>
      <c r="MH80" s="8">
        <v>0</v>
      </c>
      <c r="MI80" s="8">
        <v>0</v>
      </c>
      <c r="MJ80" s="8">
        <v>0</v>
      </c>
      <c r="MK80" s="8">
        <v>0</v>
      </c>
      <c r="ML80" s="8"/>
      <c r="MM80" s="8"/>
      <c r="MN80" s="8"/>
      <c r="MO80" s="8" t="s">
        <v>107</v>
      </c>
      <c r="MP80" s="8" t="s">
        <v>107</v>
      </c>
      <c r="MQ80" s="8" t="s">
        <v>107</v>
      </c>
      <c r="MR80" s="8" t="s">
        <v>107</v>
      </c>
      <c r="MS80" s="8">
        <v>0</v>
      </c>
      <c r="MT80" s="8"/>
      <c r="MU80" s="8"/>
      <c r="MV80" s="8"/>
      <c r="MW80" s="8"/>
      <c r="MX80" s="8" t="s">
        <v>107</v>
      </c>
      <c r="MY80" s="8" t="s">
        <v>107</v>
      </c>
      <c r="MZ80" s="8"/>
      <c r="NA80" s="8"/>
      <c r="NB80" s="8" t="s">
        <v>107</v>
      </c>
      <c r="NC80" s="8" t="s">
        <v>107</v>
      </c>
      <c r="ND80" s="8" t="s">
        <v>107</v>
      </c>
      <c r="NE80" s="967"/>
      <c r="NF80" s="8">
        <f t="shared" si="47"/>
        <v>0</v>
      </c>
      <c r="NG80" s="8"/>
      <c r="NH80" s="8">
        <v>0</v>
      </c>
      <c r="NI80" s="8">
        <v>0</v>
      </c>
      <c r="NJ80" s="8">
        <v>0</v>
      </c>
      <c r="NK80" s="8">
        <v>0</v>
      </c>
      <c r="NL80" s="8"/>
      <c r="NM80" s="8"/>
      <c r="NN80" s="8"/>
      <c r="NO80" s="8" t="s">
        <v>107</v>
      </c>
      <c r="NP80" s="8" t="s">
        <v>107</v>
      </c>
      <c r="NQ80" s="8" t="s">
        <v>107</v>
      </c>
      <c r="NR80" s="8" t="s">
        <v>107</v>
      </c>
      <c r="NS80" s="8">
        <v>0</v>
      </c>
      <c r="NT80" s="8"/>
      <c r="NU80" s="8"/>
      <c r="NV80" s="8"/>
      <c r="NW80" s="8"/>
      <c r="NX80" s="8" t="s">
        <v>107</v>
      </c>
      <c r="NY80" s="8" t="s">
        <v>107</v>
      </c>
      <c r="NZ80" s="8"/>
      <c r="OA80" s="8"/>
      <c r="OB80" s="8" t="s">
        <v>107</v>
      </c>
      <c r="OC80" s="8" t="s">
        <v>107</v>
      </c>
      <c r="OD80" s="8" t="s">
        <v>107</v>
      </c>
      <c r="OE80" s="967"/>
      <c r="OF80" s="8">
        <f t="shared" si="48"/>
        <v>0</v>
      </c>
      <c r="OG80" s="8"/>
      <c r="OH80" s="8">
        <v>0</v>
      </c>
      <c r="OI80" s="8">
        <v>0</v>
      </c>
      <c r="OJ80" s="8">
        <v>0</v>
      </c>
      <c r="OK80" s="8">
        <v>0</v>
      </c>
      <c r="OL80" s="8"/>
      <c r="OM80" s="8"/>
      <c r="ON80" s="8"/>
      <c r="OO80" s="8" t="s">
        <v>107</v>
      </c>
      <c r="OP80" s="8" t="s">
        <v>107</v>
      </c>
      <c r="OQ80" s="8" t="s">
        <v>107</v>
      </c>
      <c r="OR80" s="8" t="s">
        <v>107</v>
      </c>
      <c r="OS80" s="8">
        <v>0</v>
      </c>
      <c r="OT80" s="8"/>
      <c r="OU80" s="8"/>
      <c r="OV80" s="8"/>
      <c r="OW80" s="8"/>
      <c r="OX80" s="8" t="s">
        <v>107</v>
      </c>
      <c r="OY80" s="8" t="s">
        <v>107</v>
      </c>
      <c r="OZ80" s="8"/>
      <c r="PA80" s="8"/>
      <c r="PB80" s="8" t="s">
        <v>107</v>
      </c>
      <c r="PC80" s="8" t="s">
        <v>107</v>
      </c>
      <c r="PD80" s="8" t="s">
        <v>107</v>
      </c>
      <c r="PE80" s="967"/>
      <c r="PF80" s="8">
        <f t="shared" si="49"/>
        <v>0</v>
      </c>
      <c r="PG80" s="8"/>
      <c r="PH80" s="8">
        <v>0</v>
      </c>
      <c r="PI80" s="8">
        <v>0</v>
      </c>
      <c r="PJ80" s="8">
        <v>0</v>
      </c>
      <c r="PK80" s="8">
        <v>0</v>
      </c>
      <c r="PL80" s="8"/>
      <c r="PM80" s="8"/>
      <c r="PN80" s="8"/>
      <c r="PO80" s="8" t="s">
        <v>107</v>
      </c>
      <c r="PP80" s="8" t="s">
        <v>107</v>
      </c>
      <c r="PQ80" s="8" t="s">
        <v>107</v>
      </c>
      <c r="PR80" s="8" t="s">
        <v>107</v>
      </c>
      <c r="PS80" s="8">
        <v>0</v>
      </c>
      <c r="PT80" s="8"/>
      <c r="PU80" s="8"/>
      <c r="PV80" s="8"/>
      <c r="PW80" s="8"/>
      <c r="PX80" s="8" t="s">
        <v>107</v>
      </c>
      <c r="PY80" s="8" t="s">
        <v>107</v>
      </c>
      <c r="PZ80" s="8"/>
      <c r="QA80" s="8"/>
      <c r="QB80" s="8" t="s">
        <v>107</v>
      </c>
      <c r="QC80" s="8" t="s">
        <v>107</v>
      </c>
      <c r="QD80" s="8" t="s">
        <v>107</v>
      </c>
      <c r="QE80" s="967"/>
    </row>
    <row r="81" spans="2:447" x14ac:dyDescent="0.3">
      <c r="B81">
        <v>73</v>
      </c>
      <c r="C81" t="s">
        <v>681</v>
      </c>
      <c r="D81" t="s">
        <v>1993</v>
      </c>
      <c r="F81" s="8">
        <f t="shared" si="55"/>
        <v>51</v>
      </c>
      <c r="G81" s="8"/>
      <c r="H81" s="8" t="s">
        <v>107</v>
      </c>
      <c r="I81" s="8" t="s">
        <v>107</v>
      </c>
      <c r="J81" s="8" t="s">
        <v>107</v>
      </c>
      <c r="K81" s="8" t="s">
        <v>107</v>
      </c>
      <c r="L81" s="8" t="s">
        <v>107</v>
      </c>
      <c r="M81" s="8" t="s">
        <v>107</v>
      </c>
      <c r="N81" s="8" t="s">
        <v>107</v>
      </c>
      <c r="O81" s="8" t="s">
        <v>107</v>
      </c>
      <c r="P81" s="8" t="s">
        <v>107</v>
      </c>
      <c r="Q81" s="8" t="s">
        <v>107</v>
      </c>
      <c r="R81" s="8" t="s">
        <v>107</v>
      </c>
      <c r="S81" s="8" t="s">
        <v>107</v>
      </c>
      <c r="T81" s="8" t="s">
        <v>107</v>
      </c>
      <c r="U81" s="8"/>
      <c r="V81" s="8"/>
      <c r="W81" s="8"/>
      <c r="X81" s="8">
        <v>14</v>
      </c>
      <c r="Y81" s="8">
        <v>16</v>
      </c>
      <c r="Z81" s="8"/>
      <c r="AA81" s="8"/>
      <c r="AB81" s="1087" t="s">
        <v>107</v>
      </c>
      <c r="AC81" s="1087" t="s">
        <v>107</v>
      </c>
      <c r="AD81" s="8">
        <v>21</v>
      </c>
      <c r="AE81" s="967"/>
      <c r="AF81" s="8">
        <f t="shared" si="35"/>
        <v>0</v>
      </c>
      <c r="AG81" s="8"/>
      <c r="AH81" s="8" t="s">
        <v>107</v>
      </c>
      <c r="AI81" s="8" t="s">
        <v>107</v>
      </c>
      <c r="AJ81" s="8" t="s">
        <v>107</v>
      </c>
      <c r="AK81" s="8" t="s">
        <v>107</v>
      </c>
      <c r="AL81" s="8"/>
      <c r="AM81" s="8"/>
      <c r="AN81" s="8"/>
      <c r="AO81" s="8" t="s">
        <v>107</v>
      </c>
      <c r="AP81" s="8" t="s">
        <v>107</v>
      </c>
      <c r="AQ81" s="8"/>
      <c r="AR81" s="8"/>
      <c r="AS81" s="8"/>
      <c r="AT81" s="8"/>
      <c r="AU81" s="8"/>
      <c r="AV81" s="8"/>
      <c r="AW81" s="8"/>
      <c r="AX81" s="8">
        <v>0</v>
      </c>
      <c r="AY81" s="8">
        <v>0</v>
      </c>
      <c r="AZ81" s="8"/>
      <c r="BA81" s="8"/>
      <c r="BB81" s="8">
        <v>0</v>
      </c>
      <c r="BC81" s="8">
        <v>0</v>
      </c>
      <c r="BD81" s="8">
        <v>0</v>
      </c>
      <c r="BE81" s="967"/>
      <c r="BF81" s="8">
        <f t="shared" si="36"/>
        <v>0</v>
      </c>
      <c r="BG81" s="8"/>
      <c r="BH81" s="8" t="s">
        <v>107</v>
      </c>
      <c r="BI81" s="8"/>
      <c r="BJ81" s="8"/>
      <c r="BK81" s="8" t="s">
        <v>107</v>
      </c>
      <c r="BL81" s="8"/>
      <c r="BM81" s="8"/>
      <c r="BN81" s="8"/>
      <c r="BO81" s="8" t="s">
        <v>107</v>
      </c>
      <c r="BP81" s="8" t="s">
        <v>107</v>
      </c>
      <c r="BQ81" s="8"/>
      <c r="BR81" s="8"/>
      <c r="BS81" s="8"/>
      <c r="BT81" s="8"/>
      <c r="BU81" s="8"/>
      <c r="BV81" s="8"/>
      <c r="BW81" s="8"/>
      <c r="BX81" s="8">
        <v>0</v>
      </c>
      <c r="BY81" s="8">
        <v>0</v>
      </c>
      <c r="BZ81" s="8"/>
      <c r="CA81" s="8"/>
      <c r="CB81" s="8">
        <v>0</v>
      </c>
      <c r="CC81" s="8">
        <v>0</v>
      </c>
      <c r="CD81" s="8">
        <v>0</v>
      </c>
      <c r="CE81" s="967"/>
      <c r="CF81" s="8">
        <f t="shared" si="37"/>
        <v>0</v>
      </c>
      <c r="CG81" s="8"/>
      <c r="CH81" s="8" t="s">
        <v>107</v>
      </c>
      <c r="CI81" s="8"/>
      <c r="CJ81" s="8"/>
      <c r="CK81" s="8" t="s">
        <v>107</v>
      </c>
      <c r="CL81" s="8"/>
      <c r="CM81" s="8"/>
      <c r="CN81" s="8"/>
      <c r="CO81" s="8" t="s">
        <v>107</v>
      </c>
      <c r="CP81" s="8" t="s">
        <v>107</v>
      </c>
      <c r="CQ81" s="8"/>
      <c r="CR81" s="8"/>
      <c r="CS81" s="8"/>
      <c r="CT81" s="8"/>
      <c r="CU81" s="8"/>
      <c r="CV81" s="8"/>
      <c r="CW81" s="8"/>
      <c r="CX81" s="8">
        <v>0</v>
      </c>
      <c r="CY81" s="8">
        <v>0</v>
      </c>
      <c r="CZ81" s="8"/>
      <c r="DA81" s="8"/>
      <c r="DB81" s="8">
        <f t="shared" si="51"/>
        <v>0</v>
      </c>
      <c r="DC81" s="8">
        <f t="shared" si="52"/>
        <v>0</v>
      </c>
      <c r="DD81" s="8">
        <f t="shared" si="50"/>
        <v>0</v>
      </c>
      <c r="DE81" s="967"/>
      <c r="DF81" s="8">
        <f t="shared" si="38"/>
        <v>0</v>
      </c>
      <c r="DG81" s="8"/>
      <c r="DH81" s="8" t="s">
        <v>107</v>
      </c>
      <c r="DI81" s="8" t="s">
        <v>107</v>
      </c>
      <c r="DJ81" s="8" t="s">
        <v>107</v>
      </c>
      <c r="DK81" s="8" t="s">
        <v>107</v>
      </c>
      <c r="DL81" s="8"/>
      <c r="DM81" s="8"/>
      <c r="DN81" s="8"/>
      <c r="DO81" s="8" t="s">
        <v>107</v>
      </c>
      <c r="DP81" s="8" t="s">
        <v>107</v>
      </c>
      <c r="DQ81" s="8"/>
      <c r="DR81" s="8"/>
      <c r="DS81" s="8"/>
      <c r="DT81" s="8"/>
      <c r="DU81" s="8"/>
      <c r="DV81" s="8"/>
      <c r="DW81" s="8"/>
      <c r="DX81" s="8">
        <v>0</v>
      </c>
      <c r="DY81" s="8">
        <v>0</v>
      </c>
      <c r="DZ81" s="8"/>
      <c r="EA81" s="8"/>
      <c r="EB81" s="8">
        <v>0</v>
      </c>
      <c r="EC81" s="8">
        <v>0</v>
      </c>
      <c r="ED81" s="8">
        <v>0</v>
      </c>
      <c r="EE81" s="967"/>
      <c r="EF81" s="8">
        <f t="shared" si="39"/>
        <v>0</v>
      </c>
      <c r="EG81" s="8"/>
      <c r="EH81" s="8" t="s">
        <v>107</v>
      </c>
      <c r="EI81" s="8" t="s">
        <v>107</v>
      </c>
      <c r="EJ81" s="8" t="s">
        <v>107</v>
      </c>
      <c r="EK81" s="8" t="s">
        <v>107</v>
      </c>
      <c r="EL81" s="8"/>
      <c r="EM81" s="8"/>
      <c r="EN81" s="8"/>
      <c r="EO81" s="8" t="s">
        <v>107</v>
      </c>
      <c r="EP81" s="8" t="s">
        <v>107</v>
      </c>
      <c r="EQ81" s="8"/>
      <c r="ER81" s="8"/>
      <c r="ES81" s="8"/>
      <c r="ET81" s="8"/>
      <c r="EU81" s="8"/>
      <c r="EV81" s="8"/>
      <c r="EW81" s="8"/>
      <c r="EX81" s="8">
        <v>0</v>
      </c>
      <c r="EY81" s="8">
        <v>0</v>
      </c>
      <c r="EZ81" s="8"/>
      <c r="FA81" s="8"/>
      <c r="FB81" s="8">
        <v>0</v>
      </c>
      <c r="FC81" s="8">
        <v>0</v>
      </c>
      <c r="FD81" s="8">
        <v>0</v>
      </c>
      <c r="FE81" s="967"/>
      <c r="FF81" s="8">
        <f t="shared" si="54"/>
        <v>0</v>
      </c>
      <c r="FG81" s="8"/>
      <c r="FH81" s="8" t="s">
        <v>107</v>
      </c>
      <c r="FI81" s="8" t="s">
        <v>107</v>
      </c>
      <c r="FJ81" s="8" t="s">
        <v>107</v>
      </c>
      <c r="FK81" s="8" t="s">
        <v>107</v>
      </c>
      <c r="FL81" s="8"/>
      <c r="FM81" s="8"/>
      <c r="FN81" s="8"/>
      <c r="FO81" s="8" t="s">
        <v>107</v>
      </c>
      <c r="FP81" s="8" t="s">
        <v>107</v>
      </c>
      <c r="FQ81" s="8"/>
      <c r="FR81" s="8"/>
      <c r="FS81" s="8"/>
      <c r="FT81" s="8"/>
      <c r="FU81" s="8"/>
      <c r="FV81" s="8"/>
      <c r="FW81" s="8"/>
      <c r="FX81" s="8">
        <v>0</v>
      </c>
      <c r="FY81" s="8">
        <v>0</v>
      </c>
      <c r="FZ81" s="8"/>
      <c r="GA81" s="8"/>
      <c r="GB81" s="8">
        <v>0</v>
      </c>
      <c r="GC81" s="8">
        <v>0</v>
      </c>
      <c r="GD81" s="8">
        <v>0</v>
      </c>
      <c r="GE81" s="967"/>
      <c r="GF81" s="8">
        <f t="shared" si="40"/>
        <v>0</v>
      </c>
      <c r="GG81" s="8"/>
      <c r="GH81" s="8" t="s">
        <v>107</v>
      </c>
      <c r="GI81" s="8" t="s">
        <v>107</v>
      </c>
      <c r="GJ81" s="8" t="s">
        <v>107</v>
      </c>
      <c r="GK81" s="8" t="s">
        <v>107</v>
      </c>
      <c r="GL81" s="8"/>
      <c r="GM81" s="8"/>
      <c r="GN81" s="8"/>
      <c r="GO81" s="8" t="s">
        <v>107</v>
      </c>
      <c r="GP81" s="8" t="s">
        <v>107</v>
      </c>
      <c r="GQ81" s="8"/>
      <c r="GR81" s="8"/>
      <c r="GS81" s="8"/>
      <c r="GT81" s="8"/>
      <c r="GU81" s="8"/>
      <c r="GV81" s="8"/>
      <c r="GW81" s="8"/>
      <c r="GX81" s="8">
        <v>0</v>
      </c>
      <c r="GY81" s="8">
        <v>0</v>
      </c>
      <c r="GZ81" s="8"/>
      <c r="HA81" s="8"/>
      <c r="HB81" s="8">
        <v>0</v>
      </c>
      <c r="HC81" s="8">
        <v>0</v>
      </c>
      <c r="HD81" s="8">
        <v>0</v>
      </c>
      <c r="HE81" s="967"/>
      <c r="HF81" s="8">
        <f t="shared" si="41"/>
        <v>0</v>
      </c>
      <c r="HG81" s="8"/>
      <c r="HH81" s="8" t="s">
        <v>107</v>
      </c>
      <c r="HI81" s="8" t="s">
        <v>107</v>
      </c>
      <c r="HJ81" s="8" t="s">
        <v>107</v>
      </c>
      <c r="HK81" s="8" t="s">
        <v>107</v>
      </c>
      <c r="HL81" s="8"/>
      <c r="HM81" s="8"/>
      <c r="HN81" s="8"/>
      <c r="HO81" s="8" t="s">
        <v>107</v>
      </c>
      <c r="HP81" s="8" t="s">
        <v>107</v>
      </c>
      <c r="HQ81" s="8"/>
      <c r="HR81" s="8"/>
      <c r="HS81" s="8">
        <v>0</v>
      </c>
      <c r="HT81" s="8"/>
      <c r="HU81" s="8"/>
      <c r="HV81" s="8"/>
      <c r="HW81" s="8"/>
      <c r="HX81" s="8">
        <v>0</v>
      </c>
      <c r="HY81" s="8">
        <v>0</v>
      </c>
      <c r="HZ81" s="8"/>
      <c r="IA81" s="8"/>
      <c r="IB81" s="8">
        <v>0</v>
      </c>
      <c r="IC81" s="8">
        <v>0</v>
      </c>
      <c r="ID81" s="8">
        <v>0</v>
      </c>
      <c r="IE81" s="967"/>
      <c r="IF81" s="8">
        <f t="shared" si="42"/>
        <v>0</v>
      </c>
      <c r="IG81" s="8"/>
      <c r="IH81" s="8" t="s">
        <v>107</v>
      </c>
      <c r="II81" s="8" t="s">
        <v>107</v>
      </c>
      <c r="IJ81" s="8" t="s">
        <v>107</v>
      </c>
      <c r="IK81" s="8" t="s">
        <v>107</v>
      </c>
      <c r="IL81" s="8"/>
      <c r="IM81" s="8"/>
      <c r="IN81" s="8"/>
      <c r="IO81" s="8" t="s">
        <v>107</v>
      </c>
      <c r="IP81" s="8" t="s">
        <v>107</v>
      </c>
      <c r="IQ81" s="8"/>
      <c r="IR81" s="8"/>
      <c r="IS81" s="8">
        <v>0</v>
      </c>
      <c r="IT81" s="8"/>
      <c r="IU81" s="8"/>
      <c r="IV81" s="8"/>
      <c r="IW81" s="8"/>
      <c r="IX81" s="8">
        <v>0</v>
      </c>
      <c r="IY81" s="8">
        <v>0</v>
      </c>
      <c r="IZ81" s="8"/>
      <c r="JA81" s="8"/>
      <c r="JB81" s="8">
        <v>0</v>
      </c>
      <c r="JC81" s="8">
        <v>0</v>
      </c>
      <c r="JD81" s="8">
        <v>0</v>
      </c>
      <c r="JE81" s="967"/>
      <c r="JF81" s="8">
        <f t="shared" si="43"/>
        <v>0</v>
      </c>
      <c r="JG81" s="8"/>
      <c r="JH81" s="8" t="s">
        <v>107</v>
      </c>
      <c r="JI81" s="8" t="s">
        <v>107</v>
      </c>
      <c r="JJ81" s="8" t="s">
        <v>107</v>
      </c>
      <c r="JK81" s="8" t="s">
        <v>107</v>
      </c>
      <c r="JL81" s="8"/>
      <c r="JM81" s="8"/>
      <c r="JN81" s="8"/>
      <c r="JO81" s="8" t="s">
        <v>107</v>
      </c>
      <c r="JP81" s="8" t="s">
        <v>107</v>
      </c>
      <c r="JQ81" s="8"/>
      <c r="JR81" s="8"/>
      <c r="JS81" s="8">
        <v>0</v>
      </c>
      <c r="JT81" s="8"/>
      <c r="JU81" s="8"/>
      <c r="JV81" s="8"/>
      <c r="JW81" s="8"/>
      <c r="JX81" s="8">
        <v>0</v>
      </c>
      <c r="JY81" s="8">
        <v>0</v>
      </c>
      <c r="JZ81" s="8"/>
      <c r="KA81" s="8"/>
      <c r="KB81" s="8">
        <v>0</v>
      </c>
      <c r="KC81" s="8">
        <v>0</v>
      </c>
      <c r="KD81" s="8">
        <v>0</v>
      </c>
      <c r="KE81" s="967"/>
      <c r="KF81" s="8">
        <f t="shared" si="44"/>
        <v>3</v>
      </c>
      <c r="KG81" s="8"/>
      <c r="KH81" s="8" t="s">
        <v>107</v>
      </c>
      <c r="KI81" s="8" t="s">
        <v>107</v>
      </c>
      <c r="KJ81" s="8" t="s">
        <v>107</v>
      </c>
      <c r="KK81" s="8" t="s">
        <v>107</v>
      </c>
      <c r="KL81" s="8"/>
      <c r="KM81" s="8"/>
      <c r="KN81" s="8"/>
      <c r="KO81" s="8" t="s">
        <v>107</v>
      </c>
      <c r="KP81" s="8" t="s">
        <v>107</v>
      </c>
      <c r="KQ81" s="8"/>
      <c r="KR81" s="8"/>
      <c r="KS81" s="8">
        <v>0</v>
      </c>
      <c r="KT81" s="8"/>
      <c r="KU81" s="8"/>
      <c r="KV81" s="8"/>
      <c r="KW81" s="8"/>
      <c r="KX81" s="8">
        <v>1</v>
      </c>
      <c r="KY81" s="8">
        <v>1</v>
      </c>
      <c r="KZ81" s="8"/>
      <c r="LA81" s="8"/>
      <c r="LB81" s="8">
        <v>0</v>
      </c>
      <c r="LC81" s="8">
        <v>0</v>
      </c>
      <c r="LD81" s="8">
        <v>1</v>
      </c>
      <c r="LE81" s="967"/>
      <c r="LF81" s="8">
        <f t="shared" si="45"/>
        <v>0</v>
      </c>
      <c r="LG81" s="8"/>
      <c r="LH81" s="8" t="s">
        <v>107</v>
      </c>
      <c r="LI81" s="8" t="s">
        <v>107</v>
      </c>
      <c r="LJ81" s="8" t="s">
        <v>107</v>
      </c>
      <c r="LK81" s="8" t="s">
        <v>107</v>
      </c>
      <c r="LL81" s="8"/>
      <c r="LM81" s="8"/>
      <c r="LN81" s="8"/>
      <c r="LO81" s="8" t="s">
        <v>107</v>
      </c>
      <c r="LP81" s="8" t="s">
        <v>107</v>
      </c>
      <c r="LQ81" s="8"/>
      <c r="LR81" s="8"/>
      <c r="LS81" s="8">
        <v>0</v>
      </c>
      <c r="LT81" s="8"/>
      <c r="LU81" s="8"/>
      <c r="LV81" s="8"/>
      <c r="LW81" s="8"/>
      <c r="LX81" s="8">
        <v>0</v>
      </c>
      <c r="LY81" s="8">
        <v>0</v>
      </c>
      <c r="LZ81" s="8"/>
      <c r="MA81" s="8"/>
      <c r="MB81" s="8">
        <v>0</v>
      </c>
      <c r="MC81" s="8">
        <v>0</v>
      </c>
      <c r="MD81" s="8">
        <v>0</v>
      </c>
      <c r="ME81" s="967"/>
      <c r="MF81" s="8">
        <f t="shared" si="46"/>
        <v>0</v>
      </c>
      <c r="MG81" s="8"/>
      <c r="MH81" s="8" t="s">
        <v>107</v>
      </c>
      <c r="MI81" s="8" t="s">
        <v>107</v>
      </c>
      <c r="MJ81" s="8" t="s">
        <v>107</v>
      </c>
      <c r="MK81" s="8" t="s">
        <v>107</v>
      </c>
      <c r="ML81" s="8"/>
      <c r="MM81" s="8"/>
      <c r="MN81" s="8"/>
      <c r="MO81" s="8" t="s">
        <v>107</v>
      </c>
      <c r="MP81" s="8" t="s">
        <v>107</v>
      </c>
      <c r="MQ81" s="8"/>
      <c r="MR81" s="8"/>
      <c r="MS81" s="8">
        <v>0</v>
      </c>
      <c r="MT81" s="8"/>
      <c r="MU81" s="8"/>
      <c r="MV81" s="8"/>
      <c r="MW81" s="8"/>
      <c r="MX81" s="8">
        <v>0</v>
      </c>
      <c r="MY81" s="8">
        <v>0</v>
      </c>
      <c r="MZ81" s="8"/>
      <c r="NA81" s="8"/>
      <c r="NB81" s="8">
        <v>0</v>
      </c>
      <c r="NC81" s="8">
        <v>0</v>
      </c>
      <c r="ND81" s="8">
        <v>0</v>
      </c>
      <c r="NE81" s="967"/>
      <c r="NF81" s="8">
        <f t="shared" si="47"/>
        <v>0</v>
      </c>
      <c r="NG81" s="8"/>
      <c r="NH81" s="8" t="s">
        <v>107</v>
      </c>
      <c r="NI81" s="8" t="s">
        <v>107</v>
      </c>
      <c r="NJ81" s="8" t="s">
        <v>107</v>
      </c>
      <c r="NK81" s="8" t="s">
        <v>107</v>
      </c>
      <c r="NL81" s="8"/>
      <c r="NM81" s="8"/>
      <c r="NN81" s="8"/>
      <c r="NO81" s="8" t="s">
        <v>107</v>
      </c>
      <c r="NP81" s="8" t="s">
        <v>107</v>
      </c>
      <c r="NQ81" s="8"/>
      <c r="NR81" s="8"/>
      <c r="NS81" s="8">
        <v>0</v>
      </c>
      <c r="NT81" s="8"/>
      <c r="NU81" s="8"/>
      <c r="NV81" s="8"/>
      <c r="NW81" s="8"/>
      <c r="NX81" s="8">
        <v>0</v>
      </c>
      <c r="NY81" s="8">
        <v>0</v>
      </c>
      <c r="NZ81" s="8"/>
      <c r="OA81" s="8"/>
      <c r="OB81" s="8">
        <v>0</v>
      </c>
      <c r="OC81" s="8">
        <v>0</v>
      </c>
      <c r="OD81" s="8">
        <v>0</v>
      </c>
      <c r="OE81" s="967"/>
      <c r="OF81" s="8">
        <f t="shared" si="48"/>
        <v>0</v>
      </c>
      <c r="OG81" s="8"/>
      <c r="OH81" s="8" t="s">
        <v>107</v>
      </c>
      <c r="OI81" s="8" t="s">
        <v>107</v>
      </c>
      <c r="OJ81" s="8" t="s">
        <v>107</v>
      </c>
      <c r="OK81" s="8" t="s">
        <v>107</v>
      </c>
      <c r="OL81" s="8"/>
      <c r="OM81" s="8"/>
      <c r="ON81" s="8"/>
      <c r="OO81" s="8" t="s">
        <v>107</v>
      </c>
      <c r="OP81" s="8" t="s">
        <v>107</v>
      </c>
      <c r="OQ81" s="8"/>
      <c r="OR81" s="8"/>
      <c r="OS81" s="8">
        <v>0</v>
      </c>
      <c r="OT81" s="8"/>
      <c r="OU81" s="8"/>
      <c r="OV81" s="8"/>
      <c r="OW81" s="8"/>
      <c r="OX81" s="8">
        <v>0</v>
      </c>
      <c r="OY81" s="8">
        <v>0</v>
      </c>
      <c r="OZ81" s="8"/>
      <c r="PA81" s="8"/>
      <c r="PB81" s="8">
        <v>0</v>
      </c>
      <c r="PC81" s="8">
        <v>0</v>
      </c>
      <c r="PD81" s="8">
        <v>0</v>
      </c>
      <c r="PE81" s="967"/>
      <c r="PF81" s="8">
        <f t="shared" si="49"/>
        <v>0</v>
      </c>
      <c r="PG81" s="8"/>
      <c r="PH81" s="8" t="s">
        <v>107</v>
      </c>
      <c r="PI81" s="8" t="s">
        <v>107</v>
      </c>
      <c r="PJ81" s="8" t="s">
        <v>107</v>
      </c>
      <c r="PK81" s="8" t="s">
        <v>107</v>
      </c>
      <c r="PL81" s="8"/>
      <c r="PM81" s="8"/>
      <c r="PN81" s="8"/>
      <c r="PO81" s="8" t="s">
        <v>107</v>
      </c>
      <c r="PP81" s="8" t="s">
        <v>107</v>
      </c>
      <c r="PQ81" s="8"/>
      <c r="PR81" s="8"/>
      <c r="PS81" s="8">
        <v>0</v>
      </c>
      <c r="PT81" s="8"/>
      <c r="PU81" s="8"/>
      <c r="PV81" s="8"/>
      <c r="PW81" s="8"/>
      <c r="PX81" s="8">
        <v>0</v>
      </c>
      <c r="PY81" s="8">
        <v>0</v>
      </c>
      <c r="PZ81" s="8"/>
      <c r="QA81" s="8"/>
      <c r="QB81" s="8">
        <v>0</v>
      </c>
      <c r="QC81" s="8">
        <v>0</v>
      </c>
      <c r="QD81" s="8">
        <v>0</v>
      </c>
      <c r="QE81" s="967"/>
    </row>
    <row r="82" spans="2:447" x14ac:dyDescent="0.3">
      <c r="F82" s="8">
        <f t="shared" si="55"/>
        <v>0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967"/>
      <c r="AF82" s="8">
        <f t="shared" ref="AF82:AF105" si="56">SUM(AG82:BD82)</f>
        <v>0</v>
      </c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67"/>
      <c r="BF82" s="8">
        <f t="shared" ref="BF82:BF83" si="57">SUM(BG82:CD82)</f>
        <v>0</v>
      </c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967"/>
      <c r="CF82" s="8">
        <f t="shared" ref="CF82:CF104" si="58">SUM(CG82:DD82)</f>
        <v>0</v>
      </c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967"/>
      <c r="DF82" s="8">
        <f t="shared" ref="DF82:DF96" si="59">SUM(DG82:ED82)</f>
        <v>0</v>
      </c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967"/>
      <c r="EF82" s="8">
        <f t="shared" ref="EF82:EF91" si="60">SUM(EG82:FD82)</f>
        <v>0</v>
      </c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967"/>
      <c r="FF82" s="8">
        <f t="shared" si="54"/>
        <v>0</v>
      </c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967"/>
      <c r="GF82" s="8">
        <f t="shared" ref="GF82:GF91" si="61">SUM(GG82:HD82)</f>
        <v>0</v>
      </c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967"/>
      <c r="HF82" s="8">
        <f t="shared" ref="HF82:HF98" si="62">SUM(HG82:ID82)</f>
        <v>0</v>
      </c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>
        <v>0</v>
      </c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967"/>
      <c r="IF82" s="8">
        <f t="shared" ref="IF82:IF96" si="63">SUM(IG82:JD82)</f>
        <v>0</v>
      </c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967"/>
      <c r="JF82" s="8">
        <f t="shared" ref="JF82:JF100" si="64">SUM(JG82:KD82)</f>
        <v>0</v>
      </c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967"/>
      <c r="KF82" s="8">
        <f t="shared" ref="KF82:KF99" si="65">SUM(KG82:LD82)</f>
        <v>0</v>
      </c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967"/>
      <c r="LF82" s="8">
        <f t="shared" ref="LF82:LF95" si="66">SUM(LG82:MD82)</f>
        <v>0</v>
      </c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967"/>
      <c r="MF82" s="8">
        <f t="shared" ref="MF82:MF98" si="67">SUM(MG82:ND82)</f>
        <v>0</v>
      </c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967"/>
      <c r="NF82" s="8">
        <f t="shared" ref="NF82:NF98" si="68">SUM(NG82:OD82)</f>
        <v>0</v>
      </c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967"/>
      <c r="OF82" s="8">
        <f t="shared" ref="OF82:OF100" si="69">SUM(OG82:PD82)</f>
        <v>0</v>
      </c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967"/>
      <c r="PF82" s="8">
        <f t="shared" ref="PF82:PF90" si="70">SUM(PG82:QD82)</f>
        <v>0</v>
      </c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967"/>
    </row>
    <row r="83" spans="2:447" x14ac:dyDescent="0.3">
      <c r="F83" s="8">
        <f t="shared" si="55"/>
        <v>0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967"/>
      <c r="AF83" s="8">
        <f t="shared" si="56"/>
        <v>0</v>
      </c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67"/>
      <c r="BF83" s="8">
        <f t="shared" si="57"/>
        <v>0</v>
      </c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967"/>
      <c r="CF83" s="8">
        <f t="shared" si="58"/>
        <v>0</v>
      </c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967"/>
      <c r="DF83" s="8">
        <f t="shared" si="59"/>
        <v>0</v>
      </c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967"/>
      <c r="EF83" s="8">
        <f t="shared" si="60"/>
        <v>0</v>
      </c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967"/>
      <c r="FF83" s="8">
        <f t="shared" si="54"/>
        <v>0</v>
      </c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967"/>
      <c r="GF83" s="8">
        <f t="shared" si="61"/>
        <v>0</v>
      </c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967"/>
      <c r="HF83" s="8">
        <f t="shared" si="62"/>
        <v>0</v>
      </c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>
        <v>0</v>
      </c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967"/>
      <c r="IF83" s="8">
        <f t="shared" si="63"/>
        <v>0</v>
      </c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967"/>
      <c r="JF83" s="8">
        <f t="shared" si="64"/>
        <v>0</v>
      </c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967"/>
      <c r="KF83" s="8">
        <f t="shared" si="65"/>
        <v>0</v>
      </c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967"/>
      <c r="LF83" s="8">
        <f t="shared" si="66"/>
        <v>0</v>
      </c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967"/>
      <c r="MF83" s="8">
        <f t="shared" si="67"/>
        <v>0</v>
      </c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967"/>
      <c r="NF83" s="8">
        <f t="shared" si="68"/>
        <v>0</v>
      </c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967"/>
      <c r="OF83" s="8">
        <f t="shared" si="69"/>
        <v>0</v>
      </c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967"/>
      <c r="PF83" s="8">
        <f t="shared" si="70"/>
        <v>0</v>
      </c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967"/>
    </row>
    <row r="84" spans="2:447" x14ac:dyDescent="0.3">
      <c r="F84" s="8">
        <f t="shared" si="55"/>
        <v>0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967"/>
      <c r="AF84" s="8">
        <f t="shared" si="56"/>
        <v>0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67"/>
      <c r="BF84" s="8">
        <f t="shared" ref="BF84:BF97" si="71">SUM(BG84:CD84)</f>
        <v>0</v>
      </c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967"/>
      <c r="CF84" s="8">
        <f t="shared" si="58"/>
        <v>0</v>
      </c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967"/>
      <c r="DF84" s="8">
        <f t="shared" si="59"/>
        <v>0</v>
      </c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967"/>
      <c r="EF84" s="8">
        <f t="shared" si="60"/>
        <v>0</v>
      </c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967"/>
      <c r="FF84" s="8">
        <f t="shared" si="54"/>
        <v>0</v>
      </c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967"/>
      <c r="GF84" s="8">
        <f t="shared" si="61"/>
        <v>0</v>
      </c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967"/>
      <c r="HF84" s="8">
        <f t="shared" si="62"/>
        <v>0</v>
      </c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>
        <v>0</v>
      </c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967"/>
      <c r="IF84" s="8">
        <f t="shared" si="63"/>
        <v>0</v>
      </c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967"/>
      <c r="JF84" s="8">
        <f t="shared" si="64"/>
        <v>0</v>
      </c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967"/>
      <c r="KF84" s="8">
        <f t="shared" si="65"/>
        <v>0</v>
      </c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967"/>
      <c r="LF84" s="8">
        <f t="shared" si="66"/>
        <v>0</v>
      </c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967"/>
      <c r="MF84" s="8">
        <f t="shared" si="67"/>
        <v>0</v>
      </c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967"/>
      <c r="NF84" s="8">
        <f t="shared" si="68"/>
        <v>0</v>
      </c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967"/>
      <c r="OF84" s="8">
        <f t="shared" si="69"/>
        <v>0</v>
      </c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967"/>
      <c r="PF84" s="8">
        <f t="shared" si="70"/>
        <v>0</v>
      </c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967"/>
    </row>
    <row r="85" spans="2:447" x14ac:dyDescent="0.3">
      <c r="F85" s="8">
        <f t="shared" si="55"/>
        <v>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967"/>
      <c r="AF85" s="8">
        <f t="shared" si="56"/>
        <v>0</v>
      </c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67"/>
      <c r="BF85" s="8">
        <f t="shared" si="71"/>
        <v>0</v>
      </c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967"/>
      <c r="CF85" s="8">
        <f t="shared" si="58"/>
        <v>0</v>
      </c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967"/>
      <c r="DF85" s="8">
        <f t="shared" si="59"/>
        <v>0</v>
      </c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967"/>
      <c r="EF85" s="8">
        <f t="shared" si="60"/>
        <v>0</v>
      </c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967"/>
      <c r="FF85" s="8">
        <f t="shared" si="54"/>
        <v>0</v>
      </c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967"/>
      <c r="GF85" s="8">
        <f t="shared" si="61"/>
        <v>0</v>
      </c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967"/>
      <c r="HF85" s="8">
        <f t="shared" si="62"/>
        <v>0</v>
      </c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>
        <v>0</v>
      </c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967"/>
      <c r="IF85" s="8">
        <f t="shared" si="63"/>
        <v>0</v>
      </c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967"/>
      <c r="JF85" s="8">
        <f t="shared" si="64"/>
        <v>0</v>
      </c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967"/>
      <c r="KF85" s="8">
        <f t="shared" si="65"/>
        <v>0</v>
      </c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967"/>
      <c r="LF85" s="8">
        <f t="shared" si="66"/>
        <v>0</v>
      </c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967"/>
      <c r="MF85" s="8">
        <f t="shared" si="67"/>
        <v>0</v>
      </c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967"/>
      <c r="NF85" s="8">
        <f t="shared" si="68"/>
        <v>0</v>
      </c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967"/>
      <c r="OF85" s="8">
        <f t="shared" si="69"/>
        <v>0</v>
      </c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967"/>
      <c r="PF85" s="8">
        <f t="shared" si="70"/>
        <v>0</v>
      </c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967"/>
    </row>
    <row r="86" spans="2:447" x14ac:dyDescent="0.3">
      <c r="F86" s="8">
        <f t="shared" si="55"/>
        <v>0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967"/>
      <c r="AF86" s="8">
        <f t="shared" si="56"/>
        <v>0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67"/>
      <c r="BF86" s="8">
        <f t="shared" si="71"/>
        <v>0</v>
      </c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967"/>
      <c r="CF86" s="8">
        <f t="shared" si="58"/>
        <v>0</v>
      </c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967"/>
      <c r="DF86" s="8">
        <f t="shared" si="59"/>
        <v>0</v>
      </c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967"/>
      <c r="EF86" s="8">
        <f t="shared" si="60"/>
        <v>0</v>
      </c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967"/>
      <c r="FF86" s="8">
        <f t="shared" si="54"/>
        <v>0</v>
      </c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967"/>
      <c r="GF86" s="8">
        <f t="shared" si="61"/>
        <v>0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967"/>
      <c r="HF86" s="8">
        <f t="shared" si="62"/>
        <v>0</v>
      </c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>
        <v>0</v>
      </c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967"/>
      <c r="IF86" s="8">
        <f t="shared" si="63"/>
        <v>0</v>
      </c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967"/>
      <c r="JF86" s="8">
        <f t="shared" si="64"/>
        <v>0</v>
      </c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967"/>
      <c r="KF86" s="8">
        <f t="shared" si="65"/>
        <v>0</v>
      </c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967"/>
      <c r="LF86" s="8">
        <f t="shared" si="66"/>
        <v>0</v>
      </c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967"/>
      <c r="MF86" s="8">
        <f t="shared" si="67"/>
        <v>0</v>
      </c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967"/>
      <c r="NF86" s="8">
        <f t="shared" si="68"/>
        <v>0</v>
      </c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967"/>
      <c r="OF86" s="8">
        <f t="shared" si="69"/>
        <v>0</v>
      </c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967"/>
      <c r="PF86" s="8">
        <f t="shared" si="70"/>
        <v>0</v>
      </c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967"/>
    </row>
    <row r="87" spans="2:447" x14ac:dyDescent="0.3">
      <c r="F87" s="8">
        <f t="shared" si="55"/>
        <v>0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967"/>
      <c r="AF87" s="8">
        <f t="shared" si="56"/>
        <v>0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67"/>
      <c r="BF87" s="8">
        <f t="shared" si="71"/>
        <v>0</v>
      </c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967"/>
      <c r="CF87" s="8">
        <f t="shared" si="58"/>
        <v>0</v>
      </c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967"/>
      <c r="DF87" s="8">
        <f t="shared" si="59"/>
        <v>0</v>
      </c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967"/>
      <c r="EF87" s="8">
        <f t="shared" si="60"/>
        <v>0</v>
      </c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967"/>
      <c r="FF87" s="8">
        <f t="shared" si="54"/>
        <v>0</v>
      </c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967"/>
      <c r="GF87" s="8">
        <f t="shared" si="61"/>
        <v>0</v>
      </c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967"/>
      <c r="HF87" s="8">
        <f t="shared" si="62"/>
        <v>0</v>
      </c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>
        <v>0</v>
      </c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967"/>
      <c r="IF87" s="8">
        <f t="shared" si="63"/>
        <v>0</v>
      </c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967"/>
      <c r="JF87" s="8">
        <f t="shared" si="64"/>
        <v>0</v>
      </c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967"/>
      <c r="KF87" s="8">
        <f t="shared" si="65"/>
        <v>0</v>
      </c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967"/>
      <c r="LF87" s="8">
        <f t="shared" si="66"/>
        <v>0</v>
      </c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967"/>
      <c r="MF87" s="8">
        <f t="shared" si="67"/>
        <v>0</v>
      </c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967"/>
      <c r="NF87" s="8">
        <f t="shared" si="68"/>
        <v>0</v>
      </c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967"/>
      <c r="OF87" s="8">
        <f t="shared" si="69"/>
        <v>0</v>
      </c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967"/>
      <c r="PF87" s="8">
        <f t="shared" si="70"/>
        <v>0</v>
      </c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967"/>
    </row>
    <row r="88" spans="2:447" x14ac:dyDescent="0.3">
      <c r="F88" s="8">
        <f t="shared" si="55"/>
        <v>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967"/>
      <c r="AF88" s="8">
        <f t="shared" si="56"/>
        <v>0</v>
      </c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67"/>
      <c r="BF88" s="8">
        <f t="shared" si="71"/>
        <v>0</v>
      </c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967"/>
      <c r="CF88" s="8">
        <f t="shared" si="58"/>
        <v>0</v>
      </c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967"/>
      <c r="DF88" s="8">
        <f t="shared" si="59"/>
        <v>0</v>
      </c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967"/>
      <c r="EF88" s="8">
        <f t="shared" si="60"/>
        <v>0</v>
      </c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967"/>
      <c r="FF88" s="8">
        <f t="shared" si="54"/>
        <v>0</v>
      </c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967"/>
      <c r="GF88" s="8">
        <f t="shared" si="61"/>
        <v>0</v>
      </c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967"/>
      <c r="HF88" s="8">
        <f t="shared" si="62"/>
        <v>0</v>
      </c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>
        <v>0</v>
      </c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967"/>
      <c r="IF88" s="8">
        <f t="shared" si="63"/>
        <v>0</v>
      </c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967"/>
      <c r="JF88" s="8">
        <f t="shared" si="64"/>
        <v>0</v>
      </c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967"/>
      <c r="KF88" s="8">
        <f t="shared" si="65"/>
        <v>0</v>
      </c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967"/>
      <c r="LF88" s="8">
        <f t="shared" si="66"/>
        <v>0</v>
      </c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967"/>
      <c r="MF88" s="8">
        <f t="shared" si="67"/>
        <v>0</v>
      </c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967"/>
      <c r="NF88" s="8">
        <f t="shared" si="68"/>
        <v>0</v>
      </c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967"/>
      <c r="OF88" s="8">
        <f t="shared" si="69"/>
        <v>0</v>
      </c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967"/>
      <c r="PF88" s="8">
        <f t="shared" si="70"/>
        <v>0</v>
      </c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967"/>
    </row>
    <row r="89" spans="2:447" x14ac:dyDescent="0.3">
      <c r="F89" s="8">
        <f t="shared" si="55"/>
        <v>0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967"/>
      <c r="AF89" s="8">
        <f t="shared" si="56"/>
        <v>0</v>
      </c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67"/>
      <c r="BF89" s="8">
        <f t="shared" si="71"/>
        <v>0</v>
      </c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967"/>
      <c r="CF89" s="8">
        <f t="shared" si="58"/>
        <v>0</v>
      </c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967"/>
      <c r="DF89" s="8">
        <f t="shared" si="59"/>
        <v>0</v>
      </c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967"/>
      <c r="EF89" s="8">
        <f t="shared" si="60"/>
        <v>0</v>
      </c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967"/>
      <c r="FF89" s="8">
        <f t="shared" si="54"/>
        <v>0</v>
      </c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967"/>
      <c r="GF89" s="8">
        <f t="shared" si="61"/>
        <v>0</v>
      </c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967"/>
      <c r="HF89" s="8">
        <f t="shared" si="62"/>
        <v>0</v>
      </c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>
        <v>0</v>
      </c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967"/>
      <c r="IF89" s="8">
        <f t="shared" si="63"/>
        <v>0</v>
      </c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967"/>
      <c r="JF89" s="8">
        <f t="shared" si="64"/>
        <v>0</v>
      </c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967"/>
      <c r="KF89" s="8">
        <f t="shared" si="65"/>
        <v>0</v>
      </c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967"/>
      <c r="LF89" s="8">
        <f t="shared" si="66"/>
        <v>0</v>
      </c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967"/>
      <c r="MF89" s="8">
        <f t="shared" si="67"/>
        <v>0</v>
      </c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967"/>
      <c r="NF89" s="8">
        <f t="shared" si="68"/>
        <v>0</v>
      </c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967"/>
      <c r="OF89" s="8">
        <f t="shared" si="69"/>
        <v>0</v>
      </c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967"/>
      <c r="PF89" s="8">
        <f t="shared" si="70"/>
        <v>0</v>
      </c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967"/>
    </row>
    <row r="90" spans="2:447" x14ac:dyDescent="0.3">
      <c r="F90" s="8">
        <f t="shared" si="55"/>
        <v>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967"/>
      <c r="AF90" s="8">
        <f t="shared" si="56"/>
        <v>0</v>
      </c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67"/>
      <c r="BF90" s="8">
        <f t="shared" si="71"/>
        <v>0</v>
      </c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967"/>
      <c r="CF90" s="8">
        <f t="shared" si="58"/>
        <v>0</v>
      </c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967"/>
      <c r="DF90" s="8">
        <f t="shared" si="59"/>
        <v>0</v>
      </c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967"/>
      <c r="EF90" s="8">
        <f t="shared" si="60"/>
        <v>0</v>
      </c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967"/>
      <c r="FF90" s="8">
        <f t="shared" si="54"/>
        <v>0</v>
      </c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967"/>
      <c r="GF90" s="8">
        <f t="shared" si="61"/>
        <v>0</v>
      </c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967"/>
      <c r="HF90" s="8">
        <f t="shared" si="62"/>
        <v>0</v>
      </c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>
        <v>0</v>
      </c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967"/>
      <c r="IF90" s="8">
        <f t="shared" si="63"/>
        <v>0</v>
      </c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967"/>
      <c r="JF90" s="8">
        <f t="shared" si="64"/>
        <v>0</v>
      </c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967"/>
      <c r="KF90" s="8">
        <f t="shared" si="65"/>
        <v>0</v>
      </c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967"/>
      <c r="LF90" s="8">
        <f t="shared" si="66"/>
        <v>0</v>
      </c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967"/>
      <c r="MF90" s="8">
        <f t="shared" si="67"/>
        <v>0</v>
      </c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967"/>
      <c r="NF90" s="8">
        <f t="shared" si="68"/>
        <v>0</v>
      </c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967"/>
      <c r="OF90" s="8">
        <f t="shared" si="69"/>
        <v>0</v>
      </c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967"/>
      <c r="PF90" s="8">
        <f t="shared" si="70"/>
        <v>0</v>
      </c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967"/>
    </row>
    <row r="91" spans="2:447" x14ac:dyDescent="0.3">
      <c r="F91" s="8">
        <f t="shared" si="55"/>
        <v>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967"/>
      <c r="AF91" s="8">
        <f t="shared" si="56"/>
        <v>0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67"/>
      <c r="BF91" s="8">
        <f t="shared" si="71"/>
        <v>0</v>
      </c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967"/>
      <c r="CF91" s="8">
        <f t="shared" si="58"/>
        <v>0</v>
      </c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967"/>
      <c r="DF91" s="8">
        <f t="shared" si="59"/>
        <v>0</v>
      </c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967"/>
      <c r="EF91" s="8">
        <f t="shared" si="60"/>
        <v>0</v>
      </c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967"/>
      <c r="FF91" s="8">
        <f t="shared" si="54"/>
        <v>0</v>
      </c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967"/>
      <c r="GF91" s="8">
        <f t="shared" si="61"/>
        <v>0</v>
      </c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967"/>
      <c r="HF91" s="8">
        <f t="shared" si="62"/>
        <v>0</v>
      </c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>
        <v>0</v>
      </c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967"/>
      <c r="IF91" s="8">
        <f t="shared" si="63"/>
        <v>0</v>
      </c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967"/>
      <c r="JF91" s="8">
        <f t="shared" si="64"/>
        <v>0</v>
      </c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967"/>
      <c r="KF91" s="8">
        <f t="shared" si="65"/>
        <v>0</v>
      </c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967"/>
      <c r="LF91" s="8">
        <f t="shared" si="66"/>
        <v>0</v>
      </c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967"/>
      <c r="MF91" s="8">
        <f t="shared" si="67"/>
        <v>0</v>
      </c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967"/>
      <c r="NF91" s="8">
        <f t="shared" si="68"/>
        <v>0</v>
      </c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967"/>
      <c r="OF91" s="8">
        <f t="shared" si="69"/>
        <v>0</v>
      </c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967"/>
      <c r="PF91" s="8">
        <f t="shared" ref="PF91" si="72">SUM(PG91:QD91)</f>
        <v>0</v>
      </c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967"/>
    </row>
    <row r="92" spans="2:447" x14ac:dyDescent="0.3">
      <c r="F92" s="8">
        <f t="shared" si="55"/>
        <v>0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967"/>
      <c r="AF92" s="8">
        <f t="shared" si="56"/>
        <v>0</v>
      </c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67"/>
      <c r="BF92" s="8">
        <f t="shared" si="71"/>
        <v>0</v>
      </c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967"/>
      <c r="CF92" s="8">
        <f t="shared" si="58"/>
        <v>0</v>
      </c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967"/>
      <c r="DF92" s="8">
        <f t="shared" si="59"/>
        <v>0</v>
      </c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967"/>
      <c r="EF92" s="8">
        <f t="shared" ref="EF92:EF105" si="73">SUM(EG92:FD92)</f>
        <v>0</v>
      </c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967"/>
      <c r="FF92" s="8">
        <f t="shared" si="54"/>
        <v>0</v>
      </c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967"/>
      <c r="GF92" s="8">
        <f t="shared" ref="GF92:GF105" si="74">SUM(GG92:HD92)</f>
        <v>0</v>
      </c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967"/>
      <c r="HF92" s="8">
        <f t="shared" si="62"/>
        <v>0</v>
      </c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>
        <v>0</v>
      </c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967"/>
      <c r="IF92" s="8">
        <f t="shared" si="63"/>
        <v>0</v>
      </c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967"/>
      <c r="JF92" s="8">
        <f t="shared" si="64"/>
        <v>0</v>
      </c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967"/>
      <c r="KF92" s="8">
        <f t="shared" si="65"/>
        <v>0</v>
      </c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967"/>
      <c r="LF92" s="8">
        <f t="shared" si="66"/>
        <v>0</v>
      </c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967"/>
      <c r="MF92" s="8">
        <f t="shared" si="67"/>
        <v>0</v>
      </c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967"/>
      <c r="NF92" s="8">
        <f t="shared" si="68"/>
        <v>0</v>
      </c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967"/>
      <c r="OF92" s="8">
        <f t="shared" si="69"/>
        <v>0</v>
      </c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967"/>
      <c r="PF92" s="8">
        <f t="shared" ref="PF92:PF105" si="75">SUM(PG92:QD92)</f>
        <v>0</v>
      </c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967"/>
    </row>
    <row r="93" spans="2:447" x14ac:dyDescent="0.3">
      <c r="F93" s="8">
        <f t="shared" si="55"/>
        <v>0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967"/>
      <c r="AF93" s="8">
        <f t="shared" si="56"/>
        <v>0</v>
      </c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67"/>
      <c r="BF93" s="8">
        <f t="shared" si="71"/>
        <v>0</v>
      </c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967"/>
      <c r="CF93" s="8">
        <f t="shared" si="58"/>
        <v>0</v>
      </c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967"/>
      <c r="DF93" s="8">
        <f t="shared" si="59"/>
        <v>0</v>
      </c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967"/>
      <c r="EF93" s="8">
        <f t="shared" si="73"/>
        <v>0</v>
      </c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967"/>
      <c r="FF93" s="8">
        <f t="shared" si="54"/>
        <v>0</v>
      </c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967"/>
      <c r="GF93" s="8">
        <f t="shared" si="74"/>
        <v>0</v>
      </c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967"/>
      <c r="HF93" s="8">
        <f t="shared" si="62"/>
        <v>0</v>
      </c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>
        <v>0</v>
      </c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967"/>
      <c r="IF93" s="8">
        <f t="shared" si="63"/>
        <v>0</v>
      </c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967"/>
      <c r="JF93" s="8">
        <f t="shared" si="64"/>
        <v>0</v>
      </c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967"/>
      <c r="KF93" s="8">
        <f t="shared" si="65"/>
        <v>0</v>
      </c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967"/>
      <c r="LF93" s="8">
        <f t="shared" si="66"/>
        <v>0</v>
      </c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967"/>
      <c r="MF93" s="8">
        <f t="shared" si="67"/>
        <v>0</v>
      </c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967"/>
      <c r="NF93" s="8">
        <f t="shared" si="68"/>
        <v>0</v>
      </c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967"/>
      <c r="OF93" s="8">
        <f t="shared" si="69"/>
        <v>0</v>
      </c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967"/>
      <c r="PF93" s="8">
        <f t="shared" si="75"/>
        <v>0</v>
      </c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967"/>
    </row>
    <row r="94" spans="2:447" x14ac:dyDescent="0.3">
      <c r="F94" s="8">
        <f t="shared" si="55"/>
        <v>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967"/>
      <c r="AF94" s="8">
        <f t="shared" si="56"/>
        <v>0</v>
      </c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67"/>
      <c r="BF94" s="8">
        <f t="shared" si="71"/>
        <v>0</v>
      </c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967"/>
      <c r="CF94" s="8">
        <f t="shared" si="58"/>
        <v>0</v>
      </c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967"/>
      <c r="DF94" s="8">
        <f t="shared" si="59"/>
        <v>0</v>
      </c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967"/>
      <c r="EF94" s="8">
        <f t="shared" si="73"/>
        <v>0</v>
      </c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967"/>
      <c r="FF94" s="8">
        <f t="shared" ref="FF94:FF105" si="76">SUM(FG94:GD94)</f>
        <v>0</v>
      </c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967"/>
      <c r="GF94" s="8">
        <f t="shared" si="74"/>
        <v>0</v>
      </c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967"/>
      <c r="HF94" s="8">
        <f t="shared" si="62"/>
        <v>0</v>
      </c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>
        <v>0</v>
      </c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967"/>
      <c r="IF94" s="8">
        <f t="shared" si="63"/>
        <v>0</v>
      </c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967"/>
      <c r="JF94" s="8">
        <f t="shared" si="64"/>
        <v>0</v>
      </c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967"/>
      <c r="KF94" s="8">
        <f t="shared" si="65"/>
        <v>0</v>
      </c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967"/>
      <c r="LF94" s="8">
        <f t="shared" si="66"/>
        <v>0</v>
      </c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967"/>
      <c r="MF94" s="8">
        <f t="shared" si="67"/>
        <v>0</v>
      </c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967"/>
      <c r="NF94" s="8">
        <f t="shared" si="68"/>
        <v>0</v>
      </c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967"/>
      <c r="OF94" s="8">
        <f t="shared" si="69"/>
        <v>0</v>
      </c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967"/>
      <c r="PF94" s="8">
        <f t="shared" si="75"/>
        <v>0</v>
      </c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967"/>
    </row>
    <row r="95" spans="2:447" x14ac:dyDescent="0.3">
      <c r="F95" s="8">
        <f t="shared" si="55"/>
        <v>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967"/>
      <c r="AF95" s="8">
        <f t="shared" si="56"/>
        <v>0</v>
      </c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67"/>
      <c r="BF95" s="8">
        <f t="shared" si="71"/>
        <v>0</v>
      </c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967"/>
      <c r="CF95" s="8">
        <f t="shared" si="58"/>
        <v>0</v>
      </c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967"/>
      <c r="DF95" s="8">
        <f t="shared" si="59"/>
        <v>0</v>
      </c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967"/>
      <c r="EF95" s="8">
        <f t="shared" si="73"/>
        <v>0</v>
      </c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967"/>
      <c r="FF95" s="8">
        <f t="shared" si="76"/>
        <v>0</v>
      </c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967"/>
      <c r="GF95" s="8">
        <f t="shared" si="74"/>
        <v>0</v>
      </c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967"/>
      <c r="HF95" s="8">
        <f t="shared" si="62"/>
        <v>0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>
        <v>0</v>
      </c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967"/>
      <c r="IF95" s="8">
        <f t="shared" si="63"/>
        <v>0</v>
      </c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967"/>
      <c r="JF95" s="8">
        <f t="shared" si="64"/>
        <v>0</v>
      </c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967"/>
      <c r="KF95" s="8">
        <f t="shared" si="65"/>
        <v>0</v>
      </c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967"/>
      <c r="LF95" s="8">
        <f t="shared" si="66"/>
        <v>0</v>
      </c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967"/>
      <c r="MF95" s="8">
        <f t="shared" si="67"/>
        <v>0</v>
      </c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967"/>
      <c r="NF95" s="8">
        <f t="shared" si="68"/>
        <v>0</v>
      </c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967"/>
      <c r="OF95" s="8">
        <f t="shared" si="69"/>
        <v>0</v>
      </c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967"/>
      <c r="PF95" s="8">
        <f t="shared" si="75"/>
        <v>0</v>
      </c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967"/>
    </row>
    <row r="96" spans="2:447" x14ac:dyDescent="0.3">
      <c r="F96" s="8">
        <f t="shared" si="55"/>
        <v>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967"/>
      <c r="AF96" s="8">
        <f t="shared" si="56"/>
        <v>0</v>
      </c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67"/>
      <c r="BF96" s="8">
        <f t="shared" si="71"/>
        <v>0</v>
      </c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967"/>
      <c r="CF96" s="8">
        <f t="shared" si="58"/>
        <v>0</v>
      </c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967"/>
      <c r="DF96" s="8">
        <f t="shared" si="59"/>
        <v>0</v>
      </c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967"/>
      <c r="EF96" s="8">
        <f t="shared" si="73"/>
        <v>0</v>
      </c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967"/>
      <c r="FF96" s="8">
        <f t="shared" si="76"/>
        <v>0</v>
      </c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967"/>
      <c r="GF96" s="8">
        <f t="shared" si="74"/>
        <v>0</v>
      </c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967"/>
      <c r="HF96" s="8">
        <f t="shared" si="62"/>
        <v>0</v>
      </c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>
        <v>0</v>
      </c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967"/>
      <c r="IF96" s="8">
        <f t="shared" si="63"/>
        <v>0</v>
      </c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967"/>
      <c r="JF96" s="8">
        <f t="shared" si="64"/>
        <v>0</v>
      </c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967"/>
      <c r="KF96" s="8">
        <f t="shared" si="65"/>
        <v>0</v>
      </c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967"/>
      <c r="LF96" s="8">
        <f t="shared" ref="LF96:LF105" si="77">SUM(LG96:MD96)</f>
        <v>0</v>
      </c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967"/>
      <c r="MF96" s="8">
        <f t="shared" si="67"/>
        <v>0</v>
      </c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967"/>
      <c r="NF96" s="8">
        <f t="shared" si="68"/>
        <v>0</v>
      </c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967"/>
      <c r="OF96" s="8">
        <f t="shared" si="69"/>
        <v>0</v>
      </c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967"/>
      <c r="PF96" s="8">
        <f t="shared" si="75"/>
        <v>0</v>
      </c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967"/>
    </row>
    <row r="97" spans="6:447" x14ac:dyDescent="0.3">
      <c r="F97" s="8">
        <f t="shared" si="55"/>
        <v>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967"/>
      <c r="AF97" s="8">
        <f t="shared" si="56"/>
        <v>0</v>
      </c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67"/>
      <c r="BF97" s="8">
        <f t="shared" si="71"/>
        <v>0</v>
      </c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967"/>
      <c r="CF97" s="8">
        <f t="shared" si="58"/>
        <v>0</v>
      </c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967"/>
      <c r="DF97" s="8">
        <f t="shared" ref="DF97:DF100" si="78">SUM(DG97:ED97)</f>
        <v>0</v>
      </c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967"/>
      <c r="EF97" s="8">
        <f t="shared" si="73"/>
        <v>0</v>
      </c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967"/>
      <c r="FF97" s="8">
        <f t="shared" si="76"/>
        <v>0</v>
      </c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967"/>
      <c r="GF97" s="8">
        <f t="shared" si="74"/>
        <v>0</v>
      </c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967"/>
      <c r="HF97" s="8">
        <f t="shared" si="62"/>
        <v>0</v>
      </c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>
        <v>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967"/>
      <c r="IF97" s="8">
        <f t="shared" ref="IF97:IF105" si="79">SUM(IG97:JD97)</f>
        <v>0</v>
      </c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967"/>
      <c r="JF97" s="8">
        <f t="shared" si="64"/>
        <v>0</v>
      </c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967"/>
      <c r="KF97" s="8">
        <f t="shared" si="65"/>
        <v>0</v>
      </c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967"/>
      <c r="LF97" s="8">
        <f t="shared" si="77"/>
        <v>0</v>
      </c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967"/>
      <c r="MF97" s="8">
        <f t="shared" si="67"/>
        <v>0</v>
      </c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967"/>
      <c r="NF97" s="8">
        <f t="shared" si="68"/>
        <v>0</v>
      </c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967"/>
      <c r="OF97" s="8">
        <f t="shared" si="69"/>
        <v>0</v>
      </c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967"/>
      <c r="PF97" s="8">
        <f t="shared" si="75"/>
        <v>0</v>
      </c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967"/>
    </row>
    <row r="98" spans="6:447" x14ac:dyDescent="0.3">
      <c r="F98" s="8">
        <f t="shared" si="55"/>
        <v>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967"/>
      <c r="AF98" s="8">
        <f t="shared" si="56"/>
        <v>0</v>
      </c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67"/>
      <c r="BF98" s="8">
        <f t="shared" ref="BF98:BF105" si="80">SUM(BG98:CD98)</f>
        <v>0</v>
      </c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967"/>
      <c r="CF98" s="8">
        <f t="shared" si="58"/>
        <v>0</v>
      </c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967"/>
      <c r="DF98" s="8">
        <f t="shared" si="78"/>
        <v>0</v>
      </c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967"/>
      <c r="EF98" s="8">
        <f t="shared" si="73"/>
        <v>0</v>
      </c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967"/>
      <c r="FF98" s="8">
        <f t="shared" si="76"/>
        <v>0</v>
      </c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967"/>
      <c r="GF98" s="8">
        <f t="shared" si="74"/>
        <v>0</v>
      </c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967"/>
      <c r="HF98" s="8">
        <f t="shared" si="62"/>
        <v>0</v>
      </c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>
        <v>0</v>
      </c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967"/>
      <c r="IF98" s="8">
        <f t="shared" si="79"/>
        <v>0</v>
      </c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967"/>
      <c r="JF98" s="8">
        <f t="shared" si="64"/>
        <v>0</v>
      </c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967"/>
      <c r="KF98" s="8">
        <f t="shared" si="65"/>
        <v>0</v>
      </c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967"/>
      <c r="LF98" s="8">
        <f t="shared" si="77"/>
        <v>0</v>
      </c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967"/>
      <c r="MF98" s="8">
        <f t="shared" si="67"/>
        <v>0</v>
      </c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967"/>
      <c r="NF98" s="8">
        <f t="shared" si="68"/>
        <v>0</v>
      </c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967"/>
      <c r="OF98" s="8">
        <f t="shared" si="69"/>
        <v>0</v>
      </c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967"/>
      <c r="PF98" s="8">
        <f t="shared" si="75"/>
        <v>0</v>
      </c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967"/>
    </row>
    <row r="99" spans="6:447" x14ac:dyDescent="0.3">
      <c r="F99" s="8">
        <f t="shared" si="55"/>
        <v>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967"/>
      <c r="AF99" s="8">
        <f t="shared" si="56"/>
        <v>0</v>
      </c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67"/>
      <c r="BF99" s="8">
        <f t="shared" si="80"/>
        <v>0</v>
      </c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967"/>
      <c r="CF99" s="8">
        <f t="shared" si="58"/>
        <v>0</v>
      </c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967"/>
      <c r="DF99" s="8">
        <f t="shared" si="78"/>
        <v>0</v>
      </c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967"/>
      <c r="EF99" s="8">
        <f t="shared" si="73"/>
        <v>0</v>
      </c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967"/>
      <c r="FF99" s="8">
        <f t="shared" si="76"/>
        <v>0</v>
      </c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967"/>
      <c r="GF99" s="8">
        <f t="shared" si="74"/>
        <v>0</v>
      </c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967"/>
      <c r="HF99" s="8">
        <f t="shared" ref="HF99:HF105" si="81">SUM(HG99:ID99)</f>
        <v>0</v>
      </c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>
        <v>0</v>
      </c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967"/>
      <c r="IF99" s="8">
        <f t="shared" si="79"/>
        <v>0</v>
      </c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967"/>
      <c r="JF99" s="8">
        <f t="shared" si="64"/>
        <v>0</v>
      </c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967"/>
      <c r="KF99" s="8">
        <f t="shared" si="65"/>
        <v>0</v>
      </c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967"/>
      <c r="LF99" s="8">
        <f t="shared" si="77"/>
        <v>0</v>
      </c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967"/>
      <c r="MF99" s="8">
        <f t="shared" ref="MF99:MF105" si="82">SUM(MG99:ND99)</f>
        <v>0</v>
      </c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967"/>
      <c r="NF99" s="8">
        <f t="shared" ref="NF99:NF105" si="83">SUM(NG99:OD99)</f>
        <v>0</v>
      </c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967"/>
      <c r="OF99" s="8">
        <f t="shared" si="69"/>
        <v>0</v>
      </c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967"/>
      <c r="PF99" s="8">
        <f t="shared" si="75"/>
        <v>0</v>
      </c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967"/>
    </row>
    <row r="100" spans="6:447" x14ac:dyDescent="0.3">
      <c r="F100" s="8">
        <f t="shared" si="55"/>
        <v>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967"/>
      <c r="AF100" s="8">
        <f t="shared" si="56"/>
        <v>0</v>
      </c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67"/>
      <c r="BF100" s="8">
        <f t="shared" si="80"/>
        <v>0</v>
      </c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967"/>
      <c r="CF100" s="8">
        <f t="shared" si="58"/>
        <v>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967"/>
      <c r="DF100" s="8">
        <f t="shared" si="78"/>
        <v>0</v>
      </c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967"/>
      <c r="EF100" s="8">
        <f t="shared" si="73"/>
        <v>0</v>
      </c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967"/>
      <c r="FF100" s="8">
        <f t="shared" si="76"/>
        <v>0</v>
      </c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967"/>
      <c r="GF100" s="8">
        <f t="shared" si="74"/>
        <v>0</v>
      </c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967"/>
      <c r="HF100" s="8">
        <f t="shared" si="81"/>
        <v>0</v>
      </c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>
        <v>0</v>
      </c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967"/>
      <c r="IF100" s="8">
        <f t="shared" si="79"/>
        <v>0</v>
      </c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967"/>
      <c r="JF100" s="8">
        <f t="shared" si="64"/>
        <v>0</v>
      </c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967"/>
      <c r="KF100" s="8">
        <f t="shared" ref="KF100:KF105" si="84">SUM(KG100:LD100)</f>
        <v>0</v>
      </c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967"/>
      <c r="LF100" s="8">
        <f t="shared" si="77"/>
        <v>0</v>
      </c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967"/>
      <c r="MF100" s="8">
        <f t="shared" si="82"/>
        <v>0</v>
      </c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967"/>
      <c r="NF100" s="8">
        <f t="shared" si="83"/>
        <v>0</v>
      </c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967"/>
      <c r="OF100" s="8">
        <f t="shared" si="69"/>
        <v>0</v>
      </c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967"/>
      <c r="PF100" s="8">
        <f t="shared" si="75"/>
        <v>0</v>
      </c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967"/>
    </row>
    <row r="101" spans="6:447" x14ac:dyDescent="0.3">
      <c r="F101" s="8">
        <f t="shared" si="55"/>
        <v>0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967"/>
      <c r="AF101" s="8">
        <f t="shared" si="56"/>
        <v>0</v>
      </c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67"/>
      <c r="BF101" s="8">
        <f t="shared" si="80"/>
        <v>0</v>
      </c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967"/>
      <c r="CF101" s="8">
        <f t="shared" si="58"/>
        <v>0</v>
      </c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967"/>
      <c r="DF101" s="8">
        <f t="shared" ref="DF101:DF105" si="85">SUM(DG101:ED101)</f>
        <v>0</v>
      </c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967"/>
      <c r="EF101" s="8">
        <f t="shared" si="73"/>
        <v>0</v>
      </c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967"/>
      <c r="FF101" s="8">
        <f t="shared" si="76"/>
        <v>0</v>
      </c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967"/>
      <c r="GF101" s="8">
        <f t="shared" si="74"/>
        <v>0</v>
      </c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967"/>
      <c r="HF101" s="8">
        <f t="shared" si="81"/>
        <v>0</v>
      </c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>
        <v>0</v>
      </c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967"/>
      <c r="IF101" s="8">
        <f t="shared" si="79"/>
        <v>0</v>
      </c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967"/>
      <c r="JF101" s="8">
        <f t="shared" ref="JF101:JF105" si="86">SUM(JG101:KD101)</f>
        <v>0</v>
      </c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967"/>
      <c r="KF101" s="8">
        <f t="shared" si="84"/>
        <v>0</v>
      </c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967"/>
      <c r="LF101" s="8">
        <f t="shared" si="77"/>
        <v>0</v>
      </c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967"/>
      <c r="MF101" s="8">
        <f t="shared" si="82"/>
        <v>0</v>
      </c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967"/>
      <c r="NF101" s="8">
        <f t="shared" si="83"/>
        <v>0</v>
      </c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967"/>
      <c r="OF101" s="8">
        <f t="shared" ref="OF101:OF105" si="87">SUM(OG101:PD101)</f>
        <v>0</v>
      </c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967"/>
      <c r="PF101" s="8">
        <f t="shared" si="75"/>
        <v>0</v>
      </c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967"/>
    </row>
    <row r="102" spans="6:447" x14ac:dyDescent="0.3">
      <c r="F102" s="8">
        <f t="shared" si="55"/>
        <v>0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967"/>
      <c r="AF102" s="8">
        <f t="shared" si="56"/>
        <v>0</v>
      </c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67"/>
      <c r="BF102" s="8">
        <f t="shared" si="80"/>
        <v>0</v>
      </c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967"/>
      <c r="CF102" s="8">
        <f t="shared" si="58"/>
        <v>0</v>
      </c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967"/>
      <c r="DF102" s="8">
        <f t="shared" si="85"/>
        <v>0</v>
      </c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967"/>
      <c r="EF102" s="8">
        <f t="shared" si="73"/>
        <v>0</v>
      </c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967"/>
      <c r="FF102" s="8">
        <f t="shared" si="76"/>
        <v>0</v>
      </c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967"/>
      <c r="GF102" s="8">
        <f t="shared" si="74"/>
        <v>0</v>
      </c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967"/>
      <c r="HF102" s="8">
        <f t="shared" si="81"/>
        <v>0</v>
      </c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>
        <v>0</v>
      </c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967"/>
      <c r="IF102" s="8">
        <f t="shared" si="79"/>
        <v>0</v>
      </c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967"/>
      <c r="JF102" s="8">
        <f t="shared" si="86"/>
        <v>0</v>
      </c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967"/>
      <c r="KF102" s="8">
        <f t="shared" si="84"/>
        <v>0</v>
      </c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967"/>
      <c r="LF102" s="8">
        <f t="shared" si="77"/>
        <v>0</v>
      </c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967"/>
      <c r="MF102" s="8">
        <f t="shared" si="82"/>
        <v>0</v>
      </c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967"/>
      <c r="NF102" s="8">
        <f t="shared" si="83"/>
        <v>0</v>
      </c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967"/>
      <c r="OF102" s="8">
        <f t="shared" si="87"/>
        <v>0</v>
      </c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967"/>
      <c r="PF102" s="8">
        <f t="shared" si="75"/>
        <v>0</v>
      </c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967"/>
    </row>
    <row r="103" spans="6:447" x14ac:dyDescent="0.3">
      <c r="F103" s="8">
        <f t="shared" si="55"/>
        <v>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967"/>
      <c r="AF103" s="8">
        <f t="shared" si="56"/>
        <v>0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67"/>
      <c r="BF103" s="8">
        <f t="shared" si="80"/>
        <v>0</v>
      </c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967"/>
      <c r="CF103" s="8">
        <f t="shared" si="58"/>
        <v>0</v>
      </c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967"/>
      <c r="DF103" s="8">
        <f t="shared" si="85"/>
        <v>0</v>
      </c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967"/>
      <c r="EF103" s="8">
        <f t="shared" si="73"/>
        <v>0</v>
      </c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967"/>
      <c r="FF103" s="8">
        <f t="shared" si="76"/>
        <v>0</v>
      </c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967"/>
      <c r="GF103" s="8">
        <f t="shared" si="74"/>
        <v>0</v>
      </c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967"/>
      <c r="HF103" s="8">
        <f t="shared" si="81"/>
        <v>0</v>
      </c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>
        <v>0</v>
      </c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967"/>
      <c r="IF103" s="8">
        <f t="shared" si="79"/>
        <v>0</v>
      </c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967"/>
      <c r="JF103" s="8">
        <f t="shared" si="86"/>
        <v>0</v>
      </c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967"/>
      <c r="KF103" s="8">
        <f t="shared" si="84"/>
        <v>0</v>
      </c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967"/>
      <c r="LF103" s="8">
        <f t="shared" si="77"/>
        <v>0</v>
      </c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967"/>
      <c r="MF103" s="8">
        <f t="shared" si="82"/>
        <v>0</v>
      </c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967"/>
      <c r="NF103" s="8">
        <f t="shared" si="83"/>
        <v>0</v>
      </c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967"/>
      <c r="OF103" s="8">
        <f t="shared" si="87"/>
        <v>0</v>
      </c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967"/>
      <c r="PF103" s="8">
        <f t="shared" si="75"/>
        <v>0</v>
      </c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967"/>
    </row>
    <row r="104" spans="6:447" x14ac:dyDescent="0.3">
      <c r="F104" s="8">
        <f t="shared" si="55"/>
        <v>0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967"/>
      <c r="AF104" s="8">
        <f t="shared" si="56"/>
        <v>0</v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67"/>
      <c r="BF104" s="8">
        <f t="shared" si="80"/>
        <v>0</v>
      </c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967"/>
      <c r="CF104" s="8">
        <f t="shared" si="58"/>
        <v>0</v>
      </c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967"/>
      <c r="DF104" s="8">
        <f t="shared" si="85"/>
        <v>0</v>
      </c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967"/>
      <c r="EF104" s="8">
        <f t="shared" si="73"/>
        <v>0</v>
      </c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967"/>
      <c r="FF104" s="8">
        <f t="shared" si="76"/>
        <v>0</v>
      </c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967"/>
      <c r="GF104" s="8">
        <f t="shared" si="74"/>
        <v>0</v>
      </c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967"/>
      <c r="HF104" s="8">
        <f t="shared" si="81"/>
        <v>0</v>
      </c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>
        <v>0</v>
      </c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967"/>
      <c r="IF104" s="8">
        <f t="shared" si="79"/>
        <v>0</v>
      </c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967"/>
      <c r="JF104" s="8">
        <f t="shared" si="86"/>
        <v>0</v>
      </c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967"/>
      <c r="KF104" s="8">
        <f t="shared" si="84"/>
        <v>0</v>
      </c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967"/>
      <c r="LF104" s="8">
        <f t="shared" si="77"/>
        <v>0</v>
      </c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967"/>
      <c r="MF104" s="8">
        <f t="shared" si="82"/>
        <v>0</v>
      </c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967"/>
      <c r="NF104" s="8">
        <f t="shared" si="83"/>
        <v>0</v>
      </c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967"/>
      <c r="OF104" s="8">
        <f t="shared" si="87"/>
        <v>0</v>
      </c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967"/>
      <c r="PF104" s="8">
        <f t="shared" si="75"/>
        <v>0</v>
      </c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967"/>
    </row>
    <row r="105" spans="6:447" x14ac:dyDescent="0.3">
      <c r="F105" s="8">
        <f t="shared" si="55"/>
        <v>0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967"/>
      <c r="AF105" s="8">
        <f t="shared" si="56"/>
        <v>0</v>
      </c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67"/>
      <c r="BF105" s="8">
        <f t="shared" si="80"/>
        <v>0</v>
      </c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967"/>
      <c r="CF105" s="8">
        <f t="shared" ref="CF105" si="88">SUM(CG105:DD105)</f>
        <v>0</v>
      </c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967"/>
      <c r="DF105" s="8">
        <f t="shared" si="85"/>
        <v>0</v>
      </c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967"/>
      <c r="EF105" s="8">
        <f t="shared" si="73"/>
        <v>0</v>
      </c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967"/>
      <c r="FF105" s="8">
        <f t="shared" si="76"/>
        <v>0</v>
      </c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967"/>
      <c r="GF105" s="8">
        <f t="shared" si="74"/>
        <v>0</v>
      </c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967"/>
      <c r="HF105" s="8">
        <f t="shared" si="81"/>
        <v>0</v>
      </c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>
        <v>0</v>
      </c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967"/>
      <c r="IF105" s="8">
        <f t="shared" si="79"/>
        <v>0</v>
      </c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967"/>
      <c r="JF105" s="8">
        <f t="shared" si="86"/>
        <v>0</v>
      </c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967"/>
      <c r="KF105" s="8">
        <f t="shared" si="84"/>
        <v>0</v>
      </c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967"/>
      <c r="LF105" s="8">
        <f t="shared" si="77"/>
        <v>0</v>
      </c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967"/>
      <c r="MF105" s="8">
        <f t="shared" si="82"/>
        <v>0</v>
      </c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967"/>
      <c r="NF105" s="8">
        <f t="shared" si="83"/>
        <v>0</v>
      </c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967"/>
      <c r="OF105" s="8">
        <f t="shared" si="87"/>
        <v>0</v>
      </c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967"/>
      <c r="PF105" s="8">
        <f t="shared" si="75"/>
        <v>0</v>
      </c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967"/>
    </row>
    <row r="106" spans="6:447" x14ac:dyDescent="0.3">
      <c r="AE106" s="967"/>
      <c r="BE106" s="967"/>
      <c r="CE106" s="967"/>
      <c r="DE106" s="967"/>
      <c r="EE106" s="967"/>
      <c r="FE106" s="967"/>
      <c r="GE106" s="967"/>
      <c r="HE106" s="967"/>
      <c r="IE106" s="967"/>
      <c r="JE106" s="967"/>
      <c r="KE106" s="967"/>
      <c r="LE106" s="967"/>
      <c r="ME106" s="967"/>
      <c r="NE106" s="967"/>
      <c r="OE106" s="967"/>
      <c r="PE106" s="967"/>
      <c r="QE106" s="967"/>
    </row>
    <row r="107" spans="6:447" x14ac:dyDescent="0.3">
      <c r="AE107" s="967"/>
      <c r="BE107" s="967"/>
      <c r="CE107" s="967"/>
      <c r="DE107" s="967"/>
      <c r="EE107" s="967"/>
      <c r="FE107" s="967"/>
      <c r="GE107" s="967"/>
      <c r="HE107" s="967"/>
      <c r="IE107" s="967"/>
      <c r="JE107" s="967"/>
      <c r="KE107" s="967"/>
      <c r="LE107" s="967"/>
      <c r="ME107" s="967"/>
      <c r="NE107" s="967"/>
      <c r="OE107" s="967"/>
      <c r="PE107" s="967"/>
      <c r="QE107" s="967"/>
    </row>
    <row r="108" spans="6:447" x14ac:dyDescent="0.3">
      <c r="AE108" s="967"/>
      <c r="BE108" s="967"/>
      <c r="CE108" s="967"/>
      <c r="DE108" s="967"/>
      <c r="EE108" s="967"/>
      <c r="FE108" s="967"/>
      <c r="GE108" s="967"/>
      <c r="HE108" s="967"/>
      <c r="IE108" s="967"/>
      <c r="JE108" s="967"/>
      <c r="KE108" s="967"/>
      <c r="LE108" s="967"/>
      <c r="ME108" s="967"/>
      <c r="NE108" s="967"/>
      <c r="OE108" s="967"/>
      <c r="PE108" s="967"/>
      <c r="QE108" s="967"/>
    </row>
    <row r="109" spans="6:447" x14ac:dyDescent="0.3">
      <c r="AE109" s="967"/>
      <c r="BE109" s="967"/>
      <c r="CE109" s="967"/>
      <c r="DE109" s="967"/>
      <c r="EE109" s="967"/>
      <c r="FE109" s="967"/>
      <c r="GE109" s="967"/>
      <c r="HE109" s="967"/>
      <c r="IE109" s="967"/>
      <c r="JE109" s="967"/>
      <c r="KE109" s="967"/>
      <c r="LE109" s="967"/>
      <c r="ME109" s="967"/>
      <c r="NE109" s="967"/>
      <c r="OE109" s="967"/>
      <c r="PE109" s="967"/>
      <c r="QE109" s="967"/>
    </row>
    <row r="110" spans="6:447" x14ac:dyDescent="0.3">
      <c r="AE110" s="967"/>
      <c r="BE110" s="967"/>
      <c r="CE110" s="967"/>
      <c r="DE110" s="967"/>
      <c r="EE110" s="967"/>
      <c r="FE110" s="967"/>
      <c r="GE110" s="967"/>
      <c r="HE110" s="967"/>
      <c r="IE110" s="967"/>
      <c r="JE110" s="967"/>
      <c r="KE110" s="967"/>
      <c r="LE110" s="967"/>
      <c r="ME110" s="967"/>
      <c r="NE110" s="967"/>
      <c r="OE110" s="967"/>
      <c r="PE110" s="967"/>
      <c r="QE110" s="967"/>
    </row>
    <row r="111" spans="6:447" x14ac:dyDescent="0.3">
      <c r="AE111" s="967"/>
      <c r="BE111" s="967"/>
      <c r="CE111" s="967"/>
      <c r="DE111" s="967"/>
      <c r="EE111" s="967"/>
      <c r="FE111" s="967"/>
      <c r="GE111" s="967"/>
      <c r="HE111" s="967"/>
      <c r="IE111" s="967"/>
      <c r="JE111" s="967"/>
      <c r="KE111" s="967"/>
      <c r="LE111" s="967"/>
      <c r="ME111" s="967"/>
      <c r="NE111" s="967"/>
      <c r="OE111" s="967"/>
      <c r="PE111" s="967"/>
      <c r="QE111" s="967"/>
    </row>
    <row r="112" spans="6:447" x14ac:dyDescent="0.3">
      <c r="AE112" s="967"/>
      <c r="BE112" s="967"/>
      <c r="CE112" s="967"/>
      <c r="DE112" s="967"/>
      <c r="EE112" s="967"/>
      <c r="FE112" s="967"/>
      <c r="GE112" s="967"/>
      <c r="HE112" s="967"/>
      <c r="IE112" s="967"/>
      <c r="JE112" s="967"/>
      <c r="KE112" s="967"/>
      <c r="LE112" s="967"/>
      <c r="ME112" s="967"/>
      <c r="NE112" s="967"/>
      <c r="OE112" s="967"/>
      <c r="PE112" s="967"/>
      <c r="QE112" s="967"/>
    </row>
    <row r="113" spans="31:447" x14ac:dyDescent="0.3">
      <c r="AE113" s="967"/>
      <c r="BE113" s="967"/>
      <c r="CE113" s="967"/>
      <c r="DE113" s="967"/>
      <c r="EE113" s="967"/>
      <c r="FE113" s="967"/>
      <c r="GE113" s="967"/>
      <c r="HE113" s="967"/>
      <c r="IE113" s="967"/>
      <c r="JE113" s="967"/>
      <c r="KE113" s="967"/>
      <c r="LE113" s="967"/>
      <c r="ME113" s="967"/>
      <c r="NE113" s="967"/>
      <c r="OE113" s="967"/>
      <c r="PE113" s="967"/>
      <c r="QE113" s="967"/>
    </row>
    <row r="114" spans="31:447" x14ac:dyDescent="0.3">
      <c r="AE114" s="967"/>
      <c r="BE114" s="967"/>
      <c r="CE114" s="967"/>
      <c r="DE114" s="967"/>
      <c r="EE114" s="967"/>
      <c r="FE114" s="967"/>
      <c r="GE114" s="967"/>
      <c r="HE114" s="967"/>
      <c r="IE114" s="967"/>
      <c r="JE114" s="967"/>
      <c r="KE114" s="967"/>
      <c r="LE114" s="967"/>
      <c r="ME114" s="967"/>
      <c r="NE114" s="967"/>
      <c r="OE114" s="967"/>
      <c r="PE114" s="967"/>
      <c r="QE114" s="967"/>
    </row>
    <row r="115" spans="31:447" x14ac:dyDescent="0.3">
      <c r="AE115" s="967"/>
      <c r="BE115" s="967"/>
      <c r="CE115" s="967"/>
      <c r="DE115" s="967"/>
      <c r="EE115" s="967"/>
      <c r="FE115" s="967"/>
      <c r="GE115" s="967"/>
      <c r="HE115" s="967"/>
      <c r="IE115" s="967"/>
      <c r="JE115" s="967"/>
      <c r="KE115" s="967"/>
      <c r="LE115" s="967"/>
      <c r="ME115" s="967"/>
      <c r="NE115" s="967"/>
      <c r="OE115" s="967"/>
      <c r="PE115" s="967"/>
      <c r="QE115" s="967"/>
    </row>
    <row r="116" spans="31:447" x14ac:dyDescent="0.3">
      <c r="AE116" s="967"/>
      <c r="BE116" s="967"/>
      <c r="CE116" s="967"/>
      <c r="DE116" s="967"/>
      <c r="EE116" s="967"/>
      <c r="FE116" s="967"/>
      <c r="GE116" s="967"/>
      <c r="HE116" s="967"/>
      <c r="IE116" s="967"/>
      <c r="JE116" s="967"/>
      <c r="KE116" s="967"/>
      <c r="LE116" s="967"/>
      <c r="ME116" s="967"/>
      <c r="NE116" s="967"/>
      <c r="OE116" s="967"/>
      <c r="PE116" s="967"/>
      <c r="QE116" s="967"/>
    </row>
    <row r="117" spans="31:447" x14ac:dyDescent="0.3">
      <c r="AE117" s="967"/>
      <c r="BE117" s="967"/>
      <c r="CE117" s="967"/>
      <c r="DE117" s="967"/>
      <c r="EE117" s="967"/>
      <c r="FE117" s="967"/>
      <c r="GE117" s="967"/>
      <c r="HE117" s="967"/>
      <c r="IE117" s="967"/>
      <c r="JE117" s="967"/>
      <c r="KE117" s="967"/>
      <c r="LE117" s="967"/>
      <c r="ME117" s="967"/>
      <c r="NE117" s="967"/>
      <c r="OE117" s="967"/>
      <c r="PE117" s="967"/>
      <c r="QE117" s="967"/>
    </row>
    <row r="118" spans="31:447" x14ac:dyDescent="0.3">
      <c r="AE118" s="967"/>
      <c r="BE118" s="967"/>
      <c r="CE118" s="967"/>
      <c r="DE118" s="967"/>
      <c r="EE118" s="967"/>
      <c r="FE118" s="967"/>
      <c r="GE118" s="967"/>
      <c r="HE118" s="967"/>
      <c r="IE118" s="967"/>
      <c r="JE118" s="967"/>
      <c r="KE118" s="967"/>
      <c r="LE118" s="967"/>
      <c r="ME118" s="967"/>
      <c r="NE118" s="967"/>
      <c r="OE118" s="967"/>
      <c r="PE118" s="967"/>
      <c r="QE118" s="967"/>
    </row>
    <row r="119" spans="31:447" x14ac:dyDescent="0.3">
      <c r="AE119" s="967"/>
      <c r="BE119" s="967"/>
      <c r="CE119" s="967"/>
      <c r="DE119" s="967"/>
      <c r="EE119" s="967"/>
      <c r="FE119" s="967"/>
      <c r="GE119" s="967"/>
      <c r="HE119" s="967"/>
      <c r="IE119" s="967"/>
      <c r="JE119" s="967"/>
      <c r="KE119" s="967"/>
      <c r="LE119" s="967"/>
      <c r="ME119" s="967"/>
      <c r="NE119" s="967"/>
      <c r="OE119" s="967"/>
      <c r="PE119" s="967"/>
      <c r="QE119" s="967"/>
    </row>
    <row r="120" spans="31:447" x14ac:dyDescent="0.3">
      <c r="AE120" s="967"/>
      <c r="BE120" s="967"/>
      <c r="CE120" s="967"/>
      <c r="DE120" s="967"/>
      <c r="EE120" s="967"/>
      <c r="FE120" s="967"/>
      <c r="GE120" s="967"/>
      <c r="HE120" s="967"/>
      <c r="IE120" s="967"/>
      <c r="JE120" s="967"/>
      <c r="KE120" s="967"/>
      <c r="LE120" s="967"/>
      <c r="ME120" s="967"/>
      <c r="NE120" s="967"/>
      <c r="OE120" s="967"/>
      <c r="PE120" s="967"/>
      <c r="QE120" s="967"/>
    </row>
    <row r="121" spans="31:447" x14ac:dyDescent="0.3">
      <c r="AE121" s="967"/>
      <c r="BE121" s="967"/>
      <c r="CE121" s="967"/>
      <c r="DE121" s="967"/>
      <c r="EE121" s="967"/>
      <c r="FE121" s="967"/>
      <c r="GE121" s="967"/>
      <c r="HE121" s="967"/>
      <c r="IE121" s="967"/>
      <c r="JE121" s="967"/>
      <c r="KE121" s="967"/>
      <c r="LE121" s="967"/>
      <c r="ME121" s="967"/>
      <c r="NE121" s="967"/>
      <c r="OE121" s="967"/>
      <c r="PE121" s="967"/>
      <c r="QE121" s="967"/>
    </row>
    <row r="122" spans="31:447" x14ac:dyDescent="0.3">
      <c r="AE122" s="967"/>
      <c r="BE122" s="967"/>
      <c r="CE122" s="967"/>
      <c r="DE122" s="967"/>
      <c r="EE122" s="967"/>
      <c r="FE122" s="967"/>
      <c r="GE122" s="967"/>
      <c r="HE122" s="967"/>
      <c r="IE122" s="967"/>
      <c r="JE122" s="967"/>
      <c r="KE122" s="967"/>
      <c r="LE122" s="967"/>
      <c r="ME122" s="967"/>
      <c r="NE122" s="967"/>
      <c r="OE122" s="967"/>
      <c r="PE122" s="967"/>
      <c r="QE122" s="967"/>
    </row>
    <row r="123" spans="31:447" x14ac:dyDescent="0.3">
      <c r="AE123" s="967"/>
      <c r="BE123" s="967"/>
      <c r="CE123" s="967"/>
      <c r="DE123" s="967"/>
      <c r="EE123" s="967"/>
      <c r="FE123" s="967"/>
      <c r="GE123" s="967"/>
      <c r="HE123" s="967"/>
      <c r="IE123" s="967"/>
      <c r="JE123" s="967"/>
      <c r="KE123" s="967"/>
      <c r="LE123" s="967"/>
      <c r="ME123" s="967"/>
      <c r="NE123" s="967"/>
      <c r="OE123" s="967"/>
      <c r="PE123" s="967"/>
      <c r="QE123" s="967"/>
    </row>
    <row r="124" spans="31:447" x14ac:dyDescent="0.3">
      <c r="AE124" s="967"/>
      <c r="BE124" s="967"/>
      <c r="CE124" s="967"/>
      <c r="DE124" s="967"/>
      <c r="EE124" s="967"/>
      <c r="FE124" s="967"/>
      <c r="GE124" s="967"/>
      <c r="HE124" s="967"/>
      <c r="IE124" s="967"/>
      <c r="JE124" s="967"/>
      <c r="KE124" s="967"/>
      <c r="LE124" s="967"/>
      <c r="ME124" s="967"/>
      <c r="NE124" s="967"/>
      <c r="OE124" s="967"/>
      <c r="PE124" s="967"/>
      <c r="QE124" s="967"/>
    </row>
    <row r="125" spans="31:447" x14ac:dyDescent="0.3">
      <c r="AE125" s="967"/>
      <c r="BE125" s="967"/>
      <c r="CE125" s="967"/>
      <c r="DE125" s="967"/>
      <c r="EE125" s="967"/>
      <c r="FE125" s="967"/>
      <c r="GE125" s="967"/>
      <c r="HE125" s="967"/>
      <c r="IE125" s="967"/>
      <c r="JE125" s="967"/>
      <c r="KE125" s="967"/>
      <c r="LE125" s="967"/>
      <c r="ME125" s="967"/>
      <c r="NE125" s="967"/>
      <c r="OE125" s="967"/>
      <c r="PE125" s="967"/>
      <c r="QE125" s="967"/>
    </row>
    <row r="126" spans="31:447" x14ac:dyDescent="0.3">
      <c r="AE126" s="967"/>
      <c r="BE126" s="967"/>
      <c r="CE126" s="967"/>
      <c r="DE126" s="967"/>
      <c r="EE126" s="967"/>
      <c r="FE126" s="967"/>
      <c r="GE126" s="967"/>
      <c r="HE126" s="967"/>
      <c r="IE126" s="967"/>
      <c r="JE126" s="967"/>
      <c r="KE126" s="967"/>
      <c r="LE126" s="967"/>
      <c r="ME126" s="967"/>
      <c r="NE126" s="967"/>
      <c r="OE126" s="967"/>
      <c r="PE126" s="967"/>
      <c r="QE126" s="967"/>
    </row>
    <row r="127" spans="31:447" x14ac:dyDescent="0.3">
      <c r="AE127" s="967"/>
      <c r="BE127" s="967"/>
      <c r="CE127" s="967"/>
      <c r="DE127" s="967"/>
      <c r="EE127" s="967"/>
      <c r="FE127" s="967"/>
      <c r="GE127" s="967"/>
      <c r="HE127" s="967"/>
      <c r="IE127" s="967"/>
      <c r="JE127" s="967"/>
      <c r="KE127" s="967"/>
      <c r="LE127" s="967"/>
      <c r="ME127" s="967"/>
      <c r="NE127" s="967"/>
      <c r="OE127" s="967"/>
      <c r="PE127" s="967"/>
      <c r="QE127" s="967"/>
    </row>
    <row r="128" spans="31:447" x14ac:dyDescent="0.3">
      <c r="AE128" s="967"/>
      <c r="BE128" s="967"/>
      <c r="CE128" s="967"/>
      <c r="DE128" s="967"/>
      <c r="EE128" s="967"/>
      <c r="FE128" s="967"/>
      <c r="GE128" s="967"/>
      <c r="HE128" s="967"/>
      <c r="IE128" s="967"/>
      <c r="JE128" s="967"/>
      <c r="KE128" s="967"/>
      <c r="LE128" s="967"/>
      <c r="ME128" s="967"/>
      <c r="NE128" s="967"/>
      <c r="OE128" s="967"/>
      <c r="PE128" s="967"/>
      <c r="QE128" s="967"/>
    </row>
    <row r="129" spans="31:447" x14ac:dyDescent="0.3">
      <c r="AE129" s="967"/>
      <c r="BE129" s="967"/>
      <c r="CE129" s="967"/>
      <c r="DE129" s="967"/>
      <c r="EE129" s="967"/>
      <c r="FE129" s="967"/>
      <c r="GE129" s="967"/>
      <c r="HE129" s="967"/>
      <c r="IE129" s="967"/>
      <c r="JE129" s="967"/>
      <c r="KE129" s="967"/>
      <c r="LE129" s="967"/>
      <c r="ME129" s="967"/>
      <c r="NE129" s="967"/>
      <c r="OE129" s="967"/>
      <c r="PE129" s="967"/>
      <c r="QE129" s="967"/>
    </row>
    <row r="130" spans="31:447" x14ac:dyDescent="0.3">
      <c r="AE130" s="967"/>
      <c r="BE130" s="967"/>
      <c r="CE130" s="967"/>
      <c r="DE130" s="967"/>
      <c r="EE130" s="967"/>
      <c r="FE130" s="967"/>
      <c r="GE130" s="967"/>
      <c r="HE130" s="967"/>
      <c r="IE130" s="967"/>
      <c r="JE130" s="967"/>
      <c r="KE130" s="967"/>
      <c r="LE130" s="967"/>
      <c r="ME130" s="967"/>
      <c r="NE130" s="967"/>
      <c r="OE130" s="967"/>
      <c r="PE130" s="967"/>
      <c r="QE130" s="967"/>
    </row>
    <row r="131" spans="31:447" x14ac:dyDescent="0.3">
      <c r="AE131" s="967"/>
      <c r="BE131" s="967"/>
      <c r="CE131" s="967"/>
      <c r="DE131" s="967"/>
      <c r="EE131" s="967"/>
      <c r="FE131" s="967"/>
      <c r="GE131" s="967"/>
      <c r="HE131" s="967"/>
      <c r="IE131" s="967"/>
      <c r="JE131" s="967"/>
      <c r="KE131" s="967"/>
      <c r="LE131" s="967"/>
      <c r="ME131" s="967"/>
      <c r="NE131" s="967"/>
      <c r="OE131" s="967"/>
      <c r="PE131" s="967"/>
      <c r="QE131" s="967"/>
    </row>
    <row r="132" spans="31:447" x14ac:dyDescent="0.3">
      <c r="AE132" s="967"/>
      <c r="BE132" s="967"/>
      <c r="CE132" s="967"/>
      <c r="DE132" s="967"/>
      <c r="EE132" s="967"/>
      <c r="FE132" s="967"/>
      <c r="GE132" s="967"/>
      <c r="HE132" s="967"/>
      <c r="IE132" s="967"/>
      <c r="JE132" s="967"/>
      <c r="KE132" s="967"/>
      <c r="LE132" s="967"/>
      <c r="ME132" s="967"/>
      <c r="NE132" s="967"/>
      <c r="OE132" s="967"/>
      <c r="PE132" s="967"/>
      <c r="QE132" s="967"/>
    </row>
    <row r="133" spans="31:447" x14ac:dyDescent="0.3">
      <c r="AE133" s="967"/>
      <c r="BE133" s="967"/>
      <c r="CE133" s="967"/>
      <c r="DE133" s="967"/>
      <c r="EE133" s="967"/>
      <c r="FE133" s="967"/>
      <c r="GE133" s="967"/>
      <c r="HE133" s="967"/>
      <c r="IE133" s="967"/>
      <c r="JE133" s="967"/>
      <c r="KE133" s="967"/>
      <c r="LE133" s="967"/>
      <c r="ME133" s="967"/>
      <c r="NE133" s="967"/>
      <c r="OE133" s="967"/>
      <c r="PE133" s="967"/>
      <c r="QE133" s="967"/>
    </row>
    <row r="134" spans="31:447" x14ac:dyDescent="0.3">
      <c r="AE134" s="967"/>
      <c r="BE134" s="967"/>
      <c r="CE134" s="967"/>
      <c r="DE134" s="967"/>
      <c r="EE134" s="967"/>
      <c r="FE134" s="967"/>
      <c r="GE134" s="967"/>
      <c r="HE134" s="967"/>
      <c r="IE134" s="967"/>
      <c r="JE134" s="967"/>
      <c r="KE134" s="967"/>
      <c r="LE134" s="967"/>
      <c r="ME134" s="967"/>
      <c r="NE134" s="967"/>
      <c r="OE134" s="967"/>
      <c r="PE134" s="967"/>
      <c r="QE134" s="967"/>
    </row>
    <row r="135" spans="31:447" x14ac:dyDescent="0.3">
      <c r="AE135" s="967"/>
      <c r="BE135" s="967"/>
      <c r="CE135" s="967"/>
      <c r="DE135" s="967"/>
      <c r="EE135" s="967"/>
      <c r="FE135" s="967"/>
      <c r="GE135" s="967"/>
      <c r="HE135" s="967"/>
      <c r="IE135" s="967"/>
      <c r="JE135" s="967"/>
      <c r="KE135" s="967"/>
      <c r="LE135" s="967"/>
      <c r="ME135" s="967"/>
      <c r="NE135" s="967"/>
      <c r="OE135" s="967"/>
      <c r="PE135" s="967"/>
      <c r="QE135" s="967"/>
    </row>
    <row r="136" spans="31:447" x14ac:dyDescent="0.3">
      <c r="AE136" s="967"/>
      <c r="BE136" s="967"/>
      <c r="CE136" s="967"/>
      <c r="DE136" s="967"/>
      <c r="EE136" s="967"/>
      <c r="FE136" s="967"/>
      <c r="GE136" s="967"/>
      <c r="HE136" s="967"/>
      <c r="IE136" s="967"/>
      <c r="JE136" s="967"/>
      <c r="KE136" s="967"/>
      <c r="LE136" s="967"/>
      <c r="ME136" s="967"/>
      <c r="NE136" s="967"/>
      <c r="OE136" s="967"/>
      <c r="PE136" s="967"/>
      <c r="QE136" s="967"/>
    </row>
    <row r="137" spans="31:447" x14ac:dyDescent="0.3">
      <c r="AE137" s="967"/>
      <c r="BE137" s="967"/>
      <c r="CE137" s="967"/>
      <c r="DE137" s="967"/>
      <c r="EE137" s="967"/>
      <c r="FE137" s="967"/>
      <c r="GE137" s="967"/>
      <c r="HE137" s="967"/>
      <c r="IE137" s="967"/>
      <c r="JE137" s="967"/>
      <c r="KE137" s="967"/>
      <c r="LE137" s="967"/>
      <c r="ME137" s="967"/>
      <c r="NE137" s="967"/>
      <c r="OE137" s="967"/>
      <c r="PE137" s="967"/>
      <c r="QE137" s="967"/>
    </row>
    <row r="138" spans="31:447" x14ac:dyDescent="0.3">
      <c r="AE138" s="967"/>
      <c r="BE138" s="967"/>
      <c r="CE138" s="967"/>
      <c r="DE138" s="967"/>
      <c r="EE138" s="967"/>
      <c r="FE138" s="967"/>
      <c r="GE138" s="967"/>
      <c r="HE138" s="967"/>
      <c r="IE138" s="967"/>
      <c r="JE138" s="967"/>
      <c r="KE138" s="967"/>
      <c r="LE138" s="967"/>
      <c r="ME138" s="967"/>
      <c r="NE138" s="967"/>
      <c r="OE138" s="967"/>
      <c r="PE138" s="967"/>
      <c r="QE138" s="967"/>
    </row>
    <row r="139" spans="31:447" x14ac:dyDescent="0.3">
      <c r="AE139" s="967"/>
      <c r="BE139" s="967"/>
      <c r="CE139" s="967"/>
      <c r="DE139" s="967"/>
      <c r="EE139" s="967"/>
      <c r="FE139" s="967"/>
      <c r="GE139" s="967"/>
      <c r="HE139" s="967"/>
      <c r="IE139" s="967"/>
      <c r="JE139" s="967"/>
      <c r="KE139" s="967"/>
      <c r="LE139" s="967"/>
      <c r="ME139" s="967"/>
      <c r="NE139" s="967"/>
      <c r="OE139" s="967"/>
      <c r="PE139" s="967"/>
      <c r="QE139" s="967"/>
    </row>
    <row r="140" spans="31:447" x14ac:dyDescent="0.3">
      <c r="AE140" s="967"/>
      <c r="BE140" s="967"/>
      <c r="CE140" s="967"/>
      <c r="DE140" s="967"/>
      <c r="EE140" s="967"/>
      <c r="FE140" s="967"/>
      <c r="GE140" s="967"/>
      <c r="HE140" s="967"/>
      <c r="IE140" s="967"/>
      <c r="JE140" s="967"/>
      <c r="KE140" s="967"/>
      <c r="LE140" s="967"/>
      <c r="ME140" s="967"/>
      <c r="NE140" s="967"/>
      <c r="OE140" s="967"/>
      <c r="PE140" s="967"/>
      <c r="QE140" s="967"/>
    </row>
    <row r="141" spans="31:447" x14ac:dyDescent="0.3">
      <c r="AE141" s="967"/>
      <c r="BE141" s="967"/>
      <c r="CE141" s="967"/>
      <c r="DE141" s="967"/>
      <c r="EE141" s="967"/>
      <c r="FE141" s="967"/>
      <c r="GE141" s="967"/>
      <c r="HE141" s="967"/>
      <c r="IE141" s="967"/>
      <c r="JE141" s="967"/>
      <c r="KE141" s="967"/>
      <c r="LE141" s="967"/>
      <c r="ME141" s="967"/>
      <c r="NE141" s="967"/>
      <c r="OE141" s="967"/>
      <c r="PE141" s="967"/>
      <c r="QE141" s="967"/>
    </row>
    <row r="142" spans="31:447" x14ac:dyDescent="0.3">
      <c r="AE142" s="967"/>
      <c r="BE142" s="967"/>
      <c r="CE142" s="967"/>
      <c r="DE142" s="967"/>
      <c r="EE142" s="967"/>
      <c r="FE142" s="967"/>
      <c r="GE142" s="967"/>
      <c r="HE142" s="967"/>
      <c r="IE142" s="967"/>
      <c r="JE142" s="967"/>
      <c r="KE142" s="967"/>
      <c r="LE142" s="967"/>
      <c r="ME142" s="967"/>
      <c r="NE142" s="967"/>
      <c r="OE142" s="967"/>
      <c r="PE142" s="967"/>
      <c r="QE142" s="967"/>
    </row>
    <row r="143" spans="31:447" x14ac:dyDescent="0.3">
      <c r="AE143" s="967"/>
      <c r="BE143" s="967"/>
      <c r="CE143" s="967"/>
      <c r="DE143" s="967"/>
      <c r="EE143" s="967"/>
      <c r="FE143" s="967"/>
      <c r="GE143" s="967"/>
      <c r="HE143" s="967"/>
      <c r="IE143" s="967"/>
      <c r="JE143" s="967"/>
      <c r="KE143" s="967"/>
      <c r="LE143" s="967"/>
      <c r="ME143" s="967"/>
      <c r="NE143" s="967"/>
      <c r="OE143" s="967"/>
      <c r="PE143" s="967"/>
      <c r="QE143" s="967"/>
    </row>
    <row r="144" spans="31:447" x14ac:dyDescent="0.3">
      <c r="AE144" s="967"/>
      <c r="BE144" s="967"/>
      <c r="CE144" s="967"/>
      <c r="DE144" s="967"/>
      <c r="EE144" s="967"/>
      <c r="FE144" s="967"/>
      <c r="GE144" s="967"/>
      <c r="HE144" s="967"/>
      <c r="IE144" s="967"/>
      <c r="JE144" s="967"/>
      <c r="KE144" s="967"/>
      <c r="LE144" s="967"/>
      <c r="ME144" s="967"/>
      <c r="NE144" s="967"/>
      <c r="OE144" s="967"/>
      <c r="PE144" s="967"/>
      <c r="QE144" s="967"/>
    </row>
    <row r="145" spans="3:447" x14ac:dyDescent="0.3">
      <c r="AE145" s="967"/>
      <c r="BE145" s="967"/>
      <c r="CE145" s="967"/>
      <c r="DE145" s="967"/>
      <c r="EE145" s="967"/>
      <c r="FE145" s="967"/>
      <c r="GE145" s="967"/>
      <c r="HE145" s="967"/>
      <c r="IE145" s="967"/>
      <c r="JE145" s="967"/>
      <c r="KE145" s="967"/>
      <c r="LE145" s="967"/>
      <c r="ME145" s="967"/>
      <c r="NE145" s="967"/>
      <c r="OE145" s="967"/>
      <c r="PE145" s="967"/>
      <c r="QE145" s="967"/>
    </row>
    <row r="146" spans="3:447" x14ac:dyDescent="0.3">
      <c r="AE146" s="967"/>
      <c r="BE146" s="967"/>
      <c r="CE146" s="967"/>
      <c r="DE146" s="967"/>
      <c r="EE146" s="967"/>
      <c r="FE146" s="967"/>
      <c r="GE146" s="967"/>
      <c r="HE146" s="967"/>
      <c r="IE146" s="967"/>
      <c r="JE146" s="967"/>
      <c r="KE146" s="967"/>
      <c r="LE146" s="967"/>
      <c r="ME146" s="967"/>
      <c r="NE146" s="967"/>
      <c r="OE146" s="967"/>
      <c r="PE146" s="967"/>
      <c r="QE146" s="967"/>
    </row>
    <row r="147" spans="3:447" x14ac:dyDescent="0.3">
      <c r="AE147" s="967"/>
      <c r="BE147" s="967"/>
      <c r="CE147" s="967"/>
      <c r="DE147" s="967"/>
      <c r="EE147" s="967"/>
      <c r="FE147" s="967"/>
      <c r="GE147" s="967"/>
      <c r="HE147" s="967"/>
      <c r="IE147" s="967"/>
      <c r="JE147" s="967"/>
      <c r="KE147" s="967"/>
      <c r="LE147" s="967"/>
      <c r="ME147" s="967"/>
      <c r="NE147" s="967"/>
      <c r="OE147" s="967"/>
      <c r="PE147" s="967"/>
      <c r="QE147" s="967"/>
    </row>
    <row r="148" spans="3:447" x14ac:dyDescent="0.3">
      <c r="AE148" s="967"/>
      <c r="BE148" s="967"/>
      <c r="CE148" s="967"/>
      <c r="DE148" s="967"/>
      <c r="EE148" s="967"/>
      <c r="FE148" s="967"/>
      <c r="GE148" s="967"/>
      <c r="HE148" s="967"/>
      <c r="IE148" s="967"/>
      <c r="JE148" s="967"/>
      <c r="KE148" s="967"/>
      <c r="LE148" s="967"/>
      <c r="ME148" s="967"/>
      <c r="NE148" s="967"/>
      <c r="OE148" s="967"/>
      <c r="PE148" s="967"/>
      <c r="QE148" s="967"/>
    </row>
    <row r="149" spans="3:447" x14ac:dyDescent="0.3">
      <c r="AE149" s="967"/>
      <c r="BE149" s="967"/>
      <c r="CE149" s="967"/>
      <c r="DE149" s="967"/>
      <c r="EE149" s="967"/>
      <c r="FE149" s="967"/>
      <c r="GE149" s="967"/>
      <c r="HE149" s="967"/>
      <c r="IE149" s="967"/>
      <c r="JE149" s="967"/>
      <c r="KE149" s="967"/>
      <c r="LE149" s="967"/>
      <c r="ME149" s="967"/>
      <c r="NE149" s="967"/>
      <c r="OE149" s="967"/>
      <c r="PE149" s="967"/>
      <c r="QE149" s="967"/>
    </row>
    <row r="150" spans="3:447" x14ac:dyDescent="0.3">
      <c r="AE150" s="967"/>
      <c r="BE150" s="967"/>
      <c r="CE150" s="967"/>
      <c r="DE150" s="967"/>
      <c r="EE150" s="967"/>
      <c r="FE150" s="967"/>
      <c r="GE150" s="967"/>
      <c r="HE150" s="967"/>
      <c r="IE150" s="967"/>
      <c r="JE150" s="967"/>
      <c r="KE150" s="967"/>
      <c r="LE150" s="967"/>
      <c r="ME150" s="967"/>
      <c r="NE150" s="967"/>
      <c r="OE150" s="967"/>
      <c r="PE150" s="967"/>
      <c r="QE150" s="967"/>
    </row>
    <row r="151" spans="3:447" x14ac:dyDescent="0.3">
      <c r="AE151" s="967"/>
      <c r="BE151" s="967"/>
      <c r="CE151" s="967"/>
      <c r="DE151" s="967"/>
      <c r="EE151" s="967"/>
      <c r="FE151" s="967"/>
      <c r="GE151" s="967"/>
      <c r="HE151" s="967"/>
      <c r="IE151" s="967"/>
      <c r="JE151" s="967"/>
      <c r="KE151" s="967"/>
      <c r="LE151" s="967"/>
      <c r="ME151" s="967"/>
      <c r="NE151" s="967"/>
      <c r="OE151" s="967"/>
      <c r="PE151" s="967"/>
      <c r="QE151" s="967"/>
    </row>
    <row r="152" spans="3:447" x14ac:dyDescent="0.3">
      <c r="AE152" s="967"/>
      <c r="BE152" s="967"/>
      <c r="CE152" s="967"/>
      <c r="DE152" s="967"/>
      <c r="EE152" s="967"/>
      <c r="FE152" s="967"/>
      <c r="GE152" s="967"/>
      <c r="HE152" s="967"/>
      <c r="IE152" s="967"/>
      <c r="JE152" s="967"/>
      <c r="KE152" s="967"/>
      <c r="LE152" s="967"/>
      <c r="ME152" s="967"/>
      <c r="NE152" s="967"/>
      <c r="OE152" s="967"/>
      <c r="PE152" s="967"/>
      <c r="QE152" s="967"/>
    </row>
    <row r="153" spans="3:447" x14ac:dyDescent="0.3">
      <c r="AE153" s="967"/>
      <c r="BE153" s="967"/>
      <c r="CE153" s="967"/>
      <c r="DE153" s="967"/>
      <c r="EE153" s="967"/>
      <c r="FE153" s="967"/>
      <c r="GE153" s="967"/>
      <c r="HE153" s="967"/>
      <c r="IE153" s="967"/>
      <c r="JE153" s="967"/>
      <c r="KE153" s="967"/>
      <c r="LE153" s="967"/>
      <c r="ME153" s="967"/>
      <c r="NE153" s="967"/>
      <c r="OE153" s="967"/>
      <c r="PE153" s="967"/>
      <c r="QE153" s="967"/>
    </row>
    <row r="154" spans="3:447" x14ac:dyDescent="0.3">
      <c r="AE154" s="967"/>
      <c r="BE154" s="967"/>
      <c r="CE154" s="967"/>
      <c r="DE154" s="967"/>
      <c r="EE154" s="967"/>
      <c r="FE154" s="967"/>
      <c r="GE154" s="967"/>
      <c r="HE154" s="967"/>
      <c r="IE154" s="967"/>
      <c r="JE154" s="967"/>
      <c r="KE154" s="967"/>
      <c r="LE154" s="967"/>
      <c r="ME154" s="967"/>
      <c r="NE154" s="967"/>
      <c r="OE154" s="967"/>
      <c r="PE154" s="967"/>
      <c r="QE154" s="967"/>
    </row>
    <row r="155" spans="3:447" x14ac:dyDescent="0.3">
      <c r="C155" s="969"/>
      <c r="D155" s="969"/>
      <c r="E155" s="969"/>
      <c r="F155" s="969"/>
      <c r="G155" s="969"/>
      <c r="H155" s="969"/>
      <c r="I155" s="969"/>
      <c r="J155" s="969"/>
      <c r="K155" s="969"/>
      <c r="L155" s="969"/>
      <c r="M155" s="969"/>
      <c r="N155" s="969"/>
      <c r="O155" s="969"/>
      <c r="P155" s="969"/>
      <c r="Q155" s="969"/>
      <c r="R155" s="969"/>
      <c r="S155" s="969"/>
      <c r="T155" s="969"/>
      <c r="U155" s="969"/>
      <c r="V155" s="969"/>
      <c r="W155" s="969"/>
      <c r="X155" s="969"/>
      <c r="Y155" s="969"/>
      <c r="Z155" s="969"/>
      <c r="AA155" s="969"/>
      <c r="AB155" s="969"/>
      <c r="AC155" s="969"/>
      <c r="AD155" s="969"/>
      <c r="AE155" s="969"/>
      <c r="AF155" s="969"/>
      <c r="AG155" s="969"/>
      <c r="AH155" s="969"/>
      <c r="AI155" s="969"/>
      <c r="AJ155" s="969"/>
      <c r="AK155" s="969"/>
      <c r="AL155" s="969"/>
      <c r="AM155" s="969"/>
      <c r="AN155" s="969"/>
      <c r="AO155" s="969"/>
      <c r="AP155" s="969"/>
      <c r="AQ155" s="969"/>
      <c r="AR155" s="969"/>
      <c r="AS155" s="969"/>
      <c r="AT155" s="969"/>
      <c r="AU155" s="969"/>
      <c r="AV155" s="969"/>
      <c r="AW155" s="969"/>
      <c r="AX155" s="969"/>
      <c r="AY155" s="969"/>
      <c r="AZ155" s="969"/>
      <c r="BA155" s="969"/>
      <c r="BB155" s="969"/>
      <c r="BC155" s="969"/>
      <c r="BD155" s="969"/>
      <c r="BE155" s="969"/>
      <c r="BF155" s="969"/>
      <c r="BG155" s="969"/>
      <c r="BH155" s="969"/>
      <c r="BI155" s="969"/>
      <c r="BJ155" s="969"/>
      <c r="BK155" s="969"/>
      <c r="BL155" s="969"/>
      <c r="BM155" s="969"/>
      <c r="BN155" s="969"/>
      <c r="BO155" s="969"/>
      <c r="BP155" s="969"/>
      <c r="BQ155" s="969"/>
      <c r="BR155" s="969"/>
      <c r="BS155" s="969"/>
      <c r="BT155" s="969"/>
      <c r="BU155" s="969"/>
      <c r="BV155" s="969"/>
      <c r="BW155" s="969"/>
      <c r="BX155" s="969"/>
      <c r="BY155" s="969"/>
      <c r="BZ155" s="969"/>
      <c r="CA155" s="969"/>
      <c r="CB155" s="969"/>
      <c r="CC155" s="969"/>
      <c r="CD155" s="969"/>
      <c r="CE155" s="969"/>
      <c r="CF155" s="969"/>
      <c r="CG155" s="969"/>
      <c r="CH155" s="969"/>
      <c r="CI155" s="969"/>
      <c r="CJ155" s="969"/>
      <c r="CK155" s="969"/>
      <c r="CL155" s="969"/>
      <c r="CM155" s="969"/>
      <c r="CN155" s="969"/>
      <c r="CO155" s="969"/>
      <c r="CP155" s="969"/>
      <c r="CQ155" s="969"/>
      <c r="CR155" s="969"/>
      <c r="CS155" s="969"/>
      <c r="CT155" s="969"/>
      <c r="CU155" s="969"/>
      <c r="CV155" s="969"/>
      <c r="CW155" s="969"/>
      <c r="CX155" s="969"/>
      <c r="CY155" s="969"/>
      <c r="CZ155" s="969"/>
      <c r="DA155" s="969"/>
      <c r="DB155" s="969"/>
      <c r="DC155" s="969"/>
      <c r="DD155" s="969"/>
      <c r="DE155" s="969"/>
      <c r="DF155" s="969"/>
      <c r="DG155" s="969"/>
      <c r="DH155" s="969"/>
      <c r="DI155" s="969"/>
      <c r="DJ155" s="969"/>
      <c r="DK155" s="969"/>
      <c r="DL155" s="969"/>
      <c r="DM155" s="969"/>
      <c r="DN155" s="969"/>
      <c r="DO155" s="969"/>
      <c r="DP155" s="969"/>
      <c r="DQ155" s="969"/>
      <c r="DR155" s="969"/>
      <c r="DS155" s="969"/>
      <c r="DT155" s="969"/>
      <c r="DU155" s="969"/>
      <c r="DV155" s="969"/>
      <c r="DW155" s="969"/>
      <c r="DX155" s="969"/>
      <c r="DY155" s="969"/>
      <c r="DZ155" s="969"/>
      <c r="EA155" s="969"/>
      <c r="EB155" s="969"/>
      <c r="EC155" s="969"/>
      <c r="ED155" s="969"/>
      <c r="EE155" s="969"/>
      <c r="EF155" s="969"/>
      <c r="EG155" s="969"/>
      <c r="EH155" s="969"/>
      <c r="EI155" s="969"/>
      <c r="EJ155" s="969"/>
      <c r="EK155" s="969"/>
      <c r="EL155" s="969"/>
      <c r="EM155" s="969"/>
      <c r="EN155" s="969"/>
      <c r="EO155" s="969"/>
      <c r="EP155" s="969"/>
      <c r="EQ155" s="969"/>
      <c r="ER155" s="969"/>
      <c r="ES155" s="969"/>
      <c r="ET155" s="969"/>
      <c r="EU155" s="969"/>
      <c r="EV155" s="969"/>
      <c r="EW155" s="969"/>
      <c r="EX155" s="969"/>
      <c r="EY155" s="969"/>
      <c r="EZ155" s="969"/>
      <c r="FA155" s="969"/>
      <c r="FB155" s="969"/>
      <c r="FC155" s="969"/>
      <c r="FD155" s="969"/>
      <c r="FE155" s="969"/>
      <c r="FF155" s="969"/>
      <c r="FG155" s="969"/>
      <c r="FH155" s="969"/>
      <c r="FI155" s="969"/>
      <c r="FJ155" s="969"/>
      <c r="FK155" s="969"/>
      <c r="FL155" s="969"/>
      <c r="FM155" s="969"/>
      <c r="FN155" s="969"/>
      <c r="FO155" s="969"/>
      <c r="FP155" s="969"/>
      <c r="FQ155" s="969"/>
      <c r="FR155" s="969"/>
      <c r="FS155" s="969"/>
      <c r="FT155" s="969"/>
      <c r="FU155" s="969"/>
      <c r="FV155" s="969"/>
      <c r="FW155" s="969"/>
      <c r="FX155" s="969"/>
      <c r="FY155" s="969"/>
      <c r="FZ155" s="969"/>
      <c r="GA155" s="969"/>
      <c r="GB155" s="969"/>
      <c r="GC155" s="969"/>
      <c r="GD155" s="969"/>
      <c r="GE155" s="969"/>
      <c r="GF155" s="969"/>
      <c r="GG155" s="969"/>
      <c r="GH155" s="969"/>
      <c r="GI155" s="969"/>
      <c r="GJ155" s="969"/>
      <c r="GK155" s="969"/>
      <c r="GL155" s="969"/>
      <c r="GM155" s="969"/>
      <c r="GN155" s="969"/>
      <c r="GO155" s="969"/>
      <c r="GP155" s="969"/>
      <c r="GQ155" s="969"/>
      <c r="GR155" s="969"/>
      <c r="GS155" s="969"/>
      <c r="GT155" s="969"/>
      <c r="GU155" s="969"/>
      <c r="GV155" s="969"/>
      <c r="GW155" s="969"/>
      <c r="GX155" s="969"/>
      <c r="GY155" s="969"/>
      <c r="GZ155" s="969"/>
      <c r="HA155" s="969"/>
      <c r="HB155" s="969"/>
      <c r="HC155" s="969"/>
      <c r="HD155" s="969"/>
      <c r="HE155" s="969"/>
      <c r="HF155" s="969"/>
      <c r="HG155" s="969"/>
      <c r="HH155" s="969"/>
      <c r="HI155" s="969"/>
      <c r="HJ155" s="969"/>
      <c r="HK155" s="969"/>
      <c r="HL155" s="969"/>
      <c r="HM155" s="969"/>
      <c r="HN155" s="969"/>
      <c r="HO155" s="969"/>
      <c r="HP155" s="969"/>
      <c r="HQ155" s="969"/>
      <c r="HR155" s="969"/>
      <c r="HS155" s="969"/>
      <c r="HT155" s="969"/>
      <c r="HU155" s="969"/>
      <c r="HV155" s="969"/>
      <c r="HW155" s="969"/>
      <c r="HX155" s="969"/>
      <c r="HY155" s="969"/>
      <c r="HZ155" s="969"/>
      <c r="IA155" s="969"/>
      <c r="IB155" s="969"/>
      <c r="IC155" s="969"/>
      <c r="ID155" s="969"/>
      <c r="IE155" s="969"/>
      <c r="IF155" s="969"/>
      <c r="IG155" s="969"/>
      <c r="IH155" s="969"/>
      <c r="II155" s="969"/>
      <c r="IJ155" s="969"/>
      <c r="IK155" s="969"/>
      <c r="IL155" s="969"/>
      <c r="IM155" s="969"/>
      <c r="IN155" s="969"/>
      <c r="IO155" s="969"/>
      <c r="IP155" s="969"/>
      <c r="IQ155" s="969"/>
      <c r="IR155" s="969"/>
      <c r="IS155" s="969"/>
      <c r="IT155" s="969"/>
      <c r="IU155" s="969"/>
      <c r="IV155" s="969"/>
      <c r="IW155" s="969"/>
      <c r="IX155" s="969"/>
      <c r="IY155" s="969"/>
      <c r="IZ155" s="969"/>
      <c r="JA155" s="969"/>
      <c r="JB155" s="969"/>
      <c r="JC155" s="969"/>
      <c r="JD155" s="969"/>
      <c r="JE155" s="969"/>
      <c r="JF155" s="969"/>
      <c r="JG155" s="969"/>
      <c r="JH155" s="969"/>
      <c r="JI155" s="969"/>
      <c r="JJ155" s="969"/>
      <c r="JK155" s="969"/>
      <c r="JL155" s="969"/>
      <c r="JM155" s="969"/>
      <c r="JN155" s="969"/>
      <c r="JO155" s="969"/>
      <c r="JP155" s="969"/>
      <c r="JQ155" s="969"/>
      <c r="JR155" s="969"/>
      <c r="JS155" s="969"/>
      <c r="JT155" s="969"/>
      <c r="JU155" s="969"/>
      <c r="JV155" s="969"/>
      <c r="JW155" s="969"/>
      <c r="JX155" s="969"/>
      <c r="JY155" s="969"/>
      <c r="JZ155" s="969"/>
      <c r="KA155" s="969"/>
      <c r="KB155" s="969"/>
      <c r="KC155" s="969"/>
      <c r="KD155" s="969"/>
      <c r="KE155" s="969"/>
      <c r="KF155" s="969"/>
      <c r="KG155" s="969"/>
      <c r="KH155" s="969"/>
      <c r="KI155" s="969"/>
      <c r="KJ155" s="969"/>
      <c r="KK155" s="969"/>
      <c r="KL155" s="969"/>
      <c r="KM155" s="969"/>
      <c r="KN155" s="969"/>
      <c r="KO155" s="969"/>
      <c r="KP155" s="969"/>
      <c r="KQ155" s="969"/>
      <c r="KR155" s="969"/>
      <c r="KS155" s="969"/>
      <c r="KT155" s="969"/>
      <c r="KU155" s="969"/>
      <c r="KV155" s="969"/>
      <c r="KW155" s="969"/>
      <c r="KX155" s="969"/>
      <c r="KY155" s="969"/>
      <c r="KZ155" s="969"/>
      <c r="LA155" s="969"/>
      <c r="LB155" s="969"/>
      <c r="LC155" s="969"/>
      <c r="LD155" s="969"/>
      <c r="LE155" s="969"/>
      <c r="LF155" s="969"/>
      <c r="LG155" s="969"/>
      <c r="LH155" s="969"/>
      <c r="LI155" s="969"/>
      <c r="LJ155" s="969"/>
      <c r="LK155" s="969"/>
      <c r="LL155" s="969"/>
      <c r="LM155" s="969"/>
      <c r="LN155" s="969"/>
      <c r="LO155" s="969"/>
      <c r="LP155" s="969"/>
      <c r="LQ155" s="969"/>
      <c r="LR155" s="969"/>
      <c r="LS155" s="969"/>
      <c r="LT155" s="969"/>
      <c r="LU155" s="969"/>
      <c r="LV155" s="969"/>
      <c r="LW155" s="969"/>
      <c r="LX155" s="969"/>
      <c r="LY155" s="969"/>
      <c r="LZ155" s="969"/>
      <c r="MA155" s="969"/>
      <c r="MB155" s="969"/>
      <c r="MC155" s="969"/>
      <c r="MD155" s="969"/>
      <c r="ME155" s="969"/>
      <c r="MF155" s="969"/>
      <c r="MG155" s="969"/>
      <c r="MH155" s="969"/>
      <c r="MI155" s="969"/>
      <c r="MJ155" s="969"/>
      <c r="MK155" s="969"/>
      <c r="ML155" s="969"/>
      <c r="MM155" s="969"/>
      <c r="MN155" s="969"/>
      <c r="MO155" s="969"/>
      <c r="MP155" s="969"/>
      <c r="MQ155" s="969"/>
      <c r="MR155" s="969"/>
      <c r="MS155" s="969"/>
      <c r="MT155" s="969"/>
      <c r="MU155" s="969"/>
      <c r="MV155" s="969"/>
      <c r="MW155" s="969"/>
      <c r="MX155" s="969"/>
      <c r="MY155" s="969"/>
      <c r="MZ155" s="969"/>
      <c r="NA155" s="969"/>
      <c r="NB155" s="969"/>
      <c r="NC155" s="969"/>
      <c r="ND155" s="969"/>
      <c r="NE155" s="969"/>
      <c r="NF155" s="969"/>
      <c r="NG155" s="969"/>
      <c r="NH155" s="969"/>
      <c r="NI155" s="969"/>
      <c r="NJ155" s="969"/>
      <c r="NK155" s="969"/>
      <c r="NL155" s="969"/>
      <c r="NM155" s="969"/>
      <c r="NN155" s="969"/>
      <c r="NO155" s="969"/>
      <c r="NP155" s="969"/>
      <c r="NQ155" s="969"/>
      <c r="NR155" s="969"/>
      <c r="NS155" s="969"/>
      <c r="NT155" s="969"/>
      <c r="NU155" s="969"/>
      <c r="NV155" s="969"/>
      <c r="NW155" s="969"/>
      <c r="NX155" s="969"/>
      <c r="NY155" s="969"/>
      <c r="NZ155" s="969"/>
      <c r="OA155" s="969"/>
      <c r="OB155" s="969"/>
      <c r="OC155" s="969"/>
      <c r="OD155" s="969"/>
      <c r="OE155" s="969"/>
      <c r="OF155" s="969"/>
      <c r="OG155" s="969"/>
      <c r="OH155" s="969"/>
      <c r="OI155" s="969"/>
      <c r="OJ155" s="969"/>
      <c r="OK155" s="969"/>
      <c r="OL155" s="969"/>
      <c r="OM155" s="969"/>
      <c r="ON155" s="969"/>
      <c r="OO155" s="969"/>
      <c r="OP155" s="969"/>
      <c r="OQ155" s="969"/>
      <c r="OR155" s="969"/>
      <c r="OS155" s="969"/>
      <c r="OT155" s="969"/>
      <c r="OU155" s="969"/>
      <c r="OV155" s="969"/>
      <c r="OW155" s="969"/>
      <c r="OX155" s="969"/>
      <c r="OY155" s="969"/>
      <c r="OZ155" s="969"/>
      <c r="PA155" s="969"/>
      <c r="PB155" s="969"/>
      <c r="PC155" s="969"/>
      <c r="PD155" s="969"/>
      <c r="PE155" s="969"/>
      <c r="PF155" s="969"/>
      <c r="PG155" s="969"/>
      <c r="PH155" s="969"/>
      <c r="PI155" s="969"/>
      <c r="PJ155" s="969"/>
      <c r="PK155" s="969"/>
      <c r="PL155" s="969"/>
      <c r="PM155" s="969"/>
      <c r="PN155" s="969"/>
      <c r="PO155" s="969"/>
      <c r="PP155" s="969"/>
      <c r="PQ155" s="969"/>
      <c r="PR155" s="969"/>
      <c r="PS155" s="969"/>
      <c r="PT155" s="969"/>
      <c r="PU155" s="969"/>
      <c r="PV155" s="969"/>
      <c r="PW155" s="969"/>
      <c r="PX155" s="969"/>
      <c r="PY155" s="969"/>
      <c r="PZ155" s="969"/>
      <c r="QA155" s="969"/>
      <c r="QB155" s="969"/>
      <c r="QC155" s="969"/>
      <c r="QD155" s="969"/>
      <c r="QE155" s="969"/>
    </row>
  </sheetData>
  <mergeCells count="17">
    <mergeCell ref="JF6:KD6"/>
    <mergeCell ref="F6:AD6"/>
    <mergeCell ref="AF6:BD6"/>
    <mergeCell ref="BF6:CD6"/>
    <mergeCell ref="CF6:DD6"/>
    <mergeCell ref="DF6:ED6"/>
    <mergeCell ref="EF6:FD6"/>
    <mergeCell ref="FF6:GD6"/>
    <mergeCell ref="GF6:HD6"/>
    <mergeCell ref="HF6:ID6"/>
    <mergeCell ref="IF6:JD6"/>
    <mergeCell ref="PF6:QD6"/>
    <mergeCell ref="KF6:LD6"/>
    <mergeCell ref="LF6:MD6"/>
    <mergeCell ref="MF6:ND6"/>
    <mergeCell ref="NF6:OD6"/>
    <mergeCell ref="OF6:PD6"/>
  </mergeCells>
  <phoneticPr fontId="98" type="noConversion"/>
  <pageMargins left="0.7" right="0.7" top="0.75" bottom="0.75" header="0.3" footer="0.3"/>
  <pageSetup paperSize="9" orientation="portrait" r:id="rId1"/>
  <ignoredErrors>
    <ignoredError sqref="X5" twoDigitTextYear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  <pageSetUpPr fitToPage="1"/>
  </sheetPr>
  <dimension ref="A2:DK591"/>
  <sheetViews>
    <sheetView topLeftCell="A561" zoomScaleNormal="100" workbookViewId="0">
      <pane xSplit="11" topLeftCell="L1" activePane="topRight" state="frozen"/>
      <selection activeCell="A166" sqref="A166"/>
      <selection pane="topRight" activeCell="B569" sqref="B569"/>
    </sheetView>
  </sheetViews>
  <sheetFormatPr defaultRowHeight="14.4" x14ac:dyDescent="0.3"/>
  <cols>
    <col min="1" max="1" width="2.88671875" customWidth="1"/>
    <col min="2" max="2" width="4.44140625" style="8" bestFit="1" customWidth="1"/>
    <col min="3" max="3" width="11.33203125" bestFit="1" customWidth="1"/>
    <col min="4" max="4" width="17.109375" customWidth="1"/>
    <col min="5" max="5" width="12.44140625" customWidth="1"/>
    <col min="6" max="6" width="20.109375" bestFit="1" customWidth="1"/>
    <col min="7" max="7" width="32.44140625" bestFit="1" customWidth="1"/>
    <col min="8" max="9" width="10.33203125" customWidth="1"/>
    <col min="10" max="10" width="14.44140625" bestFit="1" customWidth="1"/>
    <col min="11" max="11" width="16.44140625" bestFit="1" customWidth="1"/>
    <col min="12" max="12" width="9" customWidth="1"/>
    <col min="13" max="21" width="7.109375" customWidth="1"/>
    <col min="38" max="38" width="9.5546875" bestFit="1" customWidth="1"/>
    <col min="39" max="39" width="9.5546875" customWidth="1"/>
    <col min="40" max="40" width="2" customWidth="1"/>
    <col min="41" max="41" width="9.109375" customWidth="1"/>
    <col min="66" max="66" width="3.44140625" bestFit="1" customWidth="1"/>
    <col min="67" max="67" width="3.44140625" customWidth="1"/>
    <col min="68" max="68" width="14.44140625" bestFit="1" customWidth="1"/>
    <col min="69" max="78" width="5" customWidth="1"/>
    <col min="79" max="79" width="10.109375" bestFit="1" customWidth="1"/>
    <col min="81" max="81" width="3.44140625" bestFit="1" customWidth="1"/>
    <col min="82" max="82" width="20" bestFit="1" customWidth="1"/>
    <col min="84" max="84" width="8" bestFit="1" customWidth="1"/>
    <col min="85" max="85" width="7.6640625" bestFit="1" customWidth="1"/>
    <col min="86" max="86" width="7.109375" bestFit="1" customWidth="1"/>
    <col min="87" max="87" width="8" bestFit="1" customWidth="1"/>
    <col min="88" max="88" width="3.88671875" bestFit="1" customWidth="1"/>
    <col min="89" max="89" width="2.33203125" bestFit="1" customWidth="1"/>
    <col min="90" max="90" width="3.88671875" bestFit="1" customWidth="1"/>
    <col min="91" max="91" width="5.33203125" bestFit="1" customWidth="1"/>
    <col min="92" max="92" width="5.5546875" bestFit="1" customWidth="1"/>
    <col min="94" max="94" width="3.5546875" customWidth="1"/>
    <col min="95" max="95" width="17" bestFit="1" customWidth="1"/>
    <col min="97" max="97" width="3.44140625" bestFit="1" customWidth="1"/>
    <col min="98" max="98" width="6.5546875" bestFit="1" customWidth="1"/>
    <col min="99" max="99" width="8.109375" bestFit="1" customWidth="1"/>
    <col min="100" max="100" width="4.44140625" bestFit="1" customWidth="1"/>
    <col min="101" max="101" width="4.109375" bestFit="1" customWidth="1"/>
    <col min="102" max="102" width="3.44140625" bestFit="1" customWidth="1"/>
    <col min="103" max="103" width="3.6640625" bestFit="1" customWidth="1"/>
    <col min="104" max="105" width="13" bestFit="1" customWidth="1"/>
    <col min="106" max="106" width="9.88671875" bestFit="1" customWidth="1"/>
    <col min="107" max="107" width="6" bestFit="1" customWidth="1"/>
    <col min="108" max="108" width="13" bestFit="1" customWidth="1"/>
    <col min="109" max="109" width="7" bestFit="1" customWidth="1"/>
    <col min="110" max="110" width="2" bestFit="1" customWidth="1"/>
    <col min="111" max="111" width="13.109375" bestFit="1" customWidth="1"/>
    <col min="112" max="112" width="6.5546875" bestFit="1" customWidth="1"/>
  </cols>
  <sheetData>
    <row r="2" spans="2:18" x14ac:dyDescent="0.3">
      <c r="B2" s="266" t="s">
        <v>2709</v>
      </c>
    </row>
    <row r="3" spans="2:18" x14ac:dyDescent="0.3">
      <c r="B3" s="266"/>
    </row>
    <row r="4" spans="2:18" x14ac:dyDescent="0.3">
      <c r="B4" s="266"/>
      <c r="L4" s="8">
        <f>SUM(L6:L25)</f>
        <v>1723</v>
      </c>
      <c r="M4" s="8">
        <f>SUM(M6:M25)</f>
        <v>1426</v>
      </c>
      <c r="N4" s="8">
        <f t="shared" ref="N4:O4" si="0">SUM(N6:N25)</f>
        <v>297</v>
      </c>
      <c r="O4" s="8">
        <f t="shared" si="0"/>
        <v>356</v>
      </c>
      <c r="P4" s="8">
        <f>SUM(P6:P25)</f>
        <v>184</v>
      </c>
      <c r="Q4" s="8">
        <f t="shared" ref="Q4:R4" si="1">SUM(Q6:Q25)</f>
        <v>36</v>
      </c>
      <c r="R4" s="8">
        <f t="shared" si="1"/>
        <v>136</v>
      </c>
    </row>
    <row r="5" spans="2:18" x14ac:dyDescent="0.3">
      <c r="I5" s="296"/>
      <c r="J5" s="296"/>
      <c r="K5" s="296"/>
      <c r="L5" s="364" t="s">
        <v>2037</v>
      </c>
      <c r="M5" s="364" t="s">
        <v>2038</v>
      </c>
      <c r="N5" s="364" t="s">
        <v>994</v>
      </c>
      <c r="O5" s="364" t="s">
        <v>877</v>
      </c>
      <c r="P5" s="364" t="s">
        <v>990</v>
      </c>
      <c r="Q5" s="364" t="s">
        <v>991</v>
      </c>
      <c r="R5" s="364" t="s">
        <v>992</v>
      </c>
    </row>
    <row r="6" spans="2:18" x14ac:dyDescent="0.3">
      <c r="I6" s="205" t="s">
        <v>83</v>
      </c>
      <c r="J6" s="205" t="str">
        <f t="shared" ref="J6:J24" si="2">VLOOKUP(I6,F:M,2,FALSE)</f>
        <v>V-Divisioona</v>
      </c>
      <c r="L6" s="8">
        <f t="shared" ref="L6:L24" si="3">VLOOKUP($I6,$F:$S,7,FALSE)</f>
        <v>111</v>
      </c>
      <c r="M6" s="8">
        <f t="shared" ref="M6:M24" si="4">VLOOKUP($I6,$F:$S,8,FALSE)</f>
        <v>64</v>
      </c>
      <c r="N6" s="8">
        <f>L6-M6</f>
        <v>47</v>
      </c>
      <c r="O6" s="8">
        <f>SUM(P6:R6)</f>
        <v>21</v>
      </c>
      <c r="P6" s="8">
        <f t="shared" ref="P6:P24" si="5">VLOOKUP($I6,$F:$S,10,FALSE)</f>
        <v>14</v>
      </c>
      <c r="Q6" s="8">
        <f t="shared" ref="Q6:Q24" si="6">VLOOKUP($I6,$F:$S,11,FALSE)</f>
        <v>3</v>
      </c>
      <c r="R6" s="8">
        <f t="shared" ref="R6:R24" si="7">VLOOKUP($I6,$F:$S,12,FALSE)</f>
        <v>4</v>
      </c>
    </row>
    <row r="7" spans="2:18" x14ac:dyDescent="0.3">
      <c r="I7" s="205" t="s">
        <v>207</v>
      </c>
      <c r="J7" s="205" t="str">
        <f t="shared" si="2"/>
        <v>IV-Divisioona</v>
      </c>
      <c r="L7" s="8">
        <f t="shared" si="3"/>
        <v>72</v>
      </c>
      <c r="M7" s="8">
        <f t="shared" si="4"/>
        <v>80</v>
      </c>
      <c r="N7" s="8">
        <f t="shared" ref="N7:N24" si="8">L7-M7</f>
        <v>-8</v>
      </c>
      <c r="O7" s="8">
        <f t="shared" ref="O7:O24" si="9">SUM(P7:R7)</f>
        <v>18</v>
      </c>
      <c r="P7" s="8">
        <f t="shared" si="5"/>
        <v>5</v>
      </c>
      <c r="Q7" s="8">
        <f t="shared" si="6"/>
        <v>2</v>
      </c>
      <c r="R7" s="8">
        <f t="shared" si="7"/>
        <v>11</v>
      </c>
    </row>
    <row r="8" spans="2:18" x14ac:dyDescent="0.3">
      <c r="I8" s="205" t="s">
        <v>297</v>
      </c>
      <c r="J8" s="205" t="str">
        <f t="shared" si="2"/>
        <v>V-Divisioona</v>
      </c>
      <c r="L8" s="8">
        <f t="shared" si="3"/>
        <v>115</v>
      </c>
      <c r="M8" s="8">
        <f t="shared" si="4"/>
        <v>52</v>
      </c>
      <c r="N8" s="8">
        <f t="shared" si="8"/>
        <v>63</v>
      </c>
      <c r="O8" s="8">
        <f t="shared" si="9"/>
        <v>18</v>
      </c>
      <c r="P8" s="8">
        <f t="shared" si="5"/>
        <v>14</v>
      </c>
      <c r="Q8" s="8">
        <f t="shared" si="6"/>
        <v>0</v>
      </c>
      <c r="R8" s="8">
        <f t="shared" si="7"/>
        <v>4</v>
      </c>
    </row>
    <row r="9" spans="2:18" x14ac:dyDescent="0.3">
      <c r="I9" s="205" t="s">
        <v>584</v>
      </c>
      <c r="J9" s="205" t="str">
        <f t="shared" si="2"/>
        <v>IV-Divisioona</v>
      </c>
      <c r="L9" s="8">
        <f t="shared" si="3"/>
        <v>55</v>
      </c>
      <c r="M9" s="8">
        <f t="shared" si="4"/>
        <v>85</v>
      </c>
      <c r="N9" s="8">
        <f t="shared" si="8"/>
        <v>-30</v>
      </c>
      <c r="O9" s="8">
        <f t="shared" si="9"/>
        <v>18</v>
      </c>
      <c r="P9" s="8">
        <f t="shared" si="5"/>
        <v>6</v>
      </c>
      <c r="Q9" s="8">
        <f t="shared" si="6"/>
        <v>1</v>
      </c>
      <c r="R9" s="8">
        <f t="shared" si="7"/>
        <v>11</v>
      </c>
    </row>
    <row r="10" spans="2:18" x14ac:dyDescent="0.3">
      <c r="I10" s="205" t="s">
        <v>754</v>
      </c>
      <c r="J10" s="205" t="str">
        <f t="shared" si="2"/>
        <v>IV-Divisioona</v>
      </c>
      <c r="L10" s="8">
        <f t="shared" si="3"/>
        <v>95</v>
      </c>
      <c r="M10" s="8">
        <f t="shared" si="4"/>
        <v>66</v>
      </c>
      <c r="N10" s="8">
        <f t="shared" si="8"/>
        <v>29</v>
      </c>
      <c r="O10" s="8">
        <f t="shared" si="9"/>
        <v>18</v>
      </c>
      <c r="P10" s="8">
        <f t="shared" si="5"/>
        <v>11</v>
      </c>
      <c r="Q10" s="8">
        <f t="shared" si="6"/>
        <v>3</v>
      </c>
      <c r="R10" s="8">
        <f t="shared" si="7"/>
        <v>4</v>
      </c>
    </row>
    <row r="11" spans="2:18" x14ac:dyDescent="0.3">
      <c r="I11" s="205" t="s">
        <v>874</v>
      </c>
      <c r="J11" s="205" t="str">
        <f t="shared" si="2"/>
        <v>IV-Divisioona</v>
      </c>
      <c r="L11" s="8">
        <f t="shared" si="3"/>
        <v>70</v>
      </c>
      <c r="M11" s="8">
        <f t="shared" si="4"/>
        <v>78</v>
      </c>
      <c r="N11" s="8">
        <f t="shared" si="8"/>
        <v>-8</v>
      </c>
      <c r="O11" s="8">
        <f t="shared" si="9"/>
        <v>18</v>
      </c>
      <c r="P11" s="8">
        <f t="shared" si="5"/>
        <v>7</v>
      </c>
      <c r="Q11" s="8">
        <f t="shared" si="6"/>
        <v>3</v>
      </c>
      <c r="R11" s="8">
        <f t="shared" si="7"/>
        <v>8</v>
      </c>
    </row>
    <row r="12" spans="2:18" x14ac:dyDescent="0.3">
      <c r="I12" s="205" t="s">
        <v>977</v>
      </c>
      <c r="J12" s="205" t="str">
        <f t="shared" si="2"/>
        <v>V-Divisioona</v>
      </c>
      <c r="L12" s="8">
        <f t="shared" si="3"/>
        <v>106</v>
      </c>
      <c r="M12" s="8">
        <f t="shared" si="4"/>
        <v>56</v>
      </c>
      <c r="N12" s="8">
        <f t="shared" si="8"/>
        <v>50</v>
      </c>
      <c r="O12" s="8">
        <f t="shared" si="9"/>
        <v>19</v>
      </c>
      <c r="P12" s="8">
        <f t="shared" si="5"/>
        <v>14</v>
      </c>
      <c r="Q12" s="8">
        <f t="shared" si="6"/>
        <v>1</v>
      </c>
      <c r="R12" s="8">
        <f t="shared" si="7"/>
        <v>4</v>
      </c>
    </row>
    <row r="13" spans="2:18" x14ac:dyDescent="0.3">
      <c r="I13" s="205" t="s">
        <v>1102</v>
      </c>
      <c r="J13" s="205" t="str">
        <f t="shared" si="2"/>
        <v>IV-Divisioona</v>
      </c>
      <c r="L13" s="8">
        <f t="shared" si="3"/>
        <v>87</v>
      </c>
      <c r="M13" s="8">
        <f t="shared" si="4"/>
        <v>89</v>
      </c>
      <c r="N13" s="8">
        <f t="shared" si="8"/>
        <v>-2</v>
      </c>
      <c r="O13" s="8">
        <f t="shared" si="9"/>
        <v>18</v>
      </c>
      <c r="P13" s="8">
        <f t="shared" si="5"/>
        <v>9</v>
      </c>
      <c r="Q13" s="8">
        <f t="shared" si="6"/>
        <v>1</v>
      </c>
      <c r="R13" s="8">
        <f t="shared" si="7"/>
        <v>8</v>
      </c>
    </row>
    <row r="14" spans="2:18" x14ac:dyDescent="0.3">
      <c r="I14" s="205" t="s">
        <v>1385</v>
      </c>
      <c r="J14" s="205" t="str">
        <f t="shared" si="2"/>
        <v>IV-Divisioona + Karsinta III-Div</v>
      </c>
      <c r="L14" s="8">
        <f t="shared" si="3"/>
        <v>108</v>
      </c>
      <c r="M14" s="8">
        <f t="shared" si="4"/>
        <v>73</v>
      </c>
      <c r="N14" s="8">
        <f t="shared" si="8"/>
        <v>35</v>
      </c>
      <c r="O14" s="8">
        <f t="shared" si="9"/>
        <v>21</v>
      </c>
      <c r="P14" s="8">
        <f t="shared" si="5"/>
        <v>12</v>
      </c>
      <c r="Q14" s="8">
        <f t="shared" si="6"/>
        <v>3</v>
      </c>
      <c r="R14" s="8">
        <f t="shared" si="7"/>
        <v>6</v>
      </c>
    </row>
    <row r="15" spans="2:18" x14ac:dyDescent="0.3">
      <c r="I15" s="205" t="s">
        <v>1490</v>
      </c>
      <c r="J15" s="205" t="str">
        <f t="shared" si="2"/>
        <v>IV-Divisioona</v>
      </c>
      <c r="L15" s="8">
        <f t="shared" si="3"/>
        <v>101</v>
      </c>
      <c r="M15" s="8">
        <f t="shared" si="4"/>
        <v>98</v>
      </c>
      <c r="N15" s="8">
        <f t="shared" si="8"/>
        <v>3</v>
      </c>
      <c r="O15" s="8">
        <f t="shared" si="9"/>
        <v>20</v>
      </c>
      <c r="P15" s="8">
        <f t="shared" si="5"/>
        <v>7</v>
      </c>
      <c r="Q15" s="8">
        <f t="shared" si="6"/>
        <v>5</v>
      </c>
      <c r="R15" s="8">
        <f t="shared" si="7"/>
        <v>8</v>
      </c>
    </row>
    <row r="16" spans="2:18" x14ac:dyDescent="0.3">
      <c r="I16" s="205" t="s">
        <v>1513</v>
      </c>
      <c r="J16" s="205" t="str">
        <f t="shared" si="2"/>
        <v>IV-Divisioona</v>
      </c>
      <c r="L16" s="8">
        <f t="shared" si="3"/>
        <v>69</v>
      </c>
      <c r="M16" s="8">
        <f t="shared" si="4"/>
        <v>86</v>
      </c>
      <c r="N16" s="8">
        <f t="shared" si="8"/>
        <v>-17</v>
      </c>
      <c r="O16" s="8">
        <f t="shared" si="9"/>
        <v>16</v>
      </c>
      <c r="P16" s="8">
        <f t="shared" si="5"/>
        <v>6</v>
      </c>
      <c r="Q16" s="8">
        <f t="shared" si="6"/>
        <v>2</v>
      </c>
      <c r="R16" s="8">
        <f t="shared" si="7"/>
        <v>8</v>
      </c>
    </row>
    <row r="17" spans="9:18" x14ac:dyDescent="0.3">
      <c r="I17" s="205" t="s">
        <v>1635</v>
      </c>
      <c r="J17" s="205" t="str">
        <f t="shared" si="2"/>
        <v>IV-Divisioona + Karsinta V-Div</v>
      </c>
      <c r="L17" s="8">
        <f t="shared" si="3"/>
        <v>67</v>
      </c>
      <c r="M17" s="8">
        <f t="shared" si="4"/>
        <v>78</v>
      </c>
      <c r="N17" s="8">
        <f t="shared" si="8"/>
        <v>-11</v>
      </c>
      <c r="O17" s="8">
        <f t="shared" si="9"/>
        <v>17</v>
      </c>
      <c r="P17" s="8">
        <f t="shared" si="5"/>
        <v>6</v>
      </c>
      <c r="Q17" s="8">
        <f t="shared" si="6"/>
        <v>1</v>
      </c>
      <c r="R17" s="8">
        <f t="shared" si="7"/>
        <v>10</v>
      </c>
    </row>
    <row r="18" spans="9:18" x14ac:dyDescent="0.3">
      <c r="I18" s="205" t="s">
        <v>1818</v>
      </c>
      <c r="J18" s="205" t="str">
        <f t="shared" si="2"/>
        <v>IV-Divisioona + Karsinta III-Div</v>
      </c>
      <c r="L18" s="8">
        <f t="shared" si="3"/>
        <v>137</v>
      </c>
      <c r="M18" s="8">
        <f t="shared" si="4"/>
        <v>70</v>
      </c>
      <c r="N18" s="8">
        <f t="shared" si="8"/>
        <v>67</v>
      </c>
      <c r="O18" s="8">
        <f t="shared" si="9"/>
        <v>24</v>
      </c>
      <c r="P18" s="8">
        <f t="shared" si="5"/>
        <v>19</v>
      </c>
      <c r="Q18" s="8">
        <f t="shared" si="6"/>
        <v>0</v>
      </c>
      <c r="R18" s="8">
        <f t="shared" si="7"/>
        <v>5</v>
      </c>
    </row>
    <row r="19" spans="9:18" x14ac:dyDescent="0.3">
      <c r="I19" s="205" t="s">
        <v>2006</v>
      </c>
      <c r="J19" s="205" t="str">
        <f t="shared" si="2"/>
        <v>Suomen Cup + IV-Divisioona</v>
      </c>
      <c r="L19" s="8">
        <f t="shared" si="3"/>
        <v>116</v>
      </c>
      <c r="M19" s="8">
        <f t="shared" si="4"/>
        <v>72</v>
      </c>
      <c r="N19" s="8">
        <f t="shared" si="8"/>
        <v>44</v>
      </c>
      <c r="O19" s="8">
        <f t="shared" si="9"/>
        <v>19</v>
      </c>
      <c r="P19" s="8">
        <f t="shared" si="5"/>
        <v>13</v>
      </c>
      <c r="Q19" s="8">
        <f t="shared" si="6"/>
        <v>0</v>
      </c>
      <c r="R19" s="8">
        <f t="shared" si="7"/>
        <v>6</v>
      </c>
    </row>
    <row r="20" spans="9:18" x14ac:dyDescent="0.3">
      <c r="I20" s="205" t="s">
        <v>2115</v>
      </c>
      <c r="J20" s="205" t="str">
        <f t="shared" si="2"/>
        <v>III-Divisioona</v>
      </c>
      <c r="L20" s="8">
        <f t="shared" si="3"/>
        <v>5</v>
      </c>
      <c r="M20" s="8">
        <f t="shared" si="4"/>
        <v>22</v>
      </c>
      <c r="N20" s="8">
        <f t="shared" si="8"/>
        <v>-17</v>
      </c>
      <c r="O20" s="8">
        <f t="shared" si="9"/>
        <v>2</v>
      </c>
      <c r="P20" s="8">
        <f t="shared" si="5"/>
        <v>0</v>
      </c>
      <c r="Q20" s="8">
        <f t="shared" si="6"/>
        <v>0</v>
      </c>
      <c r="R20" s="8">
        <f t="shared" si="7"/>
        <v>2</v>
      </c>
    </row>
    <row r="21" spans="9:18" x14ac:dyDescent="0.3">
      <c r="I21" s="205" t="s">
        <v>2152</v>
      </c>
      <c r="J21" s="205" t="str">
        <f t="shared" si="2"/>
        <v>III-Divisioona + Karsinta IV-Div</v>
      </c>
      <c r="L21" s="8">
        <f t="shared" si="3"/>
        <v>76</v>
      </c>
      <c r="M21" s="8">
        <f t="shared" si="4"/>
        <v>103</v>
      </c>
      <c r="N21" s="8">
        <f t="shared" si="8"/>
        <v>-27</v>
      </c>
      <c r="O21" s="8">
        <f t="shared" si="9"/>
        <v>19</v>
      </c>
      <c r="P21" s="8">
        <f t="shared" si="5"/>
        <v>5</v>
      </c>
      <c r="Q21" s="8">
        <f t="shared" si="6"/>
        <v>3</v>
      </c>
      <c r="R21" s="8">
        <f t="shared" si="7"/>
        <v>11</v>
      </c>
    </row>
    <row r="22" spans="9:18" x14ac:dyDescent="0.3">
      <c r="I22" s="205" t="s">
        <v>2153</v>
      </c>
      <c r="J22" s="205" t="str">
        <f t="shared" si="2"/>
        <v>IV-Divisioona</v>
      </c>
      <c r="L22" s="8">
        <f t="shared" si="3"/>
        <v>108</v>
      </c>
      <c r="M22" s="8">
        <f t="shared" si="4"/>
        <v>100</v>
      </c>
      <c r="N22" s="8">
        <f t="shared" si="8"/>
        <v>8</v>
      </c>
      <c r="O22" s="8">
        <f t="shared" si="9"/>
        <v>24</v>
      </c>
      <c r="P22" s="8">
        <f t="shared" si="5"/>
        <v>10</v>
      </c>
      <c r="Q22" s="8">
        <f t="shared" si="6"/>
        <v>2</v>
      </c>
      <c r="R22" s="8">
        <f t="shared" si="7"/>
        <v>12</v>
      </c>
    </row>
    <row r="23" spans="9:18" x14ac:dyDescent="0.3">
      <c r="I23" s="205" t="s">
        <v>2372</v>
      </c>
      <c r="J23" s="205" t="str">
        <f t="shared" si="2"/>
        <v>IV-Divisioona + Karsinta III-Div</v>
      </c>
      <c r="L23" s="8">
        <f t="shared" si="3"/>
        <v>134</v>
      </c>
      <c r="M23" s="8">
        <f t="shared" si="4"/>
        <v>64</v>
      </c>
      <c r="N23" s="8">
        <f t="shared" si="8"/>
        <v>70</v>
      </c>
      <c r="O23" s="8">
        <f t="shared" si="9"/>
        <v>24</v>
      </c>
      <c r="P23" s="8">
        <f t="shared" si="5"/>
        <v>17</v>
      </c>
      <c r="Q23" s="8">
        <f t="shared" si="6"/>
        <v>5</v>
      </c>
      <c r="R23" s="8">
        <f t="shared" si="7"/>
        <v>2</v>
      </c>
    </row>
    <row r="24" spans="9:18" x14ac:dyDescent="0.3">
      <c r="I24" s="205" t="s">
        <v>2489</v>
      </c>
      <c r="J24" s="205" t="str">
        <f t="shared" si="2"/>
        <v>III-Divisioona</v>
      </c>
      <c r="L24" s="8">
        <f t="shared" si="3"/>
        <v>91</v>
      </c>
      <c r="M24" s="8">
        <f t="shared" si="4"/>
        <v>90</v>
      </c>
      <c r="N24" s="8">
        <f t="shared" si="8"/>
        <v>1</v>
      </c>
      <c r="O24" s="8">
        <f t="shared" si="9"/>
        <v>22</v>
      </c>
      <c r="P24" s="8">
        <f t="shared" si="5"/>
        <v>9</v>
      </c>
      <c r="Q24" s="8">
        <f t="shared" si="6"/>
        <v>1</v>
      </c>
      <c r="R24" s="8">
        <f t="shared" si="7"/>
        <v>12</v>
      </c>
    </row>
    <row r="25" spans="9:18" x14ac:dyDescent="0.3">
      <c r="L25" s="8"/>
      <c r="M25" s="8"/>
      <c r="N25" s="8"/>
      <c r="O25" s="8"/>
      <c r="P25" s="8"/>
      <c r="Q25" s="8"/>
      <c r="R25" s="8"/>
    </row>
    <row r="33" spans="2:75" x14ac:dyDescent="0.3">
      <c r="C33" s="205" t="s">
        <v>83</v>
      </c>
      <c r="D33" s="205" t="s">
        <v>2572</v>
      </c>
      <c r="V33" s="205" t="s">
        <v>0</v>
      </c>
      <c r="AO33" s="265" t="s">
        <v>1895</v>
      </c>
      <c r="BP33" s="205" t="s">
        <v>83</v>
      </c>
      <c r="BQ33" s="205" t="s">
        <v>2601</v>
      </c>
    </row>
    <row r="34" spans="2:75" x14ac:dyDescent="0.3">
      <c r="B34" s="1003" t="s">
        <v>1393</v>
      </c>
      <c r="C34" s="975" t="s">
        <v>1831</v>
      </c>
      <c r="D34" s="975" t="s">
        <v>1830</v>
      </c>
      <c r="E34" s="975" t="s">
        <v>1832</v>
      </c>
      <c r="F34" s="975" t="s">
        <v>1836</v>
      </c>
      <c r="G34" s="975" t="s">
        <v>1835</v>
      </c>
      <c r="H34" s="989" t="s">
        <v>1407</v>
      </c>
      <c r="I34" s="990" t="s">
        <v>2019</v>
      </c>
      <c r="J34" s="990" t="s">
        <v>0</v>
      </c>
      <c r="K34" s="990" t="s">
        <v>1128</v>
      </c>
      <c r="L34" s="1324" t="s">
        <v>1407</v>
      </c>
      <c r="M34" s="1325"/>
      <c r="N34" s="1326" t="s">
        <v>1822</v>
      </c>
      <c r="O34" s="1325"/>
      <c r="P34" s="1326" t="s">
        <v>1823</v>
      </c>
      <c r="Q34" s="1325"/>
      <c r="R34" s="1326" t="s">
        <v>1824</v>
      </c>
      <c r="S34" s="1325"/>
      <c r="T34" s="1326" t="s">
        <v>2706</v>
      </c>
      <c r="U34" s="1324"/>
      <c r="V34" s="981" t="s">
        <v>1557</v>
      </c>
      <c r="W34" s="981" t="s">
        <v>1556</v>
      </c>
      <c r="X34" s="981" t="s">
        <v>501</v>
      </c>
      <c r="Y34" s="981" t="s">
        <v>708</v>
      </c>
      <c r="Z34" s="981" t="s">
        <v>82</v>
      </c>
      <c r="AA34" s="981" t="s">
        <v>709</v>
      </c>
      <c r="AB34" s="981" t="s">
        <v>1419</v>
      </c>
      <c r="AC34" s="981" t="s">
        <v>1420</v>
      </c>
      <c r="AD34" s="982" t="s">
        <v>1827</v>
      </c>
      <c r="AE34" s="981" t="s">
        <v>1828</v>
      </c>
      <c r="AF34" s="981" t="s">
        <v>1425</v>
      </c>
      <c r="AG34" s="981" t="s">
        <v>1535</v>
      </c>
      <c r="AH34" s="981" t="s">
        <v>1536</v>
      </c>
      <c r="AI34" s="981" t="s">
        <v>1559</v>
      </c>
      <c r="AJ34" s="981" t="s">
        <v>1896</v>
      </c>
      <c r="AK34" s="981" t="s">
        <v>1967</v>
      </c>
      <c r="AL34" s="981" t="s">
        <v>19</v>
      </c>
      <c r="AM34" s="981"/>
      <c r="AN34" s="265"/>
      <c r="AO34" s="979" t="s">
        <v>1557</v>
      </c>
      <c r="AP34" s="979" t="s">
        <v>1556</v>
      </c>
      <c r="AQ34" s="979" t="s">
        <v>501</v>
      </c>
      <c r="AR34" s="979" t="s">
        <v>708</v>
      </c>
      <c r="AS34" s="979" t="s">
        <v>82</v>
      </c>
      <c r="AT34" s="979" t="s">
        <v>709</v>
      </c>
      <c r="AU34" s="979" t="s">
        <v>1419</v>
      </c>
      <c r="AV34" s="979" t="s">
        <v>1420</v>
      </c>
      <c r="AW34" s="980" t="s">
        <v>1827</v>
      </c>
      <c r="AX34" s="979" t="s">
        <v>1828</v>
      </c>
      <c r="AY34" s="979" t="s">
        <v>1425</v>
      </c>
      <c r="AZ34" s="979" t="s">
        <v>1535</v>
      </c>
      <c r="BA34" s="979" t="s">
        <v>1536</v>
      </c>
      <c r="BB34" s="979" t="s">
        <v>1559</v>
      </c>
      <c r="BC34" s="979" t="s">
        <v>1896</v>
      </c>
      <c r="BD34" s="979" t="s">
        <v>1967</v>
      </c>
      <c r="BE34" s="979" t="s">
        <v>19</v>
      </c>
      <c r="BF34" s="979"/>
      <c r="BH34" s="1001" t="s">
        <v>1911</v>
      </c>
      <c r="BI34" s="1001" t="s">
        <v>1912</v>
      </c>
      <c r="BJ34" s="1001" t="s">
        <v>1913</v>
      </c>
      <c r="BK34" s="1001" t="s">
        <v>537</v>
      </c>
      <c r="BL34" s="1001" t="s">
        <v>1128</v>
      </c>
    </row>
    <row r="35" spans="2:75" x14ac:dyDescent="0.3">
      <c r="B35" s="1280">
        <v>1</v>
      </c>
      <c r="C35" s="977" t="s">
        <v>83</v>
      </c>
      <c r="D35" s="977" t="s">
        <v>232</v>
      </c>
      <c r="E35" s="977" t="s">
        <v>1516</v>
      </c>
      <c r="F35" s="978" t="s">
        <v>2578</v>
      </c>
      <c r="G35" s="977" t="s">
        <v>149</v>
      </c>
      <c r="H35" s="991" t="str">
        <f t="shared" ref="H35" si="10">IF(L35=M35,"Tasapeli",IF(L35&lt;M35,"Häviö","Voitto"))</f>
        <v>Voitto</v>
      </c>
      <c r="I35" s="991" t="s">
        <v>1514</v>
      </c>
      <c r="J35" s="991" t="s">
        <v>0</v>
      </c>
      <c r="K35" s="991" t="s">
        <v>2573</v>
      </c>
      <c r="L35" s="992">
        <f t="shared" ref="L35" si="11">N35+P35+R35</f>
        <v>7</v>
      </c>
      <c r="M35" s="992">
        <f t="shared" ref="M35" si="12">O35+Q35+S35</f>
        <v>4</v>
      </c>
      <c r="N35" s="1262">
        <v>1</v>
      </c>
      <c r="O35" s="992">
        <v>0</v>
      </c>
      <c r="P35" s="1262">
        <v>3</v>
      </c>
      <c r="Q35" s="992">
        <v>2</v>
      </c>
      <c r="R35" s="1262">
        <v>3</v>
      </c>
      <c r="S35" s="992">
        <v>2</v>
      </c>
      <c r="T35" s="1262"/>
      <c r="U35" s="992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8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H35" s="1002">
        <f>IF(V35=0,1,0)</f>
        <v>1</v>
      </c>
      <c r="BI35" s="1002">
        <f>IF(AO35=0,1,0)</f>
        <v>1</v>
      </c>
      <c r="BJ35" s="1002">
        <f>IF(V35+AO35=0,1,0)</f>
        <v>1</v>
      </c>
      <c r="BK35" s="1002">
        <f>IF(BH35&gt;BI35,1,0)</f>
        <v>0</v>
      </c>
      <c r="BL35" s="1002">
        <f>IF(BI35&gt;BH35,1,0)</f>
        <v>0</v>
      </c>
      <c r="BO35" s="1282" t="s">
        <v>1393</v>
      </c>
      <c r="BP35" s="1281" t="s">
        <v>989</v>
      </c>
      <c r="BQ35" s="1282" t="s">
        <v>877</v>
      </c>
      <c r="BR35" s="1282" t="s">
        <v>990</v>
      </c>
      <c r="BS35" s="1282" t="s">
        <v>991</v>
      </c>
      <c r="BT35" s="1282" t="s">
        <v>992</v>
      </c>
      <c r="BU35" s="1282" t="s">
        <v>139</v>
      </c>
      <c r="BV35" s="1282" t="s">
        <v>993</v>
      </c>
      <c r="BW35" s="1282" t="s">
        <v>610</v>
      </c>
    </row>
    <row r="36" spans="2:75" x14ac:dyDescent="0.3">
      <c r="B36" s="1280">
        <v>2</v>
      </c>
      <c r="C36" s="977" t="s">
        <v>83</v>
      </c>
      <c r="D36" s="977" t="s">
        <v>232</v>
      </c>
      <c r="E36" s="977" t="s">
        <v>1537</v>
      </c>
      <c r="F36" s="978" t="s">
        <v>2579</v>
      </c>
      <c r="G36" s="977" t="s">
        <v>149</v>
      </c>
      <c r="H36" s="991" t="str">
        <f t="shared" ref="H36:H37" si="13">IF(L36=M36,"Tasapeli",IF(L36&lt;M36,"Häviö","Voitto"))</f>
        <v>Voitto</v>
      </c>
      <c r="I36" s="991" t="s">
        <v>1515</v>
      </c>
      <c r="J36" s="991" t="s">
        <v>0</v>
      </c>
      <c r="K36" s="991" t="s">
        <v>2562</v>
      </c>
      <c r="L36" s="992">
        <f t="shared" ref="L36:L37" si="14">N36+P36+R36</f>
        <v>6</v>
      </c>
      <c r="M36" s="992">
        <f t="shared" ref="M36:M37" si="15">O36+Q36+S36</f>
        <v>3</v>
      </c>
      <c r="N36" s="1262">
        <v>1</v>
      </c>
      <c r="O36" s="992">
        <v>1</v>
      </c>
      <c r="P36" s="1262">
        <v>1</v>
      </c>
      <c r="Q36" s="992">
        <v>1</v>
      </c>
      <c r="R36" s="1262">
        <v>4</v>
      </c>
      <c r="S36" s="992">
        <v>1</v>
      </c>
      <c r="T36" s="1262"/>
      <c r="U36" s="992"/>
      <c r="V36" s="985"/>
      <c r="W36" s="985"/>
      <c r="X36" s="985"/>
      <c r="Y36" s="985"/>
      <c r="Z36" s="985"/>
      <c r="AA36" s="985"/>
      <c r="AB36" s="985"/>
      <c r="AC36" s="985"/>
      <c r="AD36" s="985"/>
      <c r="AE36" s="985"/>
      <c r="AF36" s="985"/>
      <c r="AG36" s="985"/>
      <c r="AH36" s="985"/>
      <c r="AI36" s="985"/>
      <c r="AJ36" s="985"/>
      <c r="AK36" s="985"/>
      <c r="AL36" s="985"/>
      <c r="AM36" s="985"/>
      <c r="AN36" s="8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  <c r="BA36" s="983"/>
      <c r="BB36" s="983"/>
      <c r="BC36" s="983"/>
      <c r="BD36" s="983"/>
      <c r="BE36" s="988"/>
      <c r="BF36" s="988"/>
      <c r="BH36" s="1002">
        <f t="shared" ref="BH36:BH53" si="16">IF(V36=0,1,0)</f>
        <v>1</v>
      </c>
      <c r="BI36" s="1002">
        <f t="shared" ref="BI36:BI53" si="17">IF(AO36=0,1,0)</f>
        <v>1</v>
      </c>
      <c r="BJ36" s="1002">
        <f t="shared" ref="BJ36:BJ53" si="18">IF(V36+AO36=0,1,0)</f>
        <v>1</v>
      </c>
      <c r="BK36" s="1002">
        <f t="shared" ref="BK36:BK53" si="19">IF(BH36&gt;BI36,1,0)</f>
        <v>0</v>
      </c>
      <c r="BL36" s="1002">
        <f t="shared" ref="BL36:BL53" si="20">IF(BI36&gt;BH36,1,0)</f>
        <v>0</v>
      </c>
      <c r="BO36" s="119">
        <v>1</v>
      </c>
      <c r="BP36" s="128" t="s">
        <v>2599</v>
      </c>
      <c r="BQ36" s="119">
        <v>21</v>
      </c>
      <c r="BR36" s="119">
        <v>19</v>
      </c>
      <c r="BS36" s="119">
        <v>2</v>
      </c>
      <c r="BT36" s="119">
        <v>0</v>
      </c>
      <c r="BU36" s="119">
        <v>180</v>
      </c>
      <c r="BV36" s="119">
        <v>58</v>
      </c>
      <c r="BW36" s="119">
        <v>40</v>
      </c>
    </row>
    <row r="37" spans="2:75" x14ac:dyDescent="0.3">
      <c r="B37" s="1280">
        <v>3</v>
      </c>
      <c r="C37" s="977" t="s">
        <v>83</v>
      </c>
      <c r="D37" s="977" t="s">
        <v>232</v>
      </c>
      <c r="E37" s="977" t="s">
        <v>1538</v>
      </c>
      <c r="F37" s="978" t="s">
        <v>2580</v>
      </c>
      <c r="G37" s="977" t="s">
        <v>149</v>
      </c>
      <c r="H37" s="991" t="str">
        <f t="shared" si="13"/>
        <v>Voitto</v>
      </c>
      <c r="I37" s="991" t="s">
        <v>1514</v>
      </c>
      <c r="J37" s="991" t="s">
        <v>0</v>
      </c>
      <c r="K37" s="991" t="s">
        <v>2574</v>
      </c>
      <c r="L37" s="992">
        <f t="shared" si="14"/>
        <v>4</v>
      </c>
      <c r="M37" s="992">
        <f t="shared" si="15"/>
        <v>2</v>
      </c>
      <c r="N37" s="1262">
        <v>0</v>
      </c>
      <c r="O37" s="992">
        <v>1</v>
      </c>
      <c r="P37" s="1262">
        <v>2</v>
      </c>
      <c r="Q37" s="992">
        <v>1</v>
      </c>
      <c r="R37" s="1262">
        <v>2</v>
      </c>
      <c r="S37" s="992">
        <v>0</v>
      </c>
      <c r="T37" s="1262"/>
      <c r="U37" s="992"/>
      <c r="V37" s="985"/>
      <c r="W37" s="985"/>
      <c r="X37" s="985"/>
      <c r="Y37" s="985"/>
      <c r="Z37" s="985"/>
      <c r="AA37" s="985"/>
      <c r="AB37" s="985"/>
      <c r="AC37" s="985"/>
      <c r="AD37" s="985"/>
      <c r="AE37" s="985"/>
      <c r="AF37" s="985"/>
      <c r="AG37" s="985"/>
      <c r="AH37" s="985"/>
      <c r="AI37" s="985"/>
      <c r="AJ37" s="985"/>
      <c r="AK37" s="985"/>
      <c r="AL37" s="986"/>
      <c r="AM37" s="986"/>
      <c r="AN37" s="8"/>
      <c r="AO37" s="983"/>
      <c r="AP37" s="983"/>
      <c r="AQ37" s="983"/>
      <c r="AR37" s="983"/>
      <c r="AS37" s="983"/>
      <c r="AT37" s="983"/>
      <c r="AU37" s="983"/>
      <c r="AV37" s="983"/>
      <c r="AW37" s="983"/>
      <c r="AX37" s="983"/>
      <c r="AY37" s="983"/>
      <c r="AZ37" s="983"/>
      <c r="BA37" s="983"/>
      <c r="BB37" s="983"/>
      <c r="BC37" s="983"/>
      <c r="BD37" s="983"/>
      <c r="BE37" s="988"/>
      <c r="BF37" s="988"/>
      <c r="BH37" s="1002">
        <f t="shared" si="16"/>
        <v>1</v>
      </c>
      <c r="BI37" s="1002">
        <f t="shared" si="17"/>
        <v>1</v>
      </c>
      <c r="BJ37" s="1002">
        <f t="shared" si="18"/>
        <v>1</v>
      </c>
      <c r="BK37" s="1002">
        <f t="shared" si="19"/>
        <v>0</v>
      </c>
      <c r="BL37" s="1002">
        <f t="shared" si="20"/>
        <v>0</v>
      </c>
      <c r="BO37" s="1284">
        <v>2</v>
      </c>
      <c r="BP37" s="1283" t="s">
        <v>0</v>
      </c>
      <c r="BQ37" s="1284">
        <v>21</v>
      </c>
      <c r="BR37" s="1284">
        <v>14</v>
      </c>
      <c r="BS37" s="1284">
        <v>3</v>
      </c>
      <c r="BT37" s="1284">
        <v>4</v>
      </c>
      <c r="BU37" s="1284">
        <v>111</v>
      </c>
      <c r="BV37" s="1284">
        <v>64</v>
      </c>
      <c r="BW37" s="1284">
        <v>31</v>
      </c>
    </row>
    <row r="38" spans="2:75" x14ac:dyDescent="0.3">
      <c r="B38" s="1280">
        <v>4</v>
      </c>
      <c r="C38" s="977" t="s">
        <v>83</v>
      </c>
      <c r="D38" s="977" t="s">
        <v>232</v>
      </c>
      <c r="E38" s="977" t="s">
        <v>1539</v>
      </c>
      <c r="F38" s="978" t="s">
        <v>2581</v>
      </c>
      <c r="G38" s="977" t="s">
        <v>149</v>
      </c>
      <c r="H38" s="991" t="str">
        <f t="shared" ref="H38:H45" si="21">IF(L38=M38,"Tasapeli",IF(L38&lt;M38,"Häviö","Voitto"))</f>
        <v>Tasapeli</v>
      </c>
      <c r="I38" s="991" t="s">
        <v>1515</v>
      </c>
      <c r="J38" s="991" t="s">
        <v>0</v>
      </c>
      <c r="K38" s="991" t="s">
        <v>2577</v>
      </c>
      <c r="L38" s="992">
        <f t="shared" ref="L38:L45" si="22">N38+P38+R38</f>
        <v>4</v>
      </c>
      <c r="M38" s="992">
        <f t="shared" ref="M38:M45" si="23">O38+Q38+S38</f>
        <v>4</v>
      </c>
      <c r="N38" s="1262">
        <v>1</v>
      </c>
      <c r="O38" s="992">
        <v>2</v>
      </c>
      <c r="P38" s="1262">
        <v>0</v>
      </c>
      <c r="Q38" s="992">
        <v>1</v>
      </c>
      <c r="R38" s="1262">
        <v>3</v>
      </c>
      <c r="S38" s="992">
        <v>1</v>
      </c>
      <c r="T38" s="1262"/>
      <c r="U38" s="992"/>
      <c r="V38" s="985"/>
      <c r="W38" s="985"/>
      <c r="X38" s="987"/>
      <c r="Y38" s="987"/>
      <c r="Z38" s="987"/>
      <c r="AA38" s="987"/>
      <c r="AB38" s="987"/>
      <c r="AC38" s="987"/>
      <c r="AD38" s="987"/>
      <c r="AE38" s="987"/>
      <c r="AF38" s="987"/>
      <c r="AG38" s="987"/>
      <c r="AH38" s="987"/>
      <c r="AI38" s="987"/>
      <c r="AJ38" s="987"/>
      <c r="AK38" s="985"/>
      <c r="AL38" s="985"/>
      <c r="AM38" s="985"/>
      <c r="AO38" s="983"/>
      <c r="AP38" s="983"/>
      <c r="AQ38" s="983"/>
      <c r="AR38" s="976"/>
      <c r="AS38" s="976"/>
      <c r="AT38" s="976"/>
      <c r="AU38" s="976"/>
      <c r="AV38" s="976"/>
      <c r="AW38" s="976"/>
      <c r="AX38" s="976"/>
      <c r="AY38" s="976"/>
      <c r="AZ38" s="976"/>
      <c r="BA38" s="976"/>
      <c r="BB38" s="976"/>
      <c r="BC38" s="976"/>
      <c r="BD38" s="983"/>
      <c r="BE38" s="984"/>
      <c r="BF38" s="984"/>
      <c r="BH38" s="1002">
        <f t="shared" si="16"/>
        <v>1</v>
      </c>
      <c r="BI38" s="1002">
        <f t="shared" si="17"/>
        <v>1</v>
      </c>
      <c r="BJ38" s="1002">
        <f t="shared" si="18"/>
        <v>1</v>
      </c>
      <c r="BK38" s="1002">
        <f t="shared" si="19"/>
        <v>0</v>
      </c>
      <c r="BL38" s="1002">
        <f t="shared" si="20"/>
        <v>0</v>
      </c>
      <c r="BO38" s="119">
        <v>3</v>
      </c>
      <c r="BP38" s="128" t="s">
        <v>1195</v>
      </c>
      <c r="BQ38" s="119">
        <v>21</v>
      </c>
      <c r="BR38" s="119">
        <v>13</v>
      </c>
      <c r="BS38" s="119">
        <v>0</v>
      </c>
      <c r="BT38" s="119">
        <v>8</v>
      </c>
      <c r="BU38" s="119">
        <v>114</v>
      </c>
      <c r="BV38" s="119">
        <v>97</v>
      </c>
      <c r="BW38" s="119">
        <v>26</v>
      </c>
    </row>
    <row r="39" spans="2:75" x14ac:dyDescent="0.3">
      <c r="B39" s="1280">
        <v>5</v>
      </c>
      <c r="C39" s="977" t="s">
        <v>83</v>
      </c>
      <c r="D39" s="977" t="s">
        <v>232</v>
      </c>
      <c r="E39" s="977" t="s">
        <v>1540</v>
      </c>
      <c r="F39" s="978" t="s">
        <v>2582</v>
      </c>
      <c r="G39" s="977" t="s">
        <v>149</v>
      </c>
      <c r="H39" s="991" t="str">
        <f t="shared" si="21"/>
        <v>Voitto</v>
      </c>
      <c r="I39" s="991" t="s">
        <v>1514</v>
      </c>
      <c r="J39" s="991" t="s">
        <v>0</v>
      </c>
      <c r="K39" s="991" t="s">
        <v>2575</v>
      </c>
      <c r="L39" s="992">
        <f t="shared" si="22"/>
        <v>5</v>
      </c>
      <c r="M39" s="992">
        <f t="shared" si="23"/>
        <v>3</v>
      </c>
      <c r="N39" s="1262">
        <v>0</v>
      </c>
      <c r="O39" s="992">
        <v>1</v>
      </c>
      <c r="P39" s="1262">
        <v>3</v>
      </c>
      <c r="Q39" s="992">
        <v>0</v>
      </c>
      <c r="R39" s="1262">
        <v>2</v>
      </c>
      <c r="S39" s="992">
        <v>2</v>
      </c>
      <c r="T39" s="1262"/>
      <c r="U39" s="992"/>
      <c r="V39" s="985"/>
      <c r="W39" s="985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5"/>
      <c r="AL39" s="985"/>
      <c r="AM39" s="985"/>
      <c r="AO39" s="983"/>
      <c r="AP39" s="983"/>
      <c r="AQ39" s="976"/>
      <c r="AR39" s="976"/>
      <c r="AS39" s="976"/>
      <c r="AT39" s="976"/>
      <c r="AU39" s="976"/>
      <c r="AV39" s="976"/>
      <c r="AW39" s="976"/>
      <c r="AX39" s="976"/>
      <c r="AY39" s="976"/>
      <c r="AZ39" s="976"/>
      <c r="BA39" s="976"/>
      <c r="BB39" s="976"/>
      <c r="BC39" s="976"/>
      <c r="BD39" s="983"/>
      <c r="BE39" s="983"/>
      <c r="BF39" s="983"/>
      <c r="BH39" s="1002">
        <f t="shared" si="16"/>
        <v>1</v>
      </c>
      <c r="BI39" s="1002">
        <f t="shared" si="17"/>
        <v>1</v>
      </c>
      <c r="BJ39" s="1002">
        <f t="shared" si="18"/>
        <v>1</v>
      </c>
      <c r="BK39" s="1002">
        <f t="shared" si="19"/>
        <v>0</v>
      </c>
      <c r="BL39" s="1002">
        <f t="shared" si="20"/>
        <v>0</v>
      </c>
      <c r="BO39" s="119">
        <v>4</v>
      </c>
      <c r="BP39" s="128" t="s">
        <v>2562</v>
      </c>
      <c r="BQ39" s="119">
        <v>21</v>
      </c>
      <c r="BR39" s="119">
        <v>9</v>
      </c>
      <c r="BS39" s="119">
        <v>2</v>
      </c>
      <c r="BT39" s="119">
        <v>10</v>
      </c>
      <c r="BU39" s="119">
        <v>99</v>
      </c>
      <c r="BV39" s="119">
        <v>110</v>
      </c>
      <c r="BW39" s="119">
        <v>20</v>
      </c>
    </row>
    <row r="40" spans="2:75" x14ac:dyDescent="0.3">
      <c r="B40" s="1280">
        <v>6</v>
      </c>
      <c r="C40" s="977" t="s">
        <v>83</v>
      </c>
      <c r="D40" s="977" t="s">
        <v>232</v>
      </c>
      <c r="E40" s="977" t="s">
        <v>1541</v>
      </c>
      <c r="F40" s="978" t="s">
        <v>2583</v>
      </c>
      <c r="G40" s="977" t="s">
        <v>149</v>
      </c>
      <c r="H40" s="991" t="str">
        <f t="shared" si="21"/>
        <v>Voitto</v>
      </c>
      <c r="I40" s="991" t="s">
        <v>1515</v>
      </c>
      <c r="J40" s="991" t="s">
        <v>0</v>
      </c>
      <c r="K40" s="991" t="s">
        <v>2576</v>
      </c>
      <c r="L40" s="992">
        <f t="shared" si="22"/>
        <v>6</v>
      </c>
      <c r="M40" s="992">
        <f t="shared" si="23"/>
        <v>0</v>
      </c>
      <c r="N40" s="1262">
        <v>0</v>
      </c>
      <c r="O40" s="992">
        <v>0</v>
      </c>
      <c r="P40" s="1262">
        <v>3</v>
      </c>
      <c r="Q40" s="992">
        <v>0</v>
      </c>
      <c r="R40" s="1262">
        <v>3</v>
      </c>
      <c r="S40" s="992">
        <v>0</v>
      </c>
      <c r="T40" s="1262"/>
      <c r="U40" s="992"/>
      <c r="V40" s="985"/>
      <c r="W40" s="985"/>
      <c r="X40" s="987"/>
      <c r="Y40" s="987"/>
      <c r="Z40" s="987"/>
      <c r="AA40" s="987"/>
      <c r="AB40" s="987"/>
      <c r="AC40" s="987"/>
      <c r="AD40" s="987"/>
      <c r="AE40" s="987"/>
      <c r="AF40" s="987"/>
      <c r="AG40" s="987"/>
      <c r="AH40" s="987"/>
      <c r="AI40" s="987"/>
      <c r="AJ40" s="987"/>
      <c r="AK40" s="985"/>
      <c r="AL40" s="985"/>
      <c r="AM40" s="985"/>
      <c r="AO40" s="983"/>
      <c r="AP40" s="983"/>
      <c r="AQ40" s="983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  <c r="BC40" s="976"/>
      <c r="BD40" s="983"/>
      <c r="BE40" s="983"/>
      <c r="BF40" s="983"/>
      <c r="BH40" s="1002">
        <f t="shared" si="16"/>
        <v>1</v>
      </c>
      <c r="BI40" s="1002">
        <f t="shared" si="17"/>
        <v>1</v>
      </c>
      <c r="BJ40" s="1002">
        <f t="shared" si="18"/>
        <v>1</v>
      </c>
      <c r="BK40" s="1002">
        <f t="shared" si="19"/>
        <v>0</v>
      </c>
      <c r="BL40" s="1002">
        <f t="shared" si="20"/>
        <v>0</v>
      </c>
      <c r="BO40" s="119">
        <v>5</v>
      </c>
      <c r="BP40" s="128" t="s">
        <v>2600</v>
      </c>
      <c r="BQ40" s="119">
        <v>21</v>
      </c>
      <c r="BR40" s="119">
        <v>8</v>
      </c>
      <c r="BS40" s="119">
        <v>1</v>
      </c>
      <c r="BT40" s="119">
        <v>12</v>
      </c>
      <c r="BU40" s="119">
        <v>72</v>
      </c>
      <c r="BV40" s="119">
        <v>99</v>
      </c>
      <c r="BW40" s="119">
        <v>17</v>
      </c>
    </row>
    <row r="41" spans="2:75" x14ac:dyDescent="0.3">
      <c r="B41" s="1280">
        <v>7</v>
      </c>
      <c r="C41" s="977" t="s">
        <v>83</v>
      </c>
      <c r="D41" s="977" t="s">
        <v>232</v>
      </c>
      <c r="E41" s="977" t="s">
        <v>1542</v>
      </c>
      <c r="F41" s="978" t="s">
        <v>2584</v>
      </c>
      <c r="G41" s="977" t="s">
        <v>149</v>
      </c>
      <c r="H41" s="991" t="str">
        <f t="shared" si="21"/>
        <v>Voitto</v>
      </c>
      <c r="I41" s="991" t="s">
        <v>1515</v>
      </c>
      <c r="J41" s="991" t="s">
        <v>0</v>
      </c>
      <c r="K41" s="991" t="s">
        <v>1195</v>
      </c>
      <c r="L41" s="992">
        <f t="shared" si="22"/>
        <v>5</v>
      </c>
      <c r="M41" s="992">
        <f t="shared" si="23"/>
        <v>4</v>
      </c>
      <c r="N41" s="1262">
        <v>2</v>
      </c>
      <c r="O41" s="992">
        <v>2</v>
      </c>
      <c r="P41" s="1262">
        <v>2</v>
      </c>
      <c r="Q41" s="992">
        <v>2</v>
      </c>
      <c r="R41" s="1262">
        <v>1</v>
      </c>
      <c r="S41" s="992">
        <v>0</v>
      </c>
      <c r="T41" s="1262"/>
      <c r="U41" s="992"/>
      <c r="V41" s="985"/>
      <c r="W41" s="985"/>
      <c r="X41" s="985"/>
      <c r="Y41" s="987"/>
      <c r="Z41" s="987"/>
      <c r="AA41" s="987"/>
      <c r="AB41" s="985"/>
      <c r="AC41" s="987"/>
      <c r="AD41" s="987"/>
      <c r="AE41" s="987"/>
      <c r="AF41" s="987"/>
      <c r="AG41" s="987"/>
      <c r="AH41" s="987"/>
      <c r="AI41" s="987"/>
      <c r="AJ41" s="987"/>
      <c r="AK41" s="985"/>
      <c r="AL41" s="986"/>
      <c r="AM41" s="986"/>
      <c r="AO41" s="983"/>
      <c r="AP41" s="983"/>
      <c r="AQ41" s="983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  <c r="BC41" s="976"/>
      <c r="BD41" s="983"/>
      <c r="BE41" s="983"/>
      <c r="BF41" s="983"/>
      <c r="BH41" s="1002">
        <f t="shared" si="16"/>
        <v>1</v>
      </c>
      <c r="BI41" s="1002">
        <f t="shared" si="17"/>
        <v>1</v>
      </c>
      <c r="BJ41" s="1002">
        <f t="shared" si="18"/>
        <v>1</v>
      </c>
      <c r="BK41" s="1002">
        <f t="shared" si="19"/>
        <v>0</v>
      </c>
      <c r="BL41" s="1002">
        <f t="shared" si="20"/>
        <v>0</v>
      </c>
      <c r="BO41" s="119">
        <v>6</v>
      </c>
      <c r="BP41" s="128" t="s">
        <v>2573</v>
      </c>
      <c r="BQ41" s="119">
        <v>21</v>
      </c>
      <c r="BR41" s="119">
        <v>8</v>
      </c>
      <c r="BS41" s="119">
        <v>0</v>
      </c>
      <c r="BT41" s="119">
        <v>13</v>
      </c>
      <c r="BU41" s="119">
        <v>86</v>
      </c>
      <c r="BV41" s="119">
        <v>112</v>
      </c>
      <c r="BW41" s="119">
        <v>16</v>
      </c>
    </row>
    <row r="42" spans="2:75" x14ac:dyDescent="0.3">
      <c r="B42" s="1280">
        <v>8</v>
      </c>
      <c r="C42" s="977" t="s">
        <v>83</v>
      </c>
      <c r="D42" s="977" t="s">
        <v>232</v>
      </c>
      <c r="E42" s="977" t="s">
        <v>1543</v>
      </c>
      <c r="F42" s="978" t="s">
        <v>2585</v>
      </c>
      <c r="G42" s="977" t="s">
        <v>149</v>
      </c>
      <c r="H42" s="991" t="str">
        <f t="shared" si="21"/>
        <v>Voitto</v>
      </c>
      <c r="I42" s="991" t="s">
        <v>1514</v>
      </c>
      <c r="J42" s="991" t="s">
        <v>0</v>
      </c>
      <c r="K42" s="991" t="s">
        <v>2562</v>
      </c>
      <c r="L42" s="992">
        <f t="shared" si="22"/>
        <v>6</v>
      </c>
      <c r="M42" s="992">
        <f t="shared" si="23"/>
        <v>2</v>
      </c>
      <c r="N42" s="1262">
        <v>2</v>
      </c>
      <c r="O42" s="992">
        <v>2</v>
      </c>
      <c r="P42" s="1262">
        <v>2</v>
      </c>
      <c r="Q42" s="992">
        <v>0</v>
      </c>
      <c r="R42" s="1262">
        <v>2</v>
      </c>
      <c r="S42" s="992">
        <v>0</v>
      </c>
      <c r="T42" s="1262"/>
      <c r="U42" s="992"/>
      <c r="V42" s="985"/>
      <c r="W42" s="985"/>
      <c r="X42" s="985"/>
      <c r="Y42" s="985"/>
      <c r="Z42" s="985"/>
      <c r="AA42" s="985"/>
      <c r="AB42" s="985"/>
      <c r="AC42" s="985"/>
      <c r="AD42" s="985"/>
      <c r="AE42" s="985"/>
      <c r="AF42" s="985"/>
      <c r="AG42" s="985"/>
      <c r="AH42" s="985"/>
      <c r="AI42" s="985"/>
      <c r="AJ42" s="985"/>
      <c r="AK42" s="985"/>
      <c r="AL42" s="985"/>
      <c r="AM42" s="985"/>
      <c r="AN42" s="8"/>
      <c r="AO42" s="983"/>
      <c r="AP42" s="983"/>
      <c r="AQ42" s="983"/>
      <c r="AR42" s="983"/>
      <c r="AS42" s="983"/>
      <c r="AT42" s="983"/>
      <c r="AU42" s="983"/>
      <c r="AV42" s="983"/>
      <c r="AW42" s="983"/>
      <c r="AX42" s="983"/>
      <c r="AY42" s="983"/>
      <c r="AZ42" s="983"/>
      <c r="BA42" s="983"/>
      <c r="BB42" s="983"/>
      <c r="BC42" s="983"/>
      <c r="BD42" s="983"/>
      <c r="BE42" s="983"/>
      <c r="BF42" s="983"/>
      <c r="BH42" s="1002">
        <f t="shared" si="16"/>
        <v>1</v>
      </c>
      <c r="BI42" s="1002">
        <f t="shared" si="17"/>
        <v>1</v>
      </c>
      <c r="BJ42" s="1002">
        <f t="shared" si="18"/>
        <v>1</v>
      </c>
      <c r="BK42" s="1002">
        <f t="shared" si="19"/>
        <v>0</v>
      </c>
      <c r="BL42" s="1002">
        <f t="shared" si="20"/>
        <v>0</v>
      </c>
      <c r="BO42" s="119">
        <v>7</v>
      </c>
      <c r="BP42" s="128" t="s">
        <v>2576</v>
      </c>
      <c r="BQ42" s="119">
        <v>21</v>
      </c>
      <c r="BR42" s="119">
        <v>7</v>
      </c>
      <c r="BS42" s="119">
        <v>1</v>
      </c>
      <c r="BT42" s="119">
        <v>13</v>
      </c>
      <c r="BU42" s="119">
        <v>97</v>
      </c>
      <c r="BV42" s="119">
        <v>122</v>
      </c>
      <c r="BW42" s="119">
        <v>15</v>
      </c>
    </row>
    <row r="43" spans="2:75" x14ac:dyDescent="0.3">
      <c r="B43" s="1280">
        <v>9</v>
      </c>
      <c r="C43" s="977" t="s">
        <v>83</v>
      </c>
      <c r="D43" s="977" t="s">
        <v>232</v>
      </c>
      <c r="E43" s="977" t="s">
        <v>1544</v>
      </c>
      <c r="F43" s="978" t="s">
        <v>2586</v>
      </c>
      <c r="G43" s="977" t="s">
        <v>150</v>
      </c>
      <c r="H43" s="991" t="str">
        <f t="shared" si="21"/>
        <v>Häviö</v>
      </c>
      <c r="I43" s="991" t="s">
        <v>1515</v>
      </c>
      <c r="J43" s="991" t="s">
        <v>0</v>
      </c>
      <c r="K43" s="991" t="s">
        <v>2573</v>
      </c>
      <c r="L43" s="992">
        <f t="shared" si="22"/>
        <v>1</v>
      </c>
      <c r="M43" s="992">
        <f t="shared" si="23"/>
        <v>3</v>
      </c>
      <c r="N43" s="1262">
        <v>0</v>
      </c>
      <c r="O43" s="992">
        <v>1</v>
      </c>
      <c r="P43" s="1262">
        <v>1</v>
      </c>
      <c r="Q43" s="992">
        <v>2</v>
      </c>
      <c r="R43" s="1262">
        <v>0</v>
      </c>
      <c r="S43" s="992">
        <v>0</v>
      </c>
      <c r="T43" s="1262"/>
      <c r="U43" s="992"/>
      <c r="V43" s="985"/>
      <c r="W43" s="985"/>
      <c r="X43" s="985"/>
      <c r="Y43" s="985"/>
      <c r="Z43" s="985"/>
      <c r="AA43" s="985"/>
      <c r="AB43" s="985"/>
      <c r="AC43" s="985"/>
      <c r="AD43" s="985"/>
      <c r="AE43" s="985"/>
      <c r="AF43" s="985"/>
      <c r="AG43" s="985"/>
      <c r="AH43" s="985"/>
      <c r="AI43" s="985"/>
      <c r="AJ43" s="985"/>
      <c r="AK43" s="985"/>
      <c r="AL43" s="985"/>
      <c r="AM43" s="985"/>
      <c r="AN43" s="8"/>
      <c r="AO43" s="983"/>
      <c r="AP43" s="983"/>
      <c r="AQ43" s="983"/>
      <c r="AR43" s="983"/>
      <c r="AS43" s="983"/>
      <c r="AT43" s="983"/>
      <c r="AU43" s="983"/>
      <c r="AV43" s="983"/>
      <c r="AW43" s="983"/>
      <c r="AX43" s="983"/>
      <c r="AY43" s="983"/>
      <c r="AZ43" s="983"/>
      <c r="BA43" s="983"/>
      <c r="BB43" s="983"/>
      <c r="BC43" s="983"/>
      <c r="BD43" s="983"/>
      <c r="BE43" s="983"/>
      <c r="BF43" s="983"/>
      <c r="BH43" s="1002">
        <f t="shared" si="16"/>
        <v>1</v>
      </c>
      <c r="BI43" s="1002">
        <f t="shared" si="17"/>
        <v>1</v>
      </c>
      <c r="BJ43" s="1002">
        <f t="shared" si="18"/>
        <v>1</v>
      </c>
      <c r="BK43" s="1002">
        <f t="shared" si="19"/>
        <v>0</v>
      </c>
      <c r="BL43" s="1002">
        <f t="shared" si="20"/>
        <v>0</v>
      </c>
      <c r="BO43" s="119">
        <v>8</v>
      </c>
      <c r="BP43" s="128" t="s">
        <v>2574</v>
      </c>
      <c r="BQ43" s="119">
        <v>21</v>
      </c>
      <c r="BR43" s="119">
        <v>1</v>
      </c>
      <c r="BS43" s="119">
        <v>1</v>
      </c>
      <c r="BT43" s="119">
        <v>19</v>
      </c>
      <c r="BU43" s="119">
        <v>54</v>
      </c>
      <c r="BV43" s="119">
        <v>151</v>
      </c>
      <c r="BW43" s="119">
        <v>3</v>
      </c>
    </row>
    <row r="44" spans="2:75" x14ac:dyDescent="0.3">
      <c r="B44" s="1280">
        <v>10</v>
      </c>
      <c r="C44" s="977" t="s">
        <v>83</v>
      </c>
      <c r="D44" s="977" t="s">
        <v>232</v>
      </c>
      <c r="E44" s="977" t="s">
        <v>1545</v>
      </c>
      <c r="F44" s="978" t="s">
        <v>2587</v>
      </c>
      <c r="G44" s="977" t="s">
        <v>150</v>
      </c>
      <c r="H44" s="991" t="str">
        <f t="shared" si="21"/>
        <v>Häviö</v>
      </c>
      <c r="I44" s="991" t="s">
        <v>1514</v>
      </c>
      <c r="J44" s="991" t="s">
        <v>0</v>
      </c>
      <c r="K44" s="991" t="s">
        <v>2577</v>
      </c>
      <c r="L44" s="992">
        <f t="shared" si="22"/>
        <v>1</v>
      </c>
      <c r="M44" s="992">
        <f t="shared" si="23"/>
        <v>5</v>
      </c>
      <c r="N44" s="1262">
        <v>1</v>
      </c>
      <c r="O44" s="992">
        <v>1</v>
      </c>
      <c r="P44" s="1262">
        <v>0</v>
      </c>
      <c r="Q44" s="992">
        <v>3</v>
      </c>
      <c r="R44" s="1262">
        <v>0</v>
      </c>
      <c r="S44" s="992">
        <v>1</v>
      </c>
      <c r="T44" s="1262"/>
      <c r="U44" s="992"/>
      <c r="V44" s="985"/>
      <c r="W44" s="985"/>
      <c r="X44" s="985"/>
      <c r="Y44" s="985"/>
      <c r="Z44" s="985"/>
      <c r="AA44" s="985"/>
      <c r="AB44" s="985"/>
      <c r="AC44" s="985"/>
      <c r="AD44" s="985"/>
      <c r="AE44" s="985"/>
      <c r="AF44" s="985"/>
      <c r="AG44" s="985"/>
      <c r="AH44" s="985"/>
      <c r="AI44" s="985"/>
      <c r="AJ44" s="985"/>
      <c r="AK44" s="985"/>
      <c r="AL44" s="985"/>
      <c r="AM44" s="985"/>
      <c r="AN44" s="8"/>
      <c r="AO44" s="983"/>
      <c r="AP44" s="983"/>
      <c r="AQ44" s="983"/>
      <c r="AR44" s="983"/>
      <c r="AS44" s="983"/>
      <c r="AT44" s="983"/>
      <c r="AU44" s="983"/>
      <c r="AV44" s="983"/>
      <c r="AW44" s="983"/>
      <c r="AX44" s="983"/>
      <c r="AY44" s="983"/>
      <c r="AZ44" s="983"/>
      <c r="BA44" s="983"/>
      <c r="BB44" s="983"/>
      <c r="BC44" s="983"/>
      <c r="BD44" s="983"/>
      <c r="BE44" s="983"/>
      <c r="BF44" s="983"/>
      <c r="BH44" s="1002">
        <f t="shared" si="16"/>
        <v>1</v>
      </c>
      <c r="BI44" s="1002">
        <f t="shared" si="17"/>
        <v>1</v>
      </c>
      <c r="BJ44" s="1002">
        <f t="shared" si="18"/>
        <v>1</v>
      </c>
      <c r="BK44" s="1002">
        <f t="shared" si="19"/>
        <v>0</v>
      </c>
      <c r="BL44" s="1002">
        <f t="shared" si="20"/>
        <v>0</v>
      </c>
    </row>
    <row r="45" spans="2:75" x14ac:dyDescent="0.3">
      <c r="B45" s="1280">
        <v>11</v>
      </c>
      <c r="C45" s="977" t="s">
        <v>83</v>
      </c>
      <c r="D45" s="977" t="s">
        <v>232</v>
      </c>
      <c r="E45" s="977" t="s">
        <v>1546</v>
      </c>
      <c r="F45" s="978" t="s">
        <v>2588</v>
      </c>
      <c r="G45" s="977" t="s">
        <v>149</v>
      </c>
      <c r="H45" s="991" t="str">
        <f t="shared" si="21"/>
        <v>Voitto</v>
      </c>
      <c r="I45" s="991" t="s">
        <v>1515</v>
      </c>
      <c r="J45" s="991" t="s">
        <v>0</v>
      </c>
      <c r="K45" s="991" t="s">
        <v>2574</v>
      </c>
      <c r="L45" s="992">
        <f t="shared" si="22"/>
        <v>12</v>
      </c>
      <c r="M45" s="992">
        <f t="shared" si="23"/>
        <v>2</v>
      </c>
      <c r="N45" s="1262">
        <v>5</v>
      </c>
      <c r="O45" s="992">
        <v>0</v>
      </c>
      <c r="P45" s="1262">
        <v>3</v>
      </c>
      <c r="Q45" s="992">
        <v>1</v>
      </c>
      <c r="R45" s="1262">
        <v>4</v>
      </c>
      <c r="S45" s="992">
        <v>1</v>
      </c>
      <c r="T45" s="1262"/>
      <c r="U45" s="992"/>
      <c r="V45" s="985"/>
      <c r="W45" s="985"/>
      <c r="X45" s="985"/>
      <c r="Y45" s="985"/>
      <c r="Z45" s="985"/>
      <c r="AA45" s="985"/>
      <c r="AB45" s="985"/>
      <c r="AC45" s="985"/>
      <c r="AD45" s="985"/>
      <c r="AE45" s="985"/>
      <c r="AF45" s="985"/>
      <c r="AG45" s="985"/>
      <c r="AH45" s="985"/>
      <c r="AI45" s="985"/>
      <c r="AJ45" s="985"/>
      <c r="AK45" s="985"/>
      <c r="AL45" s="985"/>
      <c r="AM45" s="985"/>
      <c r="AN45" s="8"/>
      <c r="AO45" s="983"/>
      <c r="AP45" s="983"/>
      <c r="AQ45" s="983"/>
      <c r="AR45" s="983"/>
      <c r="AS45" s="983"/>
      <c r="AT45" s="983"/>
      <c r="AU45" s="983"/>
      <c r="AV45" s="983"/>
      <c r="AW45" s="983"/>
      <c r="AX45" s="983"/>
      <c r="AY45" s="983"/>
      <c r="AZ45" s="983"/>
      <c r="BA45" s="983"/>
      <c r="BB45" s="983"/>
      <c r="BC45" s="983"/>
      <c r="BD45" s="983"/>
      <c r="BE45" s="983"/>
      <c r="BF45" s="983"/>
      <c r="BH45" s="1002">
        <f t="shared" si="16"/>
        <v>1</v>
      </c>
      <c r="BI45" s="1002">
        <f t="shared" si="17"/>
        <v>1</v>
      </c>
      <c r="BJ45" s="1002">
        <f t="shared" si="18"/>
        <v>1</v>
      </c>
      <c r="BK45" s="1002">
        <f t="shared" si="19"/>
        <v>0</v>
      </c>
      <c r="BL45" s="1002">
        <f t="shared" si="20"/>
        <v>0</v>
      </c>
    </row>
    <row r="46" spans="2:75" x14ac:dyDescent="0.3">
      <c r="B46" s="1280">
        <v>12</v>
      </c>
      <c r="C46" s="977" t="s">
        <v>83</v>
      </c>
      <c r="D46" s="977" t="s">
        <v>232</v>
      </c>
      <c r="E46" s="977" t="s">
        <v>1547</v>
      </c>
      <c r="F46" s="978" t="s">
        <v>2589</v>
      </c>
      <c r="G46" s="977" t="s">
        <v>149</v>
      </c>
      <c r="H46" s="991" t="str">
        <f t="shared" ref="H46:H54" si="24">IF(L46=M46,"Tasapeli",IF(L46&lt;M46,"Häviö","Voitto"))</f>
        <v>Tasapeli</v>
      </c>
      <c r="I46" s="991" t="s">
        <v>1514</v>
      </c>
      <c r="J46" s="991" t="s">
        <v>0</v>
      </c>
      <c r="K46" s="991" t="s">
        <v>2576</v>
      </c>
      <c r="L46" s="992">
        <f t="shared" ref="L46:L54" si="25">N46+P46+R46</f>
        <v>5</v>
      </c>
      <c r="M46" s="992">
        <f t="shared" ref="M46:M54" si="26">O46+Q46+S46</f>
        <v>5</v>
      </c>
      <c r="N46" s="1262">
        <v>1</v>
      </c>
      <c r="O46" s="992">
        <v>2</v>
      </c>
      <c r="P46" s="1262">
        <v>1</v>
      </c>
      <c r="Q46" s="992">
        <v>0</v>
      </c>
      <c r="R46" s="1262">
        <v>3</v>
      </c>
      <c r="S46" s="992">
        <v>3</v>
      </c>
      <c r="T46" s="1262"/>
      <c r="U46" s="992"/>
      <c r="V46" s="985"/>
      <c r="W46" s="985"/>
      <c r="X46" s="985"/>
      <c r="Y46" s="985"/>
      <c r="Z46" s="985"/>
      <c r="AA46" s="985"/>
      <c r="AB46" s="985"/>
      <c r="AC46" s="985"/>
      <c r="AD46" s="985"/>
      <c r="AE46" s="985"/>
      <c r="AF46" s="985"/>
      <c r="AG46" s="985"/>
      <c r="AH46" s="985"/>
      <c r="AI46" s="985"/>
      <c r="AJ46" s="985"/>
      <c r="AK46" s="985"/>
      <c r="AL46" s="985"/>
      <c r="AM46" s="985"/>
      <c r="AN46" s="8"/>
      <c r="AO46" s="983"/>
      <c r="AP46" s="983"/>
      <c r="AQ46" s="983"/>
      <c r="AR46" s="983"/>
      <c r="AS46" s="983"/>
      <c r="AT46" s="983"/>
      <c r="AU46" s="983"/>
      <c r="AV46" s="983"/>
      <c r="AW46" s="983"/>
      <c r="AX46" s="983"/>
      <c r="AY46" s="983"/>
      <c r="AZ46" s="983"/>
      <c r="BA46" s="983"/>
      <c r="BB46" s="983"/>
      <c r="BC46" s="983"/>
      <c r="BD46" s="983"/>
      <c r="BE46" s="983"/>
      <c r="BF46" s="983"/>
      <c r="BH46" s="1002">
        <f t="shared" si="16"/>
        <v>1</v>
      </c>
      <c r="BI46" s="1002">
        <f t="shared" si="17"/>
        <v>1</v>
      </c>
      <c r="BJ46" s="1002">
        <f t="shared" si="18"/>
        <v>1</v>
      </c>
      <c r="BK46" s="1002">
        <f t="shared" si="19"/>
        <v>0</v>
      </c>
      <c r="BL46" s="1002">
        <f t="shared" si="20"/>
        <v>0</v>
      </c>
    </row>
    <row r="47" spans="2:75" x14ac:dyDescent="0.3">
      <c r="B47" s="1280">
        <v>13</v>
      </c>
      <c r="C47" s="977" t="s">
        <v>83</v>
      </c>
      <c r="D47" s="977" t="s">
        <v>232</v>
      </c>
      <c r="E47" s="977" t="s">
        <v>1548</v>
      </c>
      <c r="F47" s="978" t="s">
        <v>2590</v>
      </c>
      <c r="G47" s="977" t="s">
        <v>149</v>
      </c>
      <c r="H47" s="991" t="str">
        <f t="shared" si="24"/>
        <v>Häviö</v>
      </c>
      <c r="I47" s="991" t="s">
        <v>1515</v>
      </c>
      <c r="J47" s="991" t="s">
        <v>0</v>
      </c>
      <c r="K47" s="991" t="s">
        <v>2575</v>
      </c>
      <c r="L47" s="992">
        <f t="shared" si="25"/>
        <v>0</v>
      </c>
      <c r="M47" s="992">
        <f t="shared" si="26"/>
        <v>4</v>
      </c>
      <c r="N47" s="1262">
        <v>0</v>
      </c>
      <c r="O47" s="992">
        <v>2</v>
      </c>
      <c r="P47" s="1262">
        <v>0</v>
      </c>
      <c r="Q47" s="992">
        <v>2</v>
      </c>
      <c r="R47" s="1262">
        <v>0</v>
      </c>
      <c r="S47" s="992">
        <v>0</v>
      </c>
      <c r="T47" s="1262"/>
      <c r="U47" s="992"/>
      <c r="V47" s="985"/>
      <c r="W47" s="985"/>
      <c r="X47" s="985"/>
      <c r="Y47" s="985"/>
      <c r="Z47" s="985"/>
      <c r="AA47" s="985"/>
      <c r="AB47" s="985"/>
      <c r="AC47" s="985"/>
      <c r="AD47" s="985"/>
      <c r="AE47" s="985"/>
      <c r="AF47" s="985"/>
      <c r="AG47" s="985"/>
      <c r="AH47" s="985"/>
      <c r="AI47" s="985"/>
      <c r="AJ47" s="985"/>
      <c r="AK47" s="985"/>
      <c r="AL47" s="985"/>
      <c r="AM47" s="985"/>
      <c r="AN47" s="8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83"/>
      <c r="BA47" s="983"/>
      <c r="BB47" s="983"/>
      <c r="BC47" s="983"/>
      <c r="BD47" s="983"/>
      <c r="BE47" s="983"/>
      <c r="BF47" s="983"/>
      <c r="BH47" s="1002">
        <f t="shared" si="16"/>
        <v>1</v>
      </c>
      <c r="BI47" s="1002">
        <f t="shared" si="17"/>
        <v>1</v>
      </c>
      <c r="BJ47" s="1002">
        <f t="shared" si="18"/>
        <v>1</v>
      </c>
      <c r="BK47" s="1002">
        <f t="shared" si="19"/>
        <v>0</v>
      </c>
      <c r="BL47" s="1002">
        <f t="shared" si="20"/>
        <v>0</v>
      </c>
    </row>
    <row r="48" spans="2:75" x14ac:dyDescent="0.3">
      <c r="B48" s="1280">
        <v>14</v>
      </c>
      <c r="C48" s="977" t="s">
        <v>83</v>
      </c>
      <c r="D48" s="977" t="s">
        <v>232</v>
      </c>
      <c r="E48" s="977" t="s">
        <v>1549</v>
      </c>
      <c r="F48" s="978" t="s">
        <v>2591</v>
      </c>
      <c r="G48" s="977" t="s">
        <v>149</v>
      </c>
      <c r="H48" s="991" t="str">
        <f t="shared" si="24"/>
        <v>Häviö</v>
      </c>
      <c r="I48" s="991" t="s">
        <v>1514</v>
      </c>
      <c r="J48" s="991" t="s">
        <v>0</v>
      </c>
      <c r="K48" s="991" t="s">
        <v>1195</v>
      </c>
      <c r="L48" s="992">
        <f t="shared" si="25"/>
        <v>1</v>
      </c>
      <c r="M48" s="992">
        <f t="shared" si="26"/>
        <v>7</v>
      </c>
      <c r="N48" s="1262">
        <v>0</v>
      </c>
      <c r="O48" s="992">
        <v>3</v>
      </c>
      <c r="P48" s="1262">
        <v>1</v>
      </c>
      <c r="Q48" s="992">
        <v>2</v>
      </c>
      <c r="R48" s="1262">
        <v>0</v>
      </c>
      <c r="S48" s="992">
        <v>2</v>
      </c>
      <c r="T48" s="1262"/>
      <c r="U48" s="992"/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  <c r="AI48" s="985"/>
      <c r="AJ48" s="985"/>
      <c r="AK48" s="985"/>
      <c r="AL48" s="985"/>
      <c r="AM48" s="985"/>
      <c r="AN48" s="8"/>
      <c r="AO48" s="983"/>
      <c r="AP48" s="983"/>
      <c r="AQ48" s="983"/>
      <c r="AR48" s="983"/>
      <c r="AS48" s="983"/>
      <c r="AT48" s="983"/>
      <c r="AU48" s="983"/>
      <c r="AV48" s="983"/>
      <c r="AW48" s="983"/>
      <c r="AX48" s="983"/>
      <c r="AY48" s="983"/>
      <c r="AZ48" s="983"/>
      <c r="BA48" s="983"/>
      <c r="BB48" s="983"/>
      <c r="BC48" s="983"/>
      <c r="BD48" s="983"/>
      <c r="BE48" s="983"/>
      <c r="BF48" s="983"/>
      <c r="BH48" s="1002">
        <f t="shared" si="16"/>
        <v>1</v>
      </c>
      <c r="BI48" s="1002">
        <f t="shared" si="17"/>
        <v>1</v>
      </c>
      <c r="BJ48" s="1002">
        <f t="shared" si="18"/>
        <v>1</v>
      </c>
      <c r="BK48" s="1002">
        <f t="shared" si="19"/>
        <v>0</v>
      </c>
      <c r="BL48" s="1002">
        <f t="shared" si="20"/>
        <v>0</v>
      </c>
    </row>
    <row r="49" spans="2:69" x14ac:dyDescent="0.3">
      <c r="B49" s="1280">
        <v>15</v>
      </c>
      <c r="C49" s="977" t="s">
        <v>83</v>
      </c>
      <c r="D49" s="977" t="s">
        <v>232</v>
      </c>
      <c r="E49" s="977" t="s">
        <v>1550</v>
      </c>
      <c r="F49" s="978" t="s">
        <v>2592</v>
      </c>
      <c r="G49" s="977" t="s">
        <v>149</v>
      </c>
      <c r="H49" s="991" t="str">
        <f t="shared" si="24"/>
        <v>Voitto</v>
      </c>
      <c r="I49" s="991" t="s">
        <v>1515</v>
      </c>
      <c r="J49" s="991" t="s">
        <v>0</v>
      </c>
      <c r="K49" s="991" t="s">
        <v>2562</v>
      </c>
      <c r="L49" s="992">
        <f t="shared" si="25"/>
        <v>9</v>
      </c>
      <c r="M49" s="992">
        <f t="shared" si="26"/>
        <v>1</v>
      </c>
      <c r="N49" s="1262">
        <v>4</v>
      </c>
      <c r="O49" s="992">
        <v>0</v>
      </c>
      <c r="P49" s="1262">
        <v>2</v>
      </c>
      <c r="Q49" s="992">
        <v>1</v>
      </c>
      <c r="R49" s="1262">
        <v>3</v>
      </c>
      <c r="S49" s="992">
        <v>0</v>
      </c>
      <c r="T49" s="1262"/>
      <c r="U49" s="992"/>
      <c r="V49" s="985"/>
      <c r="W49" s="985"/>
      <c r="X49" s="985"/>
      <c r="Y49" s="985"/>
      <c r="Z49" s="985"/>
      <c r="AA49" s="985"/>
      <c r="AB49" s="985"/>
      <c r="AC49" s="985"/>
      <c r="AD49" s="985"/>
      <c r="AE49" s="985"/>
      <c r="AF49" s="985"/>
      <c r="AG49" s="985"/>
      <c r="AH49" s="985"/>
      <c r="AI49" s="985"/>
      <c r="AJ49" s="985"/>
      <c r="AK49" s="985"/>
      <c r="AL49" s="985"/>
      <c r="AM49" s="985"/>
      <c r="AN49" s="8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3"/>
      <c r="BD49" s="983"/>
      <c r="BE49" s="983"/>
      <c r="BF49" s="983"/>
      <c r="BH49" s="1002">
        <f t="shared" si="16"/>
        <v>1</v>
      </c>
      <c r="BI49" s="1002">
        <f t="shared" si="17"/>
        <v>1</v>
      </c>
      <c r="BJ49" s="1002">
        <f t="shared" si="18"/>
        <v>1</v>
      </c>
      <c r="BK49" s="1002">
        <f t="shared" si="19"/>
        <v>0</v>
      </c>
      <c r="BL49" s="1002">
        <f t="shared" si="20"/>
        <v>0</v>
      </c>
    </row>
    <row r="50" spans="2:69" x14ac:dyDescent="0.3">
      <c r="B50" s="1280">
        <v>16</v>
      </c>
      <c r="C50" s="977" t="s">
        <v>83</v>
      </c>
      <c r="D50" s="977" t="s">
        <v>232</v>
      </c>
      <c r="E50" s="977" t="s">
        <v>1551</v>
      </c>
      <c r="F50" s="978" t="s">
        <v>2593</v>
      </c>
      <c r="G50" s="977" t="s">
        <v>149</v>
      </c>
      <c r="H50" s="991" t="str">
        <f t="shared" si="24"/>
        <v>Voitto</v>
      </c>
      <c r="I50" s="991" t="s">
        <v>1514</v>
      </c>
      <c r="J50" s="991" t="s">
        <v>0</v>
      </c>
      <c r="K50" s="991" t="s">
        <v>2573</v>
      </c>
      <c r="L50" s="992">
        <f t="shared" si="25"/>
        <v>5</v>
      </c>
      <c r="M50" s="992">
        <f t="shared" si="26"/>
        <v>3</v>
      </c>
      <c r="N50" s="1262">
        <v>3</v>
      </c>
      <c r="O50" s="992">
        <v>1</v>
      </c>
      <c r="P50" s="1262">
        <v>2</v>
      </c>
      <c r="Q50" s="992">
        <v>1</v>
      </c>
      <c r="R50" s="1262">
        <v>0</v>
      </c>
      <c r="S50" s="992">
        <v>1</v>
      </c>
      <c r="T50" s="1262"/>
      <c r="U50" s="992"/>
      <c r="V50" s="985"/>
      <c r="W50" s="985"/>
      <c r="X50" s="985"/>
      <c r="Y50" s="985"/>
      <c r="Z50" s="985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8"/>
      <c r="AO50" s="983"/>
      <c r="AP50" s="983"/>
      <c r="AQ50" s="983"/>
      <c r="AR50" s="983"/>
      <c r="AS50" s="983"/>
      <c r="AT50" s="983"/>
      <c r="AU50" s="983"/>
      <c r="AV50" s="983"/>
      <c r="AW50" s="983"/>
      <c r="AX50" s="983"/>
      <c r="AY50" s="983"/>
      <c r="AZ50" s="983"/>
      <c r="BA50" s="983"/>
      <c r="BB50" s="983"/>
      <c r="BC50" s="983"/>
      <c r="BD50" s="983"/>
      <c r="BE50" s="983"/>
      <c r="BF50" s="983"/>
      <c r="BH50" s="1002">
        <f t="shared" si="16"/>
        <v>1</v>
      </c>
      <c r="BI50" s="1002">
        <f t="shared" si="17"/>
        <v>1</v>
      </c>
      <c r="BJ50" s="1002">
        <f t="shared" si="18"/>
        <v>1</v>
      </c>
      <c r="BK50" s="1002">
        <f t="shared" si="19"/>
        <v>0</v>
      </c>
      <c r="BL50" s="1002">
        <f t="shared" si="20"/>
        <v>0</v>
      </c>
    </row>
    <row r="51" spans="2:69" x14ac:dyDescent="0.3">
      <c r="B51" s="1280">
        <v>17</v>
      </c>
      <c r="C51" s="977" t="s">
        <v>83</v>
      </c>
      <c r="D51" s="977" t="s">
        <v>232</v>
      </c>
      <c r="E51" s="977" t="s">
        <v>1552</v>
      </c>
      <c r="F51" s="978" t="s">
        <v>2594</v>
      </c>
      <c r="G51" s="977" t="s">
        <v>149</v>
      </c>
      <c r="H51" s="991" t="str">
        <f t="shared" si="24"/>
        <v>Voitto</v>
      </c>
      <c r="I51" s="991" t="s">
        <v>1514</v>
      </c>
      <c r="J51" s="991" t="s">
        <v>0</v>
      </c>
      <c r="K51" s="991" t="s">
        <v>2574</v>
      </c>
      <c r="L51" s="992">
        <f t="shared" si="25"/>
        <v>7</v>
      </c>
      <c r="M51" s="992">
        <f t="shared" si="26"/>
        <v>4</v>
      </c>
      <c r="N51" s="1262">
        <v>2</v>
      </c>
      <c r="O51" s="992">
        <v>2</v>
      </c>
      <c r="P51" s="1262">
        <v>1</v>
      </c>
      <c r="Q51" s="992">
        <v>1</v>
      </c>
      <c r="R51" s="1262">
        <v>4</v>
      </c>
      <c r="S51" s="992">
        <v>1</v>
      </c>
      <c r="T51" s="1262"/>
      <c r="U51" s="992"/>
      <c r="V51" s="985"/>
      <c r="W51" s="985"/>
      <c r="X51" s="985"/>
      <c r="Y51" s="985"/>
      <c r="Z51" s="985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8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H51" s="1002">
        <f t="shared" si="16"/>
        <v>1</v>
      </c>
      <c r="BI51" s="1002">
        <f t="shared" si="17"/>
        <v>1</v>
      </c>
      <c r="BJ51" s="1002">
        <f t="shared" si="18"/>
        <v>1</v>
      </c>
      <c r="BK51" s="1002">
        <f t="shared" si="19"/>
        <v>0</v>
      </c>
      <c r="BL51" s="1002">
        <f t="shared" si="20"/>
        <v>0</v>
      </c>
    </row>
    <row r="52" spans="2:69" x14ac:dyDescent="0.3">
      <c r="B52" s="1280">
        <v>18</v>
      </c>
      <c r="C52" s="977" t="s">
        <v>83</v>
      </c>
      <c r="D52" s="977" t="s">
        <v>232</v>
      </c>
      <c r="E52" s="977" t="s">
        <v>1553</v>
      </c>
      <c r="F52" s="978" t="s">
        <v>2595</v>
      </c>
      <c r="G52" s="977" t="s">
        <v>149</v>
      </c>
      <c r="H52" s="991" t="str">
        <f t="shared" si="24"/>
        <v>Tasapeli</v>
      </c>
      <c r="I52" s="991" t="s">
        <v>1515</v>
      </c>
      <c r="J52" s="991" t="s">
        <v>0</v>
      </c>
      <c r="K52" s="991" t="s">
        <v>2577</v>
      </c>
      <c r="L52" s="992">
        <f t="shared" si="25"/>
        <v>3</v>
      </c>
      <c r="M52" s="992">
        <f t="shared" si="26"/>
        <v>3</v>
      </c>
      <c r="N52" s="1262">
        <v>2</v>
      </c>
      <c r="O52" s="992">
        <v>1</v>
      </c>
      <c r="P52" s="1262">
        <v>0</v>
      </c>
      <c r="Q52" s="992">
        <v>1</v>
      </c>
      <c r="R52" s="1262">
        <v>1</v>
      </c>
      <c r="S52" s="992">
        <v>1</v>
      </c>
      <c r="T52" s="1262"/>
      <c r="U52" s="992"/>
      <c r="V52" s="985"/>
      <c r="W52" s="985"/>
      <c r="X52" s="985"/>
      <c r="Y52" s="985"/>
      <c r="Z52" s="985"/>
      <c r="AA52" s="985"/>
      <c r="AB52" s="985"/>
      <c r="AC52" s="985"/>
      <c r="AD52" s="985"/>
      <c r="AE52" s="985"/>
      <c r="AF52" s="985"/>
      <c r="AG52" s="985"/>
      <c r="AH52" s="985"/>
      <c r="AI52" s="985"/>
      <c r="AJ52" s="985"/>
      <c r="AK52" s="985"/>
      <c r="AL52" s="985"/>
      <c r="AM52" s="985"/>
      <c r="AN52" s="8"/>
      <c r="AO52" s="983"/>
      <c r="AP52" s="983"/>
      <c r="AQ52" s="983"/>
      <c r="AR52" s="983"/>
      <c r="AS52" s="983"/>
      <c r="AT52" s="983"/>
      <c r="AU52" s="983"/>
      <c r="AV52" s="983"/>
      <c r="AW52" s="983"/>
      <c r="AX52" s="983"/>
      <c r="AY52" s="983"/>
      <c r="AZ52" s="983"/>
      <c r="BA52" s="983"/>
      <c r="BB52" s="983"/>
      <c r="BC52" s="983"/>
      <c r="BD52" s="983"/>
      <c r="BE52" s="983"/>
      <c r="BF52" s="983"/>
      <c r="BH52" s="1002">
        <f t="shared" si="16"/>
        <v>1</v>
      </c>
      <c r="BI52" s="1002">
        <f t="shared" si="17"/>
        <v>1</v>
      </c>
      <c r="BJ52" s="1002">
        <f t="shared" si="18"/>
        <v>1</v>
      </c>
      <c r="BK52" s="1002">
        <f t="shared" si="19"/>
        <v>0</v>
      </c>
      <c r="BL52" s="1002">
        <f t="shared" si="20"/>
        <v>0</v>
      </c>
    </row>
    <row r="53" spans="2:69" x14ac:dyDescent="0.3">
      <c r="B53" s="1280">
        <v>19</v>
      </c>
      <c r="C53" s="977" t="s">
        <v>83</v>
      </c>
      <c r="D53" s="977" t="s">
        <v>232</v>
      </c>
      <c r="E53" s="977" t="s">
        <v>1554</v>
      </c>
      <c r="F53" s="978" t="s">
        <v>2596</v>
      </c>
      <c r="G53" s="977" t="s">
        <v>149</v>
      </c>
      <c r="H53" s="991" t="str">
        <f t="shared" si="24"/>
        <v>Voitto</v>
      </c>
      <c r="I53" s="991" t="s">
        <v>1514</v>
      </c>
      <c r="J53" s="991" t="s">
        <v>0</v>
      </c>
      <c r="K53" s="991" t="s">
        <v>2575</v>
      </c>
      <c r="L53" s="992">
        <f t="shared" si="25"/>
        <v>9</v>
      </c>
      <c r="M53" s="992">
        <f t="shared" si="26"/>
        <v>1</v>
      </c>
      <c r="N53" s="1262">
        <v>1</v>
      </c>
      <c r="O53" s="992">
        <v>1</v>
      </c>
      <c r="P53" s="1262">
        <v>4</v>
      </c>
      <c r="Q53" s="992">
        <v>0</v>
      </c>
      <c r="R53" s="1262">
        <v>4</v>
      </c>
      <c r="S53" s="992">
        <v>0</v>
      </c>
      <c r="T53" s="1262"/>
      <c r="U53" s="992"/>
      <c r="V53" s="985"/>
      <c r="W53" s="985"/>
      <c r="X53" s="985"/>
      <c r="Y53" s="985"/>
      <c r="Z53" s="985"/>
      <c r="AA53" s="985"/>
      <c r="AB53" s="985"/>
      <c r="AC53" s="985"/>
      <c r="AD53" s="985"/>
      <c r="AE53" s="985"/>
      <c r="AF53" s="985"/>
      <c r="AG53" s="985"/>
      <c r="AH53" s="985"/>
      <c r="AI53" s="985"/>
      <c r="AJ53" s="985"/>
      <c r="AK53" s="985"/>
      <c r="AL53" s="985"/>
      <c r="AM53" s="985"/>
      <c r="AN53" s="8"/>
      <c r="AO53" s="983"/>
      <c r="AP53" s="983"/>
      <c r="AQ53" s="983"/>
      <c r="AR53" s="983"/>
      <c r="AS53" s="983"/>
      <c r="AT53" s="983"/>
      <c r="AU53" s="983"/>
      <c r="AV53" s="983"/>
      <c r="AW53" s="983"/>
      <c r="AX53" s="983"/>
      <c r="AY53" s="983"/>
      <c r="AZ53" s="983"/>
      <c r="BA53" s="983"/>
      <c r="BB53" s="983"/>
      <c r="BC53" s="983"/>
      <c r="BD53" s="983"/>
      <c r="BE53" s="983"/>
      <c r="BF53" s="983"/>
      <c r="BH53" s="1002">
        <f t="shared" si="16"/>
        <v>1</v>
      </c>
      <c r="BI53" s="1002">
        <f t="shared" si="17"/>
        <v>1</v>
      </c>
      <c r="BJ53" s="1002">
        <f t="shared" si="18"/>
        <v>1</v>
      </c>
      <c r="BK53" s="1002">
        <f t="shared" si="19"/>
        <v>0</v>
      </c>
      <c r="BL53" s="1002">
        <f t="shared" si="20"/>
        <v>0</v>
      </c>
    </row>
    <row r="54" spans="2:69" x14ac:dyDescent="0.3">
      <c r="B54" s="1280">
        <v>20</v>
      </c>
      <c r="C54" s="977" t="s">
        <v>83</v>
      </c>
      <c r="D54" s="977" t="s">
        <v>232</v>
      </c>
      <c r="E54" s="977" t="s">
        <v>1555</v>
      </c>
      <c r="F54" s="978" t="s">
        <v>2597</v>
      </c>
      <c r="G54" s="977" t="s">
        <v>149</v>
      </c>
      <c r="H54" s="991" t="str">
        <f t="shared" si="24"/>
        <v>Voitto</v>
      </c>
      <c r="I54" s="991" t="s">
        <v>1515</v>
      </c>
      <c r="J54" s="991" t="s">
        <v>0</v>
      </c>
      <c r="K54" s="991" t="s">
        <v>2576</v>
      </c>
      <c r="L54" s="992">
        <f t="shared" si="25"/>
        <v>6</v>
      </c>
      <c r="M54" s="992">
        <f t="shared" si="26"/>
        <v>1</v>
      </c>
      <c r="N54" s="1262">
        <v>2</v>
      </c>
      <c r="O54" s="992">
        <v>1</v>
      </c>
      <c r="P54" s="1262">
        <v>1</v>
      </c>
      <c r="Q54" s="992">
        <v>0</v>
      </c>
      <c r="R54" s="1262">
        <v>3</v>
      </c>
      <c r="S54" s="992">
        <v>0</v>
      </c>
      <c r="T54" s="1262"/>
      <c r="U54" s="992"/>
      <c r="V54" s="985"/>
      <c r="W54" s="985"/>
      <c r="X54" s="985"/>
      <c r="Y54" s="985"/>
      <c r="Z54" s="985"/>
      <c r="AA54" s="985"/>
      <c r="AB54" s="985"/>
      <c r="AC54" s="985"/>
      <c r="AD54" s="985"/>
      <c r="AE54" s="985"/>
      <c r="AF54" s="985"/>
      <c r="AG54" s="985"/>
      <c r="AH54" s="985"/>
      <c r="AI54" s="985"/>
      <c r="AJ54" s="985"/>
      <c r="AK54" s="985"/>
      <c r="AL54" s="985"/>
      <c r="AM54" s="985"/>
      <c r="AN54" s="8"/>
      <c r="AO54" s="983"/>
      <c r="AP54" s="983"/>
      <c r="AQ54" s="983"/>
      <c r="AR54" s="983"/>
      <c r="AS54" s="983"/>
      <c r="AT54" s="983"/>
      <c r="AU54" s="983"/>
      <c r="AV54" s="983"/>
      <c r="AW54" s="983"/>
      <c r="AX54" s="983"/>
      <c r="AY54" s="983"/>
      <c r="AZ54" s="983"/>
      <c r="BA54" s="983"/>
      <c r="BB54" s="983"/>
      <c r="BC54" s="983"/>
      <c r="BD54" s="983"/>
      <c r="BE54" s="983"/>
      <c r="BF54" s="983"/>
      <c r="BH54" s="1002">
        <f t="shared" ref="BH54:BH55" si="27">IF(V54=0,1,0)</f>
        <v>1</v>
      </c>
      <c r="BI54" s="1002">
        <f t="shared" ref="BI54:BI55" si="28">IF(AO54=0,1,0)</f>
        <v>1</v>
      </c>
      <c r="BJ54" s="1002">
        <f t="shared" ref="BJ54:BJ55" si="29">IF(V54+AO54=0,1,0)</f>
        <v>1</v>
      </c>
      <c r="BK54" s="1002">
        <f t="shared" ref="BK54:BK55" si="30">IF(BH54&gt;BI54,1,0)</f>
        <v>0</v>
      </c>
      <c r="BL54" s="1002">
        <f t="shared" ref="BL54:BL55" si="31">IF(BI54&gt;BH54,1,0)</f>
        <v>0</v>
      </c>
    </row>
    <row r="55" spans="2:69" x14ac:dyDescent="0.3">
      <c r="B55" s="1280">
        <v>21</v>
      </c>
      <c r="C55" s="977" t="s">
        <v>83</v>
      </c>
      <c r="D55" s="977" t="s">
        <v>232</v>
      </c>
      <c r="E55" s="977" t="s">
        <v>1871</v>
      </c>
      <c r="F55" s="978" t="s">
        <v>2598</v>
      </c>
      <c r="G55" s="977" t="s">
        <v>150</v>
      </c>
      <c r="H55" s="991" t="str">
        <f t="shared" ref="H55" si="32">IF(L55=M55,"Tasapeli",IF(L55&lt;M55,"Häviö","Voitto"))</f>
        <v>Voitto</v>
      </c>
      <c r="I55" s="991" t="s">
        <v>1515</v>
      </c>
      <c r="J55" s="991" t="s">
        <v>0</v>
      </c>
      <c r="K55" s="991" t="s">
        <v>1195</v>
      </c>
      <c r="L55" s="992">
        <f t="shared" ref="L55" si="33">N55+P55+R55</f>
        <v>9</v>
      </c>
      <c r="M55" s="992">
        <f t="shared" ref="M55" si="34">O55+Q55+S55</f>
        <v>3</v>
      </c>
      <c r="N55" s="1262">
        <v>4</v>
      </c>
      <c r="O55" s="992">
        <v>1</v>
      </c>
      <c r="P55" s="1262">
        <v>0</v>
      </c>
      <c r="Q55" s="992">
        <v>1</v>
      </c>
      <c r="R55" s="1262">
        <v>5</v>
      </c>
      <c r="S55" s="992">
        <v>1</v>
      </c>
      <c r="T55" s="1262"/>
      <c r="U55" s="992"/>
      <c r="V55" s="985"/>
      <c r="W55" s="985"/>
      <c r="X55" s="985"/>
      <c r="Y55" s="985"/>
      <c r="Z55" s="985"/>
      <c r="AA55" s="985"/>
      <c r="AB55" s="985"/>
      <c r="AC55" s="985"/>
      <c r="AD55" s="985"/>
      <c r="AE55" s="985"/>
      <c r="AF55" s="985"/>
      <c r="AG55" s="985"/>
      <c r="AH55" s="985"/>
      <c r="AI55" s="985"/>
      <c r="AJ55" s="985"/>
      <c r="AK55" s="985"/>
      <c r="AL55" s="985"/>
      <c r="AM55" s="985"/>
      <c r="AN55" s="8"/>
      <c r="AO55" s="983"/>
      <c r="AP55" s="983"/>
      <c r="AQ55" s="983"/>
      <c r="AR55" s="983"/>
      <c r="AS55" s="983"/>
      <c r="AT55" s="983"/>
      <c r="AU55" s="983"/>
      <c r="AV55" s="983"/>
      <c r="AW55" s="983"/>
      <c r="AX55" s="983"/>
      <c r="AY55" s="983"/>
      <c r="AZ55" s="983"/>
      <c r="BA55" s="983"/>
      <c r="BB55" s="983"/>
      <c r="BC55" s="983"/>
      <c r="BD55" s="983"/>
      <c r="BE55" s="983"/>
      <c r="BF55" s="983"/>
      <c r="BH55" s="1002">
        <f t="shared" si="27"/>
        <v>1</v>
      </c>
      <c r="BI55" s="1002">
        <f t="shared" si="28"/>
        <v>1</v>
      </c>
      <c r="BJ55" s="1002">
        <f t="shared" si="29"/>
        <v>1</v>
      </c>
      <c r="BK55" s="1002">
        <f t="shared" si="30"/>
        <v>0</v>
      </c>
      <c r="BL55" s="1002">
        <f t="shared" si="31"/>
        <v>0</v>
      </c>
    </row>
    <row r="57" spans="2:69" x14ac:dyDescent="0.3">
      <c r="F57" s="975"/>
      <c r="G57" s="975" t="s">
        <v>2036</v>
      </c>
      <c r="H57" s="975"/>
      <c r="I57" s="1003"/>
      <c r="J57" s="1003"/>
      <c r="K57" s="1003"/>
      <c r="L57" s="1003" t="s">
        <v>2037</v>
      </c>
      <c r="M57" s="1003" t="s">
        <v>2038</v>
      </c>
      <c r="O57" s="1003" t="s">
        <v>1409</v>
      </c>
      <c r="P57" s="1003" t="s">
        <v>1410</v>
      </c>
      <c r="Q57" s="1003" t="s">
        <v>1411</v>
      </c>
      <c r="V57" s="981" t="s">
        <v>1557</v>
      </c>
      <c r="W57" s="981" t="s">
        <v>1556</v>
      </c>
      <c r="X57" s="981" t="s">
        <v>501</v>
      </c>
      <c r="Y57" s="981" t="s">
        <v>708</v>
      </c>
      <c r="Z57" s="981" t="s">
        <v>82</v>
      </c>
      <c r="AA57" s="981" t="s">
        <v>709</v>
      </c>
      <c r="AB57" s="981" t="s">
        <v>1419</v>
      </c>
      <c r="AC57" s="981" t="s">
        <v>1420</v>
      </c>
      <c r="AD57" s="982" t="s">
        <v>1827</v>
      </c>
      <c r="AE57" s="981" t="s">
        <v>1828</v>
      </c>
      <c r="AF57" s="981" t="s">
        <v>1425</v>
      </c>
      <c r="AG57" s="981" t="s">
        <v>1535</v>
      </c>
      <c r="AH57" s="981" t="s">
        <v>1536</v>
      </c>
      <c r="AI57" s="981" t="s">
        <v>1559</v>
      </c>
      <c r="AJ57" s="981" t="s">
        <v>1896</v>
      </c>
      <c r="AK57" s="981" t="s">
        <v>1967</v>
      </c>
      <c r="AL57" s="981" t="s">
        <v>19</v>
      </c>
      <c r="AM57" s="981"/>
      <c r="AO57" s="979" t="s">
        <v>1557</v>
      </c>
      <c r="AP57" s="979" t="s">
        <v>1556</v>
      </c>
      <c r="AQ57" s="979" t="s">
        <v>501</v>
      </c>
      <c r="AR57" s="979" t="s">
        <v>708</v>
      </c>
      <c r="AS57" s="979" t="s">
        <v>82</v>
      </c>
      <c r="AT57" s="979" t="s">
        <v>709</v>
      </c>
      <c r="AU57" s="979" t="s">
        <v>1419</v>
      </c>
      <c r="AV57" s="979" t="s">
        <v>1420</v>
      </c>
      <c r="AW57" s="980" t="s">
        <v>1827</v>
      </c>
      <c r="AX57" s="979" t="s">
        <v>1828</v>
      </c>
      <c r="AY57" s="979" t="s">
        <v>1425</v>
      </c>
      <c r="AZ57" s="979" t="s">
        <v>1535</v>
      </c>
      <c r="BA57" s="979" t="s">
        <v>1536</v>
      </c>
      <c r="BB57" s="979" t="s">
        <v>1559</v>
      </c>
      <c r="BC57" s="979" t="s">
        <v>1896</v>
      </c>
      <c r="BD57" s="979" t="s">
        <v>1967</v>
      </c>
      <c r="BE57" s="979" t="s">
        <v>19</v>
      </c>
      <c r="BF57" s="979"/>
      <c r="BH57" s="1001" t="s">
        <v>2045</v>
      </c>
      <c r="BI57" s="1001"/>
      <c r="BJ57" s="1001" t="s">
        <v>1913</v>
      </c>
      <c r="BK57" s="1001" t="s">
        <v>537</v>
      </c>
      <c r="BL57" s="1001" t="s">
        <v>1128</v>
      </c>
    </row>
    <row r="58" spans="2:69" x14ac:dyDescent="0.3">
      <c r="F58" s="977" t="str">
        <f>C33</f>
        <v>2006-2007</v>
      </c>
      <c r="G58" s="977" t="s">
        <v>232</v>
      </c>
      <c r="H58" s="977"/>
      <c r="I58" s="1004"/>
      <c r="J58" s="1004"/>
      <c r="K58" s="1004"/>
      <c r="L58" s="1004">
        <f>SUM(L35:L55)</f>
        <v>111</v>
      </c>
      <c r="M58" s="1004">
        <f>SUM(M35:M55)</f>
        <v>64</v>
      </c>
      <c r="N58" s="8"/>
      <c r="O58" s="1004">
        <f>COUNTIF(H35:H55,"Voitto")</f>
        <v>14</v>
      </c>
      <c r="P58" s="1004">
        <f>COUNTIF(H35:H55,"Tasapeli")</f>
        <v>3</v>
      </c>
      <c r="Q58" s="1004">
        <f>COUNTIF(H35:H55,"Häviö")</f>
        <v>4</v>
      </c>
      <c r="V58" s="8">
        <f>SUM(V35:V55)</f>
        <v>0</v>
      </c>
      <c r="W58" s="8">
        <f t="shared" ref="W58:AJ58" si="35">SUM(W35:W55)</f>
        <v>0</v>
      </c>
      <c r="X58" s="8">
        <f t="shared" si="35"/>
        <v>0</v>
      </c>
      <c r="Y58" s="8">
        <f t="shared" si="35"/>
        <v>0</v>
      </c>
      <c r="Z58" s="8">
        <f t="shared" si="35"/>
        <v>0</v>
      </c>
      <c r="AA58" s="8">
        <f t="shared" si="35"/>
        <v>0</v>
      </c>
      <c r="AB58" s="8">
        <f t="shared" si="35"/>
        <v>0</v>
      </c>
      <c r="AC58" s="8">
        <f t="shared" si="35"/>
        <v>0</v>
      </c>
      <c r="AD58" s="8">
        <f t="shared" si="35"/>
        <v>0</v>
      </c>
      <c r="AE58" s="8">
        <f t="shared" si="35"/>
        <v>0</v>
      </c>
      <c r="AF58" s="8">
        <f t="shared" si="35"/>
        <v>0</v>
      </c>
      <c r="AG58" s="8">
        <f t="shared" si="35"/>
        <v>0</v>
      </c>
      <c r="AH58" s="8">
        <f t="shared" si="35"/>
        <v>0</v>
      </c>
      <c r="AI58" s="8">
        <f t="shared" si="35"/>
        <v>0</v>
      </c>
      <c r="AJ58" s="8">
        <f t="shared" si="35"/>
        <v>0</v>
      </c>
      <c r="AK58" s="8">
        <f>SUM(AK35:AK55)</f>
        <v>0</v>
      </c>
      <c r="AL58" s="8">
        <f>MIN(AL35:AL55)</f>
        <v>0</v>
      </c>
      <c r="AM58" s="8">
        <f>MAX(AL35:AL55)</f>
        <v>0</v>
      </c>
      <c r="AO58" s="8">
        <f>SUM(AO35:AO55)</f>
        <v>0</v>
      </c>
      <c r="AP58" s="8">
        <f t="shared" ref="AP58:BC58" si="36">SUM(AP35:AP55)</f>
        <v>0</v>
      </c>
      <c r="AQ58" s="8">
        <f t="shared" si="36"/>
        <v>0</v>
      </c>
      <c r="AR58" s="8">
        <f t="shared" si="36"/>
        <v>0</v>
      </c>
      <c r="AS58" s="8">
        <f t="shared" si="36"/>
        <v>0</v>
      </c>
      <c r="AT58" s="8">
        <f t="shared" si="36"/>
        <v>0</v>
      </c>
      <c r="AU58" s="8">
        <f t="shared" si="36"/>
        <v>0</v>
      </c>
      <c r="AV58" s="8">
        <f t="shared" si="36"/>
        <v>0</v>
      </c>
      <c r="AW58" s="8">
        <f t="shared" si="36"/>
        <v>0</v>
      </c>
      <c r="AX58" s="8">
        <f t="shared" si="36"/>
        <v>0</v>
      </c>
      <c r="AY58" s="8">
        <f t="shared" si="36"/>
        <v>0</v>
      </c>
      <c r="AZ58" s="8">
        <f t="shared" si="36"/>
        <v>0</v>
      </c>
      <c r="BA58" s="8">
        <f t="shared" si="36"/>
        <v>0</v>
      </c>
      <c r="BB58" s="8">
        <f t="shared" si="36"/>
        <v>0</v>
      </c>
      <c r="BC58" s="8">
        <f t="shared" si="36"/>
        <v>0</v>
      </c>
      <c r="BD58" s="8">
        <f>SUM(BD35:BD55)</f>
        <v>0</v>
      </c>
      <c r="BE58">
        <f>MIN(BE35:BE55)</f>
        <v>0</v>
      </c>
      <c r="BF58">
        <f>MAX(BE35:BE55)</f>
        <v>0</v>
      </c>
      <c r="BJ58" s="8">
        <f>SUM(BJ35:BJ55)</f>
        <v>21</v>
      </c>
      <c r="BK58" s="8">
        <f>SUM(BK35:BK55)</f>
        <v>0</v>
      </c>
      <c r="BL58" s="8">
        <f>SUM(BL35:BL55)</f>
        <v>0</v>
      </c>
    </row>
    <row r="63" spans="2:69" x14ac:dyDescent="0.3">
      <c r="C63" s="205" t="s">
        <v>207</v>
      </c>
      <c r="D63" s="205" t="s">
        <v>2009</v>
      </c>
      <c r="V63" s="205" t="s">
        <v>0</v>
      </c>
      <c r="AO63" s="265" t="s">
        <v>1895</v>
      </c>
      <c r="BP63" s="205" t="s">
        <v>207</v>
      </c>
      <c r="BQ63" s="205" t="s">
        <v>2602</v>
      </c>
    </row>
    <row r="64" spans="2:69" x14ac:dyDescent="0.3">
      <c r="B64" s="1003" t="s">
        <v>1393</v>
      </c>
      <c r="C64" s="975" t="s">
        <v>1831</v>
      </c>
      <c r="D64" s="975" t="s">
        <v>1830</v>
      </c>
      <c r="E64" s="975" t="s">
        <v>1832</v>
      </c>
      <c r="F64" s="975" t="s">
        <v>1836</v>
      </c>
      <c r="G64" s="975" t="s">
        <v>1835</v>
      </c>
      <c r="H64" s="989" t="s">
        <v>1407</v>
      </c>
      <c r="I64" s="990" t="s">
        <v>2019</v>
      </c>
      <c r="J64" s="990" t="s">
        <v>0</v>
      </c>
      <c r="K64" s="990" t="s">
        <v>1128</v>
      </c>
      <c r="L64" s="1324" t="s">
        <v>1407</v>
      </c>
      <c r="M64" s="1325"/>
      <c r="N64" s="1326" t="s">
        <v>1822</v>
      </c>
      <c r="O64" s="1325"/>
      <c r="P64" s="1326" t="s">
        <v>1823</v>
      </c>
      <c r="Q64" s="1325"/>
      <c r="R64" s="1326" t="s">
        <v>1824</v>
      </c>
      <c r="S64" s="1325"/>
      <c r="T64" s="1326" t="s">
        <v>2706</v>
      </c>
      <c r="U64" s="1324"/>
      <c r="V64" s="981" t="s">
        <v>1557</v>
      </c>
      <c r="W64" s="981" t="s">
        <v>1556</v>
      </c>
      <c r="X64" s="981" t="s">
        <v>501</v>
      </c>
      <c r="Y64" s="981" t="s">
        <v>708</v>
      </c>
      <c r="Z64" s="981" t="s">
        <v>82</v>
      </c>
      <c r="AA64" s="981" t="s">
        <v>709</v>
      </c>
      <c r="AB64" s="981" t="s">
        <v>1419</v>
      </c>
      <c r="AC64" s="981" t="s">
        <v>1420</v>
      </c>
      <c r="AD64" s="982" t="s">
        <v>1827</v>
      </c>
      <c r="AE64" s="981" t="s">
        <v>1828</v>
      </c>
      <c r="AF64" s="981" t="s">
        <v>1425</v>
      </c>
      <c r="AG64" s="981" t="s">
        <v>1535</v>
      </c>
      <c r="AH64" s="981" t="s">
        <v>1536</v>
      </c>
      <c r="AI64" s="981" t="s">
        <v>1559</v>
      </c>
      <c r="AJ64" s="981" t="s">
        <v>1896</v>
      </c>
      <c r="AK64" s="981" t="s">
        <v>1967</v>
      </c>
      <c r="AL64" s="981" t="s">
        <v>19</v>
      </c>
      <c r="AM64" s="981"/>
      <c r="AN64" s="265"/>
      <c r="AO64" s="979" t="s">
        <v>1557</v>
      </c>
      <c r="AP64" s="979" t="s">
        <v>1556</v>
      </c>
      <c r="AQ64" s="979" t="s">
        <v>501</v>
      </c>
      <c r="AR64" s="979" t="s">
        <v>708</v>
      </c>
      <c r="AS64" s="979" t="s">
        <v>82</v>
      </c>
      <c r="AT64" s="979" t="s">
        <v>709</v>
      </c>
      <c r="AU64" s="979" t="s">
        <v>1419</v>
      </c>
      <c r="AV64" s="979" t="s">
        <v>1420</v>
      </c>
      <c r="AW64" s="980" t="s">
        <v>1827</v>
      </c>
      <c r="AX64" s="979" t="s">
        <v>1828</v>
      </c>
      <c r="AY64" s="979" t="s">
        <v>1425</v>
      </c>
      <c r="AZ64" s="979" t="s">
        <v>1535</v>
      </c>
      <c r="BA64" s="979" t="s">
        <v>1536</v>
      </c>
      <c r="BB64" s="979" t="s">
        <v>1559</v>
      </c>
      <c r="BC64" s="979" t="s">
        <v>1896</v>
      </c>
      <c r="BD64" s="979" t="s">
        <v>1967</v>
      </c>
      <c r="BE64" s="979" t="s">
        <v>19</v>
      </c>
      <c r="BF64" s="979"/>
      <c r="BH64" s="1001" t="s">
        <v>1911</v>
      </c>
      <c r="BI64" s="1001" t="s">
        <v>1912</v>
      </c>
      <c r="BJ64" s="1001" t="s">
        <v>1913</v>
      </c>
      <c r="BK64" s="1001" t="s">
        <v>537</v>
      </c>
      <c r="BL64" s="1001" t="s">
        <v>1128</v>
      </c>
    </row>
    <row r="65" spans="2:75" x14ac:dyDescent="0.3">
      <c r="B65" s="1280">
        <v>22</v>
      </c>
      <c r="C65" s="977" t="s">
        <v>207</v>
      </c>
      <c r="D65" s="977" t="s">
        <v>1829</v>
      </c>
      <c r="E65" s="977" t="s">
        <v>1516</v>
      </c>
      <c r="F65" s="978" t="s">
        <v>2627</v>
      </c>
      <c r="G65" s="977" t="s">
        <v>150</v>
      </c>
      <c r="H65" s="991" t="str">
        <f t="shared" ref="H65:H82" si="37">IF(L65=M65,"Tasapeli",IF(L65&lt;M65,"Häviö","Voitto"))</f>
        <v>Voitto</v>
      </c>
      <c r="I65" s="991" t="s">
        <v>1515</v>
      </c>
      <c r="J65" s="991" t="s">
        <v>0</v>
      </c>
      <c r="K65" s="991" t="s">
        <v>2603</v>
      </c>
      <c r="L65" s="992">
        <f t="shared" ref="L65:L82" si="38">N65+P65+R65</f>
        <v>4</v>
      </c>
      <c r="M65" s="992">
        <f t="shared" ref="M65:M82" si="39">O65+Q65+S65</f>
        <v>2</v>
      </c>
      <c r="N65" s="1262">
        <v>1</v>
      </c>
      <c r="O65" s="992">
        <v>0</v>
      </c>
      <c r="P65" s="1262">
        <v>1</v>
      </c>
      <c r="Q65" s="992">
        <v>0</v>
      </c>
      <c r="R65" s="1262">
        <v>2</v>
      </c>
      <c r="S65" s="992">
        <v>2</v>
      </c>
      <c r="T65" s="1262"/>
      <c r="U65" s="992"/>
      <c r="V65" s="985"/>
      <c r="W65" s="985"/>
      <c r="X65" s="985"/>
      <c r="Y65" s="985"/>
      <c r="Z65" s="985"/>
      <c r="AA65" s="985"/>
      <c r="AB65" s="985"/>
      <c r="AC65" s="985"/>
      <c r="AD65" s="985"/>
      <c r="AE65" s="985"/>
      <c r="AF65" s="985"/>
      <c r="AG65" s="985"/>
      <c r="AH65" s="985"/>
      <c r="AI65" s="985"/>
      <c r="AJ65" s="985"/>
      <c r="AK65" s="985"/>
      <c r="AL65" s="985"/>
      <c r="AM65" s="985"/>
      <c r="AN65" s="8"/>
      <c r="AO65" s="983"/>
      <c r="AP65" s="983"/>
      <c r="AQ65" s="983"/>
      <c r="AR65" s="983"/>
      <c r="AS65" s="983"/>
      <c r="AT65" s="983"/>
      <c r="AU65" s="983"/>
      <c r="AV65" s="983"/>
      <c r="AW65" s="983"/>
      <c r="AX65" s="983"/>
      <c r="AY65" s="983"/>
      <c r="AZ65" s="983"/>
      <c r="BA65" s="983"/>
      <c r="BB65" s="983"/>
      <c r="BC65" s="983"/>
      <c r="BD65" s="983"/>
      <c r="BE65" s="983"/>
      <c r="BF65" s="983"/>
      <c r="BH65" s="1002">
        <f>IF(V65=0,1,0)</f>
        <v>1</v>
      </c>
      <c r="BI65" s="1002">
        <f>IF(AO65=0,1,0)</f>
        <v>1</v>
      </c>
      <c r="BJ65" s="1002">
        <f>IF(V65+AO65=0,1,0)</f>
        <v>1</v>
      </c>
      <c r="BK65" s="1002">
        <f>IF(BH65&gt;BI65,1,0)</f>
        <v>0</v>
      </c>
      <c r="BL65" s="1002">
        <f>IF(BI65&gt;BH65,1,0)</f>
        <v>0</v>
      </c>
      <c r="BO65" s="1282" t="s">
        <v>1393</v>
      </c>
      <c r="BP65" s="1281" t="s">
        <v>989</v>
      </c>
      <c r="BQ65" s="1282" t="s">
        <v>877</v>
      </c>
      <c r="BR65" s="1282" t="s">
        <v>990</v>
      </c>
      <c r="BS65" s="1282" t="s">
        <v>991</v>
      </c>
      <c r="BT65" s="1282" t="s">
        <v>992</v>
      </c>
      <c r="BU65" s="1282" t="s">
        <v>139</v>
      </c>
      <c r="BV65" s="1282" t="s">
        <v>993</v>
      </c>
      <c r="BW65" s="1282" t="s">
        <v>610</v>
      </c>
    </row>
    <row r="66" spans="2:75" x14ac:dyDescent="0.3">
      <c r="B66" s="1280">
        <v>23</v>
      </c>
      <c r="C66" s="977" t="s">
        <v>207</v>
      </c>
      <c r="D66" s="977" t="s">
        <v>1829</v>
      </c>
      <c r="E66" s="977" t="s">
        <v>1537</v>
      </c>
      <c r="F66" s="978" t="s">
        <v>2628</v>
      </c>
      <c r="G66" s="977" t="s">
        <v>1643</v>
      </c>
      <c r="H66" s="991" t="str">
        <f t="shared" si="37"/>
        <v>Häviö</v>
      </c>
      <c r="I66" s="991" t="s">
        <v>1515</v>
      </c>
      <c r="J66" s="991" t="s">
        <v>0</v>
      </c>
      <c r="K66" s="991" t="s">
        <v>1639</v>
      </c>
      <c r="L66" s="992">
        <f t="shared" si="38"/>
        <v>2</v>
      </c>
      <c r="M66" s="992">
        <f t="shared" si="39"/>
        <v>4</v>
      </c>
      <c r="N66" s="1262">
        <v>2</v>
      </c>
      <c r="O66" s="992">
        <v>2</v>
      </c>
      <c r="P66" s="1262">
        <v>0</v>
      </c>
      <c r="Q66" s="992">
        <v>2</v>
      </c>
      <c r="R66" s="1262">
        <v>0</v>
      </c>
      <c r="S66" s="992">
        <v>0</v>
      </c>
      <c r="T66" s="1262"/>
      <c r="U66" s="992"/>
      <c r="V66" s="985"/>
      <c r="W66" s="985"/>
      <c r="X66" s="985"/>
      <c r="Y66" s="985"/>
      <c r="Z66" s="985"/>
      <c r="AA66" s="985"/>
      <c r="AB66" s="985"/>
      <c r="AC66" s="985"/>
      <c r="AD66" s="985"/>
      <c r="AE66" s="985"/>
      <c r="AF66" s="985"/>
      <c r="AG66" s="985"/>
      <c r="AH66" s="985"/>
      <c r="AI66" s="985"/>
      <c r="AJ66" s="985"/>
      <c r="AK66" s="985"/>
      <c r="AL66" s="985"/>
      <c r="AM66" s="985"/>
      <c r="AN66" s="8"/>
      <c r="AO66" s="983"/>
      <c r="AP66" s="983"/>
      <c r="AQ66" s="983"/>
      <c r="AR66" s="983"/>
      <c r="AS66" s="983"/>
      <c r="AT66" s="983"/>
      <c r="AU66" s="983"/>
      <c r="AV66" s="983"/>
      <c r="AW66" s="983"/>
      <c r="AX66" s="983"/>
      <c r="AY66" s="983"/>
      <c r="AZ66" s="983"/>
      <c r="BA66" s="983"/>
      <c r="BB66" s="983"/>
      <c r="BC66" s="983"/>
      <c r="BD66" s="983"/>
      <c r="BE66" s="988"/>
      <c r="BF66" s="988"/>
      <c r="BH66" s="1002">
        <f t="shared" ref="BH66:BH82" si="40">IF(V66=0,1,0)</f>
        <v>1</v>
      </c>
      <c r="BI66" s="1002">
        <f t="shared" ref="BI66:BI82" si="41">IF(AO66=0,1,0)</f>
        <v>1</v>
      </c>
      <c r="BJ66" s="1002">
        <f t="shared" ref="BJ66:BJ82" si="42">IF(V66+AO66=0,1,0)</f>
        <v>1</v>
      </c>
      <c r="BK66" s="1002">
        <f t="shared" ref="BK66:BK82" si="43">IF(BH66&gt;BI66,1,0)</f>
        <v>0</v>
      </c>
      <c r="BL66" s="1002">
        <f t="shared" ref="BL66:BL82" si="44">IF(BI66&gt;BH66,1,0)</f>
        <v>0</v>
      </c>
      <c r="BO66" s="119">
        <v>1</v>
      </c>
      <c r="BP66" s="128" t="s">
        <v>1404</v>
      </c>
      <c r="BQ66" s="119">
        <v>18</v>
      </c>
      <c r="BR66" s="119">
        <v>14</v>
      </c>
      <c r="BS66" s="119">
        <v>1</v>
      </c>
      <c r="BT66" s="119">
        <v>3</v>
      </c>
      <c r="BU66" s="119">
        <v>107</v>
      </c>
      <c r="BV66" s="119">
        <v>37</v>
      </c>
      <c r="BW66" s="119">
        <v>29</v>
      </c>
    </row>
    <row r="67" spans="2:75" x14ac:dyDescent="0.3">
      <c r="B67" s="1280">
        <v>24</v>
      </c>
      <c r="C67" s="977" t="s">
        <v>207</v>
      </c>
      <c r="D67" s="977" t="s">
        <v>1829</v>
      </c>
      <c r="E67" s="977" t="s">
        <v>1538</v>
      </c>
      <c r="F67" s="978" t="s">
        <v>2629</v>
      </c>
      <c r="G67" s="977" t="s">
        <v>150</v>
      </c>
      <c r="H67" s="991" t="str">
        <f t="shared" si="37"/>
        <v>Häviö</v>
      </c>
      <c r="I67" s="991" t="s">
        <v>1514</v>
      </c>
      <c r="J67" s="991" t="s">
        <v>0</v>
      </c>
      <c r="K67" s="991" t="s">
        <v>1404</v>
      </c>
      <c r="L67" s="992">
        <f t="shared" si="38"/>
        <v>0</v>
      </c>
      <c r="M67" s="992">
        <f t="shared" si="39"/>
        <v>5</v>
      </c>
      <c r="N67" s="1262">
        <v>0</v>
      </c>
      <c r="O67" s="992">
        <v>2</v>
      </c>
      <c r="P67" s="1262">
        <v>0</v>
      </c>
      <c r="Q67" s="992">
        <v>1</v>
      </c>
      <c r="R67" s="1262">
        <v>0</v>
      </c>
      <c r="S67" s="992">
        <v>2</v>
      </c>
      <c r="T67" s="1262"/>
      <c r="U67" s="992"/>
      <c r="V67" s="985"/>
      <c r="W67" s="985"/>
      <c r="X67" s="985"/>
      <c r="Y67" s="985"/>
      <c r="Z67" s="985"/>
      <c r="AA67" s="985"/>
      <c r="AB67" s="985"/>
      <c r="AC67" s="985"/>
      <c r="AD67" s="985"/>
      <c r="AE67" s="985"/>
      <c r="AF67" s="985"/>
      <c r="AG67" s="985"/>
      <c r="AH67" s="985"/>
      <c r="AI67" s="985"/>
      <c r="AJ67" s="985"/>
      <c r="AK67" s="985"/>
      <c r="AL67" s="986"/>
      <c r="AM67" s="986"/>
      <c r="AN67" s="8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983"/>
      <c r="BB67" s="983"/>
      <c r="BC67" s="983"/>
      <c r="BD67" s="983"/>
      <c r="BE67" s="988"/>
      <c r="BF67" s="988"/>
      <c r="BH67" s="1002">
        <f t="shared" si="40"/>
        <v>1</v>
      </c>
      <c r="BI67" s="1002">
        <f t="shared" si="41"/>
        <v>1</v>
      </c>
      <c r="BJ67" s="1002">
        <f t="shared" si="42"/>
        <v>1</v>
      </c>
      <c r="BK67" s="1002">
        <f t="shared" si="43"/>
        <v>0</v>
      </c>
      <c r="BL67" s="1002">
        <f t="shared" si="44"/>
        <v>0</v>
      </c>
      <c r="BO67" s="119">
        <v>2</v>
      </c>
      <c r="BP67" s="128" t="s">
        <v>1639</v>
      </c>
      <c r="BQ67" s="119">
        <v>18</v>
      </c>
      <c r="BR67" s="119">
        <v>14</v>
      </c>
      <c r="BS67" s="119">
        <v>0</v>
      </c>
      <c r="BT67" s="119">
        <v>4</v>
      </c>
      <c r="BU67" s="119">
        <v>104</v>
      </c>
      <c r="BV67" s="119">
        <v>54</v>
      </c>
      <c r="BW67" s="119">
        <v>28</v>
      </c>
    </row>
    <row r="68" spans="2:75" x14ac:dyDescent="0.3">
      <c r="B68" s="1280">
        <v>25</v>
      </c>
      <c r="C68" s="977" t="s">
        <v>207</v>
      </c>
      <c r="D68" s="977" t="s">
        <v>1829</v>
      </c>
      <c r="E68" s="977" t="s">
        <v>1539</v>
      </c>
      <c r="F68" s="978" t="s">
        <v>2630</v>
      </c>
      <c r="G68" s="977" t="s">
        <v>150</v>
      </c>
      <c r="H68" s="991" t="str">
        <f t="shared" si="37"/>
        <v>Voitto</v>
      </c>
      <c r="I68" s="991" t="s">
        <v>1514</v>
      </c>
      <c r="J68" s="991" t="s">
        <v>0</v>
      </c>
      <c r="K68" s="991" t="s">
        <v>2605</v>
      </c>
      <c r="L68" s="992">
        <f t="shared" si="38"/>
        <v>7</v>
      </c>
      <c r="M68" s="992">
        <f t="shared" si="39"/>
        <v>2</v>
      </c>
      <c r="N68" s="1262">
        <v>1</v>
      </c>
      <c r="O68" s="992">
        <v>2</v>
      </c>
      <c r="P68" s="1262">
        <v>3</v>
      </c>
      <c r="Q68" s="992">
        <v>0</v>
      </c>
      <c r="R68" s="1262">
        <v>3</v>
      </c>
      <c r="S68" s="992">
        <v>0</v>
      </c>
      <c r="T68" s="1262"/>
      <c r="U68" s="992"/>
      <c r="V68" s="985"/>
      <c r="W68" s="985"/>
      <c r="X68" s="987"/>
      <c r="Y68" s="987"/>
      <c r="Z68" s="987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5"/>
      <c r="AL68" s="985"/>
      <c r="AM68" s="985"/>
      <c r="AO68" s="983"/>
      <c r="AP68" s="983"/>
      <c r="AQ68" s="983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76"/>
      <c r="BD68" s="983"/>
      <c r="BE68" s="984"/>
      <c r="BF68" s="984"/>
      <c r="BH68" s="1002">
        <f t="shared" si="40"/>
        <v>1</v>
      </c>
      <c r="BI68" s="1002">
        <f t="shared" si="41"/>
        <v>1</v>
      </c>
      <c r="BJ68" s="1002">
        <f t="shared" si="42"/>
        <v>1</v>
      </c>
      <c r="BK68" s="1002">
        <f t="shared" si="43"/>
        <v>0</v>
      </c>
      <c r="BL68" s="1002">
        <f t="shared" si="44"/>
        <v>0</v>
      </c>
      <c r="BO68" s="119">
        <v>3</v>
      </c>
      <c r="BP68" s="128" t="s">
        <v>1007</v>
      </c>
      <c r="BQ68" s="119">
        <v>18</v>
      </c>
      <c r="BR68" s="119">
        <v>11</v>
      </c>
      <c r="BS68" s="119">
        <v>1</v>
      </c>
      <c r="BT68" s="119">
        <v>6</v>
      </c>
      <c r="BU68" s="119">
        <v>112</v>
      </c>
      <c r="BV68" s="119">
        <v>78</v>
      </c>
      <c r="BW68" s="119">
        <v>23</v>
      </c>
    </row>
    <row r="69" spans="2:75" x14ac:dyDescent="0.3">
      <c r="B69" s="1280">
        <v>26</v>
      </c>
      <c r="C69" s="977" t="s">
        <v>207</v>
      </c>
      <c r="D69" s="977" t="s">
        <v>1829</v>
      </c>
      <c r="E69" s="977" t="s">
        <v>1540</v>
      </c>
      <c r="F69" s="978" t="s">
        <v>2631</v>
      </c>
      <c r="G69" s="977" t="s">
        <v>1674</v>
      </c>
      <c r="H69" s="991" t="str">
        <f t="shared" si="37"/>
        <v>Häviö</v>
      </c>
      <c r="I69" s="991" t="s">
        <v>1515</v>
      </c>
      <c r="J69" s="991" t="s">
        <v>0</v>
      </c>
      <c r="K69" s="991" t="s">
        <v>2606</v>
      </c>
      <c r="L69" s="992">
        <f t="shared" si="38"/>
        <v>5</v>
      </c>
      <c r="M69" s="992">
        <f t="shared" si="39"/>
        <v>8</v>
      </c>
      <c r="N69" s="1262">
        <v>0</v>
      </c>
      <c r="O69" s="992">
        <v>0</v>
      </c>
      <c r="P69" s="1262">
        <v>4</v>
      </c>
      <c r="Q69" s="992">
        <v>5</v>
      </c>
      <c r="R69" s="1262">
        <v>1</v>
      </c>
      <c r="S69" s="992">
        <v>3</v>
      </c>
      <c r="T69" s="1262"/>
      <c r="U69" s="992"/>
      <c r="V69" s="985"/>
      <c r="W69" s="985"/>
      <c r="X69" s="987"/>
      <c r="Y69" s="987"/>
      <c r="Z69" s="987"/>
      <c r="AA69" s="987"/>
      <c r="AB69" s="987"/>
      <c r="AC69" s="987"/>
      <c r="AD69" s="987"/>
      <c r="AE69" s="987"/>
      <c r="AF69" s="987"/>
      <c r="AG69" s="987"/>
      <c r="AH69" s="987"/>
      <c r="AI69" s="987"/>
      <c r="AJ69" s="987"/>
      <c r="AK69" s="985"/>
      <c r="AL69" s="985"/>
      <c r="AM69" s="985"/>
      <c r="AO69" s="983"/>
      <c r="AP69" s="983"/>
      <c r="AQ69" s="976"/>
      <c r="AR69" s="976"/>
      <c r="AS69" s="976"/>
      <c r="AT69" s="976"/>
      <c r="AU69" s="976"/>
      <c r="AV69" s="976"/>
      <c r="AW69" s="976"/>
      <c r="AX69" s="976"/>
      <c r="AY69" s="976"/>
      <c r="AZ69" s="976"/>
      <c r="BA69" s="976"/>
      <c r="BB69" s="976"/>
      <c r="BC69" s="976"/>
      <c r="BD69" s="983"/>
      <c r="BE69" s="983"/>
      <c r="BF69" s="983"/>
      <c r="BH69" s="1002">
        <f t="shared" si="40"/>
        <v>1</v>
      </c>
      <c r="BI69" s="1002">
        <f t="shared" si="41"/>
        <v>1</v>
      </c>
      <c r="BJ69" s="1002">
        <f t="shared" si="42"/>
        <v>1</v>
      </c>
      <c r="BK69" s="1002">
        <f t="shared" si="43"/>
        <v>0</v>
      </c>
      <c r="BL69" s="1002">
        <f t="shared" si="44"/>
        <v>0</v>
      </c>
      <c r="BO69" s="119">
        <v>4</v>
      </c>
      <c r="BP69" s="128" t="s">
        <v>2603</v>
      </c>
      <c r="BQ69" s="119">
        <v>18</v>
      </c>
      <c r="BR69" s="119">
        <v>9</v>
      </c>
      <c r="BS69" s="119">
        <v>2</v>
      </c>
      <c r="BT69" s="119">
        <v>7</v>
      </c>
      <c r="BU69" s="119">
        <v>68</v>
      </c>
      <c r="BV69" s="119">
        <v>68</v>
      </c>
      <c r="BW69" s="119">
        <v>20</v>
      </c>
    </row>
    <row r="70" spans="2:75" x14ac:dyDescent="0.3">
      <c r="B70" s="1280">
        <v>27</v>
      </c>
      <c r="C70" s="977" t="s">
        <v>207</v>
      </c>
      <c r="D70" s="977" t="s">
        <v>1829</v>
      </c>
      <c r="E70" s="977" t="s">
        <v>1541</v>
      </c>
      <c r="F70" s="978" t="s">
        <v>2632</v>
      </c>
      <c r="G70" s="977" t="s">
        <v>150</v>
      </c>
      <c r="H70" s="991" t="str">
        <f t="shared" si="37"/>
        <v>Häviö</v>
      </c>
      <c r="I70" s="991" t="s">
        <v>1515</v>
      </c>
      <c r="J70" s="991" t="s">
        <v>0</v>
      </c>
      <c r="K70" s="991" t="s">
        <v>2021</v>
      </c>
      <c r="L70" s="992">
        <f t="shared" si="38"/>
        <v>2</v>
      </c>
      <c r="M70" s="992">
        <f t="shared" si="39"/>
        <v>3</v>
      </c>
      <c r="N70" s="1262">
        <v>1</v>
      </c>
      <c r="O70" s="992">
        <v>3</v>
      </c>
      <c r="P70" s="1262">
        <v>1</v>
      </c>
      <c r="Q70" s="992">
        <v>0</v>
      </c>
      <c r="R70" s="1262">
        <v>0</v>
      </c>
      <c r="S70" s="992">
        <v>0</v>
      </c>
      <c r="T70" s="1262"/>
      <c r="U70" s="992"/>
      <c r="V70" s="985"/>
      <c r="W70" s="985"/>
      <c r="X70" s="987"/>
      <c r="Y70" s="987"/>
      <c r="Z70" s="987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5"/>
      <c r="AL70" s="985"/>
      <c r="AM70" s="985"/>
      <c r="AO70" s="983"/>
      <c r="AP70" s="983"/>
      <c r="AQ70" s="983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76"/>
      <c r="BD70" s="983"/>
      <c r="BE70" s="983"/>
      <c r="BF70" s="983"/>
      <c r="BH70" s="1002">
        <f t="shared" si="40"/>
        <v>1</v>
      </c>
      <c r="BI70" s="1002">
        <f t="shared" si="41"/>
        <v>1</v>
      </c>
      <c r="BJ70" s="1002">
        <f t="shared" si="42"/>
        <v>1</v>
      </c>
      <c r="BK70" s="1002">
        <f t="shared" si="43"/>
        <v>0</v>
      </c>
      <c r="BL70" s="1002">
        <f t="shared" si="44"/>
        <v>0</v>
      </c>
      <c r="BO70" s="119">
        <v>5</v>
      </c>
      <c r="BP70" s="128" t="s">
        <v>2604</v>
      </c>
      <c r="BQ70" s="119">
        <v>18</v>
      </c>
      <c r="BR70" s="119">
        <v>9</v>
      </c>
      <c r="BS70" s="119">
        <v>1</v>
      </c>
      <c r="BT70" s="119">
        <v>8</v>
      </c>
      <c r="BU70" s="119">
        <v>100</v>
      </c>
      <c r="BV70" s="119">
        <v>98</v>
      </c>
      <c r="BW70" s="119">
        <v>19</v>
      </c>
    </row>
    <row r="71" spans="2:75" x14ac:dyDescent="0.3">
      <c r="B71" s="1280">
        <v>28</v>
      </c>
      <c r="C71" s="977" t="s">
        <v>207</v>
      </c>
      <c r="D71" s="977" t="s">
        <v>1829</v>
      </c>
      <c r="E71" s="977" t="s">
        <v>1542</v>
      </c>
      <c r="F71" s="978" t="s">
        <v>2634</v>
      </c>
      <c r="G71" s="977" t="s">
        <v>2633</v>
      </c>
      <c r="H71" s="991" t="str">
        <f t="shared" si="37"/>
        <v>Voitto</v>
      </c>
      <c r="I71" s="991" t="s">
        <v>1514</v>
      </c>
      <c r="J71" s="991" t="s">
        <v>0</v>
      </c>
      <c r="K71" s="991" t="s">
        <v>996</v>
      </c>
      <c r="L71" s="992">
        <f t="shared" si="38"/>
        <v>7</v>
      </c>
      <c r="M71" s="992">
        <f t="shared" si="39"/>
        <v>3</v>
      </c>
      <c r="N71" s="1262">
        <v>2</v>
      </c>
      <c r="O71" s="992">
        <v>0</v>
      </c>
      <c r="P71" s="1262">
        <v>3</v>
      </c>
      <c r="Q71" s="992">
        <v>1</v>
      </c>
      <c r="R71" s="1262">
        <v>2</v>
      </c>
      <c r="S71" s="992">
        <v>2</v>
      </c>
      <c r="T71" s="1262"/>
      <c r="U71" s="992"/>
      <c r="V71" s="985"/>
      <c r="W71" s="985"/>
      <c r="X71" s="985"/>
      <c r="Y71" s="987"/>
      <c r="Z71" s="987"/>
      <c r="AA71" s="987"/>
      <c r="AB71" s="985"/>
      <c r="AC71" s="987"/>
      <c r="AD71" s="987"/>
      <c r="AE71" s="987"/>
      <c r="AF71" s="987"/>
      <c r="AG71" s="987"/>
      <c r="AH71" s="987"/>
      <c r="AI71" s="987"/>
      <c r="AJ71" s="987"/>
      <c r="AK71" s="985"/>
      <c r="AL71" s="986"/>
      <c r="AM71" s="986"/>
      <c r="AO71" s="983"/>
      <c r="AP71" s="983"/>
      <c r="AQ71" s="983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76"/>
      <c r="BD71" s="983"/>
      <c r="BE71" s="983"/>
      <c r="BF71" s="983"/>
      <c r="BH71" s="1002">
        <f t="shared" si="40"/>
        <v>1</v>
      </c>
      <c r="BI71" s="1002">
        <f t="shared" si="41"/>
        <v>1</v>
      </c>
      <c r="BJ71" s="1002">
        <f t="shared" si="42"/>
        <v>1</v>
      </c>
      <c r="BK71" s="1002">
        <f t="shared" si="43"/>
        <v>0</v>
      </c>
      <c r="BL71" s="1002">
        <f t="shared" si="44"/>
        <v>0</v>
      </c>
      <c r="BO71" s="119">
        <v>6</v>
      </c>
      <c r="BP71" s="128" t="s">
        <v>996</v>
      </c>
      <c r="BQ71" s="119">
        <v>18</v>
      </c>
      <c r="BR71" s="119">
        <v>9</v>
      </c>
      <c r="BS71" s="119">
        <v>1</v>
      </c>
      <c r="BT71" s="119">
        <v>8</v>
      </c>
      <c r="BU71" s="119">
        <v>103</v>
      </c>
      <c r="BV71" s="119">
        <v>77</v>
      </c>
      <c r="BW71" s="119">
        <v>19</v>
      </c>
    </row>
    <row r="72" spans="2:75" x14ac:dyDescent="0.3">
      <c r="B72" s="1280">
        <v>29</v>
      </c>
      <c r="C72" s="977" t="s">
        <v>207</v>
      </c>
      <c r="D72" s="977" t="s">
        <v>1829</v>
      </c>
      <c r="E72" s="977" t="s">
        <v>1543</v>
      </c>
      <c r="F72" s="978" t="s">
        <v>2635</v>
      </c>
      <c r="G72" s="977" t="s">
        <v>2633</v>
      </c>
      <c r="H72" s="991" t="str">
        <f t="shared" si="37"/>
        <v>Häviö</v>
      </c>
      <c r="I72" s="991" t="s">
        <v>1514</v>
      </c>
      <c r="J72" s="991" t="s">
        <v>0</v>
      </c>
      <c r="K72" s="991" t="s">
        <v>2604</v>
      </c>
      <c r="L72" s="992">
        <f t="shared" si="38"/>
        <v>4</v>
      </c>
      <c r="M72" s="992">
        <f t="shared" si="39"/>
        <v>9</v>
      </c>
      <c r="N72" s="1262">
        <v>0</v>
      </c>
      <c r="O72" s="992">
        <v>3</v>
      </c>
      <c r="P72" s="1262">
        <v>1</v>
      </c>
      <c r="Q72" s="992">
        <v>3</v>
      </c>
      <c r="R72" s="1262">
        <v>3</v>
      </c>
      <c r="S72" s="992">
        <v>3</v>
      </c>
      <c r="T72" s="1262"/>
      <c r="U72" s="992"/>
      <c r="V72" s="985"/>
      <c r="W72" s="985"/>
      <c r="X72" s="985"/>
      <c r="Y72" s="985"/>
      <c r="Z72" s="985"/>
      <c r="AA72" s="985"/>
      <c r="AB72" s="985"/>
      <c r="AC72" s="985"/>
      <c r="AD72" s="985"/>
      <c r="AE72" s="985"/>
      <c r="AF72" s="985"/>
      <c r="AG72" s="985"/>
      <c r="AH72" s="985"/>
      <c r="AI72" s="985"/>
      <c r="AJ72" s="985"/>
      <c r="AK72" s="985"/>
      <c r="AL72" s="985"/>
      <c r="AM72" s="985"/>
      <c r="AN72" s="8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H72" s="1002">
        <f t="shared" si="40"/>
        <v>1</v>
      </c>
      <c r="BI72" s="1002">
        <f t="shared" si="41"/>
        <v>1</v>
      </c>
      <c r="BJ72" s="1002">
        <f t="shared" si="42"/>
        <v>1</v>
      </c>
      <c r="BK72" s="1002">
        <f t="shared" si="43"/>
        <v>0</v>
      </c>
      <c r="BL72" s="1002">
        <f t="shared" si="44"/>
        <v>0</v>
      </c>
      <c r="BO72" s="119">
        <v>7</v>
      </c>
      <c r="BP72" s="128" t="s">
        <v>2021</v>
      </c>
      <c r="BQ72" s="119">
        <v>18</v>
      </c>
      <c r="BR72" s="119">
        <v>7</v>
      </c>
      <c r="BS72" s="119">
        <v>2</v>
      </c>
      <c r="BT72" s="119">
        <v>9</v>
      </c>
      <c r="BU72" s="119">
        <v>71</v>
      </c>
      <c r="BV72" s="119">
        <v>96</v>
      </c>
      <c r="BW72" s="119">
        <v>16</v>
      </c>
    </row>
    <row r="73" spans="2:75" x14ac:dyDescent="0.3">
      <c r="B73" s="1280">
        <v>30</v>
      </c>
      <c r="C73" s="977" t="s">
        <v>207</v>
      </c>
      <c r="D73" s="977" t="s">
        <v>1829</v>
      </c>
      <c r="E73" s="977" t="s">
        <v>1544</v>
      </c>
      <c r="F73" s="978" t="s">
        <v>2636</v>
      </c>
      <c r="G73" s="977" t="s">
        <v>2633</v>
      </c>
      <c r="H73" s="991" t="str">
        <f t="shared" si="37"/>
        <v>Tasapeli</v>
      </c>
      <c r="I73" s="991" t="s">
        <v>1515</v>
      </c>
      <c r="J73" s="991" t="s">
        <v>0</v>
      </c>
      <c r="K73" s="991" t="s">
        <v>1007</v>
      </c>
      <c r="L73" s="992">
        <f t="shared" si="38"/>
        <v>4</v>
      </c>
      <c r="M73" s="992">
        <f t="shared" si="39"/>
        <v>4</v>
      </c>
      <c r="N73" s="1262">
        <v>3</v>
      </c>
      <c r="O73" s="992">
        <v>0</v>
      </c>
      <c r="P73" s="1262">
        <v>0</v>
      </c>
      <c r="Q73" s="992">
        <v>1</v>
      </c>
      <c r="R73" s="1262">
        <v>1</v>
      </c>
      <c r="S73" s="992">
        <v>3</v>
      </c>
      <c r="T73" s="1262"/>
      <c r="U73" s="992"/>
      <c r="V73" s="985"/>
      <c r="W73" s="985"/>
      <c r="X73" s="985"/>
      <c r="Y73" s="985"/>
      <c r="Z73" s="985"/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8"/>
      <c r="AO73" s="983"/>
      <c r="AP73" s="983"/>
      <c r="AQ73" s="983"/>
      <c r="AR73" s="983"/>
      <c r="AS73" s="983"/>
      <c r="AT73" s="983"/>
      <c r="AU73" s="983"/>
      <c r="AV73" s="983"/>
      <c r="AW73" s="983"/>
      <c r="AX73" s="983"/>
      <c r="AY73" s="983"/>
      <c r="AZ73" s="983"/>
      <c r="BA73" s="983"/>
      <c r="BB73" s="983"/>
      <c r="BC73" s="983"/>
      <c r="BD73" s="983"/>
      <c r="BE73" s="983"/>
      <c r="BF73" s="983"/>
      <c r="BH73" s="1002">
        <f t="shared" si="40"/>
        <v>1</v>
      </c>
      <c r="BI73" s="1002">
        <f t="shared" si="41"/>
        <v>1</v>
      </c>
      <c r="BJ73" s="1002">
        <f t="shared" si="42"/>
        <v>1</v>
      </c>
      <c r="BK73" s="1002">
        <f t="shared" si="43"/>
        <v>0</v>
      </c>
      <c r="BL73" s="1002">
        <f t="shared" si="44"/>
        <v>0</v>
      </c>
      <c r="BO73" s="1284">
        <v>8</v>
      </c>
      <c r="BP73" s="1283" t="s">
        <v>0</v>
      </c>
      <c r="BQ73" s="1284">
        <v>18</v>
      </c>
      <c r="BR73" s="1284">
        <v>5</v>
      </c>
      <c r="BS73" s="1284">
        <v>2</v>
      </c>
      <c r="BT73" s="1284">
        <v>11</v>
      </c>
      <c r="BU73" s="1284">
        <v>72</v>
      </c>
      <c r="BV73" s="1284">
        <v>80</v>
      </c>
      <c r="BW73" s="1284">
        <v>12</v>
      </c>
    </row>
    <row r="74" spans="2:75" x14ac:dyDescent="0.3">
      <c r="B74" s="1280">
        <v>31</v>
      </c>
      <c r="C74" s="977" t="s">
        <v>207</v>
      </c>
      <c r="D74" s="977" t="s">
        <v>1829</v>
      </c>
      <c r="E74" s="977" t="s">
        <v>1545</v>
      </c>
      <c r="F74" s="978" t="s">
        <v>2637</v>
      </c>
      <c r="G74" s="977" t="s">
        <v>150</v>
      </c>
      <c r="H74" s="991" t="str">
        <f t="shared" si="37"/>
        <v>Häviö</v>
      </c>
      <c r="I74" s="991" t="s">
        <v>1515</v>
      </c>
      <c r="J74" s="991" t="s">
        <v>0</v>
      </c>
      <c r="K74" s="991" t="s">
        <v>2605</v>
      </c>
      <c r="L74" s="992">
        <f t="shared" si="38"/>
        <v>3</v>
      </c>
      <c r="M74" s="992">
        <f t="shared" si="39"/>
        <v>4</v>
      </c>
      <c r="N74" s="1262">
        <v>2</v>
      </c>
      <c r="O74" s="992">
        <v>1</v>
      </c>
      <c r="P74" s="1262">
        <v>1</v>
      </c>
      <c r="Q74" s="992">
        <v>1</v>
      </c>
      <c r="R74" s="1262">
        <v>0</v>
      </c>
      <c r="S74" s="992">
        <v>2</v>
      </c>
      <c r="T74" s="1262"/>
      <c r="U74" s="992"/>
      <c r="V74" s="985"/>
      <c r="W74" s="985"/>
      <c r="X74" s="985"/>
      <c r="Y74" s="985"/>
      <c r="Z74" s="985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8"/>
      <c r="AO74" s="983"/>
      <c r="AP74" s="983"/>
      <c r="AQ74" s="983"/>
      <c r="AR74" s="983"/>
      <c r="AS74" s="983"/>
      <c r="AT74" s="983"/>
      <c r="AU74" s="983"/>
      <c r="AV74" s="983"/>
      <c r="AW74" s="983"/>
      <c r="AX74" s="983"/>
      <c r="AY74" s="983"/>
      <c r="AZ74" s="983"/>
      <c r="BA74" s="983"/>
      <c r="BB74" s="983"/>
      <c r="BC74" s="983"/>
      <c r="BD74" s="983"/>
      <c r="BE74" s="983"/>
      <c r="BF74" s="983"/>
      <c r="BH74" s="1002">
        <f t="shared" si="40"/>
        <v>1</v>
      </c>
      <c r="BI74" s="1002">
        <f t="shared" si="41"/>
        <v>1</v>
      </c>
      <c r="BJ74" s="1002">
        <f t="shared" si="42"/>
        <v>1</v>
      </c>
      <c r="BK74" s="1002">
        <f t="shared" si="43"/>
        <v>0</v>
      </c>
      <c r="BL74" s="1002">
        <f t="shared" si="44"/>
        <v>0</v>
      </c>
      <c r="BO74" s="1088">
        <v>9</v>
      </c>
      <c r="BP74" s="128" t="s">
        <v>2605</v>
      </c>
      <c r="BQ74" s="119">
        <v>18</v>
      </c>
      <c r="BR74" s="119">
        <v>4</v>
      </c>
      <c r="BS74" s="119">
        <v>1</v>
      </c>
      <c r="BT74" s="119">
        <v>13</v>
      </c>
      <c r="BU74" s="119">
        <v>62</v>
      </c>
      <c r="BV74" s="119">
        <v>118</v>
      </c>
      <c r="BW74" s="119">
        <v>9</v>
      </c>
    </row>
    <row r="75" spans="2:75" x14ac:dyDescent="0.3">
      <c r="B75" s="1280">
        <v>32</v>
      </c>
      <c r="C75" s="977" t="s">
        <v>207</v>
      </c>
      <c r="D75" s="977" t="s">
        <v>1829</v>
      </c>
      <c r="E75" s="977" t="s">
        <v>1546</v>
      </c>
      <c r="F75" s="978" t="s">
        <v>2638</v>
      </c>
      <c r="G75" s="977" t="s">
        <v>150</v>
      </c>
      <c r="H75" s="991" t="str">
        <f t="shared" si="37"/>
        <v>Häviö</v>
      </c>
      <c r="I75" s="991" t="s">
        <v>1514</v>
      </c>
      <c r="J75" s="991" t="s">
        <v>0</v>
      </c>
      <c r="K75" s="991" t="s">
        <v>2603</v>
      </c>
      <c r="L75" s="992">
        <f t="shared" si="38"/>
        <v>4</v>
      </c>
      <c r="M75" s="992">
        <f t="shared" si="39"/>
        <v>7</v>
      </c>
      <c r="N75" s="1262">
        <v>1</v>
      </c>
      <c r="O75" s="992">
        <v>2</v>
      </c>
      <c r="P75" s="1262">
        <v>0</v>
      </c>
      <c r="Q75" s="992">
        <v>3</v>
      </c>
      <c r="R75" s="1262">
        <v>3</v>
      </c>
      <c r="S75" s="992">
        <v>2</v>
      </c>
      <c r="T75" s="1262"/>
      <c r="U75" s="992"/>
      <c r="V75" s="985"/>
      <c r="W75" s="985"/>
      <c r="X75" s="985"/>
      <c r="Y75" s="985"/>
      <c r="Z75" s="985"/>
      <c r="AA75" s="985"/>
      <c r="AB75" s="985"/>
      <c r="AC75" s="985"/>
      <c r="AD75" s="985"/>
      <c r="AE75" s="985"/>
      <c r="AF75" s="985"/>
      <c r="AG75" s="985"/>
      <c r="AH75" s="985"/>
      <c r="AI75" s="985"/>
      <c r="AJ75" s="985"/>
      <c r="AK75" s="985"/>
      <c r="AL75" s="985"/>
      <c r="AM75" s="985"/>
      <c r="AN75" s="8"/>
      <c r="AO75" s="983"/>
      <c r="AP75" s="983"/>
      <c r="AQ75" s="983"/>
      <c r="AR75" s="983"/>
      <c r="AS75" s="983"/>
      <c r="AT75" s="983"/>
      <c r="AU75" s="983"/>
      <c r="AV75" s="983"/>
      <c r="AW75" s="983"/>
      <c r="AX75" s="983"/>
      <c r="AY75" s="983"/>
      <c r="AZ75" s="983"/>
      <c r="BA75" s="983"/>
      <c r="BB75" s="983"/>
      <c r="BC75" s="983"/>
      <c r="BD75" s="983"/>
      <c r="BE75" s="983"/>
      <c r="BF75" s="983"/>
      <c r="BH75" s="1002">
        <f t="shared" si="40"/>
        <v>1</v>
      </c>
      <c r="BI75" s="1002">
        <f t="shared" si="41"/>
        <v>1</v>
      </c>
      <c r="BJ75" s="1002">
        <f t="shared" si="42"/>
        <v>1</v>
      </c>
      <c r="BK75" s="1002">
        <f t="shared" si="43"/>
        <v>0</v>
      </c>
      <c r="BL75" s="1002">
        <f t="shared" si="44"/>
        <v>0</v>
      </c>
      <c r="BO75" s="119">
        <v>10</v>
      </c>
      <c r="BP75" s="128" t="s">
        <v>2606</v>
      </c>
      <c r="BQ75" s="119">
        <v>18</v>
      </c>
      <c r="BR75" s="119">
        <v>2</v>
      </c>
      <c r="BS75" s="119">
        <v>1</v>
      </c>
      <c r="BT75" s="119">
        <v>15</v>
      </c>
      <c r="BU75" s="119">
        <v>60</v>
      </c>
      <c r="BV75" s="119">
        <v>153</v>
      </c>
      <c r="BW75" s="119">
        <v>5</v>
      </c>
    </row>
    <row r="76" spans="2:75" x14ac:dyDescent="0.3">
      <c r="B76" s="1280">
        <v>33</v>
      </c>
      <c r="C76" s="977" t="s">
        <v>207</v>
      </c>
      <c r="D76" s="977" t="s">
        <v>1829</v>
      </c>
      <c r="E76" s="977" t="s">
        <v>1547</v>
      </c>
      <c r="F76" s="978" t="s">
        <v>2639</v>
      </c>
      <c r="G76" s="977" t="s">
        <v>150</v>
      </c>
      <c r="H76" s="991" t="str">
        <f t="shared" si="37"/>
        <v>Häviö</v>
      </c>
      <c r="I76" s="991" t="s">
        <v>1514</v>
      </c>
      <c r="J76" s="991" t="s">
        <v>0</v>
      </c>
      <c r="K76" s="991" t="s">
        <v>1639</v>
      </c>
      <c r="L76" s="992">
        <f t="shared" si="38"/>
        <v>1</v>
      </c>
      <c r="M76" s="992">
        <f t="shared" si="39"/>
        <v>2</v>
      </c>
      <c r="N76" s="1262">
        <v>0</v>
      </c>
      <c r="O76" s="992">
        <v>0</v>
      </c>
      <c r="P76" s="1262">
        <v>0</v>
      </c>
      <c r="Q76" s="992">
        <v>1</v>
      </c>
      <c r="R76" s="1262">
        <v>1</v>
      </c>
      <c r="S76" s="992">
        <v>1</v>
      </c>
      <c r="T76" s="1262"/>
      <c r="U76" s="992"/>
      <c r="V76" s="985"/>
      <c r="W76" s="985"/>
      <c r="X76" s="985"/>
      <c r="Y76" s="985"/>
      <c r="Z76" s="985"/>
      <c r="AA76" s="985"/>
      <c r="AB76" s="985"/>
      <c r="AC76" s="985"/>
      <c r="AD76" s="985"/>
      <c r="AE76" s="985"/>
      <c r="AF76" s="985"/>
      <c r="AG76" s="985"/>
      <c r="AH76" s="985"/>
      <c r="AI76" s="985"/>
      <c r="AJ76" s="985"/>
      <c r="AK76" s="985"/>
      <c r="AL76" s="985"/>
      <c r="AM76" s="985"/>
      <c r="AN76" s="8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H76" s="1002">
        <f t="shared" si="40"/>
        <v>1</v>
      </c>
      <c r="BI76" s="1002">
        <f t="shared" si="41"/>
        <v>1</v>
      </c>
      <c r="BJ76" s="1002">
        <f t="shared" si="42"/>
        <v>1</v>
      </c>
      <c r="BK76" s="1002">
        <f t="shared" si="43"/>
        <v>0</v>
      </c>
      <c r="BL76" s="1002">
        <f t="shared" si="44"/>
        <v>0</v>
      </c>
    </row>
    <row r="77" spans="2:75" x14ac:dyDescent="0.3">
      <c r="B77" s="1280">
        <v>34</v>
      </c>
      <c r="C77" s="977" t="s">
        <v>207</v>
      </c>
      <c r="D77" s="977" t="s">
        <v>1829</v>
      </c>
      <c r="E77" s="977" t="s">
        <v>1548</v>
      </c>
      <c r="F77" s="978" t="s">
        <v>2640</v>
      </c>
      <c r="G77" s="977" t="s">
        <v>150</v>
      </c>
      <c r="H77" s="991" t="str">
        <f t="shared" si="37"/>
        <v>Häviö</v>
      </c>
      <c r="I77" s="991" t="s">
        <v>1515</v>
      </c>
      <c r="J77" s="991" t="s">
        <v>0</v>
      </c>
      <c r="K77" s="991" t="s">
        <v>1404</v>
      </c>
      <c r="L77" s="992">
        <f t="shared" si="38"/>
        <v>1</v>
      </c>
      <c r="M77" s="992">
        <f t="shared" si="39"/>
        <v>4</v>
      </c>
      <c r="N77" s="1262">
        <v>0</v>
      </c>
      <c r="O77" s="992">
        <v>1</v>
      </c>
      <c r="P77" s="1262">
        <v>0</v>
      </c>
      <c r="Q77" s="992">
        <v>2</v>
      </c>
      <c r="R77" s="1262">
        <v>1</v>
      </c>
      <c r="S77" s="992">
        <v>1</v>
      </c>
      <c r="T77" s="1262"/>
      <c r="U77" s="992"/>
      <c r="V77" s="985"/>
      <c r="W77" s="985"/>
      <c r="X77" s="985"/>
      <c r="Y77" s="985"/>
      <c r="Z77" s="985"/>
      <c r="AA77" s="985"/>
      <c r="AB77" s="985"/>
      <c r="AC77" s="985"/>
      <c r="AD77" s="985"/>
      <c r="AE77" s="985"/>
      <c r="AF77" s="985"/>
      <c r="AG77" s="985"/>
      <c r="AH77" s="985"/>
      <c r="AI77" s="985"/>
      <c r="AJ77" s="985"/>
      <c r="AK77" s="985"/>
      <c r="AL77" s="985"/>
      <c r="AM77" s="985"/>
      <c r="AN77" s="8"/>
      <c r="AO77" s="983"/>
      <c r="AP77" s="983"/>
      <c r="AQ77" s="983"/>
      <c r="AR77" s="983"/>
      <c r="AS77" s="983"/>
      <c r="AT77" s="983"/>
      <c r="AU77" s="983"/>
      <c r="AV77" s="983"/>
      <c r="AW77" s="983"/>
      <c r="AX77" s="983"/>
      <c r="AY77" s="983"/>
      <c r="AZ77" s="983"/>
      <c r="BA77" s="983"/>
      <c r="BB77" s="983"/>
      <c r="BC77" s="983"/>
      <c r="BD77" s="983"/>
      <c r="BE77" s="983"/>
      <c r="BF77" s="983"/>
      <c r="BH77" s="1002">
        <f t="shared" si="40"/>
        <v>1</v>
      </c>
      <c r="BI77" s="1002">
        <f t="shared" si="41"/>
        <v>1</v>
      </c>
      <c r="BJ77" s="1002">
        <f t="shared" si="42"/>
        <v>1</v>
      </c>
      <c r="BK77" s="1002">
        <f t="shared" si="43"/>
        <v>0</v>
      </c>
      <c r="BL77" s="1002">
        <f t="shared" si="44"/>
        <v>0</v>
      </c>
    </row>
    <row r="78" spans="2:75" x14ac:dyDescent="0.3">
      <c r="B78" s="1280">
        <v>35</v>
      </c>
      <c r="C78" s="977" t="s">
        <v>207</v>
      </c>
      <c r="D78" s="977" t="s">
        <v>1829</v>
      </c>
      <c r="E78" s="977" t="s">
        <v>1549</v>
      </c>
      <c r="F78" s="978" t="s">
        <v>2641</v>
      </c>
      <c r="G78" s="977" t="s">
        <v>1674</v>
      </c>
      <c r="H78" s="991" t="str">
        <f t="shared" si="37"/>
        <v>Voitto</v>
      </c>
      <c r="I78" s="991" t="s">
        <v>1515</v>
      </c>
      <c r="J78" s="991" t="s">
        <v>0</v>
      </c>
      <c r="K78" s="991" t="s">
        <v>996</v>
      </c>
      <c r="L78" s="992">
        <f t="shared" si="38"/>
        <v>4</v>
      </c>
      <c r="M78" s="992">
        <f t="shared" si="39"/>
        <v>2</v>
      </c>
      <c r="N78" s="1262">
        <v>2</v>
      </c>
      <c r="O78" s="992">
        <v>1</v>
      </c>
      <c r="P78" s="1262">
        <v>1</v>
      </c>
      <c r="Q78" s="992">
        <v>1</v>
      </c>
      <c r="R78" s="1262">
        <v>1</v>
      </c>
      <c r="S78" s="992">
        <v>0</v>
      </c>
      <c r="T78" s="1262"/>
      <c r="U78" s="992"/>
      <c r="V78" s="985"/>
      <c r="W78" s="985"/>
      <c r="X78" s="985"/>
      <c r="Y78" s="985"/>
      <c r="Z78" s="985"/>
      <c r="AA78" s="985"/>
      <c r="AB78" s="985"/>
      <c r="AC78" s="985"/>
      <c r="AD78" s="985"/>
      <c r="AE78" s="985"/>
      <c r="AF78" s="985"/>
      <c r="AG78" s="985"/>
      <c r="AH78" s="985"/>
      <c r="AI78" s="985"/>
      <c r="AJ78" s="985"/>
      <c r="AK78" s="985"/>
      <c r="AL78" s="985"/>
      <c r="AM78" s="985"/>
      <c r="AN78" s="8"/>
      <c r="AO78" s="983"/>
      <c r="AP78" s="983"/>
      <c r="AQ78" s="983"/>
      <c r="AR78" s="983"/>
      <c r="AS78" s="983"/>
      <c r="AT78" s="983"/>
      <c r="AU78" s="983"/>
      <c r="AV78" s="983"/>
      <c r="AW78" s="983"/>
      <c r="AX78" s="983"/>
      <c r="AY78" s="983"/>
      <c r="AZ78" s="983"/>
      <c r="BA78" s="983"/>
      <c r="BB78" s="983"/>
      <c r="BC78" s="983"/>
      <c r="BD78" s="983"/>
      <c r="BE78" s="983"/>
      <c r="BF78" s="983"/>
      <c r="BH78" s="1002">
        <f t="shared" si="40"/>
        <v>1</v>
      </c>
      <c r="BI78" s="1002">
        <f t="shared" si="41"/>
        <v>1</v>
      </c>
      <c r="BJ78" s="1002">
        <f t="shared" si="42"/>
        <v>1</v>
      </c>
      <c r="BK78" s="1002">
        <f t="shared" si="43"/>
        <v>0</v>
      </c>
      <c r="BL78" s="1002">
        <f t="shared" si="44"/>
        <v>0</v>
      </c>
    </row>
    <row r="79" spans="2:75" x14ac:dyDescent="0.3">
      <c r="B79" s="1280">
        <v>36</v>
      </c>
      <c r="C79" s="977" t="s">
        <v>207</v>
      </c>
      <c r="D79" s="977" t="s">
        <v>1829</v>
      </c>
      <c r="E79" s="977" t="s">
        <v>1550</v>
      </c>
      <c r="F79" s="978" t="s">
        <v>2642</v>
      </c>
      <c r="G79" s="977" t="s">
        <v>2633</v>
      </c>
      <c r="H79" s="991" t="str">
        <f t="shared" si="37"/>
        <v>Tasapeli</v>
      </c>
      <c r="I79" s="991" t="s">
        <v>1514</v>
      </c>
      <c r="J79" s="991" t="s">
        <v>0</v>
      </c>
      <c r="K79" s="991" t="s">
        <v>2606</v>
      </c>
      <c r="L79" s="992">
        <f t="shared" si="38"/>
        <v>6</v>
      </c>
      <c r="M79" s="992">
        <f t="shared" si="39"/>
        <v>6</v>
      </c>
      <c r="N79" s="1262">
        <v>1</v>
      </c>
      <c r="O79" s="992">
        <v>1</v>
      </c>
      <c r="P79" s="1262">
        <v>1</v>
      </c>
      <c r="Q79" s="992">
        <v>1</v>
      </c>
      <c r="R79" s="1262">
        <v>4</v>
      </c>
      <c r="S79" s="992">
        <v>4</v>
      </c>
      <c r="T79" s="1262"/>
      <c r="U79" s="992"/>
      <c r="V79" s="985"/>
      <c r="W79" s="985"/>
      <c r="X79" s="985"/>
      <c r="Y79" s="985"/>
      <c r="Z79" s="985"/>
      <c r="AA79" s="985"/>
      <c r="AB79" s="985"/>
      <c r="AC79" s="985"/>
      <c r="AD79" s="985"/>
      <c r="AE79" s="985"/>
      <c r="AF79" s="985"/>
      <c r="AG79" s="985"/>
      <c r="AH79" s="985"/>
      <c r="AI79" s="985"/>
      <c r="AJ79" s="985"/>
      <c r="AK79" s="985"/>
      <c r="AL79" s="985"/>
      <c r="AM79" s="985"/>
      <c r="AN79" s="8"/>
      <c r="AO79" s="983"/>
      <c r="AP79" s="983"/>
      <c r="AQ79" s="983"/>
      <c r="AR79" s="983"/>
      <c r="AS79" s="983"/>
      <c r="AT79" s="983"/>
      <c r="AU79" s="983"/>
      <c r="AV79" s="983"/>
      <c r="AW79" s="983"/>
      <c r="AX79" s="983"/>
      <c r="AY79" s="983"/>
      <c r="AZ79" s="983"/>
      <c r="BA79" s="983"/>
      <c r="BB79" s="983"/>
      <c r="BC79" s="983"/>
      <c r="BD79" s="983"/>
      <c r="BE79" s="983"/>
      <c r="BF79" s="983"/>
      <c r="BH79" s="1002">
        <f t="shared" si="40"/>
        <v>1</v>
      </c>
      <c r="BI79" s="1002">
        <f t="shared" si="41"/>
        <v>1</v>
      </c>
      <c r="BJ79" s="1002">
        <f t="shared" si="42"/>
        <v>1</v>
      </c>
      <c r="BK79" s="1002">
        <f t="shared" si="43"/>
        <v>0</v>
      </c>
      <c r="BL79" s="1002">
        <f t="shared" si="44"/>
        <v>0</v>
      </c>
    </row>
    <row r="80" spans="2:75" x14ac:dyDescent="0.3">
      <c r="B80" s="1280">
        <v>37</v>
      </c>
      <c r="C80" s="977" t="s">
        <v>207</v>
      </c>
      <c r="D80" s="977" t="s">
        <v>1829</v>
      </c>
      <c r="E80" s="977" t="s">
        <v>1551</v>
      </c>
      <c r="F80" s="978" t="s">
        <v>2643</v>
      </c>
      <c r="G80" s="977" t="s">
        <v>2633</v>
      </c>
      <c r="H80" s="991" t="str">
        <f t="shared" si="37"/>
        <v>Voitto</v>
      </c>
      <c r="I80" s="991" t="s">
        <v>1514</v>
      </c>
      <c r="J80" s="991" t="s">
        <v>0</v>
      </c>
      <c r="K80" s="991" t="s">
        <v>2021</v>
      </c>
      <c r="L80" s="992">
        <f t="shared" si="38"/>
        <v>10</v>
      </c>
      <c r="M80" s="992">
        <f t="shared" si="39"/>
        <v>3</v>
      </c>
      <c r="N80" s="1262">
        <v>2</v>
      </c>
      <c r="O80" s="992">
        <v>1</v>
      </c>
      <c r="P80" s="1262">
        <v>2</v>
      </c>
      <c r="Q80" s="992">
        <v>2</v>
      </c>
      <c r="R80" s="1262">
        <v>6</v>
      </c>
      <c r="S80" s="992">
        <v>0</v>
      </c>
      <c r="T80" s="1262"/>
      <c r="U80" s="992"/>
      <c r="V80" s="985"/>
      <c r="W80" s="985"/>
      <c r="X80" s="985"/>
      <c r="Y80" s="985"/>
      <c r="Z80" s="985"/>
      <c r="AA80" s="985"/>
      <c r="AB80" s="985"/>
      <c r="AC80" s="985"/>
      <c r="AD80" s="985"/>
      <c r="AE80" s="985"/>
      <c r="AF80" s="985"/>
      <c r="AG80" s="985"/>
      <c r="AH80" s="985"/>
      <c r="AI80" s="985"/>
      <c r="AJ80" s="985"/>
      <c r="AK80" s="985"/>
      <c r="AL80" s="985"/>
      <c r="AM80" s="985"/>
      <c r="AN80" s="8"/>
      <c r="AO80" s="983"/>
      <c r="AP80" s="983"/>
      <c r="AQ80" s="983"/>
      <c r="AR80" s="983"/>
      <c r="AS80" s="983"/>
      <c r="AT80" s="983"/>
      <c r="AU80" s="983"/>
      <c r="AV80" s="983"/>
      <c r="AW80" s="983"/>
      <c r="AX80" s="983"/>
      <c r="AY80" s="983"/>
      <c r="AZ80" s="983"/>
      <c r="BA80" s="983"/>
      <c r="BB80" s="983"/>
      <c r="BC80" s="983"/>
      <c r="BD80" s="983"/>
      <c r="BE80" s="983"/>
      <c r="BF80" s="983"/>
      <c r="BH80" s="1002">
        <f t="shared" si="40"/>
        <v>1</v>
      </c>
      <c r="BI80" s="1002">
        <f t="shared" si="41"/>
        <v>1</v>
      </c>
      <c r="BJ80" s="1002">
        <f t="shared" si="42"/>
        <v>1</v>
      </c>
      <c r="BK80" s="1002">
        <f t="shared" si="43"/>
        <v>0</v>
      </c>
      <c r="BL80" s="1002">
        <f t="shared" si="44"/>
        <v>0</v>
      </c>
    </row>
    <row r="81" spans="1:75" x14ac:dyDescent="0.3">
      <c r="B81" s="1280">
        <v>38</v>
      </c>
      <c r="C81" s="977" t="s">
        <v>207</v>
      </c>
      <c r="D81" s="977" t="s">
        <v>1829</v>
      </c>
      <c r="E81" s="977" t="s">
        <v>1552</v>
      </c>
      <c r="F81" s="978" t="s">
        <v>2644</v>
      </c>
      <c r="G81" s="977" t="s">
        <v>1674</v>
      </c>
      <c r="H81" s="991" t="str">
        <f t="shared" si="37"/>
        <v>Häviö</v>
      </c>
      <c r="I81" s="991" t="s">
        <v>1515</v>
      </c>
      <c r="J81" s="991" t="s">
        <v>0</v>
      </c>
      <c r="K81" s="991" t="s">
        <v>2604</v>
      </c>
      <c r="L81" s="992">
        <f t="shared" si="38"/>
        <v>5</v>
      </c>
      <c r="M81" s="992">
        <f t="shared" si="39"/>
        <v>7</v>
      </c>
      <c r="N81" s="1262">
        <v>1</v>
      </c>
      <c r="O81" s="992">
        <v>2</v>
      </c>
      <c r="P81" s="1262">
        <v>2</v>
      </c>
      <c r="Q81" s="992">
        <v>2</v>
      </c>
      <c r="R81" s="1262">
        <v>2</v>
      </c>
      <c r="S81" s="992">
        <v>3</v>
      </c>
      <c r="T81" s="1262"/>
      <c r="U81" s="992"/>
      <c r="V81" s="985"/>
      <c r="W81" s="985"/>
      <c r="X81" s="985"/>
      <c r="Y81" s="985"/>
      <c r="Z81" s="985"/>
      <c r="AA81" s="985"/>
      <c r="AB81" s="985"/>
      <c r="AC81" s="985"/>
      <c r="AD81" s="985"/>
      <c r="AE81" s="985"/>
      <c r="AF81" s="985"/>
      <c r="AG81" s="985"/>
      <c r="AH81" s="985"/>
      <c r="AI81" s="985"/>
      <c r="AJ81" s="985"/>
      <c r="AK81" s="985"/>
      <c r="AL81" s="985"/>
      <c r="AM81" s="985"/>
      <c r="AN81" s="8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H81" s="1002">
        <f t="shared" si="40"/>
        <v>1</v>
      </c>
      <c r="BI81" s="1002">
        <f t="shared" si="41"/>
        <v>1</v>
      </c>
      <c r="BJ81" s="1002">
        <f t="shared" si="42"/>
        <v>1</v>
      </c>
      <c r="BK81" s="1002">
        <f t="shared" si="43"/>
        <v>0</v>
      </c>
      <c r="BL81" s="1002">
        <f t="shared" si="44"/>
        <v>0</v>
      </c>
    </row>
    <row r="82" spans="1:75" x14ac:dyDescent="0.3">
      <c r="A82" s="969"/>
      <c r="B82" s="1004">
        <v>39</v>
      </c>
      <c r="C82" s="977" t="s">
        <v>207</v>
      </c>
      <c r="D82" s="977" t="s">
        <v>1829</v>
      </c>
      <c r="E82" s="977" t="s">
        <v>1553</v>
      </c>
      <c r="F82" s="978" t="s">
        <v>2645</v>
      </c>
      <c r="G82" s="977"/>
      <c r="H82" s="991" t="str">
        <f t="shared" si="37"/>
        <v>Häviö</v>
      </c>
      <c r="I82" s="991" t="s">
        <v>1514</v>
      </c>
      <c r="J82" s="991" t="s">
        <v>0</v>
      </c>
      <c r="K82" s="991" t="s">
        <v>1007</v>
      </c>
      <c r="L82" s="992">
        <f t="shared" si="38"/>
        <v>3</v>
      </c>
      <c r="M82" s="992">
        <f t="shared" si="39"/>
        <v>5</v>
      </c>
      <c r="N82" s="1262">
        <v>3</v>
      </c>
      <c r="O82" s="992">
        <v>5</v>
      </c>
      <c r="P82" s="1262"/>
      <c r="Q82" s="992"/>
      <c r="R82" s="1262"/>
      <c r="S82" s="992"/>
      <c r="T82" s="1262"/>
      <c r="U82" s="992"/>
      <c r="V82" s="985"/>
      <c r="W82" s="985"/>
      <c r="X82" s="985"/>
      <c r="Y82" s="985"/>
      <c r="Z82" s="985"/>
      <c r="AA82" s="985"/>
      <c r="AB82" s="985"/>
      <c r="AC82" s="985"/>
      <c r="AD82" s="985"/>
      <c r="AE82" s="985"/>
      <c r="AF82" s="985"/>
      <c r="AG82" s="985"/>
      <c r="AH82" s="985"/>
      <c r="AI82" s="985"/>
      <c r="AJ82" s="985"/>
      <c r="AK82" s="985"/>
      <c r="AL82" s="985"/>
      <c r="AM82" s="985"/>
      <c r="AN82" s="8"/>
      <c r="AO82" s="983"/>
      <c r="AP82" s="983"/>
      <c r="AQ82" s="983"/>
      <c r="AR82" s="983"/>
      <c r="AS82" s="983"/>
      <c r="AT82" s="983"/>
      <c r="AU82" s="983"/>
      <c r="AV82" s="983"/>
      <c r="AW82" s="983"/>
      <c r="AX82" s="983"/>
      <c r="AY82" s="983"/>
      <c r="AZ82" s="983"/>
      <c r="BA82" s="983"/>
      <c r="BB82" s="983"/>
      <c r="BC82" s="983"/>
      <c r="BD82" s="983"/>
      <c r="BE82" s="983"/>
      <c r="BF82" s="983"/>
      <c r="BH82" s="1002">
        <f t="shared" si="40"/>
        <v>1</v>
      </c>
      <c r="BI82" s="1002">
        <f t="shared" si="41"/>
        <v>1</v>
      </c>
      <c r="BJ82" s="1002">
        <f t="shared" si="42"/>
        <v>1</v>
      </c>
      <c r="BK82" s="1002">
        <f t="shared" si="43"/>
        <v>0</v>
      </c>
      <c r="BL82" s="1002">
        <f t="shared" si="44"/>
        <v>0</v>
      </c>
    </row>
    <row r="84" spans="1:75" x14ac:dyDescent="0.3">
      <c r="F84" s="975"/>
      <c r="G84" s="975" t="s">
        <v>2036</v>
      </c>
      <c r="H84" s="975"/>
      <c r="I84" s="1003"/>
      <c r="J84" s="1003"/>
      <c r="K84" s="1003"/>
      <c r="L84" s="1003" t="s">
        <v>2037</v>
      </c>
      <c r="M84" s="1003" t="s">
        <v>2038</v>
      </c>
      <c r="O84" s="1003" t="s">
        <v>1409</v>
      </c>
      <c r="P84" s="1003" t="s">
        <v>1410</v>
      </c>
      <c r="Q84" s="1003" t="s">
        <v>1411</v>
      </c>
      <c r="V84" s="981" t="s">
        <v>1557</v>
      </c>
      <c r="W84" s="981" t="s">
        <v>1556</v>
      </c>
      <c r="X84" s="981" t="s">
        <v>501</v>
      </c>
      <c r="Y84" s="981" t="s">
        <v>708</v>
      </c>
      <c r="Z84" s="981" t="s">
        <v>82</v>
      </c>
      <c r="AA84" s="981" t="s">
        <v>709</v>
      </c>
      <c r="AB84" s="981" t="s">
        <v>1419</v>
      </c>
      <c r="AC84" s="981" t="s">
        <v>1420</v>
      </c>
      <c r="AD84" s="982" t="s">
        <v>1827</v>
      </c>
      <c r="AE84" s="981" t="s">
        <v>1828</v>
      </c>
      <c r="AF84" s="981" t="s">
        <v>1425</v>
      </c>
      <c r="AG84" s="981" t="s">
        <v>1535</v>
      </c>
      <c r="AH84" s="981" t="s">
        <v>1536</v>
      </c>
      <c r="AI84" s="981" t="s">
        <v>1559</v>
      </c>
      <c r="AJ84" s="981" t="s">
        <v>1896</v>
      </c>
      <c r="AK84" s="981" t="s">
        <v>1967</v>
      </c>
      <c r="AL84" s="981" t="s">
        <v>19</v>
      </c>
      <c r="AM84" s="981"/>
      <c r="AO84" s="979" t="s">
        <v>1557</v>
      </c>
      <c r="AP84" s="979" t="s">
        <v>1556</v>
      </c>
      <c r="AQ84" s="979" t="s">
        <v>501</v>
      </c>
      <c r="AR84" s="979" t="s">
        <v>708</v>
      </c>
      <c r="AS84" s="979" t="s">
        <v>82</v>
      </c>
      <c r="AT84" s="979" t="s">
        <v>709</v>
      </c>
      <c r="AU84" s="979" t="s">
        <v>1419</v>
      </c>
      <c r="AV84" s="979" t="s">
        <v>1420</v>
      </c>
      <c r="AW84" s="980" t="s">
        <v>1827</v>
      </c>
      <c r="AX84" s="979" t="s">
        <v>1828</v>
      </c>
      <c r="AY84" s="979" t="s">
        <v>1425</v>
      </c>
      <c r="AZ84" s="979" t="s">
        <v>1535</v>
      </c>
      <c r="BA84" s="979" t="s">
        <v>1536</v>
      </c>
      <c r="BB84" s="979" t="s">
        <v>1559</v>
      </c>
      <c r="BC84" s="979" t="s">
        <v>1896</v>
      </c>
      <c r="BD84" s="979" t="s">
        <v>1967</v>
      </c>
      <c r="BE84" s="979" t="s">
        <v>19</v>
      </c>
      <c r="BF84" s="979"/>
      <c r="BH84" s="1001" t="s">
        <v>2045</v>
      </c>
      <c r="BI84" s="1001"/>
      <c r="BJ84" s="1001" t="s">
        <v>1913</v>
      </c>
      <c r="BK84" s="1001" t="s">
        <v>537</v>
      </c>
      <c r="BL84" s="1001" t="s">
        <v>1128</v>
      </c>
    </row>
    <row r="85" spans="1:75" x14ac:dyDescent="0.3">
      <c r="F85" s="977" t="str">
        <f>C63</f>
        <v>2007-2008</v>
      </c>
      <c r="G85" s="977" t="s">
        <v>1829</v>
      </c>
      <c r="H85" s="977"/>
      <c r="I85" s="1004"/>
      <c r="J85" s="1004"/>
      <c r="K85" s="1004"/>
      <c r="L85" s="1004">
        <f>SUM(L65:L82)</f>
        <v>72</v>
      </c>
      <c r="M85" s="1004">
        <f>SUM(M65:M82)</f>
        <v>80</v>
      </c>
      <c r="N85" s="8"/>
      <c r="O85" s="1004">
        <f>COUNTIF(H65:H82,"Voitto")</f>
        <v>5</v>
      </c>
      <c r="P85" s="1004">
        <f>COUNTIF(H65:H82,"Tasapeli")</f>
        <v>2</v>
      </c>
      <c r="Q85" s="1004">
        <f>COUNTIF(H65:H82,"Häviö")</f>
        <v>11</v>
      </c>
      <c r="V85" s="8">
        <f>SUM(V65:V82)</f>
        <v>0</v>
      </c>
      <c r="W85" s="8">
        <f t="shared" ref="W85:AK85" si="45">SUM(W65:W82)</f>
        <v>0</v>
      </c>
      <c r="X85" s="8">
        <f t="shared" si="45"/>
        <v>0</v>
      </c>
      <c r="Y85" s="8">
        <f t="shared" si="45"/>
        <v>0</v>
      </c>
      <c r="Z85" s="8">
        <f t="shared" si="45"/>
        <v>0</v>
      </c>
      <c r="AA85" s="8">
        <f t="shared" si="45"/>
        <v>0</v>
      </c>
      <c r="AB85" s="8">
        <f t="shared" si="45"/>
        <v>0</v>
      </c>
      <c r="AC85" s="8">
        <f t="shared" si="45"/>
        <v>0</v>
      </c>
      <c r="AD85" s="8">
        <f t="shared" si="45"/>
        <v>0</v>
      </c>
      <c r="AE85" s="8">
        <f t="shared" si="45"/>
        <v>0</v>
      </c>
      <c r="AF85" s="8">
        <f t="shared" si="45"/>
        <v>0</v>
      </c>
      <c r="AG85" s="8">
        <f t="shared" si="45"/>
        <v>0</v>
      </c>
      <c r="AH85" s="8">
        <f t="shared" si="45"/>
        <v>0</v>
      </c>
      <c r="AI85" s="8">
        <f t="shared" si="45"/>
        <v>0</v>
      </c>
      <c r="AJ85" s="8">
        <f t="shared" si="45"/>
        <v>0</v>
      </c>
      <c r="AK85" s="8">
        <f t="shared" si="45"/>
        <v>0</v>
      </c>
      <c r="AL85" s="8">
        <f>MIN(AL65:AL82)</f>
        <v>0</v>
      </c>
      <c r="AM85" s="8">
        <f>MAX(AL65:AL82)</f>
        <v>0</v>
      </c>
      <c r="AO85" s="8">
        <f>SUM(AO65:AO82)</f>
        <v>0</v>
      </c>
      <c r="AP85" s="8">
        <f t="shared" ref="AP85:BD85" si="46">SUM(AP65:AP82)</f>
        <v>0</v>
      </c>
      <c r="AQ85" s="8">
        <f t="shared" si="46"/>
        <v>0</v>
      </c>
      <c r="AR85" s="8">
        <f t="shared" si="46"/>
        <v>0</v>
      </c>
      <c r="AS85" s="8">
        <f t="shared" si="46"/>
        <v>0</v>
      </c>
      <c r="AT85" s="8">
        <f t="shared" si="46"/>
        <v>0</v>
      </c>
      <c r="AU85" s="8">
        <f t="shared" si="46"/>
        <v>0</v>
      </c>
      <c r="AV85" s="8">
        <f t="shared" si="46"/>
        <v>0</v>
      </c>
      <c r="AW85" s="8">
        <f t="shared" si="46"/>
        <v>0</v>
      </c>
      <c r="AX85" s="8">
        <f t="shared" si="46"/>
        <v>0</v>
      </c>
      <c r="AY85" s="8">
        <f t="shared" si="46"/>
        <v>0</v>
      </c>
      <c r="AZ85" s="8">
        <f t="shared" si="46"/>
        <v>0</v>
      </c>
      <c r="BA85" s="8">
        <f t="shared" si="46"/>
        <v>0</v>
      </c>
      <c r="BB85" s="8">
        <f t="shared" si="46"/>
        <v>0</v>
      </c>
      <c r="BC85" s="8">
        <f t="shared" si="46"/>
        <v>0</v>
      </c>
      <c r="BD85" s="8">
        <f t="shared" si="46"/>
        <v>0</v>
      </c>
      <c r="BE85">
        <f>MIN(BE65:BE82)</f>
        <v>0</v>
      </c>
      <c r="BF85">
        <f>MAX(BE65:BE82)</f>
        <v>0</v>
      </c>
      <c r="BJ85" s="8">
        <f>SUM(BJ65:BJ82)</f>
        <v>18</v>
      </c>
      <c r="BK85" s="8">
        <f>SUM(BK65:BK82)</f>
        <v>0</v>
      </c>
      <c r="BL85" s="8">
        <f>SUM(BL65:BL82)</f>
        <v>0</v>
      </c>
    </row>
    <row r="90" spans="1:75" x14ac:dyDescent="0.3">
      <c r="C90" s="205" t="s">
        <v>297</v>
      </c>
      <c r="D90" s="205" t="s">
        <v>2608</v>
      </c>
      <c r="V90" s="205" t="s">
        <v>0</v>
      </c>
      <c r="AO90" s="265" t="s">
        <v>1895</v>
      </c>
      <c r="BP90" s="205" t="s">
        <v>297</v>
      </c>
      <c r="BQ90" s="205" t="s">
        <v>2607</v>
      </c>
    </row>
    <row r="91" spans="1:75" x14ac:dyDescent="0.3">
      <c r="B91" s="1003" t="s">
        <v>1393</v>
      </c>
      <c r="C91" s="975" t="s">
        <v>1831</v>
      </c>
      <c r="D91" s="975" t="s">
        <v>1830</v>
      </c>
      <c r="E91" s="975" t="s">
        <v>1832</v>
      </c>
      <c r="F91" s="975" t="s">
        <v>1836</v>
      </c>
      <c r="G91" s="975" t="s">
        <v>1835</v>
      </c>
      <c r="H91" s="989" t="s">
        <v>1407</v>
      </c>
      <c r="I91" s="990" t="s">
        <v>2019</v>
      </c>
      <c r="J91" s="990" t="s">
        <v>0</v>
      </c>
      <c r="K91" s="990" t="s">
        <v>1128</v>
      </c>
      <c r="L91" s="1324" t="s">
        <v>1407</v>
      </c>
      <c r="M91" s="1325"/>
      <c r="N91" s="1326" t="s">
        <v>1822</v>
      </c>
      <c r="O91" s="1325"/>
      <c r="P91" s="1326" t="s">
        <v>1823</v>
      </c>
      <c r="Q91" s="1325"/>
      <c r="R91" s="1326" t="s">
        <v>1824</v>
      </c>
      <c r="S91" s="1325"/>
      <c r="T91" s="1326" t="s">
        <v>2706</v>
      </c>
      <c r="U91" s="1324"/>
      <c r="V91" s="981" t="s">
        <v>1557</v>
      </c>
      <c r="W91" s="981" t="s">
        <v>1556</v>
      </c>
      <c r="X91" s="981" t="s">
        <v>501</v>
      </c>
      <c r="Y91" s="981" t="s">
        <v>708</v>
      </c>
      <c r="Z91" s="981" t="s">
        <v>82</v>
      </c>
      <c r="AA91" s="981" t="s">
        <v>709</v>
      </c>
      <c r="AB91" s="981" t="s">
        <v>1419</v>
      </c>
      <c r="AC91" s="981" t="s">
        <v>1420</v>
      </c>
      <c r="AD91" s="982" t="s">
        <v>1827</v>
      </c>
      <c r="AE91" s="981" t="s">
        <v>1828</v>
      </c>
      <c r="AF91" s="981" t="s">
        <v>1425</v>
      </c>
      <c r="AG91" s="981" t="s">
        <v>1535</v>
      </c>
      <c r="AH91" s="981" t="s">
        <v>1536</v>
      </c>
      <c r="AI91" s="981" t="s">
        <v>1559</v>
      </c>
      <c r="AJ91" s="981" t="s">
        <v>1896</v>
      </c>
      <c r="AK91" s="981" t="s">
        <v>1967</v>
      </c>
      <c r="AL91" s="981" t="s">
        <v>19</v>
      </c>
      <c r="AM91" s="981"/>
      <c r="AN91" s="265"/>
      <c r="AO91" s="979" t="s">
        <v>1557</v>
      </c>
      <c r="AP91" s="979" t="s">
        <v>1556</v>
      </c>
      <c r="AQ91" s="979" t="s">
        <v>501</v>
      </c>
      <c r="AR91" s="979" t="s">
        <v>708</v>
      </c>
      <c r="AS91" s="979" t="s">
        <v>82</v>
      </c>
      <c r="AT91" s="979" t="s">
        <v>709</v>
      </c>
      <c r="AU91" s="979" t="s">
        <v>1419</v>
      </c>
      <c r="AV91" s="979" t="s">
        <v>1420</v>
      </c>
      <c r="AW91" s="980" t="s">
        <v>1827</v>
      </c>
      <c r="AX91" s="979" t="s">
        <v>1828</v>
      </c>
      <c r="AY91" s="979" t="s">
        <v>1425</v>
      </c>
      <c r="AZ91" s="979" t="s">
        <v>1535</v>
      </c>
      <c r="BA91" s="979" t="s">
        <v>1536</v>
      </c>
      <c r="BB91" s="979" t="s">
        <v>1559</v>
      </c>
      <c r="BC91" s="979" t="s">
        <v>1896</v>
      </c>
      <c r="BD91" s="979" t="s">
        <v>1967</v>
      </c>
      <c r="BE91" s="979" t="s">
        <v>19</v>
      </c>
      <c r="BF91" s="979"/>
      <c r="BH91" s="1001" t="s">
        <v>1911</v>
      </c>
      <c r="BI91" s="1001" t="s">
        <v>1912</v>
      </c>
      <c r="BJ91" s="1001" t="s">
        <v>1913</v>
      </c>
      <c r="BK91" s="1001" t="s">
        <v>537</v>
      </c>
      <c r="BL91" s="1001" t="s">
        <v>1128</v>
      </c>
    </row>
    <row r="92" spans="1:75" x14ac:dyDescent="0.3">
      <c r="B92" s="1280">
        <v>40</v>
      </c>
      <c r="C92" s="977" t="s">
        <v>297</v>
      </c>
      <c r="D92" s="977" t="s">
        <v>232</v>
      </c>
      <c r="E92" s="977" t="s">
        <v>1516</v>
      </c>
      <c r="F92" s="978" t="s">
        <v>2646</v>
      </c>
      <c r="G92" s="977" t="s">
        <v>150</v>
      </c>
      <c r="H92" s="991" t="str">
        <f t="shared" ref="H92:H109" si="47">IF(L92=M92,"Tasapeli",IF(L92&lt;M92,"Häviö","Voitto"))</f>
        <v>Voitto</v>
      </c>
      <c r="I92" s="991" t="s">
        <v>1514</v>
      </c>
      <c r="J92" s="991" t="s">
        <v>0</v>
      </c>
      <c r="K92" s="991" t="s">
        <v>2611</v>
      </c>
      <c r="L92" s="992">
        <f t="shared" ref="L92:L109" si="48">N92+P92+R92</f>
        <v>8</v>
      </c>
      <c r="M92" s="992">
        <f t="shared" ref="M92:M109" si="49">O92+Q92+S92</f>
        <v>4</v>
      </c>
      <c r="N92" s="1262">
        <v>2</v>
      </c>
      <c r="O92" s="992">
        <v>3</v>
      </c>
      <c r="P92" s="1262">
        <v>2</v>
      </c>
      <c r="Q92" s="992">
        <v>0</v>
      </c>
      <c r="R92" s="1262">
        <v>4</v>
      </c>
      <c r="S92" s="992">
        <v>1</v>
      </c>
      <c r="T92" s="1262"/>
      <c r="U92" s="992"/>
      <c r="V92" s="985"/>
      <c r="W92" s="985"/>
      <c r="X92" s="985"/>
      <c r="Y92" s="985"/>
      <c r="Z92" s="985"/>
      <c r="AA92" s="985"/>
      <c r="AB92" s="985"/>
      <c r="AC92" s="985"/>
      <c r="AD92" s="985"/>
      <c r="AE92" s="985"/>
      <c r="AF92" s="985"/>
      <c r="AG92" s="985"/>
      <c r="AH92" s="985"/>
      <c r="AI92" s="985"/>
      <c r="AJ92" s="985"/>
      <c r="AK92" s="985"/>
      <c r="AL92" s="985"/>
      <c r="AM92" s="985"/>
      <c r="AN92" s="8"/>
      <c r="AO92" s="983"/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983"/>
      <c r="BB92" s="983"/>
      <c r="BC92" s="983"/>
      <c r="BD92" s="983"/>
      <c r="BE92" s="983"/>
      <c r="BF92" s="983"/>
      <c r="BH92" s="1002">
        <f>IF(V92=0,1,0)</f>
        <v>1</v>
      </c>
      <c r="BI92" s="1002">
        <f>IF(AO92=0,1,0)</f>
        <v>1</v>
      </c>
      <c r="BJ92" s="1002">
        <f>IF(V92+AO92=0,1,0)</f>
        <v>1</v>
      </c>
      <c r="BK92" s="1002">
        <f>IF(BH92&gt;BI92,1,0)</f>
        <v>0</v>
      </c>
      <c r="BL92" s="1002">
        <f>IF(BI92&gt;BH92,1,0)</f>
        <v>0</v>
      </c>
      <c r="BO92" s="1282" t="s">
        <v>1393</v>
      </c>
      <c r="BP92" s="1281" t="s">
        <v>989</v>
      </c>
      <c r="BQ92" s="1282" t="s">
        <v>877</v>
      </c>
      <c r="BR92" s="1282" t="s">
        <v>990</v>
      </c>
      <c r="BS92" s="1282" t="s">
        <v>991</v>
      </c>
      <c r="BT92" s="1282" t="s">
        <v>992</v>
      </c>
      <c r="BU92" s="1282" t="s">
        <v>139</v>
      </c>
      <c r="BV92" s="1282" t="s">
        <v>993</v>
      </c>
      <c r="BW92" s="1282" t="s">
        <v>610</v>
      </c>
    </row>
    <row r="93" spans="1:75" x14ac:dyDescent="0.3">
      <c r="B93" s="1280">
        <v>41</v>
      </c>
      <c r="C93" s="977" t="s">
        <v>297</v>
      </c>
      <c r="D93" s="977" t="s">
        <v>232</v>
      </c>
      <c r="E93" s="977" t="s">
        <v>1537</v>
      </c>
      <c r="F93" s="978" t="s">
        <v>2647</v>
      </c>
      <c r="G93" s="977" t="s">
        <v>249</v>
      </c>
      <c r="H93" s="991" t="str">
        <f t="shared" si="47"/>
        <v>Voitto</v>
      </c>
      <c r="I93" s="991" t="s">
        <v>1514</v>
      </c>
      <c r="J93" s="991" t="s">
        <v>0</v>
      </c>
      <c r="K93" s="991" t="s">
        <v>2277</v>
      </c>
      <c r="L93" s="992">
        <f t="shared" si="48"/>
        <v>6</v>
      </c>
      <c r="M93" s="992">
        <f t="shared" si="49"/>
        <v>3</v>
      </c>
      <c r="N93" s="1262">
        <v>3</v>
      </c>
      <c r="O93" s="992">
        <v>0</v>
      </c>
      <c r="P93" s="1262">
        <v>1</v>
      </c>
      <c r="Q93" s="992">
        <v>2</v>
      </c>
      <c r="R93" s="1262">
        <v>2</v>
      </c>
      <c r="S93" s="992">
        <v>1</v>
      </c>
      <c r="T93" s="1262"/>
      <c r="U93" s="992"/>
      <c r="V93" s="985"/>
      <c r="W93" s="985"/>
      <c r="X93" s="985"/>
      <c r="Y93" s="985"/>
      <c r="Z93" s="985"/>
      <c r="AA93" s="985"/>
      <c r="AB93" s="985"/>
      <c r="AC93" s="985"/>
      <c r="AD93" s="985"/>
      <c r="AE93" s="985"/>
      <c r="AF93" s="985"/>
      <c r="AG93" s="985"/>
      <c r="AH93" s="985"/>
      <c r="AI93" s="985"/>
      <c r="AJ93" s="985"/>
      <c r="AK93" s="985"/>
      <c r="AL93" s="985"/>
      <c r="AM93" s="985"/>
      <c r="AN93" s="8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8"/>
      <c r="BF93" s="988"/>
      <c r="BH93" s="1002">
        <f t="shared" ref="BH93:BH109" si="50">IF(V93=0,1,0)</f>
        <v>1</v>
      </c>
      <c r="BI93" s="1002">
        <f t="shared" ref="BI93:BI109" si="51">IF(AO93=0,1,0)</f>
        <v>1</v>
      </c>
      <c r="BJ93" s="1002">
        <f t="shared" ref="BJ93:BJ109" si="52">IF(V93+AO93=0,1,0)</f>
        <v>1</v>
      </c>
      <c r="BK93" s="1002">
        <f t="shared" ref="BK93:BK109" si="53">IF(BH93&gt;BI93,1,0)</f>
        <v>0</v>
      </c>
      <c r="BL93" s="1002">
        <f t="shared" ref="BL93:BL109" si="54">IF(BI93&gt;BH93,1,0)</f>
        <v>0</v>
      </c>
      <c r="BO93" s="119">
        <v>1</v>
      </c>
      <c r="BP93" s="128" t="s">
        <v>2609</v>
      </c>
      <c r="BQ93" s="119">
        <v>18</v>
      </c>
      <c r="BR93" s="119">
        <v>18</v>
      </c>
      <c r="BS93" s="119">
        <v>0</v>
      </c>
      <c r="BT93" s="119">
        <v>0</v>
      </c>
      <c r="BU93" s="119">
        <v>209</v>
      </c>
      <c r="BV93" s="119">
        <v>35</v>
      </c>
      <c r="BW93" s="119">
        <v>36</v>
      </c>
    </row>
    <row r="94" spans="1:75" x14ac:dyDescent="0.3">
      <c r="B94" s="1280">
        <v>42</v>
      </c>
      <c r="C94" s="977" t="s">
        <v>297</v>
      </c>
      <c r="D94" s="977" t="s">
        <v>232</v>
      </c>
      <c r="E94" s="977" t="s">
        <v>1538</v>
      </c>
      <c r="F94" s="978" t="s">
        <v>2648</v>
      </c>
      <c r="G94" s="977" t="s">
        <v>249</v>
      </c>
      <c r="H94" s="991" t="str">
        <f t="shared" si="47"/>
        <v>Voitto</v>
      </c>
      <c r="I94" s="991" t="s">
        <v>1515</v>
      </c>
      <c r="J94" s="991" t="s">
        <v>0</v>
      </c>
      <c r="K94" s="991" t="s">
        <v>2121</v>
      </c>
      <c r="L94" s="992">
        <f t="shared" si="48"/>
        <v>4</v>
      </c>
      <c r="M94" s="992">
        <f t="shared" si="49"/>
        <v>3</v>
      </c>
      <c r="N94" s="1262">
        <v>0</v>
      </c>
      <c r="O94" s="992">
        <v>2</v>
      </c>
      <c r="P94" s="1262">
        <v>1</v>
      </c>
      <c r="Q94" s="992">
        <v>1</v>
      </c>
      <c r="R94" s="1262">
        <v>3</v>
      </c>
      <c r="S94" s="992">
        <v>0</v>
      </c>
      <c r="T94" s="1262"/>
      <c r="U94" s="992"/>
      <c r="V94" s="985"/>
      <c r="W94" s="985"/>
      <c r="X94" s="985"/>
      <c r="Y94" s="985"/>
      <c r="Z94" s="985"/>
      <c r="AA94" s="985"/>
      <c r="AB94" s="985"/>
      <c r="AC94" s="985"/>
      <c r="AD94" s="985"/>
      <c r="AE94" s="985"/>
      <c r="AF94" s="985"/>
      <c r="AG94" s="985"/>
      <c r="AH94" s="985"/>
      <c r="AI94" s="985"/>
      <c r="AJ94" s="985"/>
      <c r="AK94" s="985"/>
      <c r="AL94" s="986"/>
      <c r="AM94" s="986"/>
      <c r="AN94" s="8"/>
      <c r="AO94" s="983"/>
      <c r="AP94" s="983"/>
      <c r="AQ94" s="983"/>
      <c r="AR94" s="983"/>
      <c r="AS94" s="983"/>
      <c r="AT94" s="983"/>
      <c r="AU94" s="983"/>
      <c r="AV94" s="983"/>
      <c r="AW94" s="983"/>
      <c r="AX94" s="983"/>
      <c r="AY94" s="983"/>
      <c r="AZ94" s="983"/>
      <c r="BA94" s="983"/>
      <c r="BB94" s="983"/>
      <c r="BC94" s="983"/>
      <c r="BD94" s="983"/>
      <c r="BE94" s="988"/>
      <c r="BF94" s="988"/>
      <c r="BH94" s="1002">
        <f t="shared" si="50"/>
        <v>1</v>
      </c>
      <c r="BI94" s="1002">
        <f t="shared" si="51"/>
        <v>1</v>
      </c>
      <c r="BJ94" s="1002">
        <f t="shared" si="52"/>
        <v>1</v>
      </c>
      <c r="BK94" s="1002">
        <f t="shared" si="53"/>
        <v>0</v>
      </c>
      <c r="BL94" s="1002">
        <f t="shared" si="54"/>
        <v>0</v>
      </c>
      <c r="BO94" s="1284">
        <v>2</v>
      </c>
      <c r="BP94" s="1283" t="s">
        <v>0</v>
      </c>
      <c r="BQ94" s="1284">
        <v>18</v>
      </c>
      <c r="BR94" s="1284">
        <v>14</v>
      </c>
      <c r="BS94" s="1284">
        <v>0</v>
      </c>
      <c r="BT94" s="1284">
        <v>4</v>
      </c>
      <c r="BU94" s="1284">
        <v>115</v>
      </c>
      <c r="BV94" s="1284">
        <v>52</v>
      </c>
      <c r="BW94" s="1284">
        <v>28</v>
      </c>
    </row>
    <row r="95" spans="1:75" x14ac:dyDescent="0.3">
      <c r="B95" s="1280">
        <v>43</v>
      </c>
      <c r="C95" s="977" t="s">
        <v>297</v>
      </c>
      <c r="D95" s="977" t="s">
        <v>232</v>
      </c>
      <c r="E95" s="977" t="s">
        <v>1539</v>
      </c>
      <c r="F95" s="978" t="s">
        <v>2649</v>
      </c>
      <c r="G95" s="977" t="s">
        <v>150</v>
      </c>
      <c r="H95" s="991" t="str">
        <f t="shared" si="47"/>
        <v>Voitto</v>
      </c>
      <c r="I95" s="991" t="s">
        <v>1514</v>
      </c>
      <c r="J95" s="991" t="s">
        <v>0</v>
      </c>
      <c r="K95" s="991" t="s">
        <v>1245</v>
      </c>
      <c r="L95" s="992">
        <f t="shared" si="48"/>
        <v>8</v>
      </c>
      <c r="M95" s="992">
        <f t="shared" si="49"/>
        <v>1</v>
      </c>
      <c r="N95" s="1262">
        <v>1</v>
      </c>
      <c r="O95" s="992">
        <v>0</v>
      </c>
      <c r="P95" s="1262">
        <v>4</v>
      </c>
      <c r="Q95" s="992">
        <v>0</v>
      </c>
      <c r="R95" s="1262">
        <v>3</v>
      </c>
      <c r="S95" s="992">
        <v>1</v>
      </c>
      <c r="T95" s="1262"/>
      <c r="U95" s="992"/>
      <c r="V95" s="985"/>
      <c r="W95" s="985"/>
      <c r="X95" s="987"/>
      <c r="Y95" s="987"/>
      <c r="Z95" s="987"/>
      <c r="AA95" s="987"/>
      <c r="AB95" s="987"/>
      <c r="AC95" s="987"/>
      <c r="AD95" s="987"/>
      <c r="AE95" s="987"/>
      <c r="AF95" s="987"/>
      <c r="AG95" s="987"/>
      <c r="AH95" s="987"/>
      <c r="AI95" s="987"/>
      <c r="AJ95" s="987"/>
      <c r="AK95" s="985"/>
      <c r="AL95" s="985"/>
      <c r="AM95" s="985"/>
      <c r="AO95" s="983"/>
      <c r="AP95" s="983"/>
      <c r="AQ95" s="983"/>
      <c r="AR95" s="976"/>
      <c r="AS95" s="976"/>
      <c r="AT95" s="976"/>
      <c r="AU95" s="976"/>
      <c r="AV95" s="976"/>
      <c r="AW95" s="976"/>
      <c r="AX95" s="976"/>
      <c r="AY95" s="976"/>
      <c r="AZ95" s="976"/>
      <c r="BA95" s="976"/>
      <c r="BB95" s="976"/>
      <c r="BC95" s="976"/>
      <c r="BD95" s="983"/>
      <c r="BE95" s="984"/>
      <c r="BF95" s="984"/>
      <c r="BH95" s="1002">
        <f t="shared" si="50"/>
        <v>1</v>
      </c>
      <c r="BI95" s="1002">
        <f t="shared" si="51"/>
        <v>1</v>
      </c>
      <c r="BJ95" s="1002">
        <f t="shared" si="52"/>
        <v>1</v>
      </c>
      <c r="BK95" s="1002">
        <f t="shared" si="53"/>
        <v>0</v>
      </c>
      <c r="BL95" s="1002">
        <f t="shared" si="54"/>
        <v>0</v>
      </c>
      <c r="BO95" s="119">
        <v>3</v>
      </c>
      <c r="BP95" s="128" t="s">
        <v>1304</v>
      </c>
      <c r="BQ95" s="119">
        <v>18</v>
      </c>
      <c r="BR95" s="119">
        <v>10</v>
      </c>
      <c r="BS95" s="119">
        <v>1</v>
      </c>
      <c r="BT95" s="119">
        <v>7</v>
      </c>
      <c r="BU95" s="119">
        <v>94</v>
      </c>
      <c r="BV95" s="119">
        <v>83</v>
      </c>
      <c r="BW95" s="119">
        <v>21</v>
      </c>
    </row>
    <row r="96" spans="1:75" x14ac:dyDescent="0.3">
      <c r="B96" s="1280">
        <v>44</v>
      </c>
      <c r="C96" s="977" t="s">
        <v>297</v>
      </c>
      <c r="D96" s="977" t="s">
        <v>232</v>
      </c>
      <c r="E96" s="977" t="s">
        <v>1540</v>
      </c>
      <c r="F96" s="978" t="s">
        <v>2650</v>
      </c>
      <c r="G96" s="977" t="s">
        <v>150</v>
      </c>
      <c r="H96" s="991" t="str">
        <f t="shared" si="47"/>
        <v>Voitto</v>
      </c>
      <c r="I96" s="991" t="s">
        <v>1515</v>
      </c>
      <c r="J96" s="991" t="s">
        <v>0</v>
      </c>
      <c r="K96" s="991" t="s">
        <v>2610</v>
      </c>
      <c r="L96" s="992">
        <f t="shared" si="48"/>
        <v>6</v>
      </c>
      <c r="M96" s="992">
        <f t="shared" si="49"/>
        <v>2</v>
      </c>
      <c r="N96" s="1262">
        <v>1</v>
      </c>
      <c r="O96" s="992">
        <v>0</v>
      </c>
      <c r="P96" s="1262">
        <v>1</v>
      </c>
      <c r="Q96" s="992">
        <v>2</v>
      </c>
      <c r="R96" s="1262">
        <v>4</v>
      </c>
      <c r="S96" s="992">
        <v>0</v>
      </c>
      <c r="T96" s="1262"/>
      <c r="U96" s="992"/>
      <c r="V96" s="985"/>
      <c r="W96" s="985"/>
      <c r="X96" s="987"/>
      <c r="Y96" s="987"/>
      <c r="Z96" s="987"/>
      <c r="AA96" s="987"/>
      <c r="AB96" s="987"/>
      <c r="AC96" s="987"/>
      <c r="AD96" s="987"/>
      <c r="AE96" s="987"/>
      <c r="AF96" s="987"/>
      <c r="AG96" s="987"/>
      <c r="AH96" s="987"/>
      <c r="AI96" s="987"/>
      <c r="AJ96" s="987"/>
      <c r="AK96" s="985"/>
      <c r="AL96" s="985"/>
      <c r="AM96" s="985"/>
      <c r="AO96" s="983"/>
      <c r="AP96" s="983"/>
      <c r="AQ96" s="976"/>
      <c r="AR96" s="976"/>
      <c r="AS96" s="976"/>
      <c r="AT96" s="976"/>
      <c r="AU96" s="976"/>
      <c r="AV96" s="976"/>
      <c r="AW96" s="976"/>
      <c r="AX96" s="976"/>
      <c r="AY96" s="976"/>
      <c r="AZ96" s="976"/>
      <c r="BA96" s="976"/>
      <c r="BB96" s="976"/>
      <c r="BC96" s="976"/>
      <c r="BD96" s="983"/>
      <c r="BE96" s="983"/>
      <c r="BF96" s="983"/>
      <c r="BH96" s="1002">
        <f t="shared" si="50"/>
        <v>1</v>
      </c>
      <c r="BI96" s="1002">
        <f t="shared" si="51"/>
        <v>1</v>
      </c>
      <c r="BJ96" s="1002">
        <f t="shared" si="52"/>
        <v>1</v>
      </c>
      <c r="BK96" s="1002">
        <f t="shared" si="53"/>
        <v>0</v>
      </c>
      <c r="BL96" s="1002">
        <f t="shared" si="54"/>
        <v>0</v>
      </c>
      <c r="BO96" s="119">
        <v>4</v>
      </c>
      <c r="BP96" s="128" t="s">
        <v>1245</v>
      </c>
      <c r="BQ96" s="119">
        <v>18</v>
      </c>
      <c r="BR96" s="119">
        <v>9</v>
      </c>
      <c r="BS96" s="119">
        <v>2</v>
      </c>
      <c r="BT96" s="119">
        <v>7</v>
      </c>
      <c r="BU96" s="119">
        <v>97</v>
      </c>
      <c r="BV96" s="119">
        <v>114</v>
      </c>
      <c r="BW96" s="119">
        <v>20</v>
      </c>
    </row>
    <row r="97" spans="2:75" x14ac:dyDescent="0.3">
      <c r="B97" s="1280">
        <v>45</v>
      </c>
      <c r="C97" s="977" t="s">
        <v>297</v>
      </c>
      <c r="D97" s="977" t="s">
        <v>232</v>
      </c>
      <c r="E97" s="977" t="s">
        <v>1541</v>
      </c>
      <c r="F97" s="978" t="s">
        <v>2651</v>
      </c>
      <c r="G97" s="977" t="s">
        <v>150</v>
      </c>
      <c r="H97" s="991" t="str">
        <f t="shared" si="47"/>
        <v>Häviö</v>
      </c>
      <c r="I97" s="991" t="s">
        <v>1514</v>
      </c>
      <c r="J97" s="991" t="s">
        <v>0</v>
      </c>
      <c r="K97" s="991" t="s">
        <v>2652</v>
      </c>
      <c r="L97" s="992">
        <f t="shared" si="48"/>
        <v>1</v>
      </c>
      <c r="M97" s="992">
        <f t="shared" si="49"/>
        <v>3</v>
      </c>
      <c r="N97" s="1262">
        <v>0</v>
      </c>
      <c r="O97" s="992">
        <v>1</v>
      </c>
      <c r="P97" s="1262">
        <v>1</v>
      </c>
      <c r="Q97" s="992">
        <v>0</v>
      </c>
      <c r="R97" s="1262">
        <v>0</v>
      </c>
      <c r="S97" s="992">
        <v>2</v>
      </c>
      <c r="T97" s="1262"/>
      <c r="U97" s="992"/>
      <c r="V97" s="985"/>
      <c r="W97" s="985"/>
      <c r="X97" s="987"/>
      <c r="Y97" s="987"/>
      <c r="Z97" s="987"/>
      <c r="AA97" s="987"/>
      <c r="AB97" s="987"/>
      <c r="AC97" s="987"/>
      <c r="AD97" s="987"/>
      <c r="AE97" s="987"/>
      <c r="AF97" s="987"/>
      <c r="AG97" s="987"/>
      <c r="AH97" s="987"/>
      <c r="AI97" s="987"/>
      <c r="AJ97" s="987"/>
      <c r="AK97" s="985"/>
      <c r="AL97" s="985"/>
      <c r="AM97" s="985"/>
      <c r="AO97" s="983"/>
      <c r="AP97" s="983"/>
      <c r="AQ97" s="983"/>
      <c r="AR97" s="976"/>
      <c r="AS97" s="976"/>
      <c r="AT97" s="976"/>
      <c r="AU97" s="976"/>
      <c r="AV97" s="976"/>
      <c r="AW97" s="976"/>
      <c r="AX97" s="976"/>
      <c r="AY97" s="976"/>
      <c r="AZ97" s="976"/>
      <c r="BA97" s="976"/>
      <c r="BB97" s="976"/>
      <c r="BC97" s="976"/>
      <c r="BD97" s="983"/>
      <c r="BE97" s="983"/>
      <c r="BF97" s="983"/>
      <c r="BH97" s="1002">
        <f t="shared" si="50"/>
        <v>1</v>
      </c>
      <c r="BI97" s="1002">
        <f t="shared" si="51"/>
        <v>1</v>
      </c>
      <c r="BJ97" s="1002">
        <f t="shared" si="52"/>
        <v>1</v>
      </c>
      <c r="BK97" s="1002">
        <f t="shared" si="53"/>
        <v>0</v>
      </c>
      <c r="BL97" s="1002">
        <f t="shared" si="54"/>
        <v>0</v>
      </c>
      <c r="BO97" s="119">
        <v>5</v>
      </c>
      <c r="BP97" s="128" t="s">
        <v>2277</v>
      </c>
      <c r="BQ97" s="119">
        <v>18</v>
      </c>
      <c r="BR97" s="119">
        <v>8</v>
      </c>
      <c r="BS97" s="119">
        <v>2</v>
      </c>
      <c r="BT97" s="119">
        <v>8</v>
      </c>
      <c r="BU97" s="119">
        <v>94</v>
      </c>
      <c r="BV97" s="119">
        <v>97</v>
      </c>
      <c r="BW97" s="119">
        <v>18</v>
      </c>
    </row>
    <row r="98" spans="2:75" x14ac:dyDescent="0.3">
      <c r="B98" s="1280">
        <v>46</v>
      </c>
      <c r="C98" s="977" t="s">
        <v>297</v>
      </c>
      <c r="D98" s="977" t="s">
        <v>232</v>
      </c>
      <c r="E98" s="977" t="s">
        <v>1542</v>
      </c>
      <c r="F98" s="978" t="s">
        <v>2653</v>
      </c>
      <c r="G98" s="977" t="s">
        <v>242</v>
      </c>
      <c r="H98" s="991" t="str">
        <f t="shared" si="47"/>
        <v>Voitto</v>
      </c>
      <c r="I98" s="991" t="s">
        <v>1515</v>
      </c>
      <c r="J98" s="991" t="s">
        <v>0</v>
      </c>
      <c r="K98" s="991" t="s">
        <v>2569</v>
      </c>
      <c r="L98" s="992">
        <f t="shared" si="48"/>
        <v>4</v>
      </c>
      <c r="M98" s="992">
        <f t="shared" si="49"/>
        <v>3</v>
      </c>
      <c r="N98" s="1262">
        <v>0</v>
      </c>
      <c r="O98" s="992">
        <v>2</v>
      </c>
      <c r="P98" s="1262">
        <v>1</v>
      </c>
      <c r="Q98" s="992">
        <v>1</v>
      </c>
      <c r="R98" s="1262">
        <v>3</v>
      </c>
      <c r="S98" s="992">
        <v>0</v>
      </c>
      <c r="T98" s="1262"/>
      <c r="U98" s="992"/>
      <c r="V98" s="985"/>
      <c r="W98" s="985"/>
      <c r="X98" s="985"/>
      <c r="Y98" s="987"/>
      <c r="Z98" s="987"/>
      <c r="AA98" s="987"/>
      <c r="AB98" s="985"/>
      <c r="AC98" s="987"/>
      <c r="AD98" s="987"/>
      <c r="AE98" s="987"/>
      <c r="AF98" s="987"/>
      <c r="AG98" s="987"/>
      <c r="AH98" s="987"/>
      <c r="AI98" s="987"/>
      <c r="AJ98" s="987"/>
      <c r="AK98" s="985"/>
      <c r="AL98" s="986"/>
      <c r="AM98" s="986"/>
      <c r="AO98" s="983"/>
      <c r="AP98" s="983"/>
      <c r="AQ98" s="983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83"/>
      <c r="BE98" s="983"/>
      <c r="BF98" s="983"/>
      <c r="BH98" s="1002">
        <f t="shared" si="50"/>
        <v>1</v>
      </c>
      <c r="BI98" s="1002">
        <f t="shared" si="51"/>
        <v>1</v>
      </c>
      <c r="BJ98" s="1002">
        <f t="shared" si="52"/>
        <v>1</v>
      </c>
      <c r="BK98" s="1002">
        <f t="shared" si="53"/>
        <v>0</v>
      </c>
      <c r="BL98" s="1002">
        <f t="shared" si="54"/>
        <v>0</v>
      </c>
      <c r="BO98" s="119">
        <v>6</v>
      </c>
      <c r="BP98" s="128" t="s">
        <v>2569</v>
      </c>
      <c r="BQ98" s="119">
        <v>18</v>
      </c>
      <c r="BR98" s="119">
        <v>9</v>
      </c>
      <c r="BS98" s="119">
        <v>0</v>
      </c>
      <c r="BT98" s="119">
        <v>9</v>
      </c>
      <c r="BU98" s="119">
        <v>97</v>
      </c>
      <c r="BV98" s="119">
        <v>109</v>
      </c>
      <c r="BW98" s="119">
        <v>18</v>
      </c>
    </row>
    <row r="99" spans="2:75" x14ac:dyDescent="0.3">
      <c r="B99" s="1280">
        <v>47</v>
      </c>
      <c r="C99" s="977" t="s">
        <v>297</v>
      </c>
      <c r="D99" s="977" t="s">
        <v>232</v>
      </c>
      <c r="E99" s="977" t="s">
        <v>1543</v>
      </c>
      <c r="F99" s="978" t="s">
        <v>2654</v>
      </c>
      <c r="G99" s="977" t="s">
        <v>149</v>
      </c>
      <c r="H99" s="991" t="str">
        <f t="shared" si="47"/>
        <v>Voitto</v>
      </c>
      <c r="I99" s="991" t="s">
        <v>1514</v>
      </c>
      <c r="J99" s="991" t="s">
        <v>0</v>
      </c>
      <c r="K99" s="991" t="s">
        <v>2612</v>
      </c>
      <c r="L99" s="992">
        <f t="shared" si="48"/>
        <v>6</v>
      </c>
      <c r="M99" s="992">
        <f t="shared" si="49"/>
        <v>3</v>
      </c>
      <c r="N99" s="1262">
        <v>2</v>
      </c>
      <c r="O99" s="992">
        <v>1</v>
      </c>
      <c r="P99" s="1262">
        <v>1</v>
      </c>
      <c r="Q99" s="992">
        <v>1</v>
      </c>
      <c r="R99" s="1262">
        <v>3</v>
      </c>
      <c r="S99" s="992">
        <v>1</v>
      </c>
      <c r="T99" s="1262"/>
      <c r="U99" s="992"/>
      <c r="V99" s="985"/>
      <c r="W99" s="985"/>
      <c r="X99" s="985"/>
      <c r="Y99" s="985"/>
      <c r="Z99" s="985"/>
      <c r="AA99" s="985"/>
      <c r="AB99" s="985"/>
      <c r="AC99" s="985"/>
      <c r="AD99" s="985"/>
      <c r="AE99" s="985"/>
      <c r="AF99" s="985"/>
      <c r="AG99" s="985"/>
      <c r="AH99" s="985"/>
      <c r="AI99" s="985"/>
      <c r="AJ99" s="985"/>
      <c r="AK99" s="985"/>
      <c r="AL99" s="985"/>
      <c r="AM99" s="985"/>
      <c r="AN99" s="8"/>
      <c r="AO99" s="983"/>
      <c r="AP99" s="983"/>
      <c r="AQ99" s="983"/>
      <c r="AR99" s="983"/>
      <c r="AS99" s="983"/>
      <c r="AT99" s="983"/>
      <c r="AU99" s="983"/>
      <c r="AV99" s="983"/>
      <c r="AW99" s="983"/>
      <c r="AX99" s="983"/>
      <c r="AY99" s="983"/>
      <c r="AZ99" s="983"/>
      <c r="BA99" s="983"/>
      <c r="BB99" s="983"/>
      <c r="BC99" s="983"/>
      <c r="BD99" s="983"/>
      <c r="BE99" s="983"/>
      <c r="BF99" s="983"/>
      <c r="BH99" s="1002">
        <f t="shared" si="50"/>
        <v>1</v>
      </c>
      <c r="BI99" s="1002">
        <f t="shared" si="51"/>
        <v>1</v>
      </c>
      <c r="BJ99" s="1002">
        <f t="shared" si="52"/>
        <v>1</v>
      </c>
      <c r="BK99" s="1002">
        <f t="shared" si="53"/>
        <v>0</v>
      </c>
      <c r="BL99" s="1002">
        <f t="shared" si="54"/>
        <v>0</v>
      </c>
      <c r="BO99" s="119">
        <v>7</v>
      </c>
      <c r="BP99" s="128" t="s">
        <v>2610</v>
      </c>
      <c r="BQ99" s="119">
        <v>18</v>
      </c>
      <c r="BR99" s="119">
        <v>9</v>
      </c>
      <c r="BS99" s="119">
        <v>0</v>
      </c>
      <c r="BT99" s="119">
        <v>9</v>
      </c>
      <c r="BU99" s="119">
        <v>106</v>
      </c>
      <c r="BV99" s="119">
        <v>110</v>
      </c>
      <c r="BW99" s="119">
        <v>18</v>
      </c>
    </row>
    <row r="100" spans="2:75" x14ac:dyDescent="0.3">
      <c r="B100" s="1280">
        <v>48</v>
      </c>
      <c r="C100" s="977" t="s">
        <v>297</v>
      </c>
      <c r="D100" s="977" t="s">
        <v>232</v>
      </c>
      <c r="E100" s="977" t="s">
        <v>1544</v>
      </c>
      <c r="F100" s="978" t="s">
        <v>2655</v>
      </c>
      <c r="G100" s="977" t="s">
        <v>149</v>
      </c>
      <c r="H100" s="991" t="str">
        <f t="shared" si="47"/>
        <v>Voitto</v>
      </c>
      <c r="I100" s="991" t="s">
        <v>1515</v>
      </c>
      <c r="J100" s="991" t="s">
        <v>0</v>
      </c>
      <c r="K100" s="991" t="s">
        <v>2656</v>
      </c>
      <c r="L100" s="992">
        <f t="shared" si="48"/>
        <v>13</v>
      </c>
      <c r="M100" s="992">
        <f t="shared" si="49"/>
        <v>1</v>
      </c>
      <c r="N100" s="1262">
        <v>2</v>
      </c>
      <c r="O100" s="992">
        <v>0</v>
      </c>
      <c r="P100" s="1262">
        <v>5</v>
      </c>
      <c r="Q100" s="992">
        <v>0</v>
      </c>
      <c r="R100" s="1262">
        <v>6</v>
      </c>
      <c r="S100" s="992">
        <v>1</v>
      </c>
      <c r="T100" s="1262"/>
      <c r="U100" s="992"/>
      <c r="V100" s="985"/>
      <c r="W100" s="985"/>
      <c r="X100" s="985"/>
      <c r="Y100" s="985"/>
      <c r="Z100" s="985"/>
      <c r="AA100" s="985"/>
      <c r="AB100" s="985"/>
      <c r="AC100" s="985"/>
      <c r="AD100" s="985"/>
      <c r="AE100" s="985"/>
      <c r="AF100" s="985"/>
      <c r="AG100" s="985"/>
      <c r="AH100" s="985"/>
      <c r="AI100" s="985"/>
      <c r="AJ100" s="985"/>
      <c r="AK100" s="985"/>
      <c r="AL100" s="985"/>
      <c r="AM100" s="985"/>
      <c r="AN100" s="8"/>
      <c r="AO100" s="983"/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983"/>
      <c r="BB100" s="983"/>
      <c r="BC100" s="983"/>
      <c r="BD100" s="983"/>
      <c r="BE100" s="983"/>
      <c r="BF100" s="983"/>
      <c r="BH100" s="1002">
        <f t="shared" si="50"/>
        <v>1</v>
      </c>
      <c r="BI100" s="1002">
        <f t="shared" si="51"/>
        <v>1</v>
      </c>
      <c r="BJ100" s="1002">
        <f t="shared" si="52"/>
        <v>1</v>
      </c>
      <c r="BK100" s="1002">
        <f t="shared" si="53"/>
        <v>0</v>
      </c>
      <c r="BL100" s="1002">
        <f t="shared" si="54"/>
        <v>0</v>
      </c>
      <c r="BO100" s="119">
        <v>8</v>
      </c>
      <c r="BP100" s="128" t="s">
        <v>2611</v>
      </c>
      <c r="BQ100" s="119">
        <v>18</v>
      </c>
      <c r="BR100" s="119">
        <v>4</v>
      </c>
      <c r="BS100" s="119">
        <v>0</v>
      </c>
      <c r="BT100" s="119">
        <v>14</v>
      </c>
      <c r="BU100" s="119">
        <v>90</v>
      </c>
      <c r="BV100" s="119">
        <v>146</v>
      </c>
      <c r="BW100" s="119">
        <v>8</v>
      </c>
    </row>
    <row r="101" spans="2:75" x14ac:dyDescent="0.3">
      <c r="B101" s="1280">
        <v>49</v>
      </c>
      <c r="C101" s="977" t="s">
        <v>297</v>
      </c>
      <c r="D101" s="977" t="s">
        <v>232</v>
      </c>
      <c r="E101" s="977" t="s">
        <v>1545</v>
      </c>
      <c r="F101" s="978" t="s">
        <v>2657</v>
      </c>
      <c r="G101" s="977" t="s">
        <v>246</v>
      </c>
      <c r="H101" s="991" t="str">
        <f t="shared" si="47"/>
        <v>Voitto</v>
      </c>
      <c r="I101" s="991" t="s">
        <v>1515</v>
      </c>
      <c r="J101" s="991" t="s">
        <v>0</v>
      </c>
      <c r="K101" s="991" t="s">
        <v>2611</v>
      </c>
      <c r="L101" s="992">
        <f t="shared" si="48"/>
        <v>9</v>
      </c>
      <c r="M101" s="992">
        <f t="shared" si="49"/>
        <v>1</v>
      </c>
      <c r="N101" s="1262">
        <v>2</v>
      </c>
      <c r="O101" s="992">
        <v>0</v>
      </c>
      <c r="P101" s="1262">
        <v>6</v>
      </c>
      <c r="Q101" s="992">
        <v>1</v>
      </c>
      <c r="R101" s="1262">
        <v>1</v>
      </c>
      <c r="S101" s="992">
        <v>0</v>
      </c>
      <c r="T101" s="1262"/>
      <c r="U101" s="992"/>
      <c r="V101" s="985"/>
      <c r="W101" s="985"/>
      <c r="X101" s="985"/>
      <c r="Y101" s="985"/>
      <c r="Z101" s="985"/>
      <c r="AA101" s="985"/>
      <c r="AB101" s="985"/>
      <c r="AC101" s="985"/>
      <c r="AD101" s="985"/>
      <c r="AE101" s="985"/>
      <c r="AF101" s="985"/>
      <c r="AG101" s="985"/>
      <c r="AH101" s="985"/>
      <c r="AI101" s="985"/>
      <c r="AJ101" s="985"/>
      <c r="AK101" s="985"/>
      <c r="AL101" s="985"/>
      <c r="AM101" s="985"/>
      <c r="AN101" s="8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H101" s="1002">
        <f t="shared" si="50"/>
        <v>1</v>
      </c>
      <c r="BI101" s="1002">
        <f t="shared" si="51"/>
        <v>1</v>
      </c>
      <c r="BJ101" s="1002">
        <f t="shared" si="52"/>
        <v>1</v>
      </c>
      <c r="BK101" s="1002">
        <f t="shared" si="53"/>
        <v>0</v>
      </c>
      <c r="BL101" s="1002">
        <f t="shared" si="54"/>
        <v>0</v>
      </c>
      <c r="BO101" s="1088">
        <v>9</v>
      </c>
      <c r="BP101" s="128" t="s">
        <v>2612</v>
      </c>
      <c r="BQ101" s="119">
        <v>18</v>
      </c>
      <c r="BR101" s="119">
        <v>4</v>
      </c>
      <c r="BS101" s="119">
        <v>0</v>
      </c>
      <c r="BT101" s="119">
        <v>14</v>
      </c>
      <c r="BU101" s="119">
        <v>66</v>
      </c>
      <c r="BV101" s="119">
        <v>122</v>
      </c>
      <c r="BW101" s="119">
        <v>8</v>
      </c>
    </row>
    <row r="102" spans="2:75" x14ac:dyDescent="0.3">
      <c r="B102" s="1280">
        <v>50</v>
      </c>
      <c r="C102" s="977" t="s">
        <v>297</v>
      </c>
      <c r="D102" s="977" t="s">
        <v>232</v>
      </c>
      <c r="E102" s="977" t="s">
        <v>1546</v>
      </c>
      <c r="F102" s="978" t="s">
        <v>2658</v>
      </c>
      <c r="G102" s="977" t="s">
        <v>149</v>
      </c>
      <c r="H102" s="991" t="str">
        <f t="shared" si="47"/>
        <v>Voitto</v>
      </c>
      <c r="I102" s="991" t="s">
        <v>1515</v>
      </c>
      <c r="J102" s="991" t="s">
        <v>0</v>
      </c>
      <c r="K102" s="991" t="s">
        <v>2277</v>
      </c>
      <c r="L102" s="992">
        <f t="shared" si="48"/>
        <v>11</v>
      </c>
      <c r="M102" s="992">
        <f t="shared" si="49"/>
        <v>3</v>
      </c>
      <c r="N102" s="1262">
        <v>5</v>
      </c>
      <c r="O102" s="992">
        <v>2</v>
      </c>
      <c r="P102" s="1262">
        <v>1</v>
      </c>
      <c r="Q102" s="992">
        <v>1</v>
      </c>
      <c r="R102" s="1262">
        <v>5</v>
      </c>
      <c r="S102" s="992">
        <v>0</v>
      </c>
      <c r="T102" s="1262"/>
      <c r="U102" s="992"/>
      <c r="V102" s="985"/>
      <c r="W102" s="985"/>
      <c r="X102" s="985"/>
      <c r="Y102" s="985"/>
      <c r="Z102" s="985"/>
      <c r="AA102" s="985"/>
      <c r="AB102" s="985"/>
      <c r="AC102" s="985"/>
      <c r="AD102" s="985"/>
      <c r="AE102" s="985"/>
      <c r="AF102" s="985"/>
      <c r="AG102" s="985"/>
      <c r="AH102" s="985"/>
      <c r="AI102" s="985"/>
      <c r="AJ102" s="985"/>
      <c r="AK102" s="985"/>
      <c r="AL102" s="985"/>
      <c r="AM102" s="985"/>
      <c r="AN102" s="8"/>
      <c r="AO102" s="983"/>
      <c r="AP102" s="983"/>
      <c r="AQ102" s="983"/>
      <c r="AR102" s="983"/>
      <c r="AS102" s="983"/>
      <c r="AT102" s="983"/>
      <c r="AU102" s="983"/>
      <c r="AV102" s="983"/>
      <c r="AW102" s="983"/>
      <c r="AX102" s="983"/>
      <c r="AY102" s="983"/>
      <c r="AZ102" s="983"/>
      <c r="BA102" s="983"/>
      <c r="BB102" s="983"/>
      <c r="BC102" s="983"/>
      <c r="BD102" s="983"/>
      <c r="BE102" s="983"/>
      <c r="BF102" s="983"/>
      <c r="BH102" s="1002">
        <f t="shared" si="50"/>
        <v>1</v>
      </c>
      <c r="BI102" s="1002">
        <f t="shared" si="51"/>
        <v>1</v>
      </c>
      <c r="BJ102" s="1002">
        <f t="shared" si="52"/>
        <v>1</v>
      </c>
      <c r="BK102" s="1002">
        <f t="shared" si="53"/>
        <v>0</v>
      </c>
      <c r="BL102" s="1002">
        <f t="shared" si="54"/>
        <v>0</v>
      </c>
      <c r="BO102" s="119">
        <v>10</v>
      </c>
      <c r="BP102" s="128" t="s">
        <v>2613</v>
      </c>
      <c r="BQ102" s="119">
        <v>18</v>
      </c>
      <c r="BR102" s="119">
        <v>2</v>
      </c>
      <c r="BS102" s="119">
        <v>1</v>
      </c>
      <c r="BT102" s="119">
        <v>15</v>
      </c>
      <c r="BU102" s="119">
        <v>72</v>
      </c>
      <c r="BV102" s="119">
        <v>172</v>
      </c>
      <c r="BW102" s="119">
        <v>5</v>
      </c>
    </row>
    <row r="103" spans="2:75" x14ac:dyDescent="0.3">
      <c r="B103" s="1280">
        <v>51</v>
      </c>
      <c r="C103" s="977" t="s">
        <v>297</v>
      </c>
      <c r="D103" s="977" t="s">
        <v>232</v>
      </c>
      <c r="E103" s="977" t="s">
        <v>1547</v>
      </c>
      <c r="F103" s="978" t="s">
        <v>2659</v>
      </c>
      <c r="G103" s="977" t="s">
        <v>149</v>
      </c>
      <c r="H103" s="991" t="str">
        <f t="shared" si="47"/>
        <v>Häviö</v>
      </c>
      <c r="I103" s="991" t="s">
        <v>1514</v>
      </c>
      <c r="J103" s="991" t="s">
        <v>0</v>
      </c>
      <c r="K103" s="991" t="s">
        <v>2121</v>
      </c>
      <c r="L103" s="992">
        <f t="shared" si="48"/>
        <v>3</v>
      </c>
      <c r="M103" s="992">
        <f t="shared" si="49"/>
        <v>5</v>
      </c>
      <c r="N103" s="1262">
        <v>3</v>
      </c>
      <c r="O103" s="992">
        <v>1</v>
      </c>
      <c r="P103" s="1262">
        <v>0</v>
      </c>
      <c r="Q103" s="992">
        <v>2</v>
      </c>
      <c r="R103" s="1262">
        <v>0</v>
      </c>
      <c r="S103" s="992">
        <v>2</v>
      </c>
      <c r="T103" s="1262"/>
      <c r="U103" s="992"/>
      <c r="V103" s="985"/>
      <c r="W103" s="985"/>
      <c r="X103" s="985"/>
      <c r="Y103" s="985"/>
      <c r="Z103" s="985"/>
      <c r="AA103" s="985"/>
      <c r="AB103" s="985"/>
      <c r="AC103" s="985"/>
      <c r="AD103" s="985"/>
      <c r="AE103" s="985"/>
      <c r="AF103" s="985"/>
      <c r="AG103" s="985"/>
      <c r="AH103" s="985"/>
      <c r="AI103" s="985"/>
      <c r="AJ103" s="985"/>
      <c r="AK103" s="985"/>
      <c r="AL103" s="985"/>
      <c r="AM103" s="985"/>
      <c r="AN103" s="8"/>
      <c r="AO103" s="983"/>
      <c r="AP103" s="983"/>
      <c r="AQ103" s="983"/>
      <c r="AR103" s="983"/>
      <c r="AS103" s="983"/>
      <c r="AT103" s="983"/>
      <c r="AU103" s="983"/>
      <c r="AV103" s="983"/>
      <c r="AW103" s="983"/>
      <c r="AX103" s="983"/>
      <c r="AY103" s="983"/>
      <c r="AZ103" s="983"/>
      <c r="BA103" s="983"/>
      <c r="BB103" s="983"/>
      <c r="BC103" s="983"/>
      <c r="BD103" s="983"/>
      <c r="BE103" s="983"/>
      <c r="BF103" s="983"/>
      <c r="BH103" s="1002">
        <f t="shared" si="50"/>
        <v>1</v>
      </c>
      <c r="BI103" s="1002">
        <f t="shared" si="51"/>
        <v>1</v>
      </c>
      <c r="BJ103" s="1002">
        <f t="shared" si="52"/>
        <v>1</v>
      </c>
      <c r="BK103" s="1002">
        <f t="shared" si="53"/>
        <v>0</v>
      </c>
      <c r="BL103" s="1002">
        <f t="shared" si="54"/>
        <v>0</v>
      </c>
    </row>
    <row r="104" spans="2:75" x14ac:dyDescent="0.3">
      <c r="B104" s="1280">
        <v>52</v>
      </c>
      <c r="C104" s="977" t="s">
        <v>297</v>
      </c>
      <c r="D104" s="977" t="s">
        <v>232</v>
      </c>
      <c r="E104" s="977" t="s">
        <v>1548</v>
      </c>
      <c r="F104" s="978" t="s">
        <v>2660</v>
      </c>
      <c r="G104" s="977" t="s">
        <v>149</v>
      </c>
      <c r="H104" s="991" t="str">
        <f t="shared" si="47"/>
        <v>Voitto</v>
      </c>
      <c r="I104" s="991" t="s">
        <v>1515</v>
      </c>
      <c r="J104" s="991" t="s">
        <v>0</v>
      </c>
      <c r="K104" s="991" t="s">
        <v>1245</v>
      </c>
      <c r="L104" s="992">
        <f t="shared" si="48"/>
        <v>5</v>
      </c>
      <c r="M104" s="992">
        <f t="shared" si="49"/>
        <v>1</v>
      </c>
      <c r="N104" s="1262">
        <v>0</v>
      </c>
      <c r="O104" s="992">
        <v>0</v>
      </c>
      <c r="P104" s="1262">
        <v>1</v>
      </c>
      <c r="Q104" s="992">
        <v>0</v>
      </c>
      <c r="R104" s="1262">
        <v>4</v>
      </c>
      <c r="S104" s="992">
        <v>1</v>
      </c>
      <c r="T104" s="1262"/>
      <c r="U104" s="992"/>
      <c r="V104" s="985"/>
      <c r="W104" s="985"/>
      <c r="X104" s="985"/>
      <c r="Y104" s="985"/>
      <c r="Z104" s="985"/>
      <c r="AA104" s="985"/>
      <c r="AB104" s="985"/>
      <c r="AC104" s="985"/>
      <c r="AD104" s="985"/>
      <c r="AE104" s="985"/>
      <c r="AF104" s="985"/>
      <c r="AG104" s="985"/>
      <c r="AH104" s="985"/>
      <c r="AI104" s="985"/>
      <c r="AJ104" s="985"/>
      <c r="AK104" s="985"/>
      <c r="AL104" s="985"/>
      <c r="AM104" s="985"/>
      <c r="AN104" s="8"/>
      <c r="AO104" s="983"/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  <c r="BA104" s="983"/>
      <c r="BB104" s="983"/>
      <c r="BC104" s="983"/>
      <c r="BD104" s="983"/>
      <c r="BE104" s="983"/>
      <c r="BF104" s="983"/>
      <c r="BH104" s="1002">
        <f t="shared" si="50"/>
        <v>1</v>
      </c>
      <c r="BI104" s="1002">
        <f t="shared" si="51"/>
        <v>1</v>
      </c>
      <c r="BJ104" s="1002">
        <f t="shared" si="52"/>
        <v>1</v>
      </c>
      <c r="BK104" s="1002">
        <f t="shared" si="53"/>
        <v>0</v>
      </c>
      <c r="BL104" s="1002">
        <f t="shared" si="54"/>
        <v>0</v>
      </c>
    </row>
    <row r="105" spans="2:75" x14ac:dyDescent="0.3">
      <c r="B105" s="1280">
        <v>53</v>
      </c>
      <c r="C105" s="977" t="s">
        <v>297</v>
      </c>
      <c r="D105" s="977" t="s">
        <v>232</v>
      </c>
      <c r="E105" s="977" t="s">
        <v>1549</v>
      </c>
      <c r="F105" s="978" t="s">
        <v>2661</v>
      </c>
      <c r="G105" s="977" t="s">
        <v>149</v>
      </c>
      <c r="H105" s="991" t="str">
        <f t="shared" si="47"/>
        <v>Voitto</v>
      </c>
      <c r="I105" s="991" t="s">
        <v>1514</v>
      </c>
      <c r="J105" s="991" t="s">
        <v>0</v>
      </c>
      <c r="K105" s="991" t="s">
        <v>2610</v>
      </c>
      <c r="L105" s="992">
        <f t="shared" si="48"/>
        <v>8</v>
      </c>
      <c r="M105" s="992">
        <f t="shared" si="49"/>
        <v>4</v>
      </c>
      <c r="N105" s="1262">
        <v>1</v>
      </c>
      <c r="O105" s="992">
        <v>0</v>
      </c>
      <c r="P105" s="1262">
        <v>3</v>
      </c>
      <c r="Q105" s="992">
        <v>2</v>
      </c>
      <c r="R105" s="1262">
        <v>4</v>
      </c>
      <c r="S105" s="992">
        <v>2</v>
      </c>
      <c r="T105" s="1262"/>
      <c r="U105" s="992"/>
      <c r="V105" s="985"/>
      <c r="W105" s="985"/>
      <c r="X105" s="985"/>
      <c r="Y105" s="985"/>
      <c r="Z105" s="985"/>
      <c r="AA105" s="985"/>
      <c r="AB105" s="985"/>
      <c r="AC105" s="985"/>
      <c r="AD105" s="985"/>
      <c r="AE105" s="985"/>
      <c r="AF105" s="985"/>
      <c r="AG105" s="985"/>
      <c r="AH105" s="985"/>
      <c r="AI105" s="985"/>
      <c r="AJ105" s="985"/>
      <c r="AK105" s="985"/>
      <c r="AL105" s="985"/>
      <c r="AM105" s="985"/>
      <c r="AN105" s="8"/>
      <c r="AO105" s="983"/>
      <c r="AP105" s="983"/>
      <c r="AQ105" s="983"/>
      <c r="AR105" s="983"/>
      <c r="AS105" s="983"/>
      <c r="AT105" s="983"/>
      <c r="AU105" s="983"/>
      <c r="AV105" s="983"/>
      <c r="AW105" s="983"/>
      <c r="AX105" s="983"/>
      <c r="AY105" s="983"/>
      <c r="AZ105" s="983"/>
      <c r="BA105" s="983"/>
      <c r="BB105" s="983"/>
      <c r="BC105" s="983"/>
      <c r="BD105" s="983"/>
      <c r="BE105" s="983"/>
      <c r="BF105" s="983"/>
      <c r="BH105" s="1002">
        <f t="shared" si="50"/>
        <v>1</v>
      </c>
      <c r="BI105" s="1002">
        <f t="shared" si="51"/>
        <v>1</v>
      </c>
      <c r="BJ105" s="1002">
        <f t="shared" si="52"/>
        <v>1</v>
      </c>
      <c r="BK105" s="1002">
        <f t="shared" si="53"/>
        <v>0</v>
      </c>
      <c r="BL105" s="1002">
        <f t="shared" si="54"/>
        <v>0</v>
      </c>
    </row>
    <row r="106" spans="2:75" x14ac:dyDescent="0.3">
      <c r="B106" s="1280">
        <v>54</v>
      </c>
      <c r="C106" s="977" t="s">
        <v>297</v>
      </c>
      <c r="D106" s="977" t="s">
        <v>232</v>
      </c>
      <c r="E106" s="977" t="s">
        <v>1550</v>
      </c>
      <c r="F106" s="978" t="s">
        <v>2662</v>
      </c>
      <c r="G106" s="977" t="s">
        <v>149</v>
      </c>
      <c r="H106" s="991" t="str">
        <f t="shared" si="47"/>
        <v>Häviö</v>
      </c>
      <c r="I106" s="991" t="s">
        <v>1515</v>
      </c>
      <c r="J106" s="991" t="s">
        <v>0</v>
      </c>
      <c r="K106" s="991" t="s">
        <v>2652</v>
      </c>
      <c r="L106" s="992">
        <f t="shared" si="48"/>
        <v>2</v>
      </c>
      <c r="M106" s="992">
        <f t="shared" si="49"/>
        <v>4</v>
      </c>
      <c r="N106" s="1262">
        <v>1</v>
      </c>
      <c r="O106" s="992">
        <v>1</v>
      </c>
      <c r="P106" s="1262">
        <v>1</v>
      </c>
      <c r="Q106" s="992">
        <v>1</v>
      </c>
      <c r="R106" s="1262">
        <v>0</v>
      </c>
      <c r="S106" s="992">
        <v>2</v>
      </c>
      <c r="T106" s="1262"/>
      <c r="U106" s="992"/>
      <c r="V106" s="985"/>
      <c r="W106" s="985"/>
      <c r="X106" s="985"/>
      <c r="Y106" s="985"/>
      <c r="Z106" s="985"/>
      <c r="AA106" s="985"/>
      <c r="AB106" s="985"/>
      <c r="AC106" s="985"/>
      <c r="AD106" s="985"/>
      <c r="AE106" s="985"/>
      <c r="AF106" s="985"/>
      <c r="AG106" s="985"/>
      <c r="AH106" s="985"/>
      <c r="AI106" s="985"/>
      <c r="AJ106" s="985"/>
      <c r="AK106" s="985"/>
      <c r="AL106" s="985"/>
      <c r="AM106" s="985"/>
      <c r="AN106" s="8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H106" s="1002">
        <f t="shared" si="50"/>
        <v>1</v>
      </c>
      <c r="BI106" s="1002">
        <f t="shared" si="51"/>
        <v>1</v>
      </c>
      <c r="BJ106" s="1002">
        <f t="shared" si="52"/>
        <v>1</v>
      </c>
      <c r="BK106" s="1002">
        <f t="shared" si="53"/>
        <v>0</v>
      </c>
      <c r="BL106" s="1002">
        <f t="shared" si="54"/>
        <v>0</v>
      </c>
    </row>
    <row r="107" spans="2:75" x14ac:dyDescent="0.3">
      <c r="B107" s="1280">
        <v>55</v>
      </c>
      <c r="C107" s="977" t="s">
        <v>297</v>
      </c>
      <c r="D107" s="977" t="s">
        <v>232</v>
      </c>
      <c r="E107" s="977" t="s">
        <v>1551</v>
      </c>
      <c r="F107" s="978" t="s">
        <v>2663</v>
      </c>
      <c r="G107" s="977" t="s">
        <v>246</v>
      </c>
      <c r="H107" s="991" t="str">
        <f t="shared" si="47"/>
        <v>Häviö</v>
      </c>
      <c r="I107" s="991" t="s">
        <v>1514</v>
      </c>
      <c r="J107" s="991" t="s">
        <v>0</v>
      </c>
      <c r="K107" s="991" t="s">
        <v>2569</v>
      </c>
      <c r="L107" s="992">
        <f t="shared" si="48"/>
        <v>4</v>
      </c>
      <c r="M107" s="992">
        <f t="shared" si="49"/>
        <v>5</v>
      </c>
      <c r="N107" s="1262">
        <v>3</v>
      </c>
      <c r="O107" s="992">
        <v>1</v>
      </c>
      <c r="P107" s="1262">
        <v>0</v>
      </c>
      <c r="Q107" s="992">
        <v>3</v>
      </c>
      <c r="R107" s="1262">
        <v>1</v>
      </c>
      <c r="S107" s="992">
        <v>1</v>
      </c>
      <c r="T107" s="1262"/>
      <c r="U107" s="992"/>
      <c r="V107" s="985"/>
      <c r="W107" s="985"/>
      <c r="X107" s="985"/>
      <c r="Y107" s="985"/>
      <c r="Z107" s="985"/>
      <c r="AA107" s="985"/>
      <c r="AB107" s="985"/>
      <c r="AC107" s="985"/>
      <c r="AD107" s="985"/>
      <c r="AE107" s="985"/>
      <c r="AF107" s="985"/>
      <c r="AG107" s="985"/>
      <c r="AH107" s="985"/>
      <c r="AI107" s="985"/>
      <c r="AJ107" s="985"/>
      <c r="AK107" s="985"/>
      <c r="AL107" s="985"/>
      <c r="AM107" s="985"/>
      <c r="AN107" s="8"/>
      <c r="AO107" s="983"/>
      <c r="AP107" s="983"/>
      <c r="AQ107" s="983"/>
      <c r="AR107" s="983"/>
      <c r="AS107" s="983"/>
      <c r="AT107" s="983"/>
      <c r="AU107" s="983"/>
      <c r="AV107" s="983"/>
      <c r="AW107" s="983"/>
      <c r="AX107" s="983"/>
      <c r="AY107" s="983"/>
      <c r="AZ107" s="983"/>
      <c r="BA107" s="983"/>
      <c r="BB107" s="983"/>
      <c r="BC107" s="983"/>
      <c r="BD107" s="983"/>
      <c r="BE107" s="983"/>
      <c r="BF107" s="983"/>
      <c r="BH107" s="1002">
        <f t="shared" si="50"/>
        <v>1</v>
      </c>
      <c r="BI107" s="1002">
        <f t="shared" si="51"/>
        <v>1</v>
      </c>
      <c r="BJ107" s="1002">
        <f t="shared" si="52"/>
        <v>1</v>
      </c>
      <c r="BK107" s="1002">
        <f t="shared" si="53"/>
        <v>0</v>
      </c>
      <c r="BL107" s="1002">
        <f t="shared" si="54"/>
        <v>0</v>
      </c>
    </row>
    <row r="108" spans="2:75" x14ac:dyDescent="0.3">
      <c r="B108" s="1280">
        <v>56</v>
      </c>
      <c r="C108" s="977" t="s">
        <v>297</v>
      </c>
      <c r="D108" s="977" t="s">
        <v>232</v>
      </c>
      <c r="E108" s="977" t="s">
        <v>1552</v>
      </c>
      <c r="F108" s="978" t="s">
        <v>2664</v>
      </c>
      <c r="G108" s="977" t="s">
        <v>242</v>
      </c>
      <c r="H108" s="991" t="str">
        <f t="shared" si="47"/>
        <v>Voitto</v>
      </c>
      <c r="I108" s="991" t="s">
        <v>1515</v>
      </c>
      <c r="J108" s="991" t="s">
        <v>0</v>
      </c>
      <c r="K108" s="991" t="s">
        <v>2612</v>
      </c>
      <c r="L108" s="992">
        <f t="shared" si="48"/>
        <v>6</v>
      </c>
      <c r="M108" s="992">
        <f t="shared" si="49"/>
        <v>2</v>
      </c>
      <c r="N108" s="1262">
        <v>1</v>
      </c>
      <c r="O108" s="992">
        <v>2</v>
      </c>
      <c r="P108" s="1262">
        <v>2</v>
      </c>
      <c r="Q108" s="992">
        <v>0</v>
      </c>
      <c r="R108" s="1262">
        <v>3</v>
      </c>
      <c r="S108" s="992">
        <v>0</v>
      </c>
      <c r="T108" s="1262"/>
      <c r="U108" s="992"/>
      <c r="V108" s="985"/>
      <c r="W108" s="985"/>
      <c r="X108" s="985"/>
      <c r="Y108" s="985"/>
      <c r="Z108" s="985"/>
      <c r="AA108" s="985"/>
      <c r="AB108" s="985"/>
      <c r="AC108" s="985"/>
      <c r="AD108" s="985"/>
      <c r="AE108" s="985"/>
      <c r="AF108" s="985"/>
      <c r="AG108" s="985"/>
      <c r="AH108" s="985"/>
      <c r="AI108" s="985"/>
      <c r="AJ108" s="985"/>
      <c r="AK108" s="985"/>
      <c r="AL108" s="985"/>
      <c r="AM108" s="985"/>
      <c r="AN108" s="8"/>
      <c r="AO108" s="983"/>
      <c r="AP108" s="983"/>
      <c r="AQ108" s="983"/>
      <c r="AR108" s="983"/>
      <c r="AS108" s="983"/>
      <c r="AT108" s="983"/>
      <c r="AU108" s="983"/>
      <c r="AV108" s="983"/>
      <c r="AW108" s="983"/>
      <c r="AX108" s="983"/>
      <c r="AY108" s="983"/>
      <c r="AZ108" s="983"/>
      <c r="BA108" s="983"/>
      <c r="BB108" s="983"/>
      <c r="BC108" s="983"/>
      <c r="BD108" s="983"/>
      <c r="BE108" s="983"/>
      <c r="BF108" s="983"/>
      <c r="BH108" s="1002">
        <f t="shared" si="50"/>
        <v>1</v>
      </c>
      <c r="BI108" s="1002">
        <f t="shared" si="51"/>
        <v>1</v>
      </c>
      <c r="BJ108" s="1002">
        <f t="shared" si="52"/>
        <v>1</v>
      </c>
      <c r="BK108" s="1002">
        <f t="shared" si="53"/>
        <v>0</v>
      </c>
      <c r="BL108" s="1002">
        <f t="shared" si="54"/>
        <v>0</v>
      </c>
    </row>
    <row r="109" spans="2:75" x14ac:dyDescent="0.3">
      <c r="B109" s="1280">
        <v>57</v>
      </c>
      <c r="C109" s="977" t="s">
        <v>297</v>
      </c>
      <c r="D109" s="977" t="s">
        <v>232</v>
      </c>
      <c r="E109" s="977" t="s">
        <v>1553</v>
      </c>
      <c r="F109" s="978" t="s">
        <v>2665</v>
      </c>
      <c r="G109" s="977" t="s">
        <v>242</v>
      </c>
      <c r="H109" s="991" t="str">
        <f t="shared" si="47"/>
        <v>Voitto</v>
      </c>
      <c r="I109" s="991" t="s">
        <v>1514</v>
      </c>
      <c r="J109" s="991" t="s">
        <v>0</v>
      </c>
      <c r="K109" s="991" t="s">
        <v>2656</v>
      </c>
      <c r="L109" s="992">
        <f t="shared" si="48"/>
        <v>11</v>
      </c>
      <c r="M109" s="992">
        <f t="shared" si="49"/>
        <v>4</v>
      </c>
      <c r="N109" s="1262">
        <v>3</v>
      </c>
      <c r="O109" s="992">
        <v>3</v>
      </c>
      <c r="P109" s="1262">
        <v>1</v>
      </c>
      <c r="Q109" s="992">
        <v>0</v>
      </c>
      <c r="R109" s="1262">
        <v>7</v>
      </c>
      <c r="S109" s="992">
        <v>1</v>
      </c>
      <c r="T109" s="1262"/>
      <c r="U109" s="992"/>
      <c r="V109" s="985"/>
      <c r="W109" s="985"/>
      <c r="X109" s="985"/>
      <c r="Y109" s="985"/>
      <c r="Z109" s="985"/>
      <c r="AA109" s="985"/>
      <c r="AB109" s="985"/>
      <c r="AC109" s="985"/>
      <c r="AD109" s="985"/>
      <c r="AE109" s="985"/>
      <c r="AF109" s="985"/>
      <c r="AG109" s="985"/>
      <c r="AH109" s="985"/>
      <c r="AI109" s="985"/>
      <c r="AJ109" s="985"/>
      <c r="AK109" s="985"/>
      <c r="AL109" s="985"/>
      <c r="AM109" s="985"/>
      <c r="AN109" s="8"/>
      <c r="AO109" s="983"/>
      <c r="AP109" s="983"/>
      <c r="AQ109" s="983"/>
      <c r="AR109" s="983"/>
      <c r="AS109" s="983"/>
      <c r="AT109" s="983"/>
      <c r="AU109" s="983"/>
      <c r="AV109" s="983"/>
      <c r="AW109" s="983"/>
      <c r="AX109" s="983"/>
      <c r="AY109" s="983"/>
      <c r="AZ109" s="983"/>
      <c r="BA109" s="983"/>
      <c r="BB109" s="983"/>
      <c r="BC109" s="983"/>
      <c r="BD109" s="983"/>
      <c r="BE109" s="983"/>
      <c r="BF109" s="983"/>
      <c r="BH109" s="1002">
        <f t="shared" si="50"/>
        <v>1</v>
      </c>
      <c r="BI109" s="1002">
        <f t="shared" si="51"/>
        <v>1</v>
      </c>
      <c r="BJ109" s="1002">
        <f t="shared" si="52"/>
        <v>1</v>
      </c>
      <c r="BK109" s="1002">
        <f t="shared" si="53"/>
        <v>0</v>
      </c>
      <c r="BL109" s="1002">
        <f t="shared" si="54"/>
        <v>0</v>
      </c>
    </row>
    <row r="111" spans="2:75" x14ac:dyDescent="0.3">
      <c r="F111" s="975"/>
      <c r="G111" s="975" t="s">
        <v>2036</v>
      </c>
      <c r="H111" s="975"/>
      <c r="I111" s="1003"/>
      <c r="J111" s="1003"/>
      <c r="K111" s="1003"/>
      <c r="L111" s="1003" t="s">
        <v>2037</v>
      </c>
      <c r="M111" s="1003" t="s">
        <v>2038</v>
      </c>
      <c r="O111" s="1003" t="s">
        <v>1409</v>
      </c>
      <c r="P111" s="1003" t="s">
        <v>1410</v>
      </c>
      <c r="Q111" s="1003" t="s">
        <v>1411</v>
      </c>
      <c r="V111" s="981" t="s">
        <v>1557</v>
      </c>
      <c r="W111" s="981" t="s">
        <v>1556</v>
      </c>
      <c r="X111" s="981" t="s">
        <v>501</v>
      </c>
      <c r="Y111" s="981" t="s">
        <v>708</v>
      </c>
      <c r="Z111" s="981" t="s">
        <v>82</v>
      </c>
      <c r="AA111" s="981" t="s">
        <v>709</v>
      </c>
      <c r="AB111" s="981" t="s">
        <v>1419</v>
      </c>
      <c r="AC111" s="981" t="s">
        <v>1420</v>
      </c>
      <c r="AD111" s="982" t="s">
        <v>1827</v>
      </c>
      <c r="AE111" s="981" t="s">
        <v>1828</v>
      </c>
      <c r="AF111" s="981" t="s">
        <v>1425</v>
      </c>
      <c r="AG111" s="981" t="s">
        <v>1535</v>
      </c>
      <c r="AH111" s="981" t="s">
        <v>1536</v>
      </c>
      <c r="AI111" s="981" t="s">
        <v>1559</v>
      </c>
      <c r="AJ111" s="981" t="s">
        <v>1896</v>
      </c>
      <c r="AK111" s="981" t="s">
        <v>1967</v>
      </c>
      <c r="AL111" s="981" t="s">
        <v>19</v>
      </c>
      <c r="AM111" s="981"/>
      <c r="AO111" s="979" t="s">
        <v>1557</v>
      </c>
      <c r="AP111" s="979" t="s">
        <v>1556</v>
      </c>
      <c r="AQ111" s="979" t="s">
        <v>501</v>
      </c>
      <c r="AR111" s="979" t="s">
        <v>708</v>
      </c>
      <c r="AS111" s="979" t="s">
        <v>82</v>
      </c>
      <c r="AT111" s="979" t="s">
        <v>709</v>
      </c>
      <c r="AU111" s="979" t="s">
        <v>1419</v>
      </c>
      <c r="AV111" s="979" t="s">
        <v>1420</v>
      </c>
      <c r="AW111" s="980" t="s">
        <v>1827</v>
      </c>
      <c r="AX111" s="979" t="s">
        <v>1828</v>
      </c>
      <c r="AY111" s="979" t="s">
        <v>1425</v>
      </c>
      <c r="AZ111" s="979" t="s">
        <v>1535</v>
      </c>
      <c r="BA111" s="979" t="s">
        <v>1536</v>
      </c>
      <c r="BB111" s="979" t="s">
        <v>1559</v>
      </c>
      <c r="BC111" s="979" t="s">
        <v>1896</v>
      </c>
      <c r="BD111" s="979" t="s">
        <v>1967</v>
      </c>
      <c r="BE111" s="979" t="s">
        <v>19</v>
      </c>
      <c r="BF111" s="979"/>
      <c r="BH111" s="1001" t="s">
        <v>2045</v>
      </c>
      <c r="BI111" s="1001"/>
      <c r="BJ111" s="1001" t="s">
        <v>1913</v>
      </c>
      <c r="BK111" s="1001" t="s">
        <v>537</v>
      </c>
      <c r="BL111" s="1001" t="s">
        <v>1128</v>
      </c>
    </row>
    <row r="112" spans="2:75" x14ac:dyDescent="0.3">
      <c r="F112" s="977" t="str">
        <f>C90</f>
        <v>2008-2009</v>
      </c>
      <c r="G112" s="977" t="s">
        <v>232</v>
      </c>
      <c r="H112" s="977"/>
      <c r="I112" s="1004"/>
      <c r="J112" s="1004"/>
      <c r="K112" s="1004"/>
      <c r="L112" s="1004">
        <f>SUM(L92:L109)</f>
        <v>115</v>
      </c>
      <c r="M112" s="1004">
        <f>SUM(M92:M109)</f>
        <v>52</v>
      </c>
      <c r="N112" s="8"/>
      <c r="O112" s="1004">
        <f>COUNTIF(H92:H109,"Voitto")</f>
        <v>14</v>
      </c>
      <c r="P112" s="1004">
        <f>COUNTIF(H92:H109,"Tasapeli")</f>
        <v>0</v>
      </c>
      <c r="Q112" s="1004">
        <f>COUNTIF(H92:H109,"Häviö")</f>
        <v>4</v>
      </c>
      <c r="V112" s="8">
        <f>SUM(V92:V109)</f>
        <v>0</v>
      </c>
      <c r="W112" s="8">
        <f t="shared" ref="W112:AK112" si="55">SUM(W92:W109)</f>
        <v>0</v>
      </c>
      <c r="X112" s="8">
        <f t="shared" si="55"/>
        <v>0</v>
      </c>
      <c r="Y112" s="8">
        <f t="shared" si="55"/>
        <v>0</v>
      </c>
      <c r="Z112" s="8">
        <f t="shared" si="55"/>
        <v>0</v>
      </c>
      <c r="AA112" s="8">
        <f t="shared" si="55"/>
        <v>0</v>
      </c>
      <c r="AB112" s="8">
        <f t="shared" si="55"/>
        <v>0</v>
      </c>
      <c r="AC112" s="8">
        <f t="shared" si="55"/>
        <v>0</v>
      </c>
      <c r="AD112" s="8">
        <f t="shared" si="55"/>
        <v>0</v>
      </c>
      <c r="AE112" s="8">
        <f t="shared" si="55"/>
        <v>0</v>
      </c>
      <c r="AF112" s="8">
        <f t="shared" si="55"/>
        <v>0</v>
      </c>
      <c r="AG112" s="8">
        <f t="shared" si="55"/>
        <v>0</v>
      </c>
      <c r="AH112" s="8">
        <f t="shared" si="55"/>
        <v>0</v>
      </c>
      <c r="AI112" s="8">
        <f t="shared" si="55"/>
        <v>0</v>
      </c>
      <c r="AJ112" s="8">
        <f t="shared" si="55"/>
        <v>0</v>
      </c>
      <c r="AK112" s="8">
        <f t="shared" si="55"/>
        <v>0</v>
      </c>
      <c r="AL112" s="8">
        <f>MIN(AL92:AL109)</f>
        <v>0</v>
      </c>
      <c r="AM112" s="8">
        <f>MAX(AL92:AL109)</f>
        <v>0</v>
      </c>
      <c r="AO112" s="8">
        <f>SUM(AO92:AO109)</f>
        <v>0</v>
      </c>
      <c r="AP112" s="8">
        <f t="shared" ref="AP112:BD112" si="56">SUM(AP92:AP109)</f>
        <v>0</v>
      </c>
      <c r="AQ112" s="8">
        <f t="shared" si="56"/>
        <v>0</v>
      </c>
      <c r="AR112" s="8">
        <f t="shared" si="56"/>
        <v>0</v>
      </c>
      <c r="AS112" s="8">
        <f t="shared" si="56"/>
        <v>0</v>
      </c>
      <c r="AT112" s="8">
        <f t="shared" si="56"/>
        <v>0</v>
      </c>
      <c r="AU112" s="8">
        <f t="shared" si="56"/>
        <v>0</v>
      </c>
      <c r="AV112" s="8">
        <f t="shared" si="56"/>
        <v>0</v>
      </c>
      <c r="AW112" s="8">
        <f t="shared" si="56"/>
        <v>0</v>
      </c>
      <c r="AX112" s="8">
        <f t="shared" si="56"/>
        <v>0</v>
      </c>
      <c r="AY112" s="8">
        <f t="shared" si="56"/>
        <v>0</v>
      </c>
      <c r="AZ112" s="8">
        <f t="shared" si="56"/>
        <v>0</v>
      </c>
      <c r="BA112" s="8">
        <f t="shared" si="56"/>
        <v>0</v>
      </c>
      <c r="BB112" s="8">
        <f t="shared" si="56"/>
        <v>0</v>
      </c>
      <c r="BC112" s="8">
        <f t="shared" si="56"/>
        <v>0</v>
      </c>
      <c r="BD112" s="8">
        <f t="shared" si="56"/>
        <v>0</v>
      </c>
      <c r="BE112">
        <f>MIN(BE92:BE109)</f>
        <v>0</v>
      </c>
      <c r="BF112">
        <f>MAX(BE92:BE109)</f>
        <v>0</v>
      </c>
      <c r="BJ112" s="8">
        <f>SUM(BJ92:BJ109)</f>
        <v>18</v>
      </c>
      <c r="BK112" s="8">
        <f>SUM(BK92:BK109)</f>
        <v>0</v>
      </c>
      <c r="BL112" s="8">
        <f>SUM(BL92:BL109)</f>
        <v>0</v>
      </c>
    </row>
    <row r="117" spans="2:75" x14ac:dyDescent="0.3">
      <c r="C117" s="205" t="s">
        <v>584</v>
      </c>
      <c r="D117" s="205" t="s">
        <v>2009</v>
      </c>
      <c r="V117" s="205" t="s">
        <v>0</v>
      </c>
      <c r="AO117" s="265" t="s">
        <v>1895</v>
      </c>
      <c r="BP117" s="205" t="s">
        <v>584</v>
      </c>
      <c r="BQ117" s="205" t="s">
        <v>2602</v>
      </c>
    </row>
    <row r="118" spans="2:75" x14ac:dyDescent="0.3">
      <c r="B118" s="1003" t="s">
        <v>1393</v>
      </c>
      <c r="C118" s="975" t="s">
        <v>1831</v>
      </c>
      <c r="D118" s="975" t="s">
        <v>1830</v>
      </c>
      <c r="E118" s="975" t="s">
        <v>1832</v>
      </c>
      <c r="F118" s="975" t="s">
        <v>1836</v>
      </c>
      <c r="G118" s="975" t="s">
        <v>1835</v>
      </c>
      <c r="H118" s="989" t="s">
        <v>1407</v>
      </c>
      <c r="I118" s="990" t="s">
        <v>2019</v>
      </c>
      <c r="J118" s="990" t="s">
        <v>0</v>
      </c>
      <c r="K118" s="990" t="s">
        <v>1128</v>
      </c>
      <c r="L118" s="1324" t="s">
        <v>1407</v>
      </c>
      <c r="M118" s="1325"/>
      <c r="N118" s="1326" t="s">
        <v>1822</v>
      </c>
      <c r="O118" s="1325"/>
      <c r="P118" s="1326" t="s">
        <v>1823</v>
      </c>
      <c r="Q118" s="1325"/>
      <c r="R118" s="1326" t="s">
        <v>1824</v>
      </c>
      <c r="S118" s="1325"/>
      <c r="T118" s="1326" t="s">
        <v>2706</v>
      </c>
      <c r="U118" s="1324"/>
      <c r="V118" s="981" t="s">
        <v>1557</v>
      </c>
      <c r="W118" s="981" t="s">
        <v>1556</v>
      </c>
      <c r="X118" s="981" t="s">
        <v>501</v>
      </c>
      <c r="Y118" s="981" t="s">
        <v>708</v>
      </c>
      <c r="Z118" s="981" t="s">
        <v>82</v>
      </c>
      <c r="AA118" s="981" t="s">
        <v>709</v>
      </c>
      <c r="AB118" s="981" t="s">
        <v>1419</v>
      </c>
      <c r="AC118" s="981" t="s">
        <v>1420</v>
      </c>
      <c r="AD118" s="982" t="s">
        <v>1827</v>
      </c>
      <c r="AE118" s="981" t="s">
        <v>1828</v>
      </c>
      <c r="AF118" s="981" t="s">
        <v>1425</v>
      </c>
      <c r="AG118" s="981" t="s">
        <v>1535</v>
      </c>
      <c r="AH118" s="981" t="s">
        <v>1536</v>
      </c>
      <c r="AI118" s="981" t="s">
        <v>1559</v>
      </c>
      <c r="AJ118" s="981" t="s">
        <v>1896</v>
      </c>
      <c r="AK118" s="981" t="s">
        <v>1967</v>
      </c>
      <c r="AL118" s="981" t="s">
        <v>19</v>
      </c>
      <c r="AM118" s="981"/>
      <c r="AN118" s="265"/>
      <c r="AO118" s="979" t="s">
        <v>1557</v>
      </c>
      <c r="AP118" s="979" t="s">
        <v>1556</v>
      </c>
      <c r="AQ118" s="979" t="s">
        <v>501</v>
      </c>
      <c r="AR118" s="979" t="s">
        <v>708</v>
      </c>
      <c r="AS118" s="979" t="s">
        <v>82</v>
      </c>
      <c r="AT118" s="979" t="s">
        <v>709</v>
      </c>
      <c r="AU118" s="979" t="s">
        <v>1419</v>
      </c>
      <c r="AV118" s="979" t="s">
        <v>1420</v>
      </c>
      <c r="AW118" s="980" t="s">
        <v>1827</v>
      </c>
      <c r="AX118" s="979" t="s">
        <v>1828</v>
      </c>
      <c r="AY118" s="979" t="s">
        <v>1425</v>
      </c>
      <c r="AZ118" s="979" t="s">
        <v>1535</v>
      </c>
      <c r="BA118" s="979" t="s">
        <v>1536</v>
      </c>
      <c r="BB118" s="979" t="s">
        <v>1559</v>
      </c>
      <c r="BC118" s="979" t="s">
        <v>1896</v>
      </c>
      <c r="BD118" s="979" t="s">
        <v>1967</v>
      </c>
      <c r="BE118" s="979" t="s">
        <v>19</v>
      </c>
      <c r="BF118" s="979"/>
      <c r="BH118" s="1001" t="s">
        <v>1911</v>
      </c>
      <c r="BI118" s="1001" t="s">
        <v>1912</v>
      </c>
      <c r="BJ118" s="1001" t="s">
        <v>1913</v>
      </c>
      <c r="BK118" s="1001" t="s">
        <v>537</v>
      </c>
      <c r="BL118" s="1001" t="s">
        <v>1128</v>
      </c>
    </row>
    <row r="119" spans="2:75" x14ac:dyDescent="0.3">
      <c r="B119" s="1280">
        <v>58</v>
      </c>
      <c r="C119" s="977" t="s">
        <v>584</v>
      </c>
      <c r="D119" s="977" t="s">
        <v>1829</v>
      </c>
      <c r="E119" s="977" t="s">
        <v>1516</v>
      </c>
      <c r="F119" s="978" t="s">
        <v>2666</v>
      </c>
      <c r="G119" s="977" t="s">
        <v>249</v>
      </c>
      <c r="H119" s="991" t="str">
        <f t="shared" ref="H119:H136" si="57">IF(L119=M119,"Tasapeli",IF(L119&lt;M119,"Häviö","Voitto"))</f>
        <v>Voitto</v>
      </c>
      <c r="I119" s="991" t="s">
        <v>1515</v>
      </c>
      <c r="J119" s="991" t="s">
        <v>0</v>
      </c>
      <c r="K119" s="991" t="s">
        <v>2615</v>
      </c>
      <c r="L119" s="992">
        <f t="shared" ref="L119:L136" si="58">N119+P119+R119</f>
        <v>9</v>
      </c>
      <c r="M119" s="992">
        <f t="shared" ref="M119:M136" si="59">O119+Q119+S119</f>
        <v>7</v>
      </c>
      <c r="N119" s="1262">
        <v>2</v>
      </c>
      <c r="O119" s="992">
        <v>4</v>
      </c>
      <c r="P119" s="1262">
        <v>4</v>
      </c>
      <c r="Q119" s="992">
        <v>1</v>
      </c>
      <c r="R119" s="1262">
        <v>3</v>
      </c>
      <c r="S119" s="992">
        <v>2</v>
      </c>
      <c r="T119" s="1262"/>
      <c r="U119" s="992"/>
      <c r="V119" s="985"/>
      <c r="W119" s="985"/>
      <c r="X119" s="985"/>
      <c r="Y119" s="985"/>
      <c r="Z119" s="985"/>
      <c r="AA119" s="985"/>
      <c r="AB119" s="985"/>
      <c r="AC119" s="985"/>
      <c r="AD119" s="985"/>
      <c r="AE119" s="985"/>
      <c r="AF119" s="985"/>
      <c r="AG119" s="985"/>
      <c r="AH119" s="985"/>
      <c r="AI119" s="985"/>
      <c r="AJ119" s="985"/>
      <c r="AK119" s="985"/>
      <c r="AL119" s="985"/>
      <c r="AM119" s="985"/>
      <c r="AN119" s="8"/>
      <c r="AO119" s="983"/>
      <c r="AP119" s="983"/>
      <c r="AQ119" s="983"/>
      <c r="AR119" s="983"/>
      <c r="AS119" s="983"/>
      <c r="AT119" s="983"/>
      <c r="AU119" s="983"/>
      <c r="AV119" s="983"/>
      <c r="AW119" s="983"/>
      <c r="AX119" s="983"/>
      <c r="AY119" s="983"/>
      <c r="AZ119" s="983"/>
      <c r="BA119" s="983"/>
      <c r="BB119" s="983"/>
      <c r="BC119" s="983"/>
      <c r="BD119" s="983"/>
      <c r="BE119" s="983"/>
      <c r="BF119" s="983"/>
      <c r="BH119" s="1002">
        <f>IF(V119=0,1,0)</f>
        <v>1</v>
      </c>
      <c r="BI119" s="1002">
        <f>IF(AO119=0,1,0)</f>
        <v>1</v>
      </c>
      <c r="BJ119" s="1002">
        <f>IF(V119+AO119=0,1,0)</f>
        <v>1</v>
      </c>
      <c r="BK119" s="1002">
        <f>IF(BH119&gt;BI119,1,0)</f>
        <v>0</v>
      </c>
      <c r="BL119" s="1002">
        <f>IF(BI119&gt;BH119,1,0)</f>
        <v>0</v>
      </c>
      <c r="BO119" s="1282" t="s">
        <v>1393</v>
      </c>
      <c r="BP119" s="1281" t="s">
        <v>989</v>
      </c>
      <c r="BQ119" s="1282" t="s">
        <v>877</v>
      </c>
      <c r="BR119" s="1282" t="s">
        <v>990</v>
      </c>
      <c r="BS119" s="1282" t="s">
        <v>991</v>
      </c>
      <c r="BT119" s="1282" t="s">
        <v>992</v>
      </c>
      <c r="BU119" s="1282" t="s">
        <v>139</v>
      </c>
      <c r="BV119" s="1282" t="s">
        <v>993</v>
      </c>
      <c r="BW119" s="1282" t="s">
        <v>610</v>
      </c>
    </row>
    <row r="120" spans="2:75" ht="15" thickBot="1" x14ac:dyDescent="0.35">
      <c r="B120" s="1280">
        <v>59</v>
      </c>
      <c r="C120" s="977" t="s">
        <v>584</v>
      </c>
      <c r="D120" s="977" t="s">
        <v>1829</v>
      </c>
      <c r="E120" s="977" t="s">
        <v>1537</v>
      </c>
      <c r="F120" s="978" t="s">
        <v>2667</v>
      </c>
      <c r="G120" s="977" t="s">
        <v>249</v>
      </c>
      <c r="H120" s="991" t="str">
        <f t="shared" si="57"/>
        <v>Voitto</v>
      </c>
      <c r="I120" s="991" t="s">
        <v>1514</v>
      </c>
      <c r="J120" s="991" t="s">
        <v>0</v>
      </c>
      <c r="K120" s="991" t="s">
        <v>2603</v>
      </c>
      <c r="L120" s="992">
        <f t="shared" si="58"/>
        <v>3</v>
      </c>
      <c r="M120" s="992">
        <f t="shared" si="59"/>
        <v>1</v>
      </c>
      <c r="N120" s="1262">
        <v>1</v>
      </c>
      <c r="O120" s="992">
        <v>0</v>
      </c>
      <c r="P120" s="1262">
        <v>1</v>
      </c>
      <c r="Q120" s="992">
        <v>0</v>
      </c>
      <c r="R120" s="1262">
        <v>1</v>
      </c>
      <c r="S120" s="992">
        <v>1</v>
      </c>
      <c r="T120" s="1262"/>
      <c r="U120" s="992"/>
      <c r="V120" s="985"/>
      <c r="W120" s="985"/>
      <c r="X120" s="985"/>
      <c r="Y120" s="985"/>
      <c r="Z120" s="985"/>
      <c r="AA120" s="985"/>
      <c r="AB120" s="985"/>
      <c r="AC120" s="985"/>
      <c r="AD120" s="985"/>
      <c r="AE120" s="985"/>
      <c r="AF120" s="985"/>
      <c r="AG120" s="985"/>
      <c r="AH120" s="985"/>
      <c r="AI120" s="985"/>
      <c r="AJ120" s="985"/>
      <c r="AK120" s="985"/>
      <c r="AL120" s="985"/>
      <c r="AM120" s="985"/>
      <c r="AN120" s="8"/>
      <c r="AO120" s="983"/>
      <c r="AP120" s="983"/>
      <c r="AQ120" s="983"/>
      <c r="AR120" s="983"/>
      <c r="AS120" s="983"/>
      <c r="AT120" s="983"/>
      <c r="AU120" s="983"/>
      <c r="AV120" s="983"/>
      <c r="AW120" s="983"/>
      <c r="AX120" s="983"/>
      <c r="AY120" s="983"/>
      <c r="AZ120" s="983"/>
      <c r="BA120" s="983"/>
      <c r="BB120" s="983"/>
      <c r="BC120" s="983"/>
      <c r="BD120" s="983"/>
      <c r="BE120" s="988"/>
      <c r="BF120" s="988"/>
      <c r="BH120" s="1002">
        <f t="shared" ref="BH120:BH136" si="60">IF(V120=0,1,0)</f>
        <v>1</v>
      </c>
      <c r="BI120" s="1002">
        <f t="shared" ref="BI120:BI136" si="61">IF(AO120=0,1,0)</f>
        <v>1</v>
      </c>
      <c r="BJ120" s="1002">
        <f t="shared" ref="BJ120:BJ136" si="62">IF(V120+AO120=0,1,0)</f>
        <v>1</v>
      </c>
      <c r="BK120" s="1002">
        <f t="shared" ref="BK120:BK136" si="63">IF(BH120&gt;BI120,1,0)</f>
        <v>0</v>
      </c>
      <c r="BL120" s="1002">
        <f t="shared" ref="BL120:BL136" si="64">IF(BI120&gt;BH120,1,0)</f>
        <v>0</v>
      </c>
      <c r="BO120" s="119">
        <v>1</v>
      </c>
      <c r="BP120" s="1285" t="s">
        <v>2609</v>
      </c>
      <c r="BQ120" s="121">
        <v>18</v>
      </c>
      <c r="BR120" s="121">
        <v>17</v>
      </c>
      <c r="BS120" s="121">
        <v>1</v>
      </c>
      <c r="BT120" s="121">
        <v>0</v>
      </c>
      <c r="BU120" s="121">
        <v>149</v>
      </c>
      <c r="BV120" s="121">
        <v>44</v>
      </c>
      <c r="BW120" s="121">
        <v>35</v>
      </c>
    </row>
    <row r="121" spans="2:75" ht="15" thickBot="1" x14ac:dyDescent="0.35">
      <c r="B121" s="1280">
        <v>60</v>
      </c>
      <c r="C121" s="977" t="s">
        <v>584</v>
      </c>
      <c r="D121" s="977" t="s">
        <v>1829</v>
      </c>
      <c r="E121" s="977" t="s">
        <v>1538</v>
      </c>
      <c r="F121" s="978" t="s">
        <v>2668</v>
      </c>
      <c r="G121" s="977" t="s">
        <v>150</v>
      </c>
      <c r="H121" s="991" t="str">
        <f t="shared" si="57"/>
        <v>Häviö</v>
      </c>
      <c r="I121" s="991" t="s">
        <v>1514</v>
      </c>
      <c r="J121" s="991" t="s">
        <v>0</v>
      </c>
      <c r="K121" s="991" t="s">
        <v>2557</v>
      </c>
      <c r="L121" s="992">
        <f t="shared" si="58"/>
        <v>1</v>
      </c>
      <c r="M121" s="992">
        <f t="shared" si="59"/>
        <v>4</v>
      </c>
      <c r="N121" s="1262">
        <v>0</v>
      </c>
      <c r="O121" s="992">
        <v>0</v>
      </c>
      <c r="P121" s="1262">
        <v>1</v>
      </c>
      <c r="Q121" s="992">
        <v>0</v>
      </c>
      <c r="R121" s="1262">
        <v>0</v>
      </c>
      <c r="S121" s="992">
        <v>4</v>
      </c>
      <c r="T121" s="1262"/>
      <c r="U121" s="992"/>
      <c r="V121" s="985"/>
      <c r="W121" s="985"/>
      <c r="X121" s="985"/>
      <c r="Y121" s="985"/>
      <c r="Z121" s="985"/>
      <c r="AA121" s="985"/>
      <c r="AB121" s="985"/>
      <c r="AC121" s="985"/>
      <c r="AD121" s="985"/>
      <c r="AE121" s="985"/>
      <c r="AF121" s="985"/>
      <c r="AG121" s="985"/>
      <c r="AH121" s="985"/>
      <c r="AI121" s="985"/>
      <c r="AJ121" s="985"/>
      <c r="AK121" s="985"/>
      <c r="AL121" s="986"/>
      <c r="AM121" s="986"/>
      <c r="AN121" s="8"/>
      <c r="AO121" s="983"/>
      <c r="AP121" s="983"/>
      <c r="AQ121" s="983"/>
      <c r="AR121" s="983"/>
      <c r="AS121" s="983"/>
      <c r="AT121" s="983"/>
      <c r="AU121" s="983"/>
      <c r="AV121" s="983"/>
      <c r="AW121" s="983"/>
      <c r="AX121" s="983"/>
      <c r="AY121" s="983"/>
      <c r="AZ121" s="983"/>
      <c r="BA121" s="983"/>
      <c r="BB121" s="983"/>
      <c r="BC121" s="983"/>
      <c r="BD121" s="983"/>
      <c r="BE121" s="988"/>
      <c r="BF121" s="988"/>
      <c r="BH121" s="1002">
        <f t="shared" si="60"/>
        <v>1</v>
      </c>
      <c r="BI121" s="1002">
        <f t="shared" si="61"/>
        <v>1</v>
      </c>
      <c r="BJ121" s="1002">
        <f t="shared" si="62"/>
        <v>1</v>
      </c>
      <c r="BK121" s="1002">
        <f t="shared" si="63"/>
        <v>0</v>
      </c>
      <c r="BL121" s="1002">
        <f t="shared" si="64"/>
        <v>0</v>
      </c>
      <c r="BO121" s="1287">
        <v>2</v>
      </c>
      <c r="BP121" s="1286" t="s">
        <v>2614</v>
      </c>
      <c r="BQ121" s="1287">
        <v>18</v>
      </c>
      <c r="BR121" s="1287">
        <v>14</v>
      </c>
      <c r="BS121" s="1287">
        <v>1</v>
      </c>
      <c r="BT121" s="1287">
        <v>3</v>
      </c>
      <c r="BU121" s="1287">
        <v>135</v>
      </c>
      <c r="BV121" s="1287">
        <v>75</v>
      </c>
      <c r="BW121" s="1287">
        <v>29</v>
      </c>
    </row>
    <row r="122" spans="2:75" x14ac:dyDescent="0.3">
      <c r="B122" s="1280">
        <v>61</v>
      </c>
      <c r="C122" s="977" t="s">
        <v>584</v>
      </c>
      <c r="D122" s="977" t="s">
        <v>1829</v>
      </c>
      <c r="E122" s="977" t="s">
        <v>1539</v>
      </c>
      <c r="F122" s="978" t="s">
        <v>2669</v>
      </c>
      <c r="G122" s="977" t="s">
        <v>568</v>
      </c>
      <c r="H122" s="991" t="str">
        <f t="shared" si="57"/>
        <v>Häviö</v>
      </c>
      <c r="I122" s="991" t="s">
        <v>1515</v>
      </c>
      <c r="J122" s="991" t="s">
        <v>0</v>
      </c>
      <c r="K122" s="991" t="s">
        <v>2179</v>
      </c>
      <c r="L122" s="992">
        <f t="shared" si="58"/>
        <v>1</v>
      </c>
      <c r="M122" s="992">
        <f t="shared" si="59"/>
        <v>4</v>
      </c>
      <c r="N122" s="1262">
        <v>0</v>
      </c>
      <c r="O122" s="992">
        <v>0</v>
      </c>
      <c r="P122" s="1262">
        <v>1</v>
      </c>
      <c r="Q122" s="992">
        <v>2</v>
      </c>
      <c r="R122" s="1262">
        <v>0</v>
      </c>
      <c r="S122" s="992">
        <v>2</v>
      </c>
      <c r="T122" s="1262"/>
      <c r="U122" s="992"/>
      <c r="V122" s="985"/>
      <c r="W122" s="985"/>
      <c r="X122" s="987"/>
      <c r="Y122" s="987"/>
      <c r="Z122" s="987"/>
      <c r="AA122" s="987"/>
      <c r="AB122" s="987"/>
      <c r="AC122" s="987"/>
      <c r="AD122" s="987"/>
      <c r="AE122" s="987"/>
      <c r="AF122" s="987"/>
      <c r="AG122" s="987"/>
      <c r="AH122" s="987"/>
      <c r="AI122" s="987"/>
      <c r="AJ122" s="987"/>
      <c r="AK122" s="985"/>
      <c r="AL122" s="985"/>
      <c r="AM122" s="985"/>
      <c r="AO122" s="983"/>
      <c r="AP122" s="983"/>
      <c r="AQ122" s="983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76"/>
      <c r="BD122" s="983"/>
      <c r="BE122" s="984"/>
      <c r="BF122" s="984"/>
      <c r="BH122" s="1002">
        <f t="shared" si="60"/>
        <v>1</v>
      </c>
      <c r="BI122" s="1002">
        <f t="shared" si="61"/>
        <v>1</v>
      </c>
      <c r="BJ122" s="1002">
        <f t="shared" si="62"/>
        <v>1</v>
      </c>
      <c r="BK122" s="1002">
        <f t="shared" si="63"/>
        <v>0</v>
      </c>
      <c r="BL122" s="1002">
        <f t="shared" si="64"/>
        <v>0</v>
      </c>
      <c r="BO122" s="119">
        <v>3</v>
      </c>
      <c r="BP122" s="141" t="s">
        <v>2179</v>
      </c>
      <c r="BQ122" s="227">
        <v>18</v>
      </c>
      <c r="BR122" s="227">
        <v>13</v>
      </c>
      <c r="BS122" s="227">
        <v>2</v>
      </c>
      <c r="BT122" s="227">
        <v>3</v>
      </c>
      <c r="BU122" s="227">
        <v>121</v>
      </c>
      <c r="BV122" s="227">
        <v>56</v>
      </c>
      <c r="BW122" s="227">
        <v>28</v>
      </c>
    </row>
    <row r="123" spans="2:75" x14ac:dyDescent="0.3">
      <c r="B123" s="1280">
        <v>62</v>
      </c>
      <c r="C123" s="977" t="s">
        <v>584</v>
      </c>
      <c r="D123" s="977" t="s">
        <v>1829</v>
      </c>
      <c r="E123" s="977" t="s">
        <v>1540</v>
      </c>
      <c r="F123" s="978" t="s">
        <v>2670</v>
      </c>
      <c r="G123" s="977" t="s">
        <v>568</v>
      </c>
      <c r="H123" s="991" t="str">
        <f t="shared" si="57"/>
        <v>Voitto</v>
      </c>
      <c r="I123" s="991" t="s">
        <v>1514</v>
      </c>
      <c r="J123" s="991" t="s">
        <v>0</v>
      </c>
      <c r="K123" s="991" t="s">
        <v>2617</v>
      </c>
      <c r="L123" s="992">
        <f t="shared" si="58"/>
        <v>6</v>
      </c>
      <c r="M123" s="992">
        <f t="shared" si="59"/>
        <v>2</v>
      </c>
      <c r="N123" s="1262">
        <v>1</v>
      </c>
      <c r="O123" s="992">
        <v>1</v>
      </c>
      <c r="P123" s="1262">
        <v>2</v>
      </c>
      <c r="Q123" s="992">
        <v>0</v>
      </c>
      <c r="R123" s="1262">
        <v>3</v>
      </c>
      <c r="S123" s="992">
        <v>1</v>
      </c>
      <c r="T123" s="1262"/>
      <c r="U123" s="992"/>
      <c r="V123" s="985"/>
      <c r="W123" s="985"/>
      <c r="X123" s="987"/>
      <c r="Y123" s="987"/>
      <c r="Z123" s="987"/>
      <c r="AA123" s="987"/>
      <c r="AB123" s="987"/>
      <c r="AC123" s="987"/>
      <c r="AD123" s="987"/>
      <c r="AE123" s="987"/>
      <c r="AF123" s="987"/>
      <c r="AG123" s="987"/>
      <c r="AH123" s="987"/>
      <c r="AI123" s="987"/>
      <c r="AJ123" s="987"/>
      <c r="AK123" s="985"/>
      <c r="AL123" s="985"/>
      <c r="AM123" s="985"/>
      <c r="AO123" s="983"/>
      <c r="AP123" s="983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83"/>
      <c r="BE123" s="983"/>
      <c r="BF123" s="983"/>
      <c r="BH123" s="1002">
        <f t="shared" si="60"/>
        <v>1</v>
      </c>
      <c r="BI123" s="1002">
        <f t="shared" si="61"/>
        <v>1</v>
      </c>
      <c r="BJ123" s="1002">
        <f t="shared" si="62"/>
        <v>1</v>
      </c>
      <c r="BK123" s="1002">
        <f t="shared" si="63"/>
        <v>0</v>
      </c>
      <c r="BL123" s="1002">
        <f t="shared" si="64"/>
        <v>0</v>
      </c>
      <c r="BO123" s="119">
        <v>4</v>
      </c>
      <c r="BP123" s="128" t="s">
        <v>2557</v>
      </c>
      <c r="BQ123" s="119">
        <v>18</v>
      </c>
      <c r="BR123" s="119">
        <v>10</v>
      </c>
      <c r="BS123" s="119">
        <v>1</v>
      </c>
      <c r="BT123" s="119">
        <v>7</v>
      </c>
      <c r="BU123" s="119">
        <v>78</v>
      </c>
      <c r="BV123" s="119">
        <v>78</v>
      </c>
      <c r="BW123" s="119">
        <v>21</v>
      </c>
    </row>
    <row r="124" spans="2:75" x14ac:dyDescent="0.3">
      <c r="B124" s="1280">
        <v>63</v>
      </c>
      <c r="C124" s="977" t="s">
        <v>584</v>
      </c>
      <c r="D124" s="977" t="s">
        <v>1829</v>
      </c>
      <c r="E124" s="977" t="s">
        <v>1541</v>
      </c>
      <c r="F124" s="978" t="s">
        <v>2671</v>
      </c>
      <c r="G124" s="977" t="s">
        <v>150</v>
      </c>
      <c r="H124" s="991" t="str">
        <f t="shared" si="57"/>
        <v>Häviö</v>
      </c>
      <c r="I124" s="991" t="s">
        <v>1515</v>
      </c>
      <c r="J124" s="991" t="s">
        <v>0</v>
      </c>
      <c r="K124" s="991" t="s">
        <v>2609</v>
      </c>
      <c r="L124" s="992">
        <f t="shared" si="58"/>
        <v>2</v>
      </c>
      <c r="M124" s="992">
        <f t="shared" si="59"/>
        <v>5</v>
      </c>
      <c r="N124" s="1262">
        <v>1</v>
      </c>
      <c r="O124" s="992">
        <v>1</v>
      </c>
      <c r="P124" s="1262">
        <v>0</v>
      </c>
      <c r="Q124" s="992">
        <v>1</v>
      </c>
      <c r="R124" s="1262">
        <v>1</v>
      </c>
      <c r="S124" s="992">
        <v>3</v>
      </c>
      <c r="T124" s="1262"/>
      <c r="U124" s="992"/>
      <c r="V124" s="985"/>
      <c r="W124" s="985"/>
      <c r="X124" s="987"/>
      <c r="Y124" s="987"/>
      <c r="Z124" s="987"/>
      <c r="AA124" s="987"/>
      <c r="AB124" s="987"/>
      <c r="AC124" s="987"/>
      <c r="AD124" s="987"/>
      <c r="AE124" s="987"/>
      <c r="AF124" s="987"/>
      <c r="AG124" s="987"/>
      <c r="AH124" s="987"/>
      <c r="AI124" s="987"/>
      <c r="AJ124" s="987"/>
      <c r="AK124" s="985"/>
      <c r="AL124" s="985"/>
      <c r="AM124" s="985"/>
      <c r="AO124" s="983"/>
      <c r="AP124" s="983"/>
      <c r="AQ124" s="983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6"/>
      <c r="BD124" s="983"/>
      <c r="BE124" s="983"/>
      <c r="BF124" s="983"/>
      <c r="BH124" s="1002">
        <f t="shared" si="60"/>
        <v>1</v>
      </c>
      <c r="BI124" s="1002">
        <f t="shared" si="61"/>
        <v>1</v>
      </c>
      <c r="BJ124" s="1002">
        <f t="shared" si="62"/>
        <v>1</v>
      </c>
      <c r="BK124" s="1002">
        <f t="shared" si="63"/>
        <v>0</v>
      </c>
      <c r="BL124" s="1002">
        <f t="shared" si="64"/>
        <v>0</v>
      </c>
      <c r="BO124" s="1284">
        <v>5</v>
      </c>
      <c r="BP124" s="1283" t="s">
        <v>0</v>
      </c>
      <c r="BQ124" s="1284">
        <v>18</v>
      </c>
      <c r="BR124" s="1284">
        <v>6</v>
      </c>
      <c r="BS124" s="1284">
        <v>1</v>
      </c>
      <c r="BT124" s="1284">
        <v>11</v>
      </c>
      <c r="BU124" s="1284">
        <v>55</v>
      </c>
      <c r="BV124" s="1284">
        <v>85</v>
      </c>
      <c r="BW124" s="1284">
        <v>13</v>
      </c>
    </row>
    <row r="125" spans="2:75" x14ac:dyDescent="0.3">
      <c r="B125" s="1280">
        <v>64</v>
      </c>
      <c r="C125" s="977" t="s">
        <v>584</v>
      </c>
      <c r="D125" s="977" t="s">
        <v>1829</v>
      </c>
      <c r="E125" s="977" t="s">
        <v>1542</v>
      </c>
      <c r="F125" s="978" t="s">
        <v>2672</v>
      </c>
      <c r="G125" s="977" t="s">
        <v>242</v>
      </c>
      <c r="H125" s="991" t="str">
        <f t="shared" si="57"/>
        <v>Häviö</v>
      </c>
      <c r="I125" s="991" t="s">
        <v>1514</v>
      </c>
      <c r="J125" s="991" t="s">
        <v>0</v>
      </c>
      <c r="K125" s="991" t="s">
        <v>2614</v>
      </c>
      <c r="L125" s="992">
        <f t="shared" si="58"/>
        <v>1</v>
      </c>
      <c r="M125" s="992">
        <f t="shared" si="59"/>
        <v>5</v>
      </c>
      <c r="N125" s="1262">
        <v>0</v>
      </c>
      <c r="O125" s="992">
        <v>1</v>
      </c>
      <c r="P125" s="1262">
        <v>1</v>
      </c>
      <c r="Q125" s="992">
        <v>1</v>
      </c>
      <c r="R125" s="1262">
        <v>0</v>
      </c>
      <c r="S125" s="992">
        <v>3</v>
      </c>
      <c r="T125" s="1262"/>
      <c r="U125" s="992"/>
      <c r="V125" s="985"/>
      <c r="W125" s="985"/>
      <c r="X125" s="985"/>
      <c r="Y125" s="987"/>
      <c r="Z125" s="987"/>
      <c r="AA125" s="987"/>
      <c r="AB125" s="985"/>
      <c r="AC125" s="987"/>
      <c r="AD125" s="987"/>
      <c r="AE125" s="987"/>
      <c r="AF125" s="987"/>
      <c r="AG125" s="987"/>
      <c r="AH125" s="987"/>
      <c r="AI125" s="987"/>
      <c r="AJ125" s="987"/>
      <c r="AK125" s="985"/>
      <c r="AL125" s="986"/>
      <c r="AM125" s="986"/>
      <c r="AO125" s="983"/>
      <c r="AP125" s="983"/>
      <c r="AQ125" s="983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76"/>
      <c r="BD125" s="983"/>
      <c r="BE125" s="983"/>
      <c r="BF125" s="983"/>
      <c r="BH125" s="1002">
        <f t="shared" si="60"/>
        <v>1</v>
      </c>
      <c r="BI125" s="1002">
        <f t="shared" si="61"/>
        <v>1</v>
      </c>
      <c r="BJ125" s="1002">
        <f t="shared" si="62"/>
        <v>1</v>
      </c>
      <c r="BK125" s="1002">
        <f t="shared" si="63"/>
        <v>0</v>
      </c>
      <c r="BL125" s="1002">
        <f t="shared" si="64"/>
        <v>0</v>
      </c>
      <c r="BO125" s="119">
        <v>6</v>
      </c>
      <c r="BP125" s="128" t="s">
        <v>2615</v>
      </c>
      <c r="BQ125" s="119">
        <v>18</v>
      </c>
      <c r="BR125" s="119">
        <v>6</v>
      </c>
      <c r="BS125" s="119">
        <v>1</v>
      </c>
      <c r="BT125" s="119">
        <v>11</v>
      </c>
      <c r="BU125" s="119">
        <v>96</v>
      </c>
      <c r="BV125" s="119">
        <v>163</v>
      </c>
      <c r="BW125" s="119">
        <v>13</v>
      </c>
    </row>
    <row r="126" spans="2:75" ht="15" thickBot="1" x14ac:dyDescent="0.35">
      <c r="B126" s="1280">
        <v>65</v>
      </c>
      <c r="C126" s="977" t="s">
        <v>584</v>
      </c>
      <c r="D126" s="977" t="s">
        <v>1829</v>
      </c>
      <c r="E126" s="977" t="s">
        <v>1543</v>
      </c>
      <c r="F126" s="978" t="s">
        <v>2673</v>
      </c>
      <c r="G126" s="977" t="s">
        <v>242</v>
      </c>
      <c r="H126" s="991" t="str">
        <f t="shared" si="57"/>
        <v>Häviö</v>
      </c>
      <c r="I126" s="991" t="s">
        <v>1514</v>
      </c>
      <c r="J126" s="991" t="s">
        <v>0</v>
      </c>
      <c r="K126" s="991" t="s">
        <v>2121</v>
      </c>
      <c r="L126" s="992">
        <f t="shared" si="58"/>
        <v>2</v>
      </c>
      <c r="M126" s="992">
        <f t="shared" si="59"/>
        <v>4</v>
      </c>
      <c r="N126" s="1262">
        <v>1</v>
      </c>
      <c r="O126" s="992">
        <v>0</v>
      </c>
      <c r="P126" s="1262">
        <v>0</v>
      </c>
      <c r="Q126" s="992">
        <v>3</v>
      </c>
      <c r="R126" s="1262">
        <v>1</v>
      </c>
      <c r="S126" s="992">
        <v>1</v>
      </c>
      <c r="T126" s="1262"/>
      <c r="U126" s="992"/>
      <c r="V126" s="985"/>
      <c r="W126" s="985"/>
      <c r="X126" s="985"/>
      <c r="Y126" s="985"/>
      <c r="Z126" s="985"/>
      <c r="AA126" s="985"/>
      <c r="AB126" s="985"/>
      <c r="AC126" s="985"/>
      <c r="AD126" s="985"/>
      <c r="AE126" s="985"/>
      <c r="AF126" s="985"/>
      <c r="AG126" s="985"/>
      <c r="AH126" s="985"/>
      <c r="AI126" s="985"/>
      <c r="AJ126" s="985"/>
      <c r="AK126" s="985"/>
      <c r="AL126" s="985"/>
      <c r="AM126" s="985"/>
      <c r="AN126" s="8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H126" s="1002">
        <f t="shared" si="60"/>
        <v>1</v>
      </c>
      <c r="BI126" s="1002">
        <f t="shared" si="61"/>
        <v>1</v>
      </c>
      <c r="BJ126" s="1002">
        <f t="shared" si="62"/>
        <v>1</v>
      </c>
      <c r="BK126" s="1002">
        <f t="shared" si="63"/>
        <v>0</v>
      </c>
      <c r="BL126" s="1002">
        <f t="shared" si="64"/>
        <v>0</v>
      </c>
      <c r="BO126" s="121">
        <v>7</v>
      </c>
      <c r="BP126" s="1285" t="s">
        <v>2616</v>
      </c>
      <c r="BQ126" s="121">
        <v>18</v>
      </c>
      <c r="BR126" s="121">
        <v>5</v>
      </c>
      <c r="BS126" s="121">
        <v>3</v>
      </c>
      <c r="BT126" s="121">
        <v>10</v>
      </c>
      <c r="BU126" s="121">
        <v>87</v>
      </c>
      <c r="BV126" s="121">
        <v>102</v>
      </c>
      <c r="BW126" s="121">
        <v>13</v>
      </c>
    </row>
    <row r="127" spans="2:75" x14ac:dyDescent="0.3">
      <c r="B127" s="1280">
        <v>66</v>
      </c>
      <c r="C127" s="977" t="s">
        <v>584</v>
      </c>
      <c r="D127" s="977" t="s">
        <v>1829</v>
      </c>
      <c r="E127" s="977" t="s">
        <v>1544</v>
      </c>
      <c r="F127" s="978" t="s">
        <v>2674</v>
      </c>
      <c r="G127" s="977" t="s">
        <v>579</v>
      </c>
      <c r="H127" s="991" t="str">
        <f t="shared" si="57"/>
        <v>Voitto</v>
      </c>
      <c r="I127" s="991" t="s">
        <v>1515</v>
      </c>
      <c r="J127" s="991" t="s">
        <v>0</v>
      </c>
      <c r="K127" s="991" t="s">
        <v>2616</v>
      </c>
      <c r="L127" s="992">
        <f t="shared" si="58"/>
        <v>5</v>
      </c>
      <c r="M127" s="992">
        <f t="shared" si="59"/>
        <v>2</v>
      </c>
      <c r="N127" s="1262">
        <v>2</v>
      </c>
      <c r="O127" s="992">
        <v>1</v>
      </c>
      <c r="P127" s="1262">
        <v>1</v>
      </c>
      <c r="Q127" s="992">
        <v>1</v>
      </c>
      <c r="R127" s="1262">
        <v>2</v>
      </c>
      <c r="S127" s="992">
        <v>0</v>
      </c>
      <c r="T127" s="1262"/>
      <c r="U127" s="992"/>
      <c r="V127" s="985"/>
      <c r="W127" s="985"/>
      <c r="X127" s="985"/>
      <c r="Y127" s="985"/>
      <c r="Z127" s="985"/>
      <c r="AA127" s="985"/>
      <c r="AB127" s="985"/>
      <c r="AC127" s="985"/>
      <c r="AD127" s="985"/>
      <c r="AE127" s="985"/>
      <c r="AF127" s="985"/>
      <c r="AG127" s="985"/>
      <c r="AH127" s="985"/>
      <c r="AI127" s="985"/>
      <c r="AJ127" s="985"/>
      <c r="AK127" s="985"/>
      <c r="AL127" s="985"/>
      <c r="AM127" s="985"/>
      <c r="AN127" s="8"/>
      <c r="AO127" s="983"/>
      <c r="AP127" s="983"/>
      <c r="AQ127" s="983"/>
      <c r="AR127" s="983"/>
      <c r="AS127" s="983"/>
      <c r="AT127" s="983"/>
      <c r="AU127" s="983"/>
      <c r="AV127" s="983"/>
      <c r="AW127" s="983"/>
      <c r="AX127" s="983"/>
      <c r="AY127" s="983"/>
      <c r="AZ127" s="983"/>
      <c r="BA127" s="983"/>
      <c r="BB127" s="983"/>
      <c r="BC127" s="983"/>
      <c r="BD127" s="983"/>
      <c r="BE127" s="983"/>
      <c r="BF127" s="983"/>
      <c r="BH127" s="1002">
        <f t="shared" si="60"/>
        <v>1</v>
      </c>
      <c r="BI127" s="1002">
        <f t="shared" si="61"/>
        <v>1</v>
      </c>
      <c r="BJ127" s="1002">
        <f t="shared" si="62"/>
        <v>1</v>
      </c>
      <c r="BK127" s="1002">
        <f t="shared" si="63"/>
        <v>0</v>
      </c>
      <c r="BL127" s="1002">
        <f t="shared" si="64"/>
        <v>0</v>
      </c>
      <c r="BO127" s="119">
        <v>8</v>
      </c>
      <c r="BP127" s="141" t="s">
        <v>2603</v>
      </c>
      <c r="BQ127" s="227">
        <v>18</v>
      </c>
      <c r="BR127" s="227">
        <v>5</v>
      </c>
      <c r="BS127" s="227">
        <v>1</v>
      </c>
      <c r="BT127" s="227">
        <v>12</v>
      </c>
      <c r="BU127" s="227">
        <v>62</v>
      </c>
      <c r="BV127" s="227">
        <v>93</v>
      </c>
      <c r="BW127" s="227">
        <v>11</v>
      </c>
    </row>
    <row r="128" spans="2:75" x14ac:dyDescent="0.3">
      <c r="B128" s="1280">
        <v>67</v>
      </c>
      <c r="C128" s="977" t="s">
        <v>584</v>
      </c>
      <c r="D128" s="977" t="s">
        <v>1829</v>
      </c>
      <c r="E128" s="977" t="s">
        <v>1545</v>
      </c>
      <c r="F128" s="978" t="s">
        <v>2675</v>
      </c>
      <c r="G128" s="977" t="s">
        <v>579</v>
      </c>
      <c r="H128" s="991" t="str">
        <f t="shared" si="57"/>
        <v>Häviö</v>
      </c>
      <c r="I128" s="991" t="s">
        <v>1515</v>
      </c>
      <c r="J128" s="991" t="s">
        <v>0</v>
      </c>
      <c r="K128" s="991" t="s">
        <v>2603</v>
      </c>
      <c r="L128" s="992">
        <f t="shared" si="58"/>
        <v>2</v>
      </c>
      <c r="M128" s="992">
        <f t="shared" si="59"/>
        <v>10</v>
      </c>
      <c r="N128" s="1262">
        <v>2</v>
      </c>
      <c r="O128" s="992">
        <v>4</v>
      </c>
      <c r="P128" s="1262">
        <v>0</v>
      </c>
      <c r="Q128" s="992">
        <v>2</v>
      </c>
      <c r="R128" s="1262">
        <v>0</v>
      </c>
      <c r="S128" s="992">
        <v>4</v>
      </c>
      <c r="T128" s="1262"/>
      <c r="U128" s="992"/>
      <c r="V128" s="985"/>
      <c r="W128" s="985"/>
      <c r="X128" s="985"/>
      <c r="Y128" s="985"/>
      <c r="Z128" s="985"/>
      <c r="AA128" s="985"/>
      <c r="AB128" s="985"/>
      <c r="AC128" s="985"/>
      <c r="AD128" s="985"/>
      <c r="AE128" s="985"/>
      <c r="AF128" s="985"/>
      <c r="AG128" s="985"/>
      <c r="AH128" s="985"/>
      <c r="AI128" s="985"/>
      <c r="AJ128" s="985"/>
      <c r="AK128" s="985"/>
      <c r="AL128" s="985"/>
      <c r="AM128" s="985"/>
      <c r="AN128" s="8"/>
      <c r="AO128" s="983"/>
      <c r="AP128" s="983"/>
      <c r="AQ128" s="983"/>
      <c r="AR128" s="983"/>
      <c r="AS128" s="983"/>
      <c r="AT128" s="983"/>
      <c r="AU128" s="983"/>
      <c r="AV128" s="983"/>
      <c r="AW128" s="983"/>
      <c r="AX128" s="983"/>
      <c r="AY128" s="983"/>
      <c r="AZ128" s="983"/>
      <c r="BA128" s="983"/>
      <c r="BB128" s="983"/>
      <c r="BC128" s="983"/>
      <c r="BD128" s="983"/>
      <c r="BE128" s="983"/>
      <c r="BF128" s="983"/>
      <c r="BH128" s="1002">
        <f t="shared" si="60"/>
        <v>1</v>
      </c>
      <c r="BI128" s="1002">
        <f t="shared" si="61"/>
        <v>1</v>
      </c>
      <c r="BJ128" s="1002">
        <f t="shared" si="62"/>
        <v>1</v>
      </c>
      <c r="BK128" s="1002">
        <f t="shared" si="63"/>
        <v>0</v>
      </c>
      <c r="BL128" s="1002">
        <f t="shared" si="64"/>
        <v>0</v>
      </c>
      <c r="BO128" s="1088">
        <v>9</v>
      </c>
      <c r="BP128" s="128" t="s">
        <v>2617</v>
      </c>
      <c r="BQ128" s="119">
        <v>18</v>
      </c>
      <c r="BR128" s="119">
        <v>2</v>
      </c>
      <c r="BS128" s="119">
        <v>5</v>
      </c>
      <c r="BT128" s="119">
        <v>11</v>
      </c>
      <c r="BU128" s="119">
        <v>61</v>
      </c>
      <c r="BV128" s="119">
        <v>101</v>
      </c>
      <c r="BW128" s="119">
        <v>9</v>
      </c>
    </row>
    <row r="129" spans="2:75" x14ac:dyDescent="0.3">
      <c r="B129" s="1280">
        <v>68</v>
      </c>
      <c r="C129" s="977" t="s">
        <v>584</v>
      </c>
      <c r="D129" s="977" t="s">
        <v>1829</v>
      </c>
      <c r="E129" s="977" t="s">
        <v>1546</v>
      </c>
      <c r="F129" s="978" t="s">
        <v>2676</v>
      </c>
      <c r="G129" s="977" t="s">
        <v>579</v>
      </c>
      <c r="H129" s="991" t="str">
        <f t="shared" si="57"/>
        <v>Häviö</v>
      </c>
      <c r="I129" s="991" t="s">
        <v>1514</v>
      </c>
      <c r="J129" s="991" t="s">
        <v>0</v>
      </c>
      <c r="K129" s="991" t="s">
        <v>2615</v>
      </c>
      <c r="L129" s="992">
        <f t="shared" si="58"/>
        <v>3</v>
      </c>
      <c r="M129" s="992">
        <f t="shared" si="59"/>
        <v>5</v>
      </c>
      <c r="N129" s="1262">
        <v>0</v>
      </c>
      <c r="O129" s="992">
        <v>0</v>
      </c>
      <c r="P129" s="1262">
        <v>0</v>
      </c>
      <c r="Q129" s="992">
        <v>2</v>
      </c>
      <c r="R129" s="1262">
        <v>3</v>
      </c>
      <c r="S129" s="992">
        <v>3</v>
      </c>
      <c r="T129" s="1262"/>
      <c r="U129" s="992"/>
      <c r="V129" s="985"/>
      <c r="W129" s="985"/>
      <c r="X129" s="985"/>
      <c r="Y129" s="985"/>
      <c r="Z129" s="985"/>
      <c r="AA129" s="985"/>
      <c r="AB129" s="985"/>
      <c r="AC129" s="985"/>
      <c r="AD129" s="985"/>
      <c r="AE129" s="985"/>
      <c r="AF129" s="985"/>
      <c r="AG129" s="985"/>
      <c r="AH129" s="985"/>
      <c r="AI129" s="985"/>
      <c r="AJ129" s="985"/>
      <c r="AK129" s="985"/>
      <c r="AL129" s="985"/>
      <c r="AM129" s="985"/>
      <c r="AN129" s="8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H129" s="1002">
        <f t="shared" si="60"/>
        <v>1</v>
      </c>
      <c r="BI129" s="1002">
        <f t="shared" si="61"/>
        <v>1</v>
      </c>
      <c r="BJ129" s="1002">
        <f t="shared" si="62"/>
        <v>1</v>
      </c>
      <c r="BK129" s="1002">
        <f t="shared" si="63"/>
        <v>0</v>
      </c>
      <c r="BL129" s="1002">
        <f t="shared" si="64"/>
        <v>0</v>
      </c>
      <c r="BO129" s="119">
        <v>10</v>
      </c>
      <c r="BP129" s="128" t="s">
        <v>2121</v>
      </c>
      <c r="BQ129" s="119">
        <v>18</v>
      </c>
      <c r="BR129" s="119">
        <v>3</v>
      </c>
      <c r="BS129" s="119">
        <v>2</v>
      </c>
      <c r="BT129" s="119">
        <v>13</v>
      </c>
      <c r="BU129" s="119">
        <v>56</v>
      </c>
      <c r="BV129" s="119">
        <v>103</v>
      </c>
      <c r="BW129" s="119">
        <v>8</v>
      </c>
    </row>
    <row r="130" spans="2:75" x14ac:dyDescent="0.3">
      <c r="B130" s="1280">
        <v>69</v>
      </c>
      <c r="C130" s="977" t="s">
        <v>584</v>
      </c>
      <c r="D130" s="977" t="s">
        <v>1829</v>
      </c>
      <c r="E130" s="977" t="s">
        <v>1547</v>
      </c>
      <c r="F130" s="978" t="s">
        <v>2677</v>
      </c>
      <c r="G130" s="977" t="s">
        <v>579</v>
      </c>
      <c r="H130" s="991" t="str">
        <f t="shared" si="57"/>
        <v>Häviö</v>
      </c>
      <c r="I130" s="991" t="s">
        <v>1515</v>
      </c>
      <c r="J130" s="991" t="s">
        <v>0</v>
      </c>
      <c r="K130" s="991" t="s">
        <v>2557</v>
      </c>
      <c r="L130" s="992">
        <f t="shared" si="58"/>
        <v>1</v>
      </c>
      <c r="M130" s="992">
        <f t="shared" si="59"/>
        <v>3</v>
      </c>
      <c r="N130" s="1262">
        <v>0</v>
      </c>
      <c r="O130" s="992">
        <v>2</v>
      </c>
      <c r="P130" s="1262">
        <v>1</v>
      </c>
      <c r="Q130" s="992">
        <v>0</v>
      </c>
      <c r="R130" s="1262">
        <v>0</v>
      </c>
      <c r="S130" s="992">
        <v>1</v>
      </c>
      <c r="T130" s="1262"/>
      <c r="U130" s="992"/>
      <c r="V130" s="985"/>
      <c r="W130" s="985"/>
      <c r="X130" s="985"/>
      <c r="Y130" s="985"/>
      <c r="Z130" s="985"/>
      <c r="AA130" s="985"/>
      <c r="AB130" s="985"/>
      <c r="AC130" s="985"/>
      <c r="AD130" s="985"/>
      <c r="AE130" s="985"/>
      <c r="AF130" s="985"/>
      <c r="AG130" s="985"/>
      <c r="AH130" s="985"/>
      <c r="AI130" s="985"/>
      <c r="AJ130" s="985"/>
      <c r="AK130" s="985"/>
      <c r="AL130" s="985"/>
      <c r="AM130" s="985"/>
      <c r="AN130" s="8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H130" s="1002">
        <f t="shared" si="60"/>
        <v>1</v>
      </c>
      <c r="BI130" s="1002">
        <f t="shared" si="61"/>
        <v>1</v>
      </c>
      <c r="BJ130" s="1002">
        <f t="shared" si="62"/>
        <v>1</v>
      </c>
      <c r="BK130" s="1002">
        <f t="shared" si="63"/>
        <v>0</v>
      </c>
      <c r="BL130" s="1002">
        <f t="shared" si="64"/>
        <v>0</v>
      </c>
    </row>
    <row r="131" spans="2:75" x14ac:dyDescent="0.3">
      <c r="B131" s="1280">
        <v>70</v>
      </c>
      <c r="C131" s="977" t="s">
        <v>584</v>
      </c>
      <c r="D131" s="977" t="s">
        <v>1829</v>
      </c>
      <c r="E131" s="977" t="s">
        <v>1548</v>
      </c>
      <c r="F131" s="978" t="s">
        <v>2678</v>
      </c>
      <c r="G131" s="977" t="s">
        <v>150</v>
      </c>
      <c r="H131" s="991" t="str">
        <f t="shared" si="57"/>
        <v>Tasapeli</v>
      </c>
      <c r="I131" s="991" t="s">
        <v>1515</v>
      </c>
      <c r="J131" s="991" t="s">
        <v>0</v>
      </c>
      <c r="K131" s="991" t="s">
        <v>2617</v>
      </c>
      <c r="L131" s="992">
        <f t="shared" si="58"/>
        <v>2</v>
      </c>
      <c r="M131" s="992">
        <f t="shared" si="59"/>
        <v>2</v>
      </c>
      <c r="N131" s="1262">
        <v>1</v>
      </c>
      <c r="O131" s="992">
        <v>1</v>
      </c>
      <c r="P131" s="1262">
        <v>1</v>
      </c>
      <c r="Q131" s="992">
        <v>0</v>
      </c>
      <c r="R131" s="1262">
        <v>0</v>
      </c>
      <c r="S131" s="992">
        <v>1</v>
      </c>
      <c r="T131" s="1262"/>
      <c r="U131" s="992"/>
      <c r="V131" s="985"/>
      <c r="W131" s="985"/>
      <c r="X131" s="985"/>
      <c r="Y131" s="985"/>
      <c r="Z131" s="985"/>
      <c r="AA131" s="985"/>
      <c r="AB131" s="985"/>
      <c r="AC131" s="985"/>
      <c r="AD131" s="985"/>
      <c r="AE131" s="985"/>
      <c r="AF131" s="985"/>
      <c r="AG131" s="985"/>
      <c r="AH131" s="985"/>
      <c r="AI131" s="985"/>
      <c r="AJ131" s="985"/>
      <c r="AK131" s="985"/>
      <c r="AL131" s="985"/>
      <c r="AM131" s="985"/>
      <c r="AN131" s="8"/>
      <c r="AO131" s="983"/>
      <c r="AP131" s="983"/>
      <c r="AQ131" s="983"/>
      <c r="AR131" s="983"/>
      <c r="AS131" s="983"/>
      <c r="AT131" s="983"/>
      <c r="AU131" s="983"/>
      <c r="AV131" s="983"/>
      <c r="AW131" s="983"/>
      <c r="AX131" s="983"/>
      <c r="AY131" s="983"/>
      <c r="AZ131" s="983"/>
      <c r="BA131" s="983"/>
      <c r="BB131" s="983"/>
      <c r="BC131" s="983"/>
      <c r="BD131" s="983"/>
      <c r="BE131" s="983"/>
      <c r="BF131" s="983"/>
      <c r="BH131" s="1002">
        <f t="shared" si="60"/>
        <v>1</v>
      </c>
      <c r="BI131" s="1002">
        <f t="shared" si="61"/>
        <v>1</v>
      </c>
      <c r="BJ131" s="1002">
        <f t="shared" si="62"/>
        <v>1</v>
      </c>
      <c r="BK131" s="1002">
        <f t="shared" si="63"/>
        <v>0</v>
      </c>
      <c r="BL131" s="1002">
        <f t="shared" si="64"/>
        <v>0</v>
      </c>
    </row>
    <row r="132" spans="2:75" x14ac:dyDescent="0.3">
      <c r="B132" s="1280">
        <v>71</v>
      </c>
      <c r="C132" s="977" t="s">
        <v>584</v>
      </c>
      <c r="D132" s="977" t="s">
        <v>1829</v>
      </c>
      <c r="E132" s="977" t="s">
        <v>1549</v>
      </c>
      <c r="F132" s="978" t="s">
        <v>2679</v>
      </c>
      <c r="G132" s="977" t="s">
        <v>150</v>
      </c>
      <c r="H132" s="991" t="str">
        <f t="shared" si="57"/>
        <v>Häviö</v>
      </c>
      <c r="I132" s="991" t="s">
        <v>1514</v>
      </c>
      <c r="J132" s="991" t="s">
        <v>0</v>
      </c>
      <c r="K132" s="991" t="s">
        <v>2179</v>
      </c>
      <c r="L132" s="992">
        <f t="shared" si="58"/>
        <v>4</v>
      </c>
      <c r="M132" s="992">
        <f t="shared" si="59"/>
        <v>7</v>
      </c>
      <c r="N132" s="1262">
        <v>1</v>
      </c>
      <c r="O132" s="992">
        <v>3</v>
      </c>
      <c r="P132" s="1262">
        <v>1</v>
      </c>
      <c r="Q132" s="992">
        <v>0</v>
      </c>
      <c r="R132" s="1262">
        <v>2</v>
      </c>
      <c r="S132" s="992">
        <v>4</v>
      </c>
      <c r="T132" s="1262"/>
      <c r="U132" s="992"/>
      <c r="V132" s="985"/>
      <c r="W132" s="985"/>
      <c r="X132" s="985"/>
      <c r="Y132" s="985"/>
      <c r="Z132" s="985"/>
      <c r="AA132" s="985"/>
      <c r="AB132" s="985"/>
      <c r="AC132" s="985"/>
      <c r="AD132" s="985"/>
      <c r="AE132" s="985"/>
      <c r="AF132" s="985"/>
      <c r="AG132" s="985"/>
      <c r="AH132" s="985"/>
      <c r="AI132" s="985"/>
      <c r="AJ132" s="985"/>
      <c r="AK132" s="985"/>
      <c r="AL132" s="985"/>
      <c r="AM132" s="985"/>
      <c r="AN132" s="8"/>
      <c r="AO132" s="983"/>
      <c r="AP132" s="983"/>
      <c r="AQ132" s="983"/>
      <c r="AR132" s="983"/>
      <c r="AS132" s="983"/>
      <c r="AT132" s="983"/>
      <c r="AU132" s="983"/>
      <c r="AV132" s="983"/>
      <c r="AW132" s="983"/>
      <c r="AX132" s="983"/>
      <c r="AY132" s="983"/>
      <c r="AZ132" s="983"/>
      <c r="BA132" s="983"/>
      <c r="BB132" s="983"/>
      <c r="BC132" s="983"/>
      <c r="BD132" s="983"/>
      <c r="BE132" s="983"/>
      <c r="BF132" s="983"/>
      <c r="BH132" s="1002">
        <f t="shared" si="60"/>
        <v>1</v>
      </c>
      <c r="BI132" s="1002">
        <f t="shared" si="61"/>
        <v>1</v>
      </c>
      <c r="BJ132" s="1002">
        <f t="shared" si="62"/>
        <v>1</v>
      </c>
      <c r="BK132" s="1002">
        <f t="shared" si="63"/>
        <v>0</v>
      </c>
      <c r="BL132" s="1002">
        <f t="shared" si="64"/>
        <v>0</v>
      </c>
    </row>
    <row r="133" spans="2:75" x14ac:dyDescent="0.3">
      <c r="B133" s="1280">
        <v>72</v>
      </c>
      <c r="C133" s="977" t="s">
        <v>584</v>
      </c>
      <c r="D133" s="977" t="s">
        <v>1829</v>
      </c>
      <c r="E133" s="977" t="s">
        <v>1550</v>
      </c>
      <c r="F133" s="978" t="s">
        <v>2680</v>
      </c>
      <c r="G133" s="977" t="s">
        <v>568</v>
      </c>
      <c r="H133" s="991" t="str">
        <f t="shared" si="57"/>
        <v>Häviö</v>
      </c>
      <c r="I133" s="991" t="s">
        <v>1514</v>
      </c>
      <c r="J133" s="991" t="s">
        <v>0</v>
      </c>
      <c r="K133" s="991" t="s">
        <v>2609</v>
      </c>
      <c r="L133" s="992">
        <f t="shared" si="58"/>
        <v>0</v>
      </c>
      <c r="M133" s="992">
        <f t="shared" si="59"/>
        <v>11</v>
      </c>
      <c r="N133" s="1262">
        <v>0</v>
      </c>
      <c r="O133" s="992">
        <v>1</v>
      </c>
      <c r="P133" s="1262">
        <v>0</v>
      </c>
      <c r="Q133" s="992">
        <v>2</v>
      </c>
      <c r="R133" s="1262">
        <v>0</v>
      </c>
      <c r="S133" s="992">
        <v>8</v>
      </c>
      <c r="T133" s="1262"/>
      <c r="U133" s="992"/>
      <c r="V133" s="985"/>
      <c r="W133" s="985"/>
      <c r="X133" s="985"/>
      <c r="Y133" s="985"/>
      <c r="Z133" s="985"/>
      <c r="AA133" s="985"/>
      <c r="AB133" s="985"/>
      <c r="AC133" s="985"/>
      <c r="AD133" s="985"/>
      <c r="AE133" s="985"/>
      <c r="AF133" s="985"/>
      <c r="AG133" s="985"/>
      <c r="AH133" s="985"/>
      <c r="AI133" s="985"/>
      <c r="AJ133" s="985"/>
      <c r="AK133" s="985"/>
      <c r="AL133" s="985"/>
      <c r="AM133" s="985"/>
      <c r="AN133" s="8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H133" s="1002">
        <f t="shared" si="60"/>
        <v>1</v>
      </c>
      <c r="BI133" s="1002">
        <f t="shared" si="61"/>
        <v>1</v>
      </c>
      <c r="BJ133" s="1002">
        <f t="shared" si="62"/>
        <v>1</v>
      </c>
      <c r="BK133" s="1002">
        <f t="shared" si="63"/>
        <v>0</v>
      </c>
      <c r="BL133" s="1002">
        <f t="shared" si="64"/>
        <v>0</v>
      </c>
    </row>
    <row r="134" spans="2:75" x14ac:dyDescent="0.3">
      <c r="B134" s="1280">
        <v>73</v>
      </c>
      <c r="C134" s="977" t="s">
        <v>584</v>
      </c>
      <c r="D134" s="977" t="s">
        <v>1829</v>
      </c>
      <c r="E134" s="977" t="s">
        <v>1551</v>
      </c>
      <c r="F134" s="978" t="s">
        <v>2681</v>
      </c>
      <c r="G134" s="977" t="s">
        <v>579</v>
      </c>
      <c r="H134" s="991" t="str">
        <f t="shared" si="57"/>
        <v>Voitto</v>
      </c>
      <c r="I134" s="991" t="s">
        <v>1515</v>
      </c>
      <c r="J134" s="991" t="s">
        <v>0</v>
      </c>
      <c r="K134" s="991" t="s">
        <v>2121</v>
      </c>
      <c r="L134" s="992">
        <f t="shared" si="58"/>
        <v>4</v>
      </c>
      <c r="M134" s="992">
        <f t="shared" si="59"/>
        <v>3</v>
      </c>
      <c r="N134" s="1262">
        <v>1</v>
      </c>
      <c r="O134" s="992">
        <v>0</v>
      </c>
      <c r="P134" s="1262">
        <v>1</v>
      </c>
      <c r="Q134" s="992">
        <v>0</v>
      </c>
      <c r="R134" s="1262">
        <v>2</v>
      </c>
      <c r="S134" s="992">
        <v>3</v>
      </c>
      <c r="T134" s="1262"/>
      <c r="U134" s="992"/>
      <c r="V134" s="985"/>
      <c r="W134" s="985"/>
      <c r="X134" s="985"/>
      <c r="Y134" s="985"/>
      <c r="Z134" s="985"/>
      <c r="AA134" s="985"/>
      <c r="AB134" s="985"/>
      <c r="AC134" s="985"/>
      <c r="AD134" s="985"/>
      <c r="AE134" s="985"/>
      <c r="AF134" s="985"/>
      <c r="AG134" s="985"/>
      <c r="AH134" s="985"/>
      <c r="AI134" s="985"/>
      <c r="AJ134" s="985"/>
      <c r="AK134" s="985"/>
      <c r="AL134" s="985"/>
      <c r="AM134" s="985"/>
      <c r="AN134" s="8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H134" s="1002">
        <f t="shared" si="60"/>
        <v>1</v>
      </c>
      <c r="BI134" s="1002">
        <f t="shared" si="61"/>
        <v>1</v>
      </c>
      <c r="BJ134" s="1002">
        <f t="shared" si="62"/>
        <v>1</v>
      </c>
      <c r="BK134" s="1002">
        <f t="shared" si="63"/>
        <v>0</v>
      </c>
      <c r="BL134" s="1002">
        <f t="shared" si="64"/>
        <v>0</v>
      </c>
    </row>
    <row r="135" spans="2:75" x14ac:dyDescent="0.3">
      <c r="B135" s="1280">
        <v>74</v>
      </c>
      <c r="C135" s="977" t="s">
        <v>584</v>
      </c>
      <c r="D135" s="977" t="s">
        <v>1829</v>
      </c>
      <c r="E135" s="977" t="s">
        <v>1552</v>
      </c>
      <c r="F135" s="978" t="s">
        <v>2682</v>
      </c>
      <c r="G135" s="977" t="s">
        <v>579</v>
      </c>
      <c r="H135" s="991" t="str">
        <f t="shared" si="57"/>
        <v>Häviö</v>
      </c>
      <c r="I135" s="991" t="s">
        <v>1515</v>
      </c>
      <c r="J135" s="991" t="s">
        <v>0</v>
      </c>
      <c r="K135" s="991" t="s">
        <v>2614</v>
      </c>
      <c r="L135" s="992">
        <f t="shared" si="58"/>
        <v>5</v>
      </c>
      <c r="M135" s="992">
        <f t="shared" si="59"/>
        <v>7</v>
      </c>
      <c r="N135" s="1262">
        <v>0</v>
      </c>
      <c r="O135" s="992">
        <v>2</v>
      </c>
      <c r="P135" s="1262">
        <v>1</v>
      </c>
      <c r="Q135" s="992">
        <v>2</v>
      </c>
      <c r="R135" s="1262">
        <v>4</v>
      </c>
      <c r="S135" s="992">
        <v>3</v>
      </c>
      <c r="T135" s="1262"/>
      <c r="U135" s="992"/>
      <c r="V135" s="985"/>
      <c r="W135" s="985"/>
      <c r="X135" s="985"/>
      <c r="Y135" s="985"/>
      <c r="Z135" s="985"/>
      <c r="AA135" s="985"/>
      <c r="AB135" s="985"/>
      <c r="AC135" s="985"/>
      <c r="AD135" s="985"/>
      <c r="AE135" s="985"/>
      <c r="AF135" s="985"/>
      <c r="AG135" s="985"/>
      <c r="AH135" s="985"/>
      <c r="AI135" s="985"/>
      <c r="AJ135" s="985"/>
      <c r="AK135" s="985"/>
      <c r="AL135" s="985"/>
      <c r="AM135" s="985"/>
      <c r="AN135" s="8"/>
      <c r="AO135" s="983"/>
      <c r="AP135" s="983"/>
      <c r="AQ135" s="983"/>
      <c r="AR135" s="983"/>
      <c r="AS135" s="983"/>
      <c r="AT135" s="983"/>
      <c r="AU135" s="983"/>
      <c r="AV135" s="983"/>
      <c r="AW135" s="983"/>
      <c r="AX135" s="983"/>
      <c r="AY135" s="983"/>
      <c r="AZ135" s="983"/>
      <c r="BA135" s="983"/>
      <c r="BB135" s="983"/>
      <c r="BC135" s="983"/>
      <c r="BD135" s="983"/>
      <c r="BE135" s="983"/>
      <c r="BF135" s="983"/>
      <c r="BH135" s="1002">
        <f t="shared" si="60"/>
        <v>1</v>
      </c>
      <c r="BI135" s="1002">
        <f t="shared" si="61"/>
        <v>1</v>
      </c>
      <c r="BJ135" s="1002">
        <f t="shared" si="62"/>
        <v>1</v>
      </c>
      <c r="BK135" s="1002">
        <f t="shared" si="63"/>
        <v>0</v>
      </c>
      <c r="BL135" s="1002">
        <f t="shared" si="64"/>
        <v>0</v>
      </c>
    </row>
    <row r="136" spans="2:75" x14ac:dyDescent="0.3">
      <c r="B136" s="1280">
        <v>75</v>
      </c>
      <c r="C136" s="977" t="s">
        <v>584</v>
      </c>
      <c r="D136" s="977" t="s">
        <v>1829</v>
      </c>
      <c r="E136" s="977" t="s">
        <v>1553</v>
      </c>
      <c r="F136" s="978" t="s">
        <v>2683</v>
      </c>
      <c r="G136" s="977" t="s">
        <v>579</v>
      </c>
      <c r="H136" s="991" t="str">
        <f t="shared" si="57"/>
        <v>Voitto</v>
      </c>
      <c r="I136" s="991" t="s">
        <v>1514</v>
      </c>
      <c r="J136" s="991" t="s">
        <v>0</v>
      </c>
      <c r="K136" s="991" t="s">
        <v>2616</v>
      </c>
      <c r="L136" s="992">
        <f t="shared" si="58"/>
        <v>4</v>
      </c>
      <c r="M136" s="992">
        <f t="shared" si="59"/>
        <v>3</v>
      </c>
      <c r="N136" s="1262">
        <v>3</v>
      </c>
      <c r="O136" s="992">
        <v>0</v>
      </c>
      <c r="P136" s="1262">
        <v>1</v>
      </c>
      <c r="Q136" s="992">
        <v>2</v>
      </c>
      <c r="R136" s="1262">
        <v>0</v>
      </c>
      <c r="S136" s="992">
        <v>1</v>
      </c>
      <c r="T136" s="1262"/>
      <c r="U136" s="992"/>
      <c r="V136" s="985"/>
      <c r="W136" s="985"/>
      <c r="X136" s="985"/>
      <c r="Y136" s="985"/>
      <c r="Z136" s="985"/>
      <c r="AA136" s="985"/>
      <c r="AB136" s="985"/>
      <c r="AC136" s="985"/>
      <c r="AD136" s="985"/>
      <c r="AE136" s="985"/>
      <c r="AF136" s="985"/>
      <c r="AG136" s="985"/>
      <c r="AH136" s="985"/>
      <c r="AI136" s="985"/>
      <c r="AJ136" s="985"/>
      <c r="AK136" s="985"/>
      <c r="AL136" s="985"/>
      <c r="AM136" s="985"/>
      <c r="AN136" s="8"/>
      <c r="AO136" s="983"/>
      <c r="AP136" s="983"/>
      <c r="AQ136" s="983"/>
      <c r="AR136" s="983"/>
      <c r="AS136" s="983"/>
      <c r="AT136" s="983"/>
      <c r="AU136" s="983"/>
      <c r="AV136" s="983"/>
      <c r="AW136" s="983"/>
      <c r="AX136" s="983"/>
      <c r="AY136" s="983"/>
      <c r="AZ136" s="983"/>
      <c r="BA136" s="983"/>
      <c r="BB136" s="983"/>
      <c r="BC136" s="983"/>
      <c r="BD136" s="983"/>
      <c r="BE136" s="983"/>
      <c r="BF136" s="983"/>
      <c r="BH136" s="1002">
        <f t="shared" si="60"/>
        <v>1</v>
      </c>
      <c r="BI136" s="1002">
        <f t="shared" si="61"/>
        <v>1</v>
      </c>
      <c r="BJ136" s="1002">
        <f t="shared" si="62"/>
        <v>1</v>
      </c>
      <c r="BK136" s="1002">
        <f t="shared" si="63"/>
        <v>0</v>
      </c>
      <c r="BL136" s="1002">
        <f t="shared" si="64"/>
        <v>0</v>
      </c>
    </row>
    <row r="138" spans="2:75" x14ac:dyDescent="0.3">
      <c r="F138" s="975"/>
      <c r="G138" s="975" t="s">
        <v>2036</v>
      </c>
      <c r="H138" s="975"/>
      <c r="I138" s="1003"/>
      <c r="J138" s="1003"/>
      <c r="K138" s="1003"/>
      <c r="L138" s="1003" t="s">
        <v>2037</v>
      </c>
      <c r="M138" s="1003" t="s">
        <v>2038</v>
      </c>
      <c r="O138" s="1003" t="s">
        <v>1409</v>
      </c>
      <c r="P138" s="1003" t="s">
        <v>1410</v>
      </c>
      <c r="Q138" s="1003" t="s">
        <v>1411</v>
      </c>
      <c r="V138" s="981" t="s">
        <v>1557</v>
      </c>
      <c r="W138" s="981" t="s">
        <v>1556</v>
      </c>
      <c r="X138" s="981" t="s">
        <v>501</v>
      </c>
      <c r="Y138" s="981" t="s">
        <v>708</v>
      </c>
      <c r="Z138" s="981" t="s">
        <v>82</v>
      </c>
      <c r="AA138" s="981" t="s">
        <v>709</v>
      </c>
      <c r="AB138" s="981" t="s">
        <v>1419</v>
      </c>
      <c r="AC138" s="981" t="s">
        <v>1420</v>
      </c>
      <c r="AD138" s="982" t="s">
        <v>1827</v>
      </c>
      <c r="AE138" s="981" t="s">
        <v>1828</v>
      </c>
      <c r="AF138" s="981" t="s">
        <v>1425</v>
      </c>
      <c r="AG138" s="981" t="s">
        <v>1535</v>
      </c>
      <c r="AH138" s="981" t="s">
        <v>1536</v>
      </c>
      <c r="AI138" s="981" t="s">
        <v>1559</v>
      </c>
      <c r="AJ138" s="981" t="s">
        <v>1896</v>
      </c>
      <c r="AK138" s="981" t="s">
        <v>1967</v>
      </c>
      <c r="AL138" s="981" t="s">
        <v>19</v>
      </c>
      <c r="AM138" s="981"/>
      <c r="AO138" s="979" t="s">
        <v>1557</v>
      </c>
      <c r="AP138" s="979" t="s">
        <v>1556</v>
      </c>
      <c r="AQ138" s="979" t="s">
        <v>501</v>
      </c>
      <c r="AR138" s="979" t="s">
        <v>708</v>
      </c>
      <c r="AS138" s="979" t="s">
        <v>82</v>
      </c>
      <c r="AT138" s="979" t="s">
        <v>709</v>
      </c>
      <c r="AU138" s="979" t="s">
        <v>1419</v>
      </c>
      <c r="AV138" s="979" t="s">
        <v>1420</v>
      </c>
      <c r="AW138" s="980" t="s">
        <v>1827</v>
      </c>
      <c r="AX138" s="979" t="s">
        <v>1828</v>
      </c>
      <c r="AY138" s="979" t="s">
        <v>1425</v>
      </c>
      <c r="AZ138" s="979" t="s">
        <v>1535</v>
      </c>
      <c r="BA138" s="979" t="s">
        <v>1536</v>
      </c>
      <c r="BB138" s="979" t="s">
        <v>1559</v>
      </c>
      <c r="BC138" s="979" t="s">
        <v>1896</v>
      </c>
      <c r="BD138" s="979" t="s">
        <v>1967</v>
      </c>
      <c r="BE138" s="979" t="s">
        <v>19</v>
      </c>
      <c r="BF138" s="979"/>
      <c r="BH138" s="1001" t="s">
        <v>2045</v>
      </c>
      <c r="BI138" s="1001"/>
      <c r="BJ138" s="1001" t="s">
        <v>1913</v>
      </c>
      <c r="BK138" s="1001" t="s">
        <v>537</v>
      </c>
      <c r="BL138" s="1001" t="s">
        <v>1128</v>
      </c>
    </row>
    <row r="139" spans="2:75" x14ac:dyDescent="0.3">
      <c r="F139" s="977" t="str">
        <f>C117</f>
        <v>2009-2010</v>
      </c>
      <c r="G139" s="977" t="s">
        <v>1829</v>
      </c>
      <c r="H139" s="977"/>
      <c r="I139" s="1004"/>
      <c r="J139" s="1004"/>
      <c r="K139" s="1004"/>
      <c r="L139" s="1004">
        <f>SUM(L119:L136)</f>
        <v>55</v>
      </c>
      <c r="M139" s="1004">
        <f>SUM(M119:M136)</f>
        <v>85</v>
      </c>
      <c r="N139" s="8"/>
      <c r="O139" s="1004">
        <f>COUNTIF(H119:H136,"Voitto")</f>
        <v>6</v>
      </c>
      <c r="P139" s="1004">
        <f>COUNTIF(H119:H136,"Tasapeli")</f>
        <v>1</v>
      </c>
      <c r="Q139" s="1004">
        <f>COUNTIF(H119:H136,"Häviö")</f>
        <v>11</v>
      </c>
      <c r="V139" s="8">
        <f>SUM(V119:V136)</f>
        <v>0</v>
      </c>
      <c r="W139" s="8">
        <f t="shared" ref="W139:AK139" si="65">SUM(W119:W136)</f>
        <v>0</v>
      </c>
      <c r="X139" s="8">
        <f t="shared" si="65"/>
        <v>0</v>
      </c>
      <c r="Y139" s="8">
        <f t="shared" si="65"/>
        <v>0</v>
      </c>
      <c r="Z139" s="8">
        <f t="shared" si="65"/>
        <v>0</v>
      </c>
      <c r="AA139" s="8">
        <f t="shared" si="65"/>
        <v>0</v>
      </c>
      <c r="AB139" s="8">
        <f t="shared" si="65"/>
        <v>0</v>
      </c>
      <c r="AC139" s="8">
        <f t="shared" si="65"/>
        <v>0</v>
      </c>
      <c r="AD139" s="8">
        <f t="shared" si="65"/>
        <v>0</v>
      </c>
      <c r="AE139" s="8">
        <f t="shared" si="65"/>
        <v>0</v>
      </c>
      <c r="AF139" s="8">
        <f t="shared" si="65"/>
        <v>0</v>
      </c>
      <c r="AG139" s="8">
        <f t="shared" si="65"/>
        <v>0</v>
      </c>
      <c r="AH139" s="8">
        <f t="shared" si="65"/>
        <v>0</v>
      </c>
      <c r="AI139" s="8">
        <f t="shared" si="65"/>
        <v>0</v>
      </c>
      <c r="AJ139" s="8">
        <f t="shared" si="65"/>
        <v>0</v>
      </c>
      <c r="AK139" s="8">
        <f t="shared" si="65"/>
        <v>0</v>
      </c>
      <c r="AL139" s="8">
        <f>MIN(AL119:AL136)</f>
        <v>0</v>
      </c>
      <c r="AM139" s="8">
        <f>MAX(AL119:AL136)</f>
        <v>0</v>
      </c>
      <c r="AO139" s="8">
        <f>SUM(AO119:AO136)</f>
        <v>0</v>
      </c>
      <c r="AP139" s="8">
        <f t="shared" ref="AP139:BD139" si="66">SUM(AP119:AP136)</f>
        <v>0</v>
      </c>
      <c r="AQ139" s="8">
        <f t="shared" si="66"/>
        <v>0</v>
      </c>
      <c r="AR139" s="8">
        <f t="shared" si="66"/>
        <v>0</v>
      </c>
      <c r="AS139" s="8">
        <f t="shared" si="66"/>
        <v>0</v>
      </c>
      <c r="AT139" s="8">
        <f t="shared" si="66"/>
        <v>0</v>
      </c>
      <c r="AU139" s="8">
        <f t="shared" si="66"/>
        <v>0</v>
      </c>
      <c r="AV139" s="8">
        <f t="shared" si="66"/>
        <v>0</v>
      </c>
      <c r="AW139" s="8">
        <f t="shared" si="66"/>
        <v>0</v>
      </c>
      <c r="AX139" s="8">
        <f t="shared" si="66"/>
        <v>0</v>
      </c>
      <c r="AY139" s="8">
        <f t="shared" si="66"/>
        <v>0</v>
      </c>
      <c r="AZ139" s="8">
        <f t="shared" si="66"/>
        <v>0</v>
      </c>
      <c r="BA139" s="8">
        <f t="shared" si="66"/>
        <v>0</v>
      </c>
      <c r="BB139" s="8">
        <f t="shared" si="66"/>
        <v>0</v>
      </c>
      <c r="BC139" s="8">
        <f t="shared" si="66"/>
        <v>0</v>
      </c>
      <c r="BD139" s="8">
        <f t="shared" si="66"/>
        <v>0</v>
      </c>
      <c r="BE139">
        <f>MIN(BE119:BE136)</f>
        <v>0</v>
      </c>
      <c r="BF139">
        <f>MAX(BE119:BE136)</f>
        <v>0</v>
      </c>
      <c r="BJ139" s="8">
        <f>SUM(BJ119:BJ136)</f>
        <v>18</v>
      </c>
      <c r="BK139" s="8">
        <f>SUM(BK119:BK136)</f>
        <v>0</v>
      </c>
      <c r="BL139" s="8">
        <f>SUM(BL119:BL136)</f>
        <v>0</v>
      </c>
    </row>
    <row r="144" spans="2:75" x14ac:dyDescent="0.3">
      <c r="C144" s="205" t="s">
        <v>754</v>
      </c>
      <c r="D144" s="205" t="s">
        <v>2284</v>
      </c>
      <c r="V144" s="205" t="s">
        <v>0</v>
      </c>
      <c r="AO144" s="265" t="s">
        <v>1895</v>
      </c>
      <c r="BP144" s="205" t="s">
        <v>754</v>
      </c>
      <c r="BQ144" s="205" t="s">
        <v>2618</v>
      </c>
    </row>
    <row r="145" spans="2:75" x14ac:dyDescent="0.3">
      <c r="B145" s="1003" t="s">
        <v>1393</v>
      </c>
      <c r="C145" s="975" t="s">
        <v>1831</v>
      </c>
      <c r="D145" s="975" t="s">
        <v>1830</v>
      </c>
      <c r="E145" s="975" t="s">
        <v>1832</v>
      </c>
      <c r="F145" s="975" t="s">
        <v>1836</v>
      </c>
      <c r="G145" s="975" t="s">
        <v>1835</v>
      </c>
      <c r="H145" s="989" t="s">
        <v>1407</v>
      </c>
      <c r="I145" s="990" t="s">
        <v>2019</v>
      </c>
      <c r="J145" s="990" t="s">
        <v>0</v>
      </c>
      <c r="K145" s="990" t="s">
        <v>1128</v>
      </c>
      <c r="L145" s="1324" t="s">
        <v>1407</v>
      </c>
      <c r="M145" s="1325"/>
      <c r="N145" s="1326" t="s">
        <v>1822</v>
      </c>
      <c r="O145" s="1325"/>
      <c r="P145" s="1326" t="s">
        <v>1823</v>
      </c>
      <c r="Q145" s="1325"/>
      <c r="R145" s="1326" t="s">
        <v>1824</v>
      </c>
      <c r="S145" s="1325"/>
      <c r="T145" s="1326" t="s">
        <v>2706</v>
      </c>
      <c r="U145" s="1324"/>
      <c r="V145" s="981" t="s">
        <v>1557</v>
      </c>
      <c r="W145" s="981" t="s">
        <v>1556</v>
      </c>
      <c r="X145" s="981" t="s">
        <v>501</v>
      </c>
      <c r="Y145" s="981" t="s">
        <v>708</v>
      </c>
      <c r="Z145" s="981" t="s">
        <v>82</v>
      </c>
      <c r="AA145" s="981" t="s">
        <v>709</v>
      </c>
      <c r="AB145" s="981" t="s">
        <v>1419</v>
      </c>
      <c r="AC145" s="981" t="s">
        <v>1420</v>
      </c>
      <c r="AD145" s="982" t="s">
        <v>1827</v>
      </c>
      <c r="AE145" s="981" t="s">
        <v>1828</v>
      </c>
      <c r="AF145" s="981" t="s">
        <v>1425</v>
      </c>
      <c r="AG145" s="981" t="s">
        <v>1535</v>
      </c>
      <c r="AH145" s="981" t="s">
        <v>1536</v>
      </c>
      <c r="AI145" s="981" t="s">
        <v>1559</v>
      </c>
      <c r="AJ145" s="981" t="s">
        <v>1896</v>
      </c>
      <c r="AK145" s="981" t="s">
        <v>1967</v>
      </c>
      <c r="AL145" s="981" t="s">
        <v>19</v>
      </c>
      <c r="AM145" s="981"/>
      <c r="AN145" s="265"/>
      <c r="AO145" s="979" t="s">
        <v>1557</v>
      </c>
      <c r="AP145" s="979" t="s">
        <v>1556</v>
      </c>
      <c r="AQ145" s="979" t="s">
        <v>501</v>
      </c>
      <c r="AR145" s="979" t="s">
        <v>708</v>
      </c>
      <c r="AS145" s="979" t="s">
        <v>82</v>
      </c>
      <c r="AT145" s="979" t="s">
        <v>709</v>
      </c>
      <c r="AU145" s="979" t="s">
        <v>1419</v>
      </c>
      <c r="AV145" s="979" t="s">
        <v>1420</v>
      </c>
      <c r="AW145" s="980" t="s">
        <v>1827</v>
      </c>
      <c r="AX145" s="979" t="s">
        <v>1828</v>
      </c>
      <c r="AY145" s="979" t="s">
        <v>1425</v>
      </c>
      <c r="AZ145" s="979" t="s">
        <v>1535</v>
      </c>
      <c r="BA145" s="979" t="s">
        <v>1536</v>
      </c>
      <c r="BB145" s="979" t="s">
        <v>1559</v>
      </c>
      <c r="BC145" s="979" t="s">
        <v>1896</v>
      </c>
      <c r="BD145" s="979" t="s">
        <v>1967</v>
      </c>
      <c r="BE145" s="979" t="s">
        <v>19</v>
      </c>
      <c r="BF145" s="979"/>
      <c r="BH145" s="1001" t="s">
        <v>1911</v>
      </c>
      <c r="BI145" s="1001" t="s">
        <v>1912</v>
      </c>
      <c r="BJ145" s="1001" t="s">
        <v>1913</v>
      </c>
      <c r="BK145" s="1001" t="s">
        <v>537</v>
      </c>
      <c r="BL145" s="1001" t="s">
        <v>1128</v>
      </c>
    </row>
    <row r="146" spans="2:75" x14ac:dyDescent="0.3">
      <c r="B146" s="1280">
        <v>76</v>
      </c>
      <c r="C146" s="977" t="s">
        <v>754</v>
      </c>
      <c r="D146" s="977" t="s">
        <v>1829</v>
      </c>
      <c r="E146" s="977" t="s">
        <v>1516</v>
      </c>
      <c r="F146" s="978" t="s">
        <v>2684</v>
      </c>
      <c r="G146" s="977" t="s">
        <v>731</v>
      </c>
      <c r="H146" s="991" t="str">
        <f t="shared" ref="H146" si="67">IF(L146=M146,"Tasapeli",IF(L146&lt;M146,"Häviö","Voitto"))</f>
        <v>Voitto</v>
      </c>
      <c r="I146" s="991" t="s">
        <v>1515</v>
      </c>
      <c r="J146" s="991" t="s">
        <v>0</v>
      </c>
      <c r="K146" s="991" t="s">
        <v>1574</v>
      </c>
      <c r="L146" s="992">
        <f t="shared" ref="L146:L163" si="68">N146+P146+R146</f>
        <v>6</v>
      </c>
      <c r="M146" s="992">
        <f t="shared" ref="M146:M163" si="69">O146+Q146+S146</f>
        <v>0</v>
      </c>
      <c r="N146" s="1262">
        <v>0</v>
      </c>
      <c r="O146" s="992">
        <v>0</v>
      </c>
      <c r="P146" s="1262">
        <v>2</v>
      </c>
      <c r="Q146" s="992">
        <v>0</v>
      </c>
      <c r="R146" s="1262">
        <v>4</v>
      </c>
      <c r="S146" s="992">
        <v>0</v>
      </c>
      <c r="T146" s="1262"/>
      <c r="U146" s="992"/>
      <c r="V146" s="985"/>
      <c r="W146" s="985"/>
      <c r="X146" s="985"/>
      <c r="Y146" s="985"/>
      <c r="Z146" s="985"/>
      <c r="AA146" s="985"/>
      <c r="AB146" s="985"/>
      <c r="AC146" s="985"/>
      <c r="AD146" s="985"/>
      <c r="AE146" s="985"/>
      <c r="AF146" s="985"/>
      <c r="AG146" s="985"/>
      <c r="AH146" s="985"/>
      <c r="AI146" s="985"/>
      <c r="AJ146" s="985"/>
      <c r="AK146" s="985"/>
      <c r="AL146" s="985"/>
      <c r="AM146" s="985"/>
      <c r="AN146" s="8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H146" s="1002">
        <f>IF(V146=0,1,0)</f>
        <v>1</v>
      </c>
      <c r="BI146" s="1002">
        <f>IF(AO146=0,1,0)</f>
        <v>1</v>
      </c>
      <c r="BJ146" s="1002">
        <f>IF(V146+AO146=0,1,0)</f>
        <v>1</v>
      </c>
      <c r="BK146" s="1002">
        <f>IF(BH146&gt;BI146,1,0)</f>
        <v>0</v>
      </c>
      <c r="BL146" s="1002">
        <f>IF(BI146&gt;BH146,1,0)</f>
        <v>0</v>
      </c>
      <c r="BO146" s="1282" t="s">
        <v>1393</v>
      </c>
      <c r="BP146" s="1281" t="s">
        <v>989</v>
      </c>
      <c r="BQ146" s="1282" t="s">
        <v>877</v>
      </c>
      <c r="BR146" s="1282" t="s">
        <v>990</v>
      </c>
      <c r="BS146" s="1282" t="s">
        <v>991</v>
      </c>
      <c r="BT146" s="1282" t="s">
        <v>992</v>
      </c>
      <c r="BU146" s="1282" t="s">
        <v>139</v>
      </c>
      <c r="BV146" s="1282" t="s">
        <v>993</v>
      </c>
      <c r="BW146" s="1282" t="s">
        <v>610</v>
      </c>
    </row>
    <row r="147" spans="2:75" x14ac:dyDescent="0.3">
      <c r="B147" s="1280">
        <v>77</v>
      </c>
      <c r="C147" s="977" t="s">
        <v>754</v>
      </c>
      <c r="D147" s="977" t="s">
        <v>1829</v>
      </c>
      <c r="E147" s="977" t="s">
        <v>1537</v>
      </c>
      <c r="F147" s="978" t="s">
        <v>2685</v>
      </c>
      <c r="G147" s="977" t="s">
        <v>731</v>
      </c>
      <c r="H147" s="991" t="str">
        <f t="shared" ref="H147:H163" si="70">IF(L147=M147,"Tasapeli",IF(L147&lt;M147,"Häviö","Voitto"))</f>
        <v>Voitto</v>
      </c>
      <c r="I147" s="991" t="s">
        <v>1515</v>
      </c>
      <c r="J147" s="991" t="s">
        <v>0</v>
      </c>
      <c r="K147" s="991" t="s">
        <v>1575</v>
      </c>
      <c r="L147" s="992">
        <f t="shared" si="68"/>
        <v>4</v>
      </c>
      <c r="M147" s="992">
        <f t="shared" si="69"/>
        <v>3</v>
      </c>
      <c r="N147" s="1262">
        <v>0</v>
      </c>
      <c r="O147" s="992">
        <v>1</v>
      </c>
      <c r="P147" s="1262">
        <v>2</v>
      </c>
      <c r="Q147" s="992">
        <v>0</v>
      </c>
      <c r="R147" s="1262">
        <v>2</v>
      </c>
      <c r="S147" s="992">
        <v>2</v>
      </c>
      <c r="T147" s="1262"/>
      <c r="U147" s="992"/>
      <c r="V147" s="985"/>
      <c r="W147" s="985"/>
      <c r="X147" s="985"/>
      <c r="Y147" s="985"/>
      <c r="Z147" s="985"/>
      <c r="AA147" s="985"/>
      <c r="AB147" s="985"/>
      <c r="AC147" s="985"/>
      <c r="AD147" s="985"/>
      <c r="AE147" s="985"/>
      <c r="AF147" s="985"/>
      <c r="AG147" s="985"/>
      <c r="AH147" s="985"/>
      <c r="AI147" s="985"/>
      <c r="AJ147" s="985"/>
      <c r="AK147" s="985"/>
      <c r="AL147" s="985"/>
      <c r="AM147" s="985"/>
      <c r="AN147" s="8"/>
      <c r="AO147" s="983"/>
      <c r="AP147" s="983"/>
      <c r="AQ147" s="983"/>
      <c r="AR147" s="983"/>
      <c r="AS147" s="983"/>
      <c r="AT147" s="983"/>
      <c r="AU147" s="983"/>
      <c r="AV147" s="983"/>
      <c r="AW147" s="983"/>
      <c r="AX147" s="983"/>
      <c r="AY147" s="983"/>
      <c r="AZ147" s="983"/>
      <c r="BA147" s="983"/>
      <c r="BB147" s="983"/>
      <c r="BC147" s="983"/>
      <c r="BD147" s="983"/>
      <c r="BE147" s="988"/>
      <c r="BF147" s="988"/>
      <c r="BH147" s="1002">
        <f t="shared" ref="BH147:BH163" si="71">IF(V147=0,1,0)</f>
        <v>1</v>
      </c>
      <c r="BI147" s="1002">
        <f t="shared" ref="BI147:BI163" si="72">IF(AO147=0,1,0)</f>
        <v>1</v>
      </c>
      <c r="BJ147" s="1002">
        <f t="shared" ref="BJ147:BJ163" si="73">IF(V147+AO147=0,1,0)</f>
        <v>1</v>
      </c>
      <c r="BK147" s="1002">
        <f t="shared" ref="BK147:BK163" si="74">IF(BH147&gt;BI147,1,0)</f>
        <v>0</v>
      </c>
      <c r="BL147" s="1002">
        <f t="shared" ref="BL147:BL163" si="75">IF(BI147&gt;BH147,1,0)</f>
        <v>0</v>
      </c>
      <c r="BO147" s="119">
        <v>1</v>
      </c>
      <c r="BP147" s="128" t="s">
        <v>1577</v>
      </c>
      <c r="BQ147" s="119">
        <v>18</v>
      </c>
      <c r="BR147" s="119">
        <v>17</v>
      </c>
      <c r="BS147" s="119">
        <v>1</v>
      </c>
      <c r="BT147" s="119">
        <v>0</v>
      </c>
      <c r="BU147" s="119">
        <v>155</v>
      </c>
      <c r="BV147" s="119">
        <v>55</v>
      </c>
      <c r="BW147" s="119">
        <v>35</v>
      </c>
    </row>
    <row r="148" spans="2:75" x14ac:dyDescent="0.3">
      <c r="B148" s="1280">
        <v>78</v>
      </c>
      <c r="C148" s="977" t="s">
        <v>754</v>
      </c>
      <c r="D148" s="977" t="s">
        <v>1829</v>
      </c>
      <c r="E148" s="977" t="s">
        <v>1538</v>
      </c>
      <c r="F148" s="978" t="s">
        <v>2686</v>
      </c>
      <c r="G148" s="977" t="s">
        <v>579</v>
      </c>
      <c r="H148" s="991" t="str">
        <f t="shared" si="70"/>
        <v>Voitto</v>
      </c>
      <c r="I148" s="991" t="s">
        <v>1514</v>
      </c>
      <c r="J148" s="991" t="s">
        <v>0</v>
      </c>
      <c r="K148" s="991" t="s">
        <v>1576</v>
      </c>
      <c r="L148" s="992">
        <f t="shared" si="68"/>
        <v>6</v>
      </c>
      <c r="M148" s="992">
        <f t="shared" si="69"/>
        <v>2</v>
      </c>
      <c r="N148" s="1262">
        <v>0</v>
      </c>
      <c r="O148" s="992">
        <v>1</v>
      </c>
      <c r="P148" s="1262">
        <v>1</v>
      </c>
      <c r="Q148" s="992">
        <v>1</v>
      </c>
      <c r="R148" s="1262">
        <v>5</v>
      </c>
      <c r="S148" s="992">
        <v>0</v>
      </c>
      <c r="T148" s="1262"/>
      <c r="U148" s="992"/>
      <c r="V148" s="985"/>
      <c r="W148" s="985"/>
      <c r="X148" s="985"/>
      <c r="Y148" s="985"/>
      <c r="Z148" s="985"/>
      <c r="AA148" s="985"/>
      <c r="AB148" s="985"/>
      <c r="AC148" s="985"/>
      <c r="AD148" s="985"/>
      <c r="AE148" s="985"/>
      <c r="AF148" s="985"/>
      <c r="AG148" s="985"/>
      <c r="AH148" s="985"/>
      <c r="AI148" s="985"/>
      <c r="AJ148" s="985"/>
      <c r="AK148" s="985"/>
      <c r="AL148" s="986"/>
      <c r="AM148" s="986"/>
      <c r="AN148" s="8"/>
      <c r="AO148" s="983"/>
      <c r="AP148" s="983"/>
      <c r="AQ148" s="983"/>
      <c r="AR148" s="983"/>
      <c r="AS148" s="983"/>
      <c r="AT148" s="983"/>
      <c r="AU148" s="983"/>
      <c r="AV148" s="983"/>
      <c r="AW148" s="983"/>
      <c r="AX148" s="983"/>
      <c r="AY148" s="983"/>
      <c r="AZ148" s="983"/>
      <c r="BA148" s="983"/>
      <c r="BB148" s="983"/>
      <c r="BC148" s="983"/>
      <c r="BD148" s="983"/>
      <c r="BE148" s="988"/>
      <c r="BF148" s="988"/>
      <c r="BH148" s="1002">
        <f t="shared" si="71"/>
        <v>1</v>
      </c>
      <c r="BI148" s="1002">
        <f t="shared" si="72"/>
        <v>1</v>
      </c>
      <c r="BJ148" s="1002">
        <f t="shared" si="73"/>
        <v>1</v>
      </c>
      <c r="BK148" s="1002">
        <f t="shared" si="74"/>
        <v>0</v>
      </c>
      <c r="BL148" s="1002">
        <f t="shared" si="75"/>
        <v>0</v>
      </c>
      <c r="BO148" s="119">
        <v>2</v>
      </c>
      <c r="BP148" s="128" t="s">
        <v>1579</v>
      </c>
      <c r="BQ148" s="119">
        <v>18</v>
      </c>
      <c r="BR148" s="119">
        <v>13</v>
      </c>
      <c r="BS148" s="119">
        <v>2</v>
      </c>
      <c r="BT148" s="119">
        <v>3</v>
      </c>
      <c r="BU148" s="119">
        <v>120</v>
      </c>
      <c r="BV148" s="119">
        <v>51</v>
      </c>
      <c r="BW148" s="119">
        <v>28</v>
      </c>
    </row>
    <row r="149" spans="2:75" x14ac:dyDescent="0.3">
      <c r="B149" s="1280">
        <v>79</v>
      </c>
      <c r="C149" s="977" t="s">
        <v>754</v>
      </c>
      <c r="D149" s="977" t="s">
        <v>1829</v>
      </c>
      <c r="E149" s="977" t="s">
        <v>1539</v>
      </c>
      <c r="F149" s="978" t="s">
        <v>2687</v>
      </c>
      <c r="G149" s="977" t="s">
        <v>579</v>
      </c>
      <c r="H149" s="991" t="str">
        <f t="shared" si="70"/>
        <v>Tasapeli</v>
      </c>
      <c r="I149" s="991" t="s">
        <v>1515</v>
      </c>
      <c r="J149" s="991" t="s">
        <v>0</v>
      </c>
      <c r="K149" s="991" t="s">
        <v>1577</v>
      </c>
      <c r="L149" s="992">
        <f t="shared" si="68"/>
        <v>3</v>
      </c>
      <c r="M149" s="992">
        <f t="shared" si="69"/>
        <v>3</v>
      </c>
      <c r="N149" s="1262">
        <v>2</v>
      </c>
      <c r="O149" s="992">
        <v>2</v>
      </c>
      <c r="P149" s="1262">
        <v>0</v>
      </c>
      <c r="Q149" s="992">
        <v>1</v>
      </c>
      <c r="R149" s="1262">
        <v>1</v>
      </c>
      <c r="S149" s="992">
        <v>0</v>
      </c>
      <c r="T149" s="1262"/>
      <c r="U149" s="992"/>
      <c r="V149" s="985"/>
      <c r="W149" s="985"/>
      <c r="X149" s="987"/>
      <c r="Y149" s="987"/>
      <c r="Z149" s="98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5"/>
      <c r="AL149" s="985"/>
      <c r="AM149" s="985"/>
      <c r="AO149" s="983"/>
      <c r="AP149" s="983"/>
      <c r="AQ149" s="983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83"/>
      <c r="BE149" s="984"/>
      <c r="BF149" s="984"/>
      <c r="BH149" s="1002">
        <f t="shared" si="71"/>
        <v>1</v>
      </c>
      <c r="BI149" s="1002">
        <f t="shared" si="72"/>
        <v>1</v>
      </c>
      <c r="BJ149" s="1002">
        <f t="shared" si="73"/>
        <v>1</v>
      </c>
      <c r="BK149" s="1002">
        <f t="shared" si="74"/>
        <v>0</v>
      </c>
      <c r="BL149" s="1002">
        <f t="shared" si="75"/>
        <v>0</v>
      </c>
      <c r="BO149" s="1284">
        <v>3</v>
      </c>
      <c r="BP149" s="1283" t="s">
        <v>0</v>
      </c>
      <c r="BQ149" s="1284">
        <v>18</v>
      </c>
      <c r="BR149" s="1284">
        <v>11</v>
      </c>
      <c r="BS149" s="1284">
        <v>3</v>
      </c>
      <c r="BT149" s="1284">
        <v>4</v>
      </c>
      <c r="BU149" s="1284">
        <v>95</v>
      </c>
      <c r="BV149" s="1284">
        <v>66</v>
      </c>
      <c r="BW149" s="1284">
        <v>25</v>
      </c>
    </row>
    <row r="150" spans="2:75" x14ac:dyDescent="0.3">
      <c r="B150" s="1280">
        <v>80</v>
      </c>
      <c r="C150" s="977" t="s">
        <v>754</v>
      </c>
      <c r="D150" s="977" t="s">
        <v>1829</v>
      </c>
      <c r="E150" s="977" t="s">
        <v>1540</v>
      </c>
      <c r="F150" s="978" t="s">
        <v>2688</v>
      </c>
      <c r="G150" s="977" t="s">
        <v>246</v>
      </c>
      <c r="H150" s="991" t="str">
        <f t="shared" si="70"/>
        <v>Voitto</v>
      </c>
      <c r="I150" s="991" t="s">
        <v>1514</v>
      </c>
      <c r="J150" s="991" t="s">
        <v>0</v>
      </c>
      <c r="K150" s="991" t="s">
        <v>1578</v>
      </c>
      <c r="L150" s="992">
        <f t="shared" si="68"/>
        <v>13</v>
      </c>
      <c r="M150" s="992">
        <f t="shared" si="69"/>
        <v>4</v>
      </c>
      <c r="N150" s="1262">
        <v>6</v>
      </c>
      <c r="O150" s="992">
        <v>1</v>
      </c>
      <c r="P150" s="1262">
        <v>3</v>
      </c>
      <c r="Q150" s="992">
        <v>2</v>
      </c>
      <c r="R150" s="1262">
        <v>4</v>
      </c>
      <c r="S150" s="992">
        <v>1</v>
      </c>
      <c r="T150" s="1262"/>
      <c r="U150" s="992"/>
      <c r="V150" s="985"/>
      <c r="W150" s="985"/>
      <c r="X150" s="987"/>
      <c r="Y150" s="987"/>
      <c r="Z150" s="98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5"/>
      <c r="AL150" s="985"/>
      <c r="AM150" s="985"/>
      <c r="AO150" s="983"/>
      <c r="AP150" s="983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83"/>
      <c r="BE150" s="983"/>
      <c r="BF150" s="983"/>
      <c r="BH150" s="1002">
        <f t="shared" si="71"/>
        <v>1</v>
      </c>
      <c r="BI150" s="1002">
        <f t="shared" si="72"/>
        <v>1</v>
      </c>
      <c r="BJ150" s="1002">
        <f t="shared" si="73"/>
        <v>1</v>
      </c>
      <c r="BK150" s="1002">
        <f t="shared" si="74"/>
        <v>0</v>
      </c>
      <c r="BL150" s="1002">
        <f t="shared" si="75"/>
        <v>0</v>
      </c>
      <c r="BO150" s="119">
        <v>4</v>
      </c>
      <c r="BP150" s="128" t="s">
        <v>1580</v>
      </c>
      <c r="BQ150" s="119">
        <v>18</v>
      </c>
      <c r="BR150" s="119">
        <v>10</v>
      </c>
      <c r="BS150" s="119">
        <v>1</v>
      </c>
      <c r="BT150" s="119">
        <v>7</v>
      </c>
      <c r="BU150" s="119">
        <v>99</v>
      </c>
      <c r="BV150" s="119">
        <v>77</v>
      </c>
      <c r="BW150" s="119">
        <v>21</v>
      </c>
    </row>
    <row r="151" spans="2:75" x14ac:dyDescent="0.3">
      <c r="B151" s="1280">
        <v>81</v>
      </c>
      <c r="C151" s="977" t="s">
        <v>754</v>
      </c>
      <c r="D151" s="977" t="s">
        <v>1829</v>
      </c>
      <c r="E151" s="977" t="s">
        <v>1541</v>
      </c>
      <c r="F151" s="978" t="s">
        <v>2689</v>
      </c>
      <c r="G151" s="977" t="s">
        <v>246</v>
      </c>
      <c r="H151" s="991" t="str">
        <f t="shared" si="70"/>
        <v>Häviö</v>
      </c>
      <c r="I151" s="991" t="s">
        <v>1514</v>
      </c>
      <c r="J151" s="991" t="s">
        <v>0</v>
      </c>
      <c r="K151" s="991" t="s">
        <v>1579</v>
      </c>
      <c r="L151" s="992">
        <f t="shared" si="68"/>
        <v>1</v>
      </c>
      <c r="M151" s="992">
        <f t="shared" si="69"/>
        <v>6</v>
      </c>
      <c r="N151" s="1262">
        <v>0</v>
      </c>
      <c r="O151" s="992">
        <v>1</v>
      </c>
      <c r="P151" s="1262">
        <v>1</v>
      </c>
      <c r="Q151" s="992">
        <v>3</v>
      </c>
      <c r="R151" s="1262">
        <v>0</v>
      </c>
      <c r="S151" s="992">
        <v>2</v>
      </c>
      <c r="T151" s="1262"/>
      <c r="U151" s="992"/>
      <c r="V151" s="985"/>
      <c r="W151" s="985"/>
      <c r="X151" s="987"/>
      <c r="Y151" s="987"/>
      <c r="Z151" s="987"/>
      <c r="AA151" s="987"/>
      <c r="AB151" s="987"/>
      <c r="AC151" s="987"/>
      <c r="AD151" s="987"/>
      <c r="AE151" s="987"/>
      <c r="AF151" s="987"/>
      <c r="AG151" s="987"/>
      <c r="AH151" s="987"/>
      <c r="AI151" s="987"/>
      <c r="AJ151" s="987"/>
      <c r="AK151" s="985"/>
      <c r="AL151" s="985"/>
      <c r="AM151" s="985"/>
      <c r="AO151" s="983"/>
      <c r="AP151" s="983"/>
      <c r="AQ151" s="983"/>
      <c r="AR151" s="976"/>
      <c r="AS151" s="976"/>
      <c r="AT151" s="976"/>
      <c r="AU151" s="976"/>
      <c r="AV151" s="976"/>
      <c r="AW151" s="976"/>
      <c r="AX151" s="976"/>
      <c r="AY151" s="976"/>
      <c r="AZ151" s="976"/>
      <c r="BA151" s="976"/>
      <c r="BB151" s="976"/>
      <c r="BC151" s="976"/>
      <c r="BD151" s="983"/>
      <c r="BE151" s="983"/>
      <c r="BF151" s="983"/>
      <c r="BH151" s="1002">
        <f t="shared" si="71"/>
        <v>1</v>
      </c>
      <c r="BI151" s="1002">
        <f t="shared" si="72"/>
        <v>1</v>
      </c>
      <c r="BJ151" s="1002">
        <f t="shared" si="73"/>
        <v>1</v>
      </c>
      <c r="BK151" s="1002">
        <f t="shared" si="74"/>
        <v>0</v>
      </c>
      <c r="BL151" s="1002">
        <f t="shared" si="75"/>
        <v>0</v>
      </c>
      <c r="BO151" s="119">
        <v>5</v>
      </c>
      <c r="BP151" s="128" t="s">
        <v>1576</v>
      </c>
      <c r="BQ151" s="119">
        <v>18</v>
      </c>
      <c r="BR151" s="119">
        <v>8</v>
      </c>
      <c r="BS151" s="119">
        <v>1</v>
      </c>
      <c r="BT151" s="119">
        <v>9</v>
      </c>
      <c r="BU151" s="119">
        <v>108</v>
      </c>
      <c r="BV151" s="119">
        <v>114</v>
      </c>
      <c r="BW151" s="119">
        <v>17</v>
      </c>
    </row>
    <row r="152" spans="2:75" x14ac:dyDescent="0.3">
      <c r="B152" s="1280">
        <v>82</v>
      </c>
      <c r="C152" s="977" t="s">
        <v>754</v>
      </c>
      <c r="D152" s="977" t="s">
        <v>1829</v>
      </c>
      <c r="E152" s="977" t="s">
        <v>1542</v>
      </c>
      <c r="F152" s="978" t="s">
        <v>2690</v>
      </c>
      <c r="G152" s="977" t="s">
        <v>579</v>
      </c>
      <c r="H152" s="991" t="str">
        <f t="shared" si="70"/>
        <v>Häviö</v>
      </c>
      <c r="I152" s="991" t="s">
        <v>1515</v>
      </c>
      <c r="J152" s="991" t="s">
        <v>0</v>
      </c>
      <c r="K152" s="991" t="s">
        <v>1580</v>
      </c>
      <c r="L152" s="992">
        <f t="shared" si="68"/>
        <v>3</v>
      </c>
      <c r="M152" s="992">
        <f t="shared" si="69"/>
        <v>4</v>
      </c>
      <c r="N152" s="1262">
        <v>1</v>
      </c>
      <c r="O152" s="992">
        <v>1</v>
      </c>
      <c r="P152" s="1262">
        <v>1</v>
      </c>
      <c r="Q152" s="992">
        <v>1</v>
      </c>
      <c r="R152" s="1262">
        <v>1</v>
      </c>
      <c r="S152" s="992">
        <v>2</v>
      </c>
      <c r="T152" s="1262"/>
      <c r="U152" s="992"/>
      <c r="V152" s="985"/>
      <c r="W152" s="985"/>
      <c r="X152" s="985"/>
      <c r="Y152" s="987"/>
      <c r="Z152" s="987"/>
      <c r="AA152" s="987"/>
      <c r="AB152" s="985"/>
      <c r="AC152" s="987"/>
      <c r="AD152" s="987"/>
      <c r="AE152" s="987"/>
      <c r="AF152" s="987"/>
      <c r="AG152" s="987"/>
      <c r="AH152" s="987"/>
      <c r="AI152" s="987"/>
      <c r="AJ152" s="987"/>
      <c r="AK152" s="985"/>
      <c r="AL152" s="986"/>
      <c r="AM152" s="986"/>
      <c r="AO152" s="983"/>
      <c r="AP152" s="983"/>
      <c r="AQ152" s="983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76"/>
      <c r="BD152" s="983"/>
      <c r="BE152" s="983"/>
      <c r="BF152" s="983"/>
      <c r="BH152" s="1002">
        <f t="shared" si="71"/>
        <v>1</v>
      </c>
      <c r="BI152" s="1002">
        <f t="shared" si="72"/>
        <v>1</v>
      </c>
      <c r="BJ152" s="1002">
        <f t="shared" si="73"/>
        <v>1</v>
      </c>
      <c r="BK152" s="1002">
        <f t="shared" si="74"/>
        <v>0</v>
      </c>
      <c r="BL152" s="1002">
        <f t="shared" si="75"/>
        <v>0</v>
      </c>
      <c r="BO152" s="119">
        <v>6</v>
      </c>
      <c r="BP152" s="128" t="s">
        <v>1574</v>
      </c>
      <c r="BQ152" s="119">
        <v>18</v>
      </c>
      <c r="BR152" s="119">
        <v>6</v>
      </c>
      <c r="BS152" s="119">
        <v>2</v>
      </c>
      <c r="BT152" s="119">
        <v>10</v>
      </c>
      <c r="BU152" s="119">
        <v>63</v>
      </c>
      <c r="BV152" s="119">
        <v>79</v>
      </c>
      <c r="BW152" s="119">
        <v>14</v>
      </c>
    </row>
    <row r="153" spans="2:75" x14ac:dyDescent="0.3">
      <c r="B153" s="1280">
        <v>83</v>
      </c>
      <c r="C153" s="977" t="s">
        <v>754</v>
      </c>
      <c r="D153" s="977" t="s">
        <v>1829</v>
      </c>
      <c r="E153" s="977" t="s">
        <v>1543</v>
      </c>
      <c r="F153" s="978" t="s">
        <v>2691</v>
      </c>
      <c r="G153" s="977" t="s">
        <v>579</v>
      </c>
      <c r="H153" s="991" t="str">
        <f t="shared" si="70"/>
        <v>Voitto</v>
      </c>
      <c r="I153" s="991" t="s">
        <v>1514</v>
      </c>
      <c r="J153" s="991" t="s">
        <v>0</v>
      </c>
      <c r="K153" s="991" t="s">
        <v>1581</v>
      </c>
      <c r="L153" s="992">
        <f t="shared" si="68"/>
        <v>8</v>
      </c>
      <c r="M153" s="992">
        <f t="shared" si="69"/>
        <v>3</v>
      </c>
      <c r="N153" s="1262">
        <v>3</v>
      </c>
      <c r="O153" s="992">
        <v>2</v>
      </c>
      <c r="P153" s="1262">
        <v>3</v>
      </c>
      <c r="Q153" s="992">
        <v>1</v>
      </c>
      <c r="R153" s="1262">
        <v>2</v>
      </c>
      <c r="S153" s="992">
        <v>0</v>
      </c>
      <c r="T153" s="1262"/>
      <c r="U153" s="992"/>
      <c r="V153" s="985"/>
      <c r="W153" s="985"/>
      <c r="X153" s="985"/>
      <c r="Y153" s="985"/>
      <c r="Z153" s="985"/>
      <c r="AA153" s="985"/>
      <c r="AB153" s="985"/>
      <c r="AC153" s="985"/>
      <c r="AD153" s="985"/>
      <c r="AE153" s="985"/>
      <c r="AF153" s="985"/>
      <c r="AG153" s="985"/>
      <c r="AH153" s="985"/>
      <c r="AI153" s="985"/>
      <c r="AJ153" s="985"/>
      <c r="AK153" s="985"/>
      <c r="AL153" s="985"/>
      <c r="AM153" s="985"/>
      <c r="AN153" s="8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3"/>
      <c r="BA153" s="983"/>
      <c r="BB153" s="983"/>
      <c r="BC153" s="983"/>
      <c r="BD153" s="983"/>
      <c r="BE153" s="983"/>
      <c r="BF153" s="983"/>
      <c r="BH153" s="1002">
        <f t="shared" si="71"/>
        <v>1</v>
      </c>
      <c r="BI153" s="1002">
        <f t="shared" si="72"/>
        <v>1</v>
      </c>
      <c r="BJ153" s="1002">
        <f t="shared" si="73"/>
        <v>1</v>
      </c>
      <c r="BK153" s="1002">
        <f t="shared" si="74"/>
        <v>0</v>
      </c>
      <c r="BL153" s="1002">
        <f t="shared" si="75"/>
        <v>0</v>
      </c>
      <c r="BO153" s="119">
        <v>7</v>
      </c>
      <c r="BP153" s="128" t="s">
        <v>1581</v>
      </c>
      <c r="BQ153" s="119">
        <v>18</v>
      </c>
      <c r="BR153" s="119">
        <v>6</v>
      </c>
      <c r="BS153" s="119">
        <v>2</v>
      </c>
      <c r="BT153" s="119">
        <v>10</v>
      </c>
      <c r="BU153" s="119">
        <v>69</v>
      </c>
      <c r="BV153" s="119">
        <v>108</v>
      </c>
      <c r="BW153" s="119">
        <v>14</v>
      </c>
    </row>
    <row r="154" spans="2:75" x14ac:dyDescent="0.3">
      <c r="B154" s="1280">
        <v>84</v>
      </c>
      <c r="C154" s="977" t="s">
        <v>754</v>
      </c>
      <c r="D154" s="977" t="s">
        <v>1829</v>
      </c>
      <c r="E154" s="977" t="s">
        <v>1544</v>
      </c>
      <c r="F154" s="978" t="s">
        <v>2692</v>
      </c>
      <c r="G154" s="977" t="s">
        <v>731</v>
      </c>
      <c r="H154" s="991" t="str">
        <f t="shared" si="70"/>
        <v>Voitto</v>
      </c>
      <c r="I154" s="991" t="s">
        <v>1515</v>
      </c>
      <c r="J154" s="991" t="s">
        <v>0</v>
      </c>
      <c r="K154" s="991" t="s">
        <v>1576</v>
      </c>
      <c r="L154" s="992">
        <f t="shared" si="68"/>
        <v>6</v>
      </c>
      <c r="M154" s="992">
        <f t="shared" si="69"/>
        <v>5</v>
      </c>
      <c r="N154" s="1262">
        <v>2</v>
      </c>
      <c r="O154" s="992">
        <v>0</v>
      </c>
      <c r="P154" s="1262">
        <v>2</v>
      </c>
      <c r="Q154" s="992">
        <v>2</v>
      </c>
      <c r="R154" s="1262">
        <v>2</v>
      </c>
      <c r="S154" s="992">
        <v>3</v>
      </c>
      <c r="T154" s="1262"/>
      <c r="U154" s="992"/>
      <c r="V154" s="985"/>
      <c r="W154" s="985"/>
      <c r="X154" s="985"/>
      <c r="Y154" s="985"/>
      <c r="Z154" s="985"/>
      <c r="AA154" s="985"/>
      <c r="AB154" s="985"/>
      <c r="AC154" s="985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8"/>
      <c r="AO154" s="983"/>
      <c r="AP154" s="983"/>
      <c r="AQ154" s="983"/>
      <c r="AR154" s="983"/>
      <c r="AS154" s="983"/>
      <c r="AT154" s="983"/>
      <c r="AU154" s="983"/>
      <c r="AV154" s="983"/>
      <c r="AW154" s="983"/>
      <c r="AX154" s="983"/>
      <c r="AY154" s="983"/>
      <c r="AZ154" s="983"/>
      <c r="BA154" s="983"/>
      <c r="BB154" s="983"/>
      <c r="BC154" s="983"/>
      <c r="BD154" s="983"/>
      <c r="BE154" s="983"/>
      <c r="BF154" s="983"/>
      <c r="BH154" s="1002">
        <f t="shared" si="71"/>
        <v>1</v>
      </c>
      <c r="BI154" s="1002">
        <f t="shared" si="72"/>
        <v>1</v>
      </c>
      <c r="BJ154" s="1002">
        <f t="shared" si="73"/>
        <v>1</v>
      </c>
      <c r="BK154" s="1002">
        <f t="shared" si="74"/>
        <v>0</v>
      </c>
      <c r="BL154" s="1002">
        <f t="shared" si="75"/>
        <v>0</v>
      </c>
      <c r="BO154" s="119">
        <v>8</v>
      </c>
      <c r="BP154" s="128" t="s">
        <v>1575</v>
      </c>
      <c r="BQ154" s="119">
        <v>18</v>
      </c>
      <c r="BR154" s="119">
        <v>5</v>
      </c>
      <c r="BS154" s="119">
        <v>1</v>
      </c>
      <c r="BT154" s="119">
        <v>12</v>
      </c>
      <c r="BU154" s="119">
        <v>85</v>
      </c>
      <c r="BV154" s="119">
        <v>130</v>
      </c>
      <c r="BW154" s="119">
        <v>11</v>
      </c>
    </row>
    <row r="155" spans="2:75" x14ac:dyDescent="0.3">
      <c r="B155" s="1280">
        <v>85</v>
      </c>
      <c r="C155" s="977" t="s">
        <v>754</v>
      </c>
      <c r="D155" s="977" t="s">
        <v>1829</v>
      </c>
      <c r="E155" s="977" t="s">
        <v>1545</v>
      </c>
      <c r="F155" s="978" t="s">
        <v>2693</v>
      </c>
      <c r="G155" s="977" t="s">
        <v>731</v>
      </c>
      <c r="H155" s="991" t="str">
        <f t="shared" si="70"/>
        <v>Häviö</v>
      </c>
      <c r="I155" s="991" t="s">
        <v>1514</v>
      </c>
      <c r="J155" s="991" t="s">
        <v>0</v>
      </c>
      <c r="K155" s="991" t="s">
        <v>1577</v>
      </c>
      <c r="L155" s="992">
        <f t="shared" si="68"/>
        <v>4</v>
      </c>
      <c r="M155" s="992">
        <f t="shared" si="69"/>
        <v>6</v>
      </c>
      <c r="N155" s="1262">
        <v>1</v>
      </c>
      <c r="O155" s="992">
        <v>1</v>
      </c>
      <c r="P155" s="1262">
        <v>2</v>
      </c>
      <c r="Q155" s="992">
        <v>2</v>
      </c>
      <c r="R155" s="1262">
        <v>1</v>
      </c>
      <c r="S155" s="992">
        <v>3</v>
      </c>
      <c r="T155" s="1262"/>
      <c r="U155" s="992"/>
      <c r="V155" s="985"/>
      <c r="W155" s="985"/>
      <c r="X155" s="985"/>
      <c r="Y155" s="985"/>
      <c r="Z155" s="985"/>
      <c r="AA155" s="985"/>
      <c r="AB155" s="985"/>
      <c r="AC155" s="985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8"/>
      <c r="AO155" s="983"/>
      <c r="AP155" s="983"/>
      <c r="AQ155" s="983"/>
      <c r="AR155" s="983"/>
      <c r="AS155" s="983"/>
      <c r="AT155" s="983"/>
      <c r="AU155" s="983"/>
      <c r="AV155" s="983"/>
      <c r="AW155" s="983"/>
      <c r="AX155" s="983"/>
      <c r="AY155" s="983"/>
      <c r="AZ155" s="983"/>
      <c r="BA155" s="983"/>
      <c r="BB155" s="983"/>
      <c r="BC155" s="983"/>
      <c r="BD155" s="983"/>
      <c r="BE155" s="983"/>
      <c r="BF155" s="983"/>
      <c r="BH155" s="1002">
        <f t="shared" si="71"/>
        <v>1</v>
      </c>
      <c r="BI155" s="1002">
        <f t="shared" si="72"/>
        <v>1</v>
      </c>
      <c r="BJ155" s="1002">
        <f t="shared" si="73"/>
        <v>1</v>
      </c>
      <c r="BK155" s="1002">
        <f t="shared" si="74"/>
        <v>0</v>
      </c>
      <c r="BL155" s="1002">
        <f t="shared" si="75"/>
        <v>0</v>
      </c>
      <c r="BO155" s="1088">
        <v>9</v>
      </c>
      <c r="BP155" s="128" t="s">
        <v>1582</v>
      </c>
      <c r="BQ155" s="119">
        <v>18</v>
      </c>
      <c r="BR155" s="119">
        <v>5</v>
      </c>
      <c r="BS155" s="119">
        <v>0</v>
      </c>
      <c r="BT155" s="119">
        <v>13</v>
      </c>
      <c r="BU155" s="119">
        <v>82</v>
      </c>
      <c r="BV155" s="119">
        <v>114</v>
      </c>
      <c r="BW155" s="119">
        <v>10</v>
      </c>
    </row>
    <row r="156" spans="2:75" x14ac:dyDescent="0.3">
      <c r="B156" s="1280">
        <v>86</v>
      </c>
      <c r="C156" s="977" t="s">
        <v>754</v>
      </c>
      <c r="D156" s="977" t="s">
        <v>1829</v>
      </c>
      <c r="E156" s="977" t="s">
        <v>1546</v>
      </c>
      <c r="F156" s="978" t="s">
        <v>2694</v>
      </c>
      <c r="G156" s="977" t="s">
        <v>736</v>
      </c>
      <c r="H156" s="991" t="str">
        <f t="shared" si="70"/>
        <v>Voitto</v>
      </c>
      <c r="I156" s="991" t="s">
        <v>1514</v>
      </c>
      <c r="J156" s="991" t="s">
        <v>0</v>
      </c>
      <c r="K156" s="991" t="s">
        <v>1574</v>
      </c>
      <c r="L156" s="992">
        <f t="shared" si="68"/>
        <v>4</v>
      </c>
      <c r="M156" s="992">
        <f t="shared" si="69"/>
        <v>2</v>
      </c>
      <c r="N156" s="1262">
        <v>1</v>
      </c>
      <c r="O156" s="992">
        <v>1</v>
      </c>
      <c r="P156" s="1262">
        <v>1</v>
      </c>
      <c r="Q156" s="992">
        <v>0</v>
      </c>
      <c r="R156" s="1262">
        <v>2</v>
      </c>
      <c r="S156" s="992">
        <v>1</v>
      </c>
      <c r="T156" s="1262"/>
      <c r="U156" s="992"/>
      <c r="V156" s="985"/>
      <c r="W156" s="985"/>
      <c r="X156" s="985"/>
      <c r="Y156" s="985"/>
      <c r="Z156" s="985"/>
      <c r="AA156" s="985"/>
      <c r="AB156" s="985"/>
      <c r="AC156" s="985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8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H156" s="1002">
        <f t="shared" si="71"/>
        <v>1</v>
      </c>
      <c r="BI156" s="1002">
        <f t="shared" si="72"/>
        <v>1</v>
      </c>
      <c r="BJ156" s="1002">
        <f t="shared" si="73"/>
        <v>1</v>
      </c>
      <c r="BK156" s="1002">
        <f t="shared" si="74"/>
        <v>0</v>
      </c>
      <c r="BL156" s="1002">
        <f t="shared" si="75"/>
        <v>0</v>
      </c>
      <c r="BO156" s="119">
        <v>10</v>
      </c>
      <c r="BP156" s="128" t="s">
        <v>2619</v>
      </c>
      <c r="BQ156" s="119">
        <v>18</v>
      </c>
      <c r="BR156" s="119">
        <v>2</v>
      </c>
      <c r="BS156" s="119">
        <v>1</v>
      </c>
      <c r="BT156" s="119">
        <v>15</v>
      </c>
      <c r="BU156" s="119">
        <v>65</v>
      </c>
      <c r="BV156" s="119">
        <v>147</v>
      </c>
      <c r="BW156" s="119">
        <v>5</v>
      </c>
    </row>
    <row r="157" spans="2:75" x14ac:dyDescent="0.3">
      <c r="B157" s="1280">
        <v>87</v>
      </c>
      <c r="C157" s="977" t="s">
        <v>754</v>
      </c>
      <c r="D157" s="977" t="s">
        <v>1829</v>
      </c>
      <c r="E157" s="977" t="s">
        <v>1547</v>
      </c>
      <c r="F157" s="978" t="s">
        <v>2695</v>
      </c>
      <c r="G157" s="977" t="s">
        <v>736</v>
      </c>
      <c r="H157" s="991" t="str">
        <f t="shared" si="70"/>
        <v>Voitto</v>
      </c>
      <c r="I157" s="991" t="s">
        <v>1515</v>
      </c>
      <c r="J157" s="991" t="s">
        <v>0</v>
      </c>
      <c r="K157" s="991" t="s">
        <v>1582</v>
      </c>
      <c r="L157" s="992">
        <f t="shared" si="68"/>
        <v>6</v>
      </c>
      <c r="M157" s="992">
        <f t="shared" si="69"/>
        <v>2</v>
      </c>
      <c r="N157" s="1262">
        <v>2</v>
      </c>
      <c r="O157" s="992">
        <v>1</v>
      </c>
      <c r="P157" s="1262">
        <v>3</v>
      </c>
      <c r="Q157" s="992">
        <v>0</v>
      </c>
      <c r="R157" s="1262">
        <v>1</v>
      </c>
      <c r="S157" s="992">
        <v>1</v>
      </c>
      <c r="T157" s="1262"/>
      <c r="U157" s="992"/>
      <c r="V157" s="985"/>
      <c r="W157" s="985"/>
      <c r="X157" s="985"/>
      <c r="Y157" s="985"/>
      <c r="Z157" s="985"/>
      <c r="AA157" s="985"/>
      <c r="AB157" s="985"/>
      <c r="AC157" s="985"/>
      <c r="AD157" s="985"/>
      <c r="AE157" s="985"/>
      <c r="AF157" s="985"/>
      <c r="AG157" s="985"/>
      <c r="AH157" s="985"/>
      <c r="AI157" s="985"/>
      <c r="AJ157" s="985"/>
      <c r="AK157" s="985"/>
      <c r="AL157" s="985"/>
      <c r="AM157" s="985"/>
      <c r="AN157" s="8"/>
      <c r="AO157" s="983"/>
      <c r="AP157" s="983"/>
      <c r="AQ157" s="983"/>
      <c r="AR157" s="983"/>
      <c r="AS157" s="983"/>
      <c r="AT157" s="983"/>
      <c r="AU157" s="983"/>
      <c r="AV157" s="983"/>
      <c r="AW157" s="983"/>
      <c r="AX157" s="983"/>
      <c r="AY157" s="983"/>
      <c r="AZ157" s="983"/>
      <c r="BA157" s="983"/>
      <c r="BB157" s="983"/>
      <c r="BC157" s="983"/>
      <c r="BD157" s="983"/>
      <c r="BE157" s="983"/>
      <c r="BF157" s="983"/>
      <c r="BH157" s="1002">
        <f t="shared" si="71"/>
        <v>1</v>
      </c>
      <c r="BI157" s="1002">
        <f t="shared" si="72"/>
        <v>1</v>
      </c>
      <c r="BJ157" s="1002">
        <f t="shared" si="73"/>
        <v>1</v>
      </c>
      <c r="BK157" s="1002">
        <f t="shared" si="74"/>
        <v>0</v>
      </c>
      <c r="BL157" s="1002">
        <f t="shared" si="75"/>
        <v>0</v>
      </c>
    </row>
    <row r="158" spans="2:75" x14ac:dyDescent="0.3">
      <c r="B158" s="1280">
        <v>88</v>
      </c>
      <c r="C158" s="977" t="s">
        <v>754</v>
      </c>
      <c r="D158" s="977" t="s">
        <v>1829</v>
      </c>
      <c r="E158" s="977" t="s">
        <v>1548</v>
      </c>
      <c r="F158" s="978" t="s">
        <v>2696</v>
      </c>
      <c r="G158" s="977" t="s">
        <v>246</v>
      </c>
      <c r="H158" s="991" t="str">
        <f t="shared" si="70"/>
        <v>Tasapeli</v>
      </c>
      <c r="I158" s="991" t="s">
        <v>1515</v>
      </c>
      <c r="J158" s="991" t="s">
        <v>0</v>
      </c>
      <c r="K158" s="991" t="s">
        <v>1581</v>
      </c>
      <c r="L158" s="992">
        <f t="shared" si="68"/>
        <v>3</v>
      </c>
      <c r="M158" s="992">
        <f t="shared" si="69"/>
        <v>3</v>
      </c>
      <c r="N158" s="1262">
        <v>0</v>
      </c>
      <c r="O158" s="992">
        <v>1</v>
      </c>
      <c r="P158" s="1262">
        <v>2</v>
      </c>
      <c r="Q158" s="992">
        <v>1</v>
      </c>
      <c r="R158" s="1262">
        <v>1</v>
      </c>
      <c r="S158" s="992">
        <v>1</v>
      </c>
      <c r="T158" s="1262"/>
      <c r="U158" s="992"/>
      <c r="V158" s="985"/>
      <c r="W158" s="985"/>
      <c r="X158" s="985"/>
      <c r="Y158" s="985"/>
      <c r="Z158" s="985"/>
      <c r="AA158" s="985"/>
      <c r="AB158" s="985"/>
      <c r="AC158" s="985"/>
      <c r="AD158" s="985"/>
      <c r="AE158" s="985"/>
      <c r="AF158" s="985"/>
      <c r="AG158" s="985"/>
      <c r="AH158" s="985"/>
      <c r="AI158" s="985"/>
      <c r="AJ158" s="985"/>
      <c r="AK158" s="985"/>
      <c r="AL158" s="985"/>
      <c r="AM158" s="985"/>
      <c r="AN158" s="8"/>
      <c r="AO158" s="983"/>
      <c r="AP158" s="983"/>
      <c r="AQ158" s="983"/>
      <c r="AR158" s="983"/>
      <c r="AS158" s="983"/>
      <c r="AT158" s="983"/>
      <c r="AU158" s="983"/>
      <c r="AV158" s="983"/>
      <c r="AW158" s="983"/>
      <c r="AX158" s="983"/>
      <c r="AY158" s="983"/>
      <c r="AZ158" s="983"/>
      <c r="BA158" s="983"/>
      <c r="BB158" s="983"/>
      <c r="BC158" s="983"/>
      <c r="BD158" s="983"/>
      <c r="BE158" s="983"/>
      <c r="BF158" s="983"/>
      <c r="BH158" s="1002">
        <f t="shared" si="71"/>
        <v>1</v>
      </c>
      <c r="BI158" s="1002">
        <f t="shared" si="72"/>
        <v>1</v>
      </c>
      <c r="BJ158" s="1002">
        <f t="shared" si="73"/>
        <v>1</v>
      </c>
      <c r="BK158" s="1002">
        <f t="shared" si="74"/>
        <v>0</v>
      </c>
      <c r="BL158" s="1002">
        <f t="shared" si="75"/>
        <v>0</v>
      </c>
    </row>
    <row r="159" spans="2:75" x14ac:dyDescent="0.3">
      <c r="B159" s="1280">
        <v>89</v>
      </c>
      <c r="C159" s="977" t="s">
        <v>754</v>
      </c>
      <c r="D159" s="977" t="s">
        <v>1829</v>
      </c>
      <c r="E159" s="977" t="s">
        <v>1549</v>
      </c>
      <c r="F159" s="978" t="s">
        <v>2697</v>
      </c>
      <c r="G159" s="977" t="s">
        <v>246</v>
      </c>
      <c r="H159" s="991" t="str">
        <f t="shared" si="70"/>
        <v>Voitto</v>
      </c>
      <c r="I159" s="991" t="s">
        <v>1514</v>
      </c>
      <c r="J159" s="991" t="s">
        <v>0</v>
      </c>
      <c r="K159" s="991" t="s">
        <v>1580</v>
      </c>
      <c r="L159" s="992">
        <f t="shared" si="68"/>
        <v>5</v>
      </c>
      <c r="M159" s="992">
        <f t="shared" si="69"/>
        <v>4</v>
      </c>
      <c r="N159" s="1262">
        <v>4</v>
      </c>
      <c r="O159" s="992">
        <v>1</v>
      </c>
      <c r="P159" s="1262">
        <v>0</v>
      </c>
      <c r="Q159" s="992">
        <v>0</v>
      </c>
      <c r="R159" s="1262">
        <v>1</v>
      </c>
      <c r="S159" s="992">
        <v>3</v>
      </c>
      <c r="T159" s="1262"/>
      <c r="U159" s="992"/>
      <c r="V159" s="985"/>
      <c r="W159" s="985"/>
      <c r="X159" s="985"/>
      <c r="Y159" s="985"/>
      <c r="Z159" s="985"/>
      <c r="AA159" s="985"/>
      <c r="AB159" s="985"/>
      <c r="AC159" s="985"/>
      <c r="AD159" s="985"/>
      <c r="AE159" s="985"/>
      <c r="AF159" s="985"/>
      <c r="AG159" s="985"/>
      <c r="AH159" s="985"/>
      <c r="AI159" s="985"/>
      <c r="AJ159" s="985"/>
      <c r="AK159" s="985"/>
      <c r="AL159" s="985"/>
      <c r="AM159" s="985"/>
      <c r="AN159" s="8"/>
      <c r="AO159" s="983"/>
      <c r="AP159" s="983"/>
      <c r="AQ159" s="983"/>
      <c r="AR159" s="983"/>
      <c r="AS159" s="983"/>
      <c r="AT159" s="983"/>
      <c r="AU159" s="983"/>
      <c r="AV159" s="983"/>
      <c r="AW159" s="983"/>
      <c r="AX159" s="983"/>
      <c r="AY159" s="983"/>
      <c r="AZ159" s="983"/>
      <c r="BA159" s="983"/>
      <c r="BB159" s="983"/>
      <c r="BC159" s="983"/>
      <c r="BD159" s="983"/>
      <c r="BE159" s="983"/>
      <c r="BF159" s="983"/>
      <c r="BH159" s="1002">
        <f t="shared" si="71"/>
        <v>1</v>
      </c>
      <c r="BI159" s="1002">
        <f t="shared" si="72"/>
        <v>1</v>
      </c>
      <c r="BJ159" s="1002">
        <f t="shared" si="73"/>
        <v>1</v>
      </c>
      <c r="BK159" s="1002">
        <f t="shared" si="74"/>
        <v>0</v>
      </c>
      <c r="BL159" s="1002">
        <f t="shared" si="75"/>
        <v>0</v>
      </c>
    </row>
    <row r="160" spans="2:75" x14ac:dyDescent="0.3">
      <c r="B160" s="1280">
        <v>90</v>
      </c>
      <c r="C160" s="977" t="s">
        <v>754</v>
      </c>
      <c r="D160" s="977" t="s">
        <v>1829</v>
      </c>
      <c r="E160" s="977" t="s">
        <v>1550</v>
      </c>
      <c r="F160" s="978" t="s">
        <v>2698</v>
      </c>
      <c r="G160" s="977" t="s">
        <v>737</v>
      </c>
      <c r="H160" s="991" t="str">
        <f t="shared" si="70"/>
        <v>Voitto</v>
      </c>
      <c r="I160" s="991" t="s">
        <v>1514</v>
      </c>
      <c r="J160" s="991" t="s">
        <v>0</v>
      </c>
      <c r="K160" s="991" t="s">
        <v>1575</v>
      </c>
      <c r="L160" s="992">
        <f t="shared" si="68"/>
        <v>5</v>
      </c>
      <c r="M160" s="992">
        <f t="shared" si="69"/>
        <v>4</v>
      </c>
      <c r="N160" s="1262">
        <v>1</v>
      </c>
      <c r="O160" s="992">
        <v>1</v>
      </c>
      <c r="P160" s="1262">
        <v>1</v>
      </c>
      <c r="Q160" s="992">
        <v>1</v>
      </c>
      <c r="R160" s="1262">
        <v>3</v>
      </c>
      <c r="S160" s="992">
        <v>2</v>
      </c>
      <c r="T160" s="1262"/>
      <c r="U160" s="992"/>
      <c r="V160" s="985"/>
      <c r="W160" s="985"/>
      <c r="X160" s="985"/>
      <c r="Y160" s="985"/>
      <c r="Z160" s="985"/>
      <c r="AA160" s="985"/>
      <c r="AB160" s="985"/>
      <c r="AC160" s="985"/>
      <c r="AD160" s="985"/>
      <c r="AE160" s="985"/>
      <c r="AF160" s="985"/>
      <c r="AG160" s="985"/>
      <c r="AH160" s="985"/>
      <c r="AI160" s="985"/>
      <c r="AJ160" s="985"/>
      <c r="AK160" s="985"/>
      <c r="AL160" s="985"/>
      <c r="AM160" s="985"/>
      <c r="AN160" s="8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H160" s="1002">
        <f t="shared" si="71"/>
        <v>1</v>
      </c>
      <c r="BI160" s="1002">
        <f t="shared" si="72"/>
        <v>1</v>
      </c>
      <c r="BJ160" s="1002">
        <f t="shared" si="73"/>
        <v>1</v>
      </c>
      <c r="BK160" s="1002">
        <f t="shared" si="74"/>
        <v>0</v>
      </c>
      <c r="BL160" s="1002">
        <f t="shared" si="75"/>
        <v>0</v>
      </c>
    </row>
    <row r="161" spans="2:75" x14ac:dyDescent="0.3">
      <c r="B161" s="1280">
        <v>91</v>
      </c>
      <c r="C161" s="977" t="s">
        <v>754</v>
      </c>
      <c r="D161" s="977" t="s">
        <v>1829</v>
      </c>
      <c r="E161" s="977" t="s">
        <v>1551</v>
      </c>
      <c r="F161" s="978" t="s">
        <v>2699</v>
      </c>
      <c r="G161" s="977" t="s">
        <v>737</v>
      </c>
      <c r="H161" s="991" t="str">
        <f t="shared" si="70"/>
        <v>Tasapeli</v>
      </c>
      <c r="I161" s="991" t="s">
        <v>1515</v>
      </c>
      <c r="J161" s="991" t="s">
        <v>0</v>
      </c>
      <c r="K161" s="991" t="s">
        <v>1579</v>
      </c>
      <c r="L161" s="992">
        <f t="shared" si="68"/>
        <v>3</v>
      </c>
      <c r="M161" s="992">
        <f t="shared" si="69"/>
        <v>3</v>
      </c>
      <c r="N161" s="1262">
        <v>0</v>
      </c>
      <c r="O161" s="992">
        <v>1</v>
      </c>
      <c r="P161" s="1262">
        <v>1</v>
      </c>
      <c r="Q161" s="992">
        <v>1</v>
      </c>
      <c r="R161" s="1262">
        <v>2</v>
      </c>
      <c r="S161" s="992">
        <v>1</v>
      </c>
      <c r="T161" s="1262"/>
      <c r="U161" s="992"/>
      <c r="V161" s="985"/>
      <c r="W161" s="985"/>
      <c r="X161" s="985"/>
      <c r="Y161" s="985"/>
      <c r="Z161" s="985"/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8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H161" s="1002">
        <f t="shared" si="71"/>
        <v>1</v>
      </c>
      <c r="BI161" s="1002">
        <f t="shared" si="72"/>
        <v>1</v>
      </c>
      <c r="BJ161" s="1002">
        <f t="shared" si="73"/>
        <v>1</v>
      </c>
      <c r="BK161" s="1002">
        <f t="shared" si="74"/>
        <v>0</v>
      </c>
      <c r="BL161" s="1002">
        <f t="shared" si="75"/>
        <v>0</v>
      </c>
    </row>
    <row r="162" spans="2:75" x14ac:dyDescent="0.3">
      <c r="B162" s="1280">
        <v>92</v>
      </c>
      <c r="C162" s="977" t="s">
        <v>754</v>
      </c>
      <c r="D162" s="977" t="s">
        <v>1829</v>
      </c>
      <c r="E162" s="977" t="s">
        <v>1552</v>
      </c>
      <c r="F162" s="978" t="s">
        <v>2700</v>
      </c>
      <c r="G162" s="977" t="s">
        <v>246</v>
      </c>
      <c r="H162" s="991" t="str">
        <f t="shared" si="70"/>
        <v>Häviö</v>
      </c>
      <c r="I162" s="991" t="s">
        <v>1514</v>
      </c>
      <c r="J162" s="991" t="s">
        <v>0</v>
      </c>
      <c r="K162" s="991" t="s">
        <v>1582</v>
      </c>
      <c r="L162" s="992">
        <f t="shared" si="68"/>
        <v>5</v>
      </c>
      <c r="M162" s="992">
        <f t="shared" si="69"/>
        <v>10</v>
      </c>
      <c r="N162" s="1262">
        <v>2</v>
      </c>
      <c r="O162" s="992">
        <v>4</v>
      </c>
      <c r="P162" s="1262">
        <v>1</v>
      </c>
      <c r="Q162" s="992">
        <v>3</v>
      </c>
      <c r="R162" s="1262">
        <v>2</v>
      </c>
      <c r="S162" s="992">
        <v>3</v>
      </c>
      <c r="T162" s="1262"/>
      <c r="U162" s="992"/>
      <c r="V162" s="985"/>
      <c r="W162" s="985"/>
      <c r="X162" s="985"/>
      <c r="Y162" s="985"/>
      <c r="Z162" s="985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8"/>
      <c r="AO162" s="983"/>
      <c r="AP162" s="983"/>
      <c r="AQ162" s="983"/>
      <c r="AR162" s="983"/>
      <c r="AS162" s="983"/>
      <c r="AT162" s="983"/>
      <c r="AU162" s="983"/>
      <c r="AV162" s="983"/>
      <c r="AW162" s="983"/>
      <c r="AX162" s="983"/>
      <c r="AY162" s="983"/>
      <c r="AZ162" s="983"/>
      <c r="BA162" s="983"/>
      <c r="BB162" s="983"/>
      <c r="BC162" s="983"/>
      <c r="BD162" s="983"/>
      <c r="BE162" s="983"/>
      <c r="BF162" s="983"/>
      <c r="BH162" s="1002">
        <f t="shared" si="71"/>
        <v>1</v>
      </c>
      <c r="BI162" s="1002">
        <f t="shared" si="72"/>
        <v>1</v>
      </c>
      <c r="BJ162" s="1002">
        <f t="shared" si="73"/>
        <v>1</v>
      </c>
      <c r="BK162" s="1002">
        <f t="shared" si="74"/>
        <v>0</v>
      </c>
      <c r="BL162" s="1002">
        <f t="shared" si="75"/>
        <v>0</v>
      </c>
    </row>
    <row r="163" spans="2:75" x14ac:dyDescent="0.3">
      <c r="B163" s="1280">
        <v>93</v>
      </c>
      <c r="C163" s="977" t="s">
        <v>754</v>
      </c>
      <c r="D163" s="977" t="s">
        <v>1829</v>
      </c>
      <c r="E163" s="977" t="s">
        <v>1553</v>
      </c>
      <c r="F163" s="978" t="s">
        <v>2701</v>
      </c>
      <c r="G163" s="977" t="s">
        <v>246</v>
      </c>
      <c r="H163" s="991" t="str">
        <f t="shared" si="70"/>
        <v>Voitto</v>
      </c>
      <c r="I163" s="991" t="s">
        <v>1515</v>
      </c>
      <c r="J163" s="991" t="s">
        <v>0</v>
      </c>
      <c r="K163" s="991" t="s">
        <v>1578</v>
      </c>
      <c r="L163" s="992">
        <f t="shared" si="68"/>
        <v>10</v>
      </c>
      <c r="M163" s="992">
        <f t="shared" si="69"/>
        <v>2</v>
      </c>
      <c r="N163" s="1262">
        <v>2</v>
      </c>
      <c r="O163" s="992">
        <v>1</v>
      </c>
      <c r="P163" s="1262">
        <v>2</v>
      </c>
      <c r="Q163" s="992">
        <v>0</v>
      </c>
      <c r="R163" s="1262">
        <v>6</v>
      </c>
      <c r="S163" s="992">
        <v>1</v>
      </c>
      <c r="T163" s="1262"/>
      <c r="U163" s="992"/>
      <c r="V163" s="985"/>
      <c r="W163" s="985"/>
      <c r="X163" s="985"/>
      <c r="Y163" s="985"/>
      <c r="Z163" s="985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8"/>
      <c r="AO163" s="983"/>
      <c r="AP163" s="983"/>
      <c r="AQ163" s="983"/>
      <c r="AR163" s="983"/>
      <c r="AS163" s="983"/>
      <c r="AT163" s="983"/>
      <c r="AU163" s="983"/>
      <c r="AV163" s="983"/>
      <c r="AW163" s="983"/>
      <c r="AX163" s="983"/>
      <c r="AY163" s="983"/>
      <c r="AZ163" s="983"/>
      <c r="BA163" s="983"/>
      <c r="BB163" s="983"/>
      <c r="BC163" s="983"/>
      <c r="BD163" s="983"/>
      <c r="BE163" s="983"/>
      <c r="BF163" s="983"/>
      <c r="BH163" s="1002">
        <f t="shared" si="71"/>
        <v>1</v>
      </c>
      <c r="BI163" s="1002">
        <f t="shared" si="72"/>
        <v>1</v>
      </c>
      <c r="BJ163" s="1002">
        <f t="shared" si="73"/>
        <v>1</v>
      </c>
      <c r="BK163" s="1002">
        <f t="shared" si="74"/>
        <v>0</v>
      </c>
      <c r="BL163" s="1002">
        <f t="shared" si="75"/>
        <v>0</v>
      </c>
    </row>
    <row r="165" spans="2:75" x14ac:dyDescent="0.3">
      <c r="F165" s="975"/>
      <c r="G165" s="975" t="s">
        <v>2036</v>
      </c>
      <c r="H165" s="975"/>
      <c r="I165" s="1003"/>
      <c r="J165" s="1003"/>
      <c r="K165" s="1003"/>
      <c r="L165" s="1003" t="s">
        <v>2037</v>
      </c>
      <c r="M165" s="1003" t="s">
        <v>2038</v>
      </c>
      <c r="O165" s="1003" t="s">
        <v>1409</v>
      </c>
      <c r="P165" s="1003" t="s">
        <v>1410</v>
      </c>
      <c r="Q165" s="1003" t="s">
        <v>1411</v>
      </c>
      <c r="V165" s="981" t="s">
        <v>1557</v>
      </c>
      <c r="W165" s="981" t="s">
        <v>1556</v>
      </c>
      <c r="X165" s="981" t="s">
        <v>501</v>
      </c>
      <c r="Y165" s="981" t="s">
        <v>708</v>
      </c>
      <c r="Z165" s="981" t="s">
        <v>82</v>
      </c>
      <c r="AA165" s="981" t="s">
        <v>709</v>
      </c>
      <c r="AB165" s="981" t="s">
        <v>1419</v>
      </c>
      <c r="AC165" s="981" t="s">
        <v>1420</v>
      </c>
      <c r="AD165" s="982" t="s">
        <v>1827</v>
      </c>
      <c r="AE165" s="981" t="s">
        <v>1828</v>
      </c>
      <c r="AF165" s="981" t="s">
        <v>1425</v>
      </c>
      <c r="AG165" s="981" t="s">
        <v>1535</v>
      </c>
      <c r="AH165" s="981" t="s">
        <v>1536</v>
      </c>
      <c r="AI165" s="981" t="s">
        <v>1559</v>
      </c>
      <c r="AJ165" s="981" t="s">
        <v>1896</v>
      </c>
      <c r="AK165" s="981" t="s">
        <v>1967</v>
      </c>
      <c r="AL165" s="981" t="s">
        <v>19</v>
      </c>
      <c r="AM165" s="981"/>
      <c r="AO165" s="979" t="s">
        <v>1557</v>
      </c>
      <c r="AP165" s="979" t="s">
        <v>1556</v>
      </c>
      <c r="AQ165" s="979" t="s">
        <v>501</v>
      </c>
      <c r="AR165" s="979" t="s">
        <v>708</v>
      </c>
      <c r="AS165" s="979" t="s">
        <v>82</v>
      </c>
      <c r="AT165" s="979" t="s">
        <v>709</v>
      </c>
      <c r="AU165" s="979" t="s">
        <v>1419</v>
      </c>
      <c r="AV165" s="979" t="s">
        <v>1420</v>
      </c>
      <c r="AW165" s="980" t="s">
        <v>1827</v>
      </c>
      <c r="AX165" s="979" t="s">
        <v>1828</v>
      </c>
      <c r="AY165" s="979" t="s">
        <v>1425</v>
      </c>
      <c r="AZ165" s="979" t="s">
        <v>1535</v>
      </c>
      <c r="BA165" s="979" t="s">
        <v>1536</v>
      </c>
      <c r="BB165" s="979" t="s">
        <v>1559</v>
      </c>
      <c r="BC165" s="979" t="s">
        <v>1896</v>
      </c>
      <c r="BD165" s="979" t="s">
        <v>1967</v>
      </c>
      <c r="BE165" s="979" t="s">
        <v>19</v>
      </c>
      <c r="BF165" s="979"/>
      <c r="BH165" s="1001" t="s">
        <v>2045</v>
      </c>
      <c r="BI165" s="1001"/>
      <c r="BJ165" s="1001" t="s">
        <v>1913</v>
      </c>
      <c r="BK165" s="1001" t="s">
        <v>537</v>
      </c>
      <c r="BL165" s="1001" t="s">
        <v>1128</v>
      </c>
    </row>
    <row r="166" spans="2:75" x14ac:dyDescent="0.3">
      <c r="F166" s="977" t="str">
        <f>C144</f>
        <v>2010-2011</v>
      </c>
      <c r="G166" s="977" t="s">
        <v>1829</v>
      </c>
      <c r="H166" s="977"/>
      <c r="I166" s="1004"/>
      <c r="J166" s="1004"/>
      <c r="K166" s="1004"/>
      <c r="L166" s="1004">
        <f>SUM(L146:L163)</f>
        <v>95</v>
      </c>
      <c r="M166" s="1004">
        <f>SUM(M146:M163)</f>
        <v>66</v>
      </c>
      <c r="N166" s="8"/>
      <c r="O166" s="1004">
        <f>COUNTIF(H146:H163,"Voitto")</f>
        <v>11</v>
      </c>
      <c r="P166" s="1004">
        <f>COUNTIF(H146:H163,"Tasapeli")</f>
        <v>3</v>
      </c>
      <c r="Q166" s="1004">
        <f>COUNTIF(H146:H163,"Häviö")</f>
        <v>4</v>
      </c>
      <c r="V166" s="8">
        <f>SUM(V146:V163)</f>
        <v>0</v>
      </c>
      <c r="W166" s="8">
        <f t="shared" ref="W166:AK166" si="76">SUM(W146:W163)</f>
        <v>0</v>
      </c>
      <c r="X166" s="8">
        <f t="shared" si="76"/>
        <v>0</v>
      </c>
      <c r="Y166" s="8">
        <f t="shared" si="76"/>
        <v>0</v>
      </c>
      <c r="Z166" s="8">
        <f t="shared" si="76"/>
        <v>0</v>
      </c>
      <c r="AA166" s="8">
        <f t="shared" si="76"/>
        <v>0</v>
      </c>
      <c r="AB166" s="8">
        <f t="shared" si="76"/>
        <v>0</v>
      </c>
      <c r="AC166" s="8">
        <f t="shared" si="76"/>
        <v>0</v>
      </c>
      <c r="AD166" s="8">
        <f t="shared" si="76"/>
        <v>0</v>
      </c>
      <c r="AE166" s="8">
        <f t="shared" si="76"/>
        <v>0</v>
      </c>
      <c r="AF166" s="8">
        <f t="shared" si="76"/>
        <v>0</v>
      </c>
      <c r="AG166" s="8">
        <f t="shared" si="76"/>
        <v>0</v>
      </c>
      <c r="AH166" s="8">
        <f t="shared" si="76"/>
        <v>0</v>
      </c>
      <c r="AI166" s="8">
        <f t="shared" si="76"/>
        <v>0</v>
      </c>
      <c r="AJ166" s="8">
        <f t="shared" si="76"/>
        <v>0</v>
      </c>
      <c r="AK166" s="8">
        <f t="shared" si="76"/>
        <v>0</v>
      </c>
      <c r="AL166" s="8">
        <f>MIN(AL146:AL163)</f>
        <v>0</v>
      </c>
      <c r="AM166" s="8">
        <f>MAX(AL146:AL163)</f>
        <v>0</v>
      </c>
      <c r="AO166" s="8">
        <f>SUM(AO146:AO163)</f>
        <v>0</v>
      </c>
      <c r="AP166" s="8">
        <f t="shared" ref="AP166:BD166" si="77">SUM(AP146:AP163)</f>
        <v>0</v>
      </c>
      <c r="AQ166" s="8">
        <f t="shared" si="77"/>
        <v>0</v>
      </c>
      <c r="AR166" s="8">
        <f t="shared" si="77"/>
        <v>0</v>
      </c>
      <c r="AS166" s="8">
        <f t="shared" si="77"/>
        <v>0</v>
      </c>
      <c r="AT166" s="8">
        <f t="shared" si="77"/>
        <v>0</v>
      </c>
      <c r="AU166" s="8">
        <f t="shared" si="77"/>
        <v>0</v>
      </c>
      <c r="AV166" s="8">
        <f t="shared" si="77"/>
        <v>0</v>
      </c>
      <c r="AW166" s="8">
        <f t="shared" si="77"/>
        <v>0</v>
      </c>
      <c r="AX166" s="8">
        <f t="shared" si="77"/>
        <v>0</v>
      </c>
      <c r="AY166" s="8">
        <f t="shared" si="77"/>
        <v>0</v>
      </c>
      <c r="AZ166" s="8">
        <f t="shared" si="77"/>
        <v>0</v>
      </c>
      <c r="BA166" s="8">
        <f t="shared" si="77"/>
        <v>0</v>
      </c>
      <c r="BB166" s="8">
        <f t="shared" si="77"/>
        <v>0</v>
      </c>
      <c r="BC166" s="8">
        <f t="shared" si="77"/>
        <v>0</v>
      </c>
      <c r="BD166" s="8">
        <f t="shared" si="77"/>
        <v>0</v>
      </c>
      <c r="BE166">
        <f>MIN(BE146:BE163)</f>
        <v>0</v>
      </c>
      <c r="BF166">
        <f>MAX(BE146:BE163)</f>
        <v>0</v>
      </c>
      <c r="BJ166" s="8">
        <f>SUM(BJ146:BJ163)</f>
        <v>18</v>
      </c>
      <c r="BK166" s="8">
        <f>SUM(BK146:BK163)</f>
        <v>0</v>
      </c>
      <c r="BL166" s="8">
        <f>SUM(BL146:BL163)</f>
        <v>0</v>
      </c>
    </row>
    <row r="171" spans="2:75" x14ac:dyDescent="0.3">
      <c r="C171" s="205" t="s">
        <v>874</v>
      </c>
      <c r="D171" s="205" t="s">
        <v>2622</v>
      </c>
      <c r="V171" s="205" t="s">
        <v>0</v>
      </c>
      <c r="AO171" s="265" t="s">
        <v>1895</v>
      </c>
      <c r="BP171" s="205" t="s">
        <v>874</v>
      </c>
      <c r="BQ171" s="205" t="s">
        <v>2621</v>
      </c>
    </row>
    <row r="172" spans="2:75" x14ac:dyDescent="0.3">
      <c r="B172" s="1003" t="s">
        <v>1393</v>
      </c>
      <c r="C172" s="975" t="s">
        <v>1831</v>
      </c>
      <c r="D172" s="975" t="s">
        <v>1830</v>
      </c>
      <c r="E172" s="975" t="s">
        <v>1832</v>
      </c>
      <c r="F172" s="975" t="s">
        <v>1836</v>
      </c>
      <c r="G172" s="975" t="s">
        <v>1835</v>
      </c>
      <c r="H172" s="989" t="s">
        <v>1407</v>
      </c>
      <c r="I172" s="990" t="s">
        <v>2019</v>
      </c>
      <c r="J172" s="990" t="s">
        <v>0</v>
      </c>
      <c r="K172" s="990" t="s">
        <v>1128</v>
      </c>
      <c r="L172" s="1324" t="s">
        <v>1407</v>
      </c>
      <c r="M172" s="1325"/>
      <c r="N172" s="1326" t="s">
        <v>1822</v>
      </c>
      <c r="O172" s="1325"/>
      <c r="P172" s="1326" t="s">
        <v>1823</v>
      </c>
      <c r="Q172" s="1325"/>
      <c r="R172" s="1326" t="s">
        <v>1824</v>
      </c>
      <c r="S172" s="1325"/>
      <c r="T172" s="1326" t="s">
        <v>2706</v>
      </c>
      <c r="U172" s="1324"/>
      <c r="V172" s="981" t="s">
        <v>1557</v>
      </c>
      <c r="W172" s="981" t="s">
        <v>1556</v>
      </c>
      <c r="X172" s="981" t="s">
        <v>501</v>
      </c>
      <c r="Y172" s="981" t="s">
        <v>708</v>
      </c>
      <c r="Z172" s="981" t="s">
        <v>82</v>
      </c>
      <c r="AA172" s="981" t="s">
        <v>709</v>
      </c>
      <c r="AB172" s="981" t="s">
        <v>1419</v>
      </c>
      <c r="AC172" s="981" t="s">
        <v>1420</v>
      </c>
      <c r="AD172" s="982" t="s">
        <v>1827</v>
      </c>
      <c r="AE172" s="981" t="s">
        <v>1828</v>
      </c>
      <c r="AF172" s="981" t="s">
        <v>1425</v>
      </c>
      <c r="AG172" s="981" t="s">
        <v>1535</v>
      </c>
      <c r="AH172" s="981" t="s">
        <v>1536</v>
      </c>
      <c r="AI172" s="981" t="s">
        <v>1559</v>
      </c>
      <c r="AJ172" s="981" t="s">
        <v>1896</v>
      </c>
      <c r="AK172" s="981" t="s">
        <v>1967</v>
      </c>
      <c r="AL172" s="981" t="s">
        <v>19</v>
      </c>
      <c r="AM172" s="981"/>
      <c r="AN172" s="265"/>
      <c r="AO172" s="979" t="s">
        <v>1557</v>
      </c>
      <c r="AP172" s="979" t="s">
        <v>1556</v>
      </c>
      <c r="AQ172" s="979" t="s">
        <v>501</v>
      </c>
      <c r="AR172" s="979" t="s">
        <v>708</v>
      </c>
      <c r="AS172" s="979" t="s">
        <v>82</v>
      </c>
      <c r="AT172" s="979" t="s">
        <v>709</v>
      </c>
      <c r="AU172" s="979" t="s">
        <v>1419</v>
      </c>
      <c r="AV172" s="979" t="s">
        <v>1420</v>
      </c>
      <c r="AW172" s="980" t="s">
        <v>1827</v>
      </c>
      <c r="AX172" s="979" t="s">
        <v>1828</v>
      </c>
      <c r="AY172" s="979" t="s">
        <v>1425</v>
      </c>
      <c r="AZ172" s="979" t="s">
        <v>1535</v>
      </c>
      <c r="BA172" s="979" t="s">
        <v>1536</v>
      </c>
      <c r="BB172" s="979" t="s">
        <v>1559</v>
      </c>
      <c r="BC172" s="979" t="s">
        <v>1896</v>
      </c>
      <c r="BD172" s="979" t="s">
        <v>1967</v>
      </c>
      <c r="BE172" s="979" t="s">
        <v>19</v>
      </c>
      <c r="BF172" s="979"/>
      <c r="BH172" s="1001" t="s">
        <v>1911</v>
      </c>
      <c r="BI172" s="1001" t="s">
        <v>1912</v>
      </c>
      <c r="BJ172" s="1001" t="s">
        <v>1913</v>
      </c>
      <c r="BK172" s="1001" t="s">
        <v>537</v>
      </c>
      <c r="BL172" s="1001" t="s">
        <v>1128</v>
      </c>
    </row>
    <row r="173" spans="2:75" x14ac:dyDescent="0.3">
      <c r="B173" s="1280">
        <v>94</v>
      </c>
      <c r="C173" s="977" t="s">
        <v>874</v>
      </c>
      <c r="D173" s="977" t="s">
        <v>1829</v>
      </c>
      <c r="E173" s="977" t="s">
        <v>1516</v>
      </c>
      <c r="F173" s="978">
        <v>40811</v>
      </c>
      <c r="G173" s="977" t="s">
        <v>796</v>
      </c>
      <c r="H173" s="991" t="str">
        <f t="shared" ref="H173:H190" si="78">IF(L173=M173,"Tasapeli",IF(L173&lt;M173,"Häviö","Voitto"))</f>
        <v>Voitto</v>
      </c>
      <c r="I173" s="991" t="s">
        <v>1514</v>
      </c>
      <c r="J173" s="991" t="s">
        <v>0</v>
      </c>
      <c r="K173" s="991" t="s">
        <v>2556</v>
      </c>
      <c r="L173" s="992">
        <f t="shared" ref="L173:L190" si="79">N173+P173+R173</f>
        <v>4</v>
      </c>
      <c r="M173" s="992">
        <f t="shared" ref="M173:M190" si="80">O173+Q173+S173</f>
        <v>1</v>
      </c>
      <c r="N173" s="1262">
        <v>1</v>
      </c>
      <c r="O173" s="992">
        <v>0</v>
      </c>
      <c r="P173" s="1262">
        <v>2</v>
      </c>
      <c r="Q173" s="992">
        <v>0</v>
      </c>
      <c r="R173" s="1262">
        <v>1</v>
      </c>
      <c r="S173" s="992">
        <v>1</v>
      </c>
      <c r="T173" s="1262"/>
      <c r="U173" s="992"/>
      <c r="V173" s="985"/>
      <c r="W173" s="985"/>
      <c r="X173" s="985"/>
      <c r="Y173" s="985"/>
      <c r="Z173" s="985"/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8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H173" s="1002">
        <f>IF(V173=0,1,0)</f>
        <v>1</v>
      </c>
      <c r="BI173" s="1002">
        <f>IF(AO173=0,1,0)</f>
        <v>1</v>
      </c>
      <c r="BJ173" s="1002">
        <f>IF(V173+AO173=0,1,0)</f>
        <v>1</v>
      </c>
      <c r="BK173" s="1002">
        <f>IF(BH173&gt;BI173,1,0)</f>
        <v>0</v>
      </c>
      <c r="BL173" s="1002">
        <f>IF(BI173&gt;BH173,1,0)</f>
        <v>0</v>
      </c>
      <c r="BO173" s="1282" t="s">
        <v>1393</v>
      </c>
      <c r="BP173" s="1281" t="s">
        <v>989</v>
      </c>
      <c r="BQ173" s="1282" t="s">
        <v>877</v>
      </c>
      <c r="BR173" s="1282" t="s">
        <v>990</v>
      </c>
      <c r="BS173" s="1282" t="s">
        <v>991</v>
      </c>
      <c r="BT173" s="1282" t="s">
        <v>992</v>
      </c>
      <c r="BU173" s="1282" t="s">
        <v>139</v>
      </c>
      <c r="BV173" s="1282" t="s">
        <v>993</v>
      </c>
      <c r="BW173" s="1282" t="s">
        <v>610</v>
      </c>
    </row>
    <row r="174" spans="2:75" x14ac:dyDescent="0.3">
      <c r="B174" s="1280">
        <v>95</v>
      </c>
      <c r="C174" s="977" t="s">
        <v>874</v>
      </c>
      <c r="D174" s="977" t="s">
        <v>1829</v>
      </c>
      <c r="E174" s="977" t="s">
        <v>1537</v>
      </c>
      <c r="F174" s="978">
        <v>40811</v>
      </c>
      <c r="G174" s="977" t="s">
        <v>796</v>
      </c>
      <c r="H174" s="991" t="str">
        <f t="shared" si="78"/>
        <v>Häviö</v>
      </c>
      <c r="I174" s="991" t="s">
        <v>1515</v>
      </c>
      <c r="J174" s="991" t="s">
        <v>0</v>
      </c>
      <c r="K174" s="991" t="s">
        <v>1394</v>
      </c>
      <c r="L174" s="992">
        <f t="shared" si="79"/>
        <v>3</v>
      </c>
      <c r="M174" s="992">
        <f t="shared" si="80"/>
        <v>9</v>
      </c>
      <c r="N174" s="1262">
        <v>1</v>
      </c>
      <c r="O174" s="992">
        <v>3</v>
      </c>
      <c r="P174" s="1262">
        <v>1</v>
      </c>
      <c r="Q174" s="992">
        <v>2</v>
      </c>
      <c r="R174" s="1262">
        <v>1</v>
      </c>
      <c r="S174" s="992">
        <v>4</v>
      </c>
      <c r="T174" s="1262"/>
      <c r="U174" s="992"/>
      <c r="V174" s="985"/>
      <c r="W174" s="985"/>
      <c r="X174" s="985"/>
      <c r="Y174" s="985"/>
      <c r="Z174" s="985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8"/>
      <c r="AO174" s="983"/>
      <c r="AP174" s="983"/>
      <c r="AQ174" s="983"/>
      <c r="AR174" s="983"/>
      <c r="AS174" s="983"/>
      <c r="AT174" s="983"/>
      <c r="AU174" s="983"/>
      <c r="AV174" s="983"/>
      <c r="AW174" s="983"/>
      <c r="AX174" s="983"/>
      <c r="AY174" s="983"/>
      <c r="AZ174" s="983"/>
      <c r="BA174" s="983"/>
      <c r="BB174" s="983"/>
      <c r="BC174" s="983"/>
      <c r="BD174" s="983"/>
      <c r="BE174" s="988"/>
      <c r="BF174" s="988"/>
      <c r="BH174" s="1002">
        <f t="shared" ref="BH174:BH190" si="81">IF(V174=0,1,0)</f>
        <v>1</v>
      </c>
      <c r="BI174" s="1002">
        <f t="shared" ref="BI174:BI190" si="82">IF(AO174=0,1,0)</f>
        <v>1</v>
      </c>
      <c r="BJ174" s="1002">
        <f t="shared" ref="BJ174:BJ190" si="83">IF(V174+AO174=0,1,0)</f>
        <v>1</v>
      </c>
      <c r="BK174" s="1002">
        <f t="shared" ref="BK174:BK190" si="84">IF(BH174&gt;BI174,1,0)</f>
        <v>0</v>
      </c>
      <c r="BL174" s="1002">
        <f t="shared" ref="BL174:BL190" si="85">IF(BI174&gt;BH174,1,0)</f>
        <v>0</v>
      </c>
      <c r="BO174" s="119">
        <v>1</v>
      </c>
      <c r="BP174" s="128" t="s">
        <v>2557</v>
      </c>
      <c r="BQ174" s="119">
        <v>18</v>
      </c>
      <c r="BR174" s="119">
        <v>15</v>
      </c>
      <c r="BS174" s="119">
        <v>1</v>
      </c>
      <c r="BT174" s="119">
        <v>2</v>
      </c>
      <c r="BU174" s="119">
        <v>89</v>
      </c>
      <c r="BV174" s="119">
        <v>33</v>
      </c>
      <c r="BW174" s="119">
        <v>31</v>
      </c>
    </row>
    <row r="175" spans="2:75" x14ac:dyDescent="0.3">
      <c r="B175" s="1280">
        <v>96</v>
      </c>
      <c r="C175" s="977" t="s">
        <v>874</v>
      </c>
      <c r="D175" s="977" t="s">
        <v>1829</v>
      </c>
      <c r="E175" s="977" t="s">
        <v>1538</v>
      </c>
      <c r="F175" s="978">
        <v>40824</v>
      </c>
      <c r="G175" s="977" t="s">
        <v>568</v>
      </c>
      <c r="H175" s="991" t="str">
        <f t="shared" si="78"/>
        <v>Häviö</v>
      </c>
      <c r="I175" s="991" t="s">
        <v>1515</v>
      </c>
      <c r="J175" s="991" t="s">
        <v>0</v>
      </c>
      <c r="K175" s="991" t="s">
        <v>2557</v>
      </c>
      <c r="L175" s="992">
        <f t="shared" si="79"/>
        <v>0</v>
      </c>
      <c r="M175" s="992">
        <f t="shared" si="80"/>
        <v>3</v>
      </c>
      <c r="N175" s="1262">
        <v>0</v>
      </c>
      <c r="O175" s="992">
        <v>0</v>
      </c>
      <c r="P175" s="1262">
        <v>0</v>
      </c>
      <c r="Q175" s="992">
        <v>3</v>
      </c>
      <c r="R175" s="1262">
        <v>0</v>
      </c>
      <c r="S175" s="992">
        <v>0</v>
      </c>
      <c r="T175" s="1262"/>
      <c r="U175" s="992"/>
      <c r="V175" s="985"/>
      <c r="W175" s="985"/>
      <c r="X175" s="985"/>
      <c r="Y175" s="985"/>
      <c r="Z175" s="985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6"/>
      <c r="AM175" s="986"/>
      <c r="AN175" s="8"/>
      <c r="AO175" s="983"/>
      <c r="AP175" s="983"/>
      <c r="AQ175" s="983"/>
      <c r="AR175" s="983"/>
      <c r="AS175" s="983"/>
      <c r="AT175" s="983"/>
      <c r="AU175" s="983"/>
      <c r="AV175" s="983"/>
      <c r="AW175" s="983"/>
      <c r="AX175" s="983"/>
      <c r="AY175" s="983"/>
      <c r="AZ175" s="983"/>
      <c r="BA175" s="983"/>
      <c r="BB175" s="983"/>
      <c r="BC175" s="983"/>
      <c r="BD175" s="983"/>
      <c r="BE175" s="988"/>
      <c r="BF175" s="988"/>
      <c r="BH175" s="1002">
        <f t="shared" si="81"/>
        <v>1</v>
      </c>
      <c r="BI175" s="1002">
        <f t="shared" si="82"/>
        <v>1</v>
      </c>
      <c r="BJ175" s="1002">
        <f t="shared" si="83"/>
        <v>1</v>
      </c>
      <c r="BK175" s="1002">
        <f t="shared" si="84"/>
        <v>0</v>
      </c>
      <c r="BL175" s="1002">
        <f t="shared" si="85"/>
        <v>0</v>
      </c>
      <c r="BO175" s="119">
        <v>2</v>
      </c>
      <c r="BP175" s="128" t="s">
        <v>2616</v>
      </c>
      <c r="BQ175" s="119">
        <v>18</v>
      </c>
      <c r="BR175" s="119">
        <v>10</v>
      </c>
      <c r="BS175" s="119">
        <v>3</v>
      </c>
      <c r="BT175" s="119">
        <v>5</v>
      </c>
      <c r="BU175" s="119">
        <v>95</v>
      </c>
      <c r="BV175" s="119">
        <v>74</v>
      </c>
      <c r="BW175" s="119">
        <v>23</v>
      </c>
    </row>
    <row r="176" spans="2:75" x14ac:dyDescent="0.3">
      <c r="B176" s="1280">
        <v>97</v>
      </c>
      <c r="C176" s="977" t="s">
        <v>874</v>
      </c>
      <c r="D176" s="977" t="s">
        <v>1829</v>
      </c>
      <c r="E176" s="977" t="s">
        <v>1539</v>
      </c>
      <c r="F176" s="978">
        <v>40838</v>
      </c>
      <c r="G176" s="977" t="s">
        <v>794</v>
      </c>
      <c r="H176" s="991" t="str">
        <f t="shared" si="78"/>
        <v>Voitto</v>
      </c>
      <c r="I176" s="991" t="s">
        <v>1515</v>
      </c>
      <c r="J176" s="991" t="s">
        <v>0</v>
      </c>
      <c r="K176" s="991" t="s">
        <v>2558</v>
      </c>
      <c r="L176" s="992">
        <f t="shared" si="79"/>
        <v>1</v>
      </c>
      <c r="M176" s="992">
        <f t="shared" si="80"/>
        <v>0</v>
      </c>
      <c r="N176" s="1262">
        <v>1</v>
      </c>
      <c r="O176" s="992">
        <v>0</v>
      </c>
      <c r="P176" s="1262">
        <v>0</v>
      </c>
      <c r="Q176" s="992">
        <v>0</v>
      </c>
      <c r="R176" s="1262">
        <v>0</v>
      </c>
      <c r="S176" s="992">
        <v>0</v>
      </c>
      <c r="T176" s="1262"/>
      <c r="U176" s="992"/>
      <c r="V176" s="985"/>
      <c r="W176" s="985"/>
      <c r="X176" s="987"/>
      <c r="Y176" s="987"/>
      <c r="Z176" s="987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5"/>
      <c r="AL176" s="985"/>
      <c r="AM176" s="985"/>
      <c r="AO176" s="983"/>
      <c r="AP176" s="983"/>
      <c r="AQ176" s="983"/>
      <c r="AR176" s="976"/>
      <c r="AS176" s="976"/>
      <c r="AT176" s="976"/>
      <c r="AU176" s="976"/>
      <c r="AV176" s="976"/>
      <c r="AW176" s="976"/>
      <c r="AX176" s="976"/>
      <c r="AY176" s="976"/>
      <c r="AZ176" s="976"/>
      <c r="BA176" s="976"/>
      <c r="BB176" s="976"/>
      <c r="BC176" s="976"/>
      <c r="BD176" s="983"/>
      <c r="BE176" s="984"/>
      <c r="BF176" s="984"/>
      <c r="BH176" s="1002">
        <f t="shared" si="81"/>
        <v>1</v>
      </c>
      <c r="BI176" s="1002">
        <f t="shared" si="82"/>
        <v>1</v>
      </c>
      <c r="BJ176" s="1002">
        <f t="shared" si="83"/>
        <v>1</v>
      </c>
      <c r="BK176" s="1002">
        <f t="shared" si="84"/>
        <v>0</v>
      </c>
      <c r="BL176" s="1002">
        <f t="shared" si="85"/>
        <v>0</v>
      </c>
      <c r="BO176" s="119">
        <v>3</v>
      </c>
      <c r="BP176" s="128" t="s">
        <v>2560</v>
      </c>
      <c r="BQ176" s="119">
        <v>18</v>
      </c>
      <c r="BR176" s="119">
        <v>9</v>
      </c>
      <c r="BS176" s="119">
        <v>2</v>
      </c>
      <c r="BT176" s="119">
        <v>7</v>
      </c>
      <c r="BU176" s="119">
        <v>81</v>
      </c>
      <c r="BV176" s="119">
        <v>78</v>
      </c>
      <c r="BW176" s="119">
        <v>20</v>
      </c>
    </row>
    <row r="177" spans="2:75" x14ac:dyDescent="0.3">
      <c r="B177" s="1280">
        <v>98</v>
      </c>
      <c r="C177" s="977" t="s">
        <v>874</v>
      </c>
      <c r="D177" s="977" t="s">
        <v>1829</v>
      </c>
      <c r="E177" s="977" t="s">
        <v>1540</v>
      </c>
      <c r="F177" s="978">
        <v>40838</v>
      </c>
      <c r="G177" s="977" t="s">
        <v>794</v>
      </c>
      <c r="H177" s="991" t="str">
        <f t="shared" si="78"/>
        <v>Voitto</v>
      </c>
      <c r="I177" s="991" t="s">
        <v>1514</v>
      </c>
      <c r="J177" s="991" t="s">
        <v>0</v>
      </c>
      <c r="K177" s="991" t="s">
        <v>1395</v>
      </c>
      <c r="L177" s="992">
        <f t="shared" si="79"/>
        <v>7</v>
      </c>
      <c r="M177" s="992">
        <f t="shared" si="80"/>
        <v>5</v>
      </c>
      <c r="N177" s="1262">
        <v>1</v>
      </c>
      <c r="O177" s="992">
        <v>1</v>
      </c>
      <c r="P177" s="1262">
        <v>2</v>
      </c>
      <c r="Q177" s="992">
        <v>0</v>
      </c>
      <c r="R177" s="1262">
        <v>4</v>
      </c>
      <c r="S177" s="992">
        <v>4</v>
      </c>
      <c r="T177" s="1262"/>
      <c r="U177" s="992"/>
      <c r="V177" s="985"/>
      <c r="W177" s="985"/>
      <c r="X177" s="987"/>
      <c r="Y177" s="987"/>
      <c r="Z177" s="987"/>
      <c r="AA177" s="987"/>
      <c r="AB177" s="987"/>
      <c r="AC177" s="987"/>
      <c r="AD177" s="987"/>
      <c r="AE177" s="987"/>
      <c r="AF177" s="987"/>
      <c r="AG177" s="987"/>
      <c r="AH177" s="987"/>
      <c r="AI177" s="987"/>
      <c r="AJ177" s="987"/>
      <c r="AK177" s="985"/>
      <c r="AL177" s="985"/>
      <c r="AM177" s="985"/>
      <c r="AO177" s="983"/>
      <c r="AP177" s="983"/>
      <c r="AQ177" s="976"/>
      <c r="AR177" s="976"/>
      <c r="AS177" s="976"/>
      <c r="AT177" s="976"/>
      <c r="AU177" s="976"/>
      <c r="AV177" s="976"/>
      <c r="AW177" s="976"/>
      <c r="AX177" s="976"/>
      <c r="AY177" s="976"/>
      <c r="AZ177" s="976"/>
      <c r="BA177" s="976"/>
      <c r="BB177" s="976"/>
      <c r="BC177" s="976"/>
      <c r="BD177" s="983"/>
      <c r="BE177" s="983"/>
      <c r="BF177" s="983"/>
      <c r="BH177" s="1002">
        <f t="shared" si="81"/>
        <v>1</v>
      </c>
      <c r="BI177" s="1002">
        <f t="shared" si="82"/>
        <v>1</v>
      </c>
      <c r="BJ177" s="1002">
        <f t="shared" si="83"/>
        <v>1</v>
      </c>
      <c r="BK177" s="1002">
        <f t="shared" si="84"/>
        <v>0</v>
      </c>
      <c r="BL177" s="1002">
        <f t="shared" si="85"/>
        <v>0</v>
      </c>
      <c r="BO177" s="119">
        <v>4</v>
      </c>
      <c r="BP177" s="128" t="s">
        <v>1394</v>
      </c>
      <c r="BQ177" s="119">
        <v>18</v>
      </c>
      <c r="BR177" s="119">
        <v>8</v>
      </c>
      <c r="BS177" s="119">
        <v>4</v>
      </c>
      <c r="BT177" s="119">
        <v>6</v>
      </c>
      <c r="BU177" s="119">
        <v>71</v>
      </c>
      <c r="BV177" s="119">
        <v>54</v>
      </c>
      <c r="BW177" s="119">
        <v>20</v>
      </c>
    </row>
    <row r="178" spans="2:75" x14ac:dyDescent="0.3">
      <c r="B178" s="1280">
        <v>99</v>
      </c>
      <c r="C178" s="977" t="s">
        <v>874</v>
      </c>
      <c r="D178" s="977" t="s">
        <v>1829</v>
      </c>
      <c r="E178" s="977" t="s">
        <v>1541</v>
      </c>
      <c r="F178" s="978">
        <v>40859</v>
      </c>
      <c r="G178" s="977" t="s">
        <v>796</v>
      </c>
      <c r="H178" s="991" t="str">
        <f t="shared" si="78"/>
        <v>Tasapeli</v>
      </c>
      <c r="I178" s="991" t="s">
        <v>1515</v>
      </c>
      <c r="J178" s="991" t="s">
        <v>0</v>
      </c>
      <c r="K178" s="991" t="s">
        <v>2559</v>
      </c>
      <c r="L178" s="992">
        <f t="shared" si="79"/>
        <v>3</v>
      </c>
      <c r="M178" s="992">
        <f t="shared" si="80"/>
        <v>3</v>
      </c>
      <c r="N178" s="1262">
        <v>2</v>
      </c>
      <c r="O178" s="992">
        <v>1</v>
      </c>
      <c r="P178" s="1262">
        <v>1</v>
      </c>
      <c r="Q178" s="992">
        <v>1</v>
      </c>
      <c r="R178" s="1262">
        <v>0</v>
      </c>
      <c r="S178" s="992">
        <v>1</v>
      </c>
      <c r="T178" s="1262"/>
      <c r="U178" s="992"/>
      <c r="V178" s="985"/>
      <c r="W178" s="985"/>
      <c r="X178" s="987"/>
      <c r="Y178" s="987"/>
      <c r="Z178" s="987"/>
      <c r="AA178" s="987"/>
      <c r="AB178" s="987"/>
      <c r="AC178" s="987"/>
      <c r="AD178" s="987"/>
      <c r="AE178" s="987"/>
      <c r="AF178" s="987"/>
      <c r="AG178" s="987"/>
      <c r="AH178" s="987"/>
      <c r="AI178" s="987"/>
      <c r="AJ178" s="987"/>
      <c r="AK178" s="985"/>
      <c r="AL178" s="985"/>
      <c r="AM178" s="985"/>
      <c r="AO178" s="983"/>
      <c r="AP178" s="983"/>
      <c r="AQ178" s="983"/>
      <c r="AR178" s="976"/>
      <c r="AS178" s="976"/>
      <c r="AT178" s="976"/>
      <c r="AU178" s="976"/>
      <c r="AV178" s="976"/>
      <c r="AW178" s="976"/>
      <c r="AX178" s="976"/>
      <c r="AY178" s="976"/>
      <c r="AZ178" s="976"/>
      <c r="BA178" s="976"/>
      <c r="BB178" s="976"/>
      <c r="BC178" s="976"/>
      <c r="BD178" s="983"/>
      <c r="BE178" s="983"/>
      <c r="BF178" s="983"/>
      <c r="BH178" s="1002">
        <f t="shared" si="81"/>
        <v>1</v>
      </c>
      <c r="BI178" s="1002">
        <f t="shared" si="82"/>
        <v>1</v>
      </c>
      <c r="BJ178" s="1002">
        <f t="shared" si="83"/>
        <v>1</v>
      </c>
      <c r="BK178" s="1002">
        <f t="shared" si="84"/>
        <v>0</v>
      </c>
      <c r="BL178" s="1002">
        <f t="shared" si="85"/>
        <v>0</v>
      </c>
      <c r="BO178" s="119">
        <v>5</v>
      </c>
      <c r="BP178" s="128" t="s">
        <v>2556</v>
      </c>
      <c r="BQ178" s="119">
        <v>18</v>
      </c>
      <c r="BR178" s="119">
        <v>8</v>
      </c>
      <c r="BS178" s="119">
        <v>3</v>
      </c>
      <c r="BT178" s="119">
        <v>7</v>
      </c>
      <c r="BU178" s="119">
        <v>82</v>
      </c>
      <c r="BV178" s="119">
        <v>61</v>
      </c>
      <c r="BW178" s="119">
        <v>19</v>
      </c>
    </row>
    <row r="179" spans="2:75" x14ac:dyDescent="0.3">
      <c r="B179" s="1280">
        <v>100</v>
      </c>
      <c r="C179" s="977" t="s">
        <v>874</v>
      </c>
      <c r="D179" s="977" t="s">
        <v>1829</v>
      </c>
      <c r="E179" s="977" t="s">
        <v>1542</v>
      </c>
      <c r="F179" s="978">
        <v>40873</v>
      </c>
      <c r="G179" s="977" t="s">
        <v>794</v>
      </c>
      <c r="H179" s="991" t="str">
        <f t="shared" si="78"/>
        <v>Voitto</v>
      </c>
      <c r="I179" s="991" t="s">
        <v>1515</v>
      </c>
      <c r="J179" s="991" t="s">
        <v>0</v>
      </c>
      <c r="K179" s="991" t="s">
        <v>2560</v>
      </c>
      <c r="L179" s="992">
        <f t="shared" si="79"/>
        <v>5</v>
      </c>
      <c r="M179" s="992">
        <f t="shared" si="80"/>
        <v>4</v>
      </c>
      <c r="N179" s="1262">
        <v>0</v>
      </c>
      <c r="O179" s="992">
        <v>2</v>
      </c>
      <c r="P179" s="1262">
        <v>2</v>
      </c>
      <c r="Q179" s="992">
        <v>0</v>
      </c>
      <c r="R179" s="1262">
        <v>3</v>
      </c>
      <c r="S179" s="992">
        <v>2</v>
      </c>
      <c r="T179" s="1262"/>
      <c r="U179" s="992"/>
      <c r="V179" s="985"/>
      <c r="W179" s="985"/>
      <c r="X179" s="985"/>
      <c r="Y179" s="987"/>
      <c r="Z179" s="987"/>
      <c r="AA179" s="987"/>
      <c r="AB179" s="985"/>
      <c r="AC179" s="987"/>
      <c r="AD179" s="987"/>
      <c r="AE179" s="987"/>
      <c r="AF179" s="987"/>
      <c r="AG179" s="987"/>
      <c r="AH179" s="987"/>
      <c r="AI179" s="987"/>
      <c r="AJ179" s="987"/>
      <c r="AK179" s="985"/>
      <c r="AL179" s="986"/>
      <c r="AM179" s="986"/>
      <c r="AO179" s="983"/>
      <c r="AP179" s="983"/>
      <c r="AQ179" s="983"/>
      <c r="AR179" s="976"/>
      <c r="AS179" s="976"/>
      <c r="AT179" s="976"/>
      <c r="AU179" s="976"/>
      <c r="AV179" s="976"/>
      <c r="AW179" s="976"/>
      <c r="AX179" s="976"/>
      <c r="AY179" s="976"/>
      <c r="AZ179" s="976"/>
      <c r="BA179" s="976"/>
      <c r="BB179" s="976"/>
      <c r="BC179" s="976"/>
      <c r="BD179" s="983"/>
      <c r="BE179" s="983"/>
      <c r="BF179" s="983"/>
      <c r="BH179" s="1002">
        <f t="shared" si="81"/>
        <v>1</v>
      </c>
      <c r="BI179" s="1002">
        <f t="shared" si="82"/>
        <v>1</v>
      </c>
      <c r="BJ179" s="1002">
        <f t="shared" si="83"/>
        <v>1</v>
      </c>
      <c r="BK179" s="1002">
        <f t="shared" si="84"/>
        <v>0</v>
      </c>
      <c r="BL179" s="1002">
        <f t="shared" si="85"/>
        <v>0</v>
      </c>
      <c r="BO179" s="119">
        <v>6</v>
      </c>
      <c r="BP179" s="128" t="s">
        <v>2562</v>
      </c>
      <c r="BQ179" s="119">
        <v>18</v>
      </c>
      <c r="BR179" s="119">
        <v>8</v>
      </c>
      <c r="BS179" s="119">
        <v>3</v>
      </c>
      <c r="BT179" s="119">
        <v>7</v>
      </c>
      <c r="BU179" s="119">
        <v>90</v>
      </c>
      <c r="BV179" s="119">
        <v>87</v>
      </c>
      <c r="BW179" s="119">
        <v>19</v>
      </c>
    </row>
    <row r="180" spans="2:75" x14ac:dyDescent="0.3">
      <c r="B180" s="1280">
        <v>101</v>
      </c>
      <c r="C180" s="977" t="s">
        <v>874</v>
      </c>
      <c r="D180" s="977" t="s">
        <v>1829</v>
      </c>
      <c r="E180" s="977" t="s">
        <v>1543</v>
      </c>
      <c r="F180" s="978">
        <v>40873</v>
      </c>
      <c r="G180" s="977" t="s">
        <v>794</v>
      </c>
      <c r="H180" s="991" t="str">
        <f t="shared" si="78"/>
        <v>Häviö</v>
      </c>
      <c r="I180" s="991" t="s">
        <v>1514</v>
      </c>
      <c r="J180" s="991" t="s">
        <v>0</v>
      </c>
      <c r="K180" s="991" t="s">
        <v>2561</v>
      </c>
      <c r="L180" s="992">
        <f t="shared" si="79"/>
        <v>3</v>
      </c>
      <c r="M180" s="992">
        <f t="shared" si="80"/>
        <v>8</v>
      </c>
      <c r="N180" s="1262">
        <v>1</v>
      </c>
      <c r="O180" s="992">
        <v>3</v>
      </c>
      <c r="P180" s="1262">
        <v>1</v>
      </c>
      <c r="Q180" s="992">
        <v>0</v>
      </c>
      <c r="R180" s="1262">
        <v>1</v>
      </c>
      <c r="S180" s="992">
        <v>5</v>
      </c>
      <c r="T180" s="1262"/>
      <c r="U180" s="992"/>
      <c r="V180" s="985"/>
      <c r="W180" s="985"/>
      <c r="X180" s="985"/>
      <c r="Y180" s="985"/>
      <c r="Z180" s="985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8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H180" s="1002">
        <f t="shared" si="81"/>
        <v>1</v>
      </c>
      <c r="BI180" s="1002">
        <f t="shared" si="82"/>
        <v>1</v>
      </c>
      <c r="BJ180" s="1002">
        <f t="shared" si="83"/>
        <v>1</v>
      </c>
      <c r="BK180" s="1002">
        <f t="shared" si="84"/>
        <v>0</v>
      </c>
      <c r="BL180" s="1002">
        <f t="shared" si="85"/>
        <v>0</v>
      </c>
      <c r="BO180" s="119">
        <v>7</v>
      </c>
      <c r="BP180" s="128" t="s">
        <v>2559</v>
      </c>
      <c r="BQ180" s="119">
        <v>18</v>
      </c>
      <c r="BR180" s="119">
        <v>7</v>
      </c>
      <c r="BS180" s="119">
        <v>4</v>
      </c>
      <c r="BT180" s="119">
        <v>7</v>
      </c>
      <c r="BU180" s="119">
        <v>72</v>
      </c>
      <c r="BV180" s="119">
        <v>85</v>
      </c>
      <c r="BW180" s="119">
        <v>18</v>
      </c>
    </row>
    <row r="181" spans="2:75" x14ac:dyDescent="0.3">
      <c r="B181" s="1280">
        <v>102</v>
      </c>
      <c r="C181" s="977" t="s">
        <v>874</v>
      </c>
      <c r="D181" s="977" t="s">
        <v>1829</v>
      </c>
      <c r="E181" s="977" t="s">
        <v>1544</v>
      </c>
      <c r="F181" s="978">
        <v>40888</v>
      </c>
      <c r="G181" s="977" t="s">
        <v>796</v>
      </c>
      <c r="H181" s="991" t="str">
        <f t="shared" si="78"/>
        <v>Tasapeli</v>
      </c>
      <c r="I181" s="991" t="s">
        <v>1514</v>
      </c>
      <c r="J181" s="991" t="s">
        <v>0</v>
      </c>
      <c r="K181" s="991" t="s">
        <v>2562</v>
      </c>
      <c r="L181" s="992">
        <f t="shared" si="79"/>
        <v>5</v>
      </c>
      <c r="M181" s="992">
        <f t="shared" si="80"/>
        <v>5</v>
      </c>
      <c r="N181" s="1262">
        <v>1</v>
      </c>
      <c r="O181" s="992">
        <v>2</v>
      </c>
      <c r="P181" s="1262">
        <v>2</v>
      </c>
      <c r="Q181" s="992">
        <v>3</v>
      </c>
      <c r="R181" s="1262">
        <v>2</v>
      </c>
      <c r="S181" s="992">
        <v>0</v>
      </c>
      <c r="T181" s="1262"/>
      <c r="U181" s="992"/>
      <c r="V181" s="985"/>
      <c r="W181" s="985"/>
      <c r="X181" s="985"/>
      <c r="Y181" s="985"/>
      <c r="Z181" s="985"/>
      <c r="AA181" s="985"/>
      <c r="AB181" s="985"/>
      <c r="AC181" s="985"/>
      <c r="AD181" s="985"/>
      <c r="AE181" s="985"/>
      <c r="AF181" s="985"/>
      <c r="AG181" s="985"/>
      <c r="AH181" s="985"/>
      <c r="AI181" s="985"/>
      <c r="AJ181" s="985"/>
      <c r="AK181" s="985"/>
      <c r="AL181" s="985"/>
      <c r="AM181" s="985"/>
      <c r="AN181" s="8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H181" s="1002">
        <f t="shared" si="81"/>
        <v>1</v>
      </c>
      <c r="BI181" s="1002">
        <f t="shared" si="82"/>
        <v>1</v>
      </c>
      <c r="BJ181" s="1002">
        <f t="shared" si="83"/>
        <v>1</v>
      </c>
      <c r="BK181" s="1002">
        <f t="shared" si="84"/>
        <v>0</v>
      </c>
      <c r="BL181" s="1002">
        <f t="shared" si="85"/>
        <v>0</v>
      </c>
      <c r="BO181" s="1284">
        <v>8</v>
      </c>
      <c r="BP181" s="1283" t="s">
        <v>0</v>
      </c>
      <c r="BQ181" s="1284">
        <v>18</v>
      </c>
      <c r="BR181" s="1284">
        <v>7</v>
      </c>
      <c r="BS181" s="1284">
        <v>3</v>
      </c>
      <c r="BT181" s="1284">
        <v>8</v>
      </c>
      <c r="BU181" s="1284">
        <v>70</v>
      </c>
      <c r="BV181" s="1284">
        <v>78</v>
      </c>
      <c r="BW181" s="1284">
        <v>17</v>
      </c>
    </row>
    <row r="182" spans="2:75" x14ac:dyDescent="0.3">
      <c r="B182" s="1280">
        <v>103</v>
      </c>
      <c r="C182" s="977" t="s">
        <v>874</v>
      </c>
      <c r="D182" s="977" t="s">
        <v>1829</v>
      </c>
      <c r="E182" s="977" t="s">
        <v>1545</v>
      </c>
      <c r="F182" s="978">
        <v>40915</v>
      </c>
      <c r="G182" s="977" t="s">
        <v>796</v>
      </c>
      <c r="H182" s="991" t="str">
        <f t="shared" si="78"/>
        <v>Voitto</v>
      </c>
      <c r="I182" s="991" t="s">
        <v>1514</v>
      </c>
      <c r="J182" s="991" t="s">
        <v>0</v>
      </c>
      <c r="K182" s="991" t="s">
        <v>1394</v>
      </c>
      <c r="L182" s="992">
        <f t="shared" si="79"/>
        <v>5</v>
      </c>
      <c r="M182" s="992">
        <f t="shared" si="80"/>
        <v>4</v>
      </c>
      <c r="N182" s="1262">
        <v>3</v>
      </c>
      <c r="O182" s="992">
        <v>1</v>
      </c>
      <c r="P182" s="1262">
        <v>0</v>
      </c>
      <c r="Q182" s="992">
        <v>1</v>
      </c>
      <c r="R182" s="1262">
        <v>2</v>
      </c>
      <c r="S182" s="992">
        <v>2</v>
      </c>
      <c r="T182" s="1262"/>
      <c r="U182" s="992"/>
      <c r="V182" s="985"/>
      <c r="W182" s="985"/>
      <c r="X182" s="985"/>
      <c r="Y182" s="985"/>
      <c r="Z182" s="985"/>
      <c r="AA182" s="985"/>
      <c r="AB182" s="985"/>
      <c r="AC182" s="985"/>
      <c r="AD182" s="985"/>
      <c r="AE182" s="985"/>
      <c r="AF182" s="985"/>
      <c r="AG182" s="985"/>
      <c r="AH182" s="985"/>
      <c r="AI182" s="985"/>
      <c r="AJ182" s="985"/>
      <c r="AK182" s="985"/>
      <c r="AL182" s="985"/>
      <c r="AM182" s="985"/>
      <c r="AN182" s="8"/>
      <c r="AO182" s="983"/>
      <c r="AP182" s="983"/>
      <c r="AQ182" s="983"/>
      <c r="AR182" s="983"/>
      <c r="AS182" s="983"/>
      <c r="AT182" s="983"/>
      <c r="AU182" s="983"/>
      <c r="AV182" s="983"/>
      <c r="AW182" s="983"/>
      <c r="AX182" s="983"/>
      <c r="AY182" s="983"/>
      <c r="AZ182" s="983"/>
      <c r="BA182" s="983"/>
      <c r="BB182" s="983"/>
      <c r="BC182" s="983"/>
      <c r="BD182" s="983"/>
      <c r="BE182" s="983"/>
      <c r="BF182" s="983"/>
      <c r="BH182" s="1002">
        <f t="shared" si="81"/>
        <v>1</v>
      </c>
      <c r="BI182" s="1002">
        <f t="shared" si="82"/>
        <v>1</v>
      </c>
      <c r="BJ182" s="1002">
        <f t="shared" si="83"/>
        <v>1</v>
      </c>
      <c r="BK182" s="1002">
        <f t="shared" si="84"/>
        <v>0</v>
      </c>
      <c r="BL182" s="1002">
        <f t="shared" si="85"/>
        <v>0</v>
      </c>
      <c r="BO182" s="1088">
        <v>9</v>
      </c>
      <c r="BP182" s="128" t="s">
        <v>1395</v>
      </c>
      <c r="BQ182" s="119">
        <v>18</v>
      </c>
      <c r="BR182" s="119">
        <v>3</v>
      </c>
      <c r="BS182" s="119">
        <v>4</v>
      </c>
      <c r="BT182" s="119">
        <v>11</v>
      </c>
      <c r="BU182" s="119">
        <v>76</v>
      </c>
      <c r="BV182" s="119">
        <v>99</v>
      </c>
      <c r="BW182" s="119">
        <v>10</v>
      </c>
    </row>
    <row r="183" spans="2:75" x14ac:dyDescent="0.3">
      <c r="B183" s="1280">
        <v>104</v>
      </c>
      <c r="C183" s="977" t="s">
        <v>874</v>
      </c>
      <c r="D183" s="977" t="s">
        <v>1829</v>
      </c>
      <c r="E183" s="977" t="s">
        <v>1546</v>
      </c>
      <c r="F183" s="978">
        <v>40929</v>
      </c>
      <c r="G183" s="977" t="s">
        <v>242</v>
      </c>
      <c r="H183" s="991" t="str">
        <f t="shared" si="78"/>
        <v>Voitto</v>
      </c>
      <c r="I183" s="991" t="s">
        <v>1515</v>
      </c>
      <c r="J183" s="991" t="s">
        <v>0</v>
      </c>
      <c r="K183" s="991" t="s">
        <v>2556</v>
      </c>
      <c r="L183" s="992">
        <f t="shared" si="79"/>
        <v>4</v>
      </c>
      <c r="M183" s="992">
        <f t="shared" si="80"/>
        <v>2</v>
      </c>
      <c r="N183" s="1262">
        <v>2</v>
      </c>
      <c r="O183" s="992">
        <v>1</v>
      </c>
      <c r="P183" s="1262">
        <v>1</v>
      </c>
      <c r="Q183" s="992">
        <v>0</v>
      </c>
      <c r="R183" s="1262">
        <v>1</v>
      </c>
      <c r="S183" s="992">
        <v>1</v>
      </c>
      <c r="T183" s="1262"/>
      <c r="U183" s="992"/>
      <c r="V183" s="985"/>
      <c r="W183" s="985"/>
      <c r="X183" s="985"/>
      <c r="Y183" s="985"/>
      <c r="Z183" s="985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8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H183" s="1002">
        <f t="shared" si="81"/>
        <v>1</v>
      </c>
      <c r="BI183" s="1002">
        <f t="shared" si="82"/>
        <v>1</v>
      </c>
      <c r="BJ183" s="1002">
        <f t="shared" si="83"/>
        <v>1</v>
      </c>
      <c r="BK183" s="1002">
        <f t="shared" si="84"/>
        <v>0</v>
      </c>
      <c r="BL183" s="1002">
        <f t="shared" si="85"/>
        <v>0</v>
      </c>
      <c r="BO183" s="119">
        <v>10</v>
      </c>
      <c r="BP183" s="128" t="s">
        <v>2558</v>
      </c>
      <c r="BQ183" s="119">
        <v>18</v>
      </c>
      <c r="BR183" s="119">
        <v>0</v>
      </c>
      <c r="BS183" s="119">
        <v>3</v>
      </c>
      <c r="BT183" s="119">
        <v>15</v>
      </c>
      <c r="BU183" s="119">
        <v>49</v>
      </c>
      <c r="BV183" s="119">
        <v>126</v>
      </c>
      <c r="BW183" s="119">
        <v>3</v>
      </c>
    </row>
    <row r="184" spans="2:75" x14ac:dyDescent="0.3">
      <c r="B184" s="1280">
        <v>105</v>
      </c>
      <c r="C184" s="977" t="s">
        <v>874</v>
      </c>
      <c r="D184" s="977" t="s">
        <v>1829</v>
      </c>
      <c r="E184" s="977" t="s">
        <v>1547</v>
      </c>
      <c r="F184" s="978">
        <v>40929</v>
      </c>
      <c r="G184" s="977" t="s">
        <v>242</v>
      </c>
      <c r="H184" s="991" t="str">
        <f t="shared" si="78"/>
        <v>Häviö</v>
      </c>
      <c r="I184" s="991" t="s">
        <v>1514</v>
      </c>
      <c r="J184" s="991" t="s">
        <v>0</v>
      </c>
      <c r="K184" s="991" t="s">
        <v>2557</v>
      </c>
      <c r="L184" s="992">
        <f t="shared" si="79"/>
        <v>4</v>
      </c>
      <c r="M184" s="992">
        <f t="shared" si="80"/>
        <v>5</v>
      </c>
      <c r="N184" s="1262">
        <v>2</v>
      </c>
      <c r="O184" s="992">
        <v>1</v>
      </c>
      <c r="P184" s="1262">
        <v>1</v>
      </c>
      <c r="Q184" s="992">
        <v>3</v>
      </c>
      <c r="R184" s="1262">
        <v>1</v>
      </c>
      <c r="S184" s="992">
        <v>1</v>
      </c>
      <c r="T184" s="1262"/>
      <c r="U184" s="992"/>
      <c r="V184" s="985"/>
      <c r="W184" s="985"/>
      <c r="X184" s="985"/>
      <c r="Y184" s="985"/>
      <c r="Z184" s="985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8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H184" s="1002">
        <f t="shared" si="81"/>
        <v>1</v>
      </c>
      <c r="BI184" s="1002">
        <f t="shared" si="82"/>
        <v>1</v>
      </c>
      <c r="BJ184" s="1002">
        <f t="shared" si="83"/>
        <v>1</v>
      </c>
      <c r="BK184" s="1002">
        <f t="shared" si="84"/>
        <v>0</v>
      </c>
      <c r="BL184" s="1002">
        <f t="shared" si="85"/>
        <v>0</v>
      </c>
    </row>
    <row r="185" spans="2:75" x14ac:dyDescent="0.3">
      <c r="B185" s="1280">
        <v>106</v>
      </c>
      <c r="C185" s="977" t="s">
        <v>874</v>
      </c>
      <c r="D185" s="977" t="s">
        <v>1829</v>
      </c>
      <c r="E185" s="977" t="s">
        <v>1548</v>
      </c>
      <c r="F185" s="978">
        <v>40943</v>
      </c>
      <c r="G185" s="977" t="s">
        <v>794</v>
      </c>
      <c r="H185" s="991" t="str">
        <f t="shared" si="78"/>
        <v>Tasapeli</v>
      </c>
      <c r="I185" s="991" t="s">
        <v>1514</v>
      </c>
      <c r="J185" s="991" t="s">
        <v>0</v>
      </c>
      <c r="K185" s="991" t="s">
        <v>2558</v>
      </c>
      <c r="L185" s="992">
        <f t="shared" si="79"/>
        <v>4</v>
      </c>
      <c r="M185" s="992">
        <f t="shared" si="80"/>
        <v>4</v>
      </c>
      <c r="N185" s="1262">
        <v>2</v>
      </c>
      <c r="O185" s="992">
        <v>1</v>
      </c>
      <c r="P185" s="1262">
        <v>2</v>
      </c>
      <c r="Q185" s="992">
        <v>2</v>
      </c>
      <c r="R185" s="1262">
        <v>0</v>
      </c>
      <c r="S185" s="992">
        <v>1</v>
      </c>
      <c r="T185" s="1262"/>
      <c r="U185" s="992"/>
      <c r="V185" s="985"/>
      <c r="W185" s="985"/>
      <c r="X185" s="985"/>
      <c r="Y185" s="985"/>
      <c r="Z185" s="985"/>
      <c r="AA185" s="985"/>
      <c r="AB185" s="985"/>
      <c r="AC185" s="985"/>
      <c r="AD185" s="985"/>
      <c r="AE185" s="985"/>
      <c r="AF185" s="985"/>
      <c r="AG185" s="985"/>
      <c r="AH185" s="985"/>
      <c r="AI185" s="985"/>
      <c r="AJ185" s="985"/>
      <c r="AK185" s="985"/>
      <c r="AL185" s="985"/>
      <c r="AM185" s="985"/>
      <c r="AN185" s="8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H185" s="1002">
        <f t="shared" si="81"/>
        <v>1</v>
      </c>
      <c r="BI185" s="1002">
        <f t="shared" si="82"/>
        <v>1</v>
      </c>
      <c r="BJ185" s="1002">
        <f t="shared" si="83"/>
        <v>1</v>
      </c>
      <c r="BK185" s="1002">
        <f t="shared" si="84"/>
        <v>0</v>
      </c>
      <c r="BL185" s="1002">
        <f t="shared" si="85"/>
        <v>0</v>
      </c>
    </row>
    <row r="186" spans="2:75" x14ac:dyDescent="0.3">
      <c r="B186" s="1280">
        <v>107</v>
      </c>
      <c r="C186" s="977" t="s">
        <v>874</v>
      </c>
      <c r="D186" s="977" t="s">
        <v>1829</v>
      </c>
      <c r="E186" s="977" t="s">
        <v>1549</v>
      </c>
      <c r="F186" s="978">
        <v>40943</v>
      </c>
      <c r="G186" s="977" t="s">
        <v>794</v>
      </c>
      <c r="H186" s="991" t="str">
        <f t="shared" si="78"/>
        <v>Häviö</v>
      </c>
      <c r="I186" s="991" t="s">
        <v>1515</v>
      </c>
      <c r="J186" s="991" t="s">
        <v>0</v>
      </c>
      <c r="K186" s="991" t="s">
        <v>1395</v>
      </c>
      <c r="L186" s="992">
        <f t="shared" si="79"/>
        <v>5</v>
      </c>
      <c r="M186" s="992">
        <f t="shared" si="80"/>
        <v>7</v>
      </c>
      <c r="N186" s="1262">
        <v>3</v>
      </c>
      <c r="O186" s="992">
        <v>1</v>
      </c>
      <c r="P186" s="1262">
        <v>1</v>
      </c>
      <c r="Q186" s="992">
        <v>5</v>
      </c>
      <c r="R186" s="1262">
        <v>1</v>
      </c>
      <c r="S186" s="992">
        <v>1</v>
      </c>
      <c r="T186" s="1262"/>
      <c r="U186" s="992"/>
      <c r="V186" s="985"/>
      <c r="W186" s="985"/>
      <c r="X186" s="985"/>
      <c r="Y186" s="985"/>
      <c r="Z186" s="985"/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8"/>
      <c r="AO186" s="983"/>
      <c r="AP186" s="983"/>
      <c r="AQ186" s="983"/>
      <c r="AR186" s="983"/>
      <c r="AS186" s="983"/>
      <c r="AT186" s="983"/>
      <c r="AU186" s="983"/>
      <c r="AV186" s="983"/>
      <c r="AW186" s="983"/>
      <c r="AX186" s="983"/>
      <c r="AY186" s="983"/>
      <c r="AZ186" s="983"/>
      <c r="BA186" s="983"/>
      <c r="BB186" s="983"/>
      <c r="BC186" s="983"/>
      <c r="BD186" s="983"/>
      <c r="BE186" s="983"/>
      <c r="BF186" s="983"/>
      <c r="BH186" s="1002">
        <f t="shared" si="81"/>
        <v>1</v>
      </c>
      <c r="BI186" s="1002">
        <f t="shared" si="82"/>
        <v>1</v>
      </c>
      <c r="BJ186" s="1002">
        <f t="shared" si="83"/>
        <v>1</v>
      </c>
      <c r="BK186" s="1002">
        <f t="shared" si="84"/>
        <v>0</v>
      </c>
      <c r="BL186" s="1002">
        <f t="shared" si="85"/>
        <v>0</v>
      </c>
    </row>
    <row r="187" spans="2:75" x14ac:dyDescent="0.3">
      <c r="B187" s="1280">
        <v>108</v>
      </c>
      <c r="C187" s="977" t="s">
        <v>874</v>
      </c>
      <c r="D187" s="977" t="s">
        <v>1829</v>
      </c>
      <c r="E187" s="977" t="s">
        <v>1550</v>
      </c>
      <c r="F187" s="978">
        <v>40957</v>
      </c>
      <c r="G187" s="977" t="s">
        <v>568</v>
      </c>
      <c r="H187" s="991" t="str">
        <f t="shared" si="78"/>
        <v>Häviö</v>
      </c>
      <c r="I187" s="991" t="s">
        <v>1514</v>
      </c>
      <c r="J187" s="991" t="s">
        <v>0</v>
      </c>
      <c r="K187" s="991" t="s">
        <v>2559</v>
      </c>
      <c r="L187" s="992">
        <f t="shared" si="79"/>
        <v>5</v>
      </c>
      <c r="M187" s="992">
        <f t="shared" si="80"/>
        <v>6</v>
      </c>
      <c r="N187" s="1262">
        <v>2</v>
      </c>
      <c r="O187" s="992">
        <v>1</v>
      </c>
      <c r="P187" s="1262">
        <v>2</v>
      </c>
      <c r="Q187" s="992">
        <v>3</v>
      </c>
      <c r="R187" s="1262">
        <v>1</v>
      </c>
      <c r="S187" s="992">
        <v>2</v>
      </c>
      <c r="T187" s="1262"/>
      <c r="U187" s="992"/>
      <c r="V187" s="985"/>
      <c r="W187" s="985"/>
      <c r="X187" s="985"/>
      <c r="Y187" s="985"/>
      <c r="Z187" s="985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8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H187" s="1002">
        <f t="shared" si="81"/>
        <v>1</v>
      </c>
      <c r="BI187" s="1002">
        <f t="shared" si="82"/>
        <v>1</v>
      </c>
      <c r="BJ187" s="1002">
        <f t="shared" si="83"/>
        <v>1</v>
      </c>
      <c r="BK187" s="1002">
        <f t="shared" si="84"/>
        <v>0</v>
      </c>
      <c r="BL187" s="1002">
        <f t="shared" si="85"/>
        <v>0</v>
      </c>
    </row>
    <row r="188" spans="2:75" x14ac:dyDescent="0.3">
      <c r="B188" s="1280">
        <v>109</v>
      </c>
      <c r="C188" s="977" t="s">
        <v>874</v>
      </c>
      <c r="D188" s="977" t="s">
        <v>1829</v>
      </c>
      <c r="E188" s="977" t="s">
        <v>1551</v>
      </c>
      <c r="F188" s="978">
        <v>40971</v>
      </c>
      <c r="G188" s="977" t="s">
        <v>794</v>
      </c>
      <c r="H188" s="991" t="str">
        <f t="shared" si="78"/>
        <v>Häviö</v>
      </c>
      <c r="I188" s="991" t="s">
        <v>1515</v>
      </c>
      <c r="J188" s="991" t="s">
        <v>0</v>
      </c>
      <c r="K188" s="991" t="s">
        <v>2561</v>
      </c>
      <c r="L188" s="992">
        <f t="shared" si="79"/>
        <v>5</v>
      </c>
      <c r="M188" s="992">
        <f t="shared" si="80"/>
        <v>7</v>
      </c>
      <c r="N188" s="1262">
        <v>1</v>
      </c>
      <c r="O188" s="992">
        <v>2</v>
      </c>
      <c r="P188" s="1262">
        <v>1</v>
      </c>
      <c r="Q188" s="992">
        <v>1</v>
      </c>
      <c r="R188" s="1262">
        <v>3</v>
      </c>
      <c r="S188" s="992">
        <v>4</v>
      </c>
      <c r="T188" s="1262"/>
      <c r="U188" s="992"/>
      <c r="V188" s="985"/>
      <c r="W188" s="985"/>
      <c r="X188" s="985"/>
      <c r="Y188" s="985"/>
      <c r="Z188" s="985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8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H188" s="1002">
        <f t="shared" si="81"/>
        <v>1</v>
      </c>
      <c r="BI188" s="1002">
        <f t="shared" si="82"/>
        <v>1</v>
      </c>
      <c r="BJ188" s="1002">
        <f t="shared" si="83"/>
        <v>1</v>
      </c>
      <c r="BK188" s="1002">
        <f t="shared" si="84"/>
        <v>0</v>
      </c>
      <c r="BL188" s="1002">
        <f t="shared" si="85"/>
        <v>0</v>
      </c>
    </row>
    <row r="189" spans="2:75" x14ac:dyDescent="0.3">
      <c r="B189" s="1280">
        <v>110</v>
      </c>
      <c r="C189" s="977" t="s">
        <v>874</v>
      </c>
      <c r="D189" s="977" t="s">
        <v>1829</v>
      </c>
      <c r="E189" s="977" t="s">
        <v>1552</v>
      </c>
      <c r="F189" s="978">
        <v>40971</v>
      </c>
      <c r="G189" s="977" t="s">
        <v>794</v>
      </c>
      <c r="H189" s="991" t="str">
        <f t="shared" si="78"/>
        <v>Voitto</v>
      </c>
      <c r="I189" s="991" t="s">
        <v>1514</v>
      </c>
      <c r="J189" s="991" t="s">
        <v>0</v>
      </c>
      <c r="K189" s="991" t="s">
        <v>2560</v>
      </c>
      <c r="L189" s="992">
        <f t="shared" si="79"/>
        <v>6</v>
      </c>
      <c r="M189" s="992">
        <f t="shared" si="80"/>
        <v>2</v>
      </c>
      <c r="N189" s="1262">
        <v>0</v>
      </c>
      <c r="O189" s="992">
        <v>1</v>
      </c>
      <c r="P189" s="1262">
        <v>2</v>
      </c>
      <c r="Q189" s="992">
        <v>0</v>
      </c>
      <c r="R189" s="1262">
        <v>4</v>
      </c>
      <c r="S189" s="992">
        <v>1</v>
      </c>
      <c r="T189" s="1262"/>
      <c r="U189" s="992"/>
      <c r="V189" s="985"/>
      <c r="W189" s="985"/>
      <c r="X189" s="985"/>
      <c r="Y189" s="985"/>
      <c r="Z189" s="985"/>
      <c r="AA189" s="985"/>
      <c r="AB189" s="985"/>
      <c r="AC189" s="985"/>
      <c r="AD189" s="985"/>
      <c r="AE189" s="985"/>
      <c r="AF189" s="985"/>
      <c r="AG189" s="985"/>
      <c r="AH189" s="985"/>
      <c r="AI189" s="985"/>
      <c r="AJ189" s="985"/>
      <c r="AK189" s="985"/>
      <c r="AL189" s="985"/>
      <c r="AM189" s="985"/>
      <c r="AN189" s="8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H189" s="1002">
        <f t="shared" si="81"/>
        <v>1</v>
      </c>
      <c r="BI189" s="1002">
        <f t="shared" si="82"/>
        <v>1</v>
      </c>
      <c r="BJ189" s="1002">
        <f t="shared" si="83"/>
        <v>1</v>
      </c>
      <c r="BK189" s="1002">
        <f t="shared" si="84"/>
        <v>0</v>
      </c>
      <c r="BL189" s="1002">
        <f t="shared" si="85"/>
        <v>0</v>
      </c>
    </row>
    <row r="190" spans="2:75" x14ac:dyDescent="0.3">
      <c r="B190" s="1280">
        <v>111</v>
      </c>
      <c r="C190" s="977" t="s">
        <v>874</v>
      </c>
      <c r="D190" s="977" t="s">
        <v>1829</v>
      </c>
      <c r="E190" s="977" t="s">
        <v>1553</v>
      </c>
      <c r="F190" s="978">
        <v>40985</v>
      </c>
      <c r="G190" s="977" t="s">
        <v>242</v>
      </c>
      <c r="H190" s="991" t="str">
        <f t="shared" si="78"/>
        <v>Häviö</v>
      </c>
      <c r="I190" s="991" t="s">
        <v>1515</v>
      </c>
      <c r="J190" s="991" t="s">
        <v>0</v>
      </c>
      <c r="K190" s="991" t="s">
        <v>2562</v>
      </c>
      <c r="L190" s="992">
        <f t="shared" si="79"/>
        <v>1</v>
      </c>
      <c r="M190" s="992">
        <f t="shared" si="80"/>
        <v>3</v>
      </c>
      <c r="N190" s="1262">
        <v>0</v>
      </c>
      <c r="O190" s="992">
        <v>1</v>
      </c>
      <c r="P190" s="1262">
        <v>0</v>
      </c>
      <c r="Q190" s="992">
        <v>0</v>
      </c>
      <c r="R190" s="1262">
        <v>1</v>
      </c>
      <c r="S190" s="992">
        <v>2</v>
      </c>
      <c r="T190" s="1262"/>
      <c r="U190" s="992"/>
      <c r="V190" s="985"/>
      <c r="W190" s="985"/>
      <c r="X190" s="985"/>
      <c r="Y190" s="985"/>
      <c r="Z190" s="985"/>
      <c r="AA190" s="985"/>
      <c r="AB190" s="985"/>
      <c r="AC190" s="985"/>
      <c r="AD190" s="985"/>
      <c r="AE190" s="985"/>
      <c r="AF190" s="985"/>
      <c r="AG190" s="985"/>
      <c r="AH190" s="985"/>
      <c r="AI190" s="985"/>
      <c r="AJ190" s="985"/>
      <c r="AK190" s="985"/>
      <c r="AL190" s="985"/>
      <c r="AM190" s="985"/>
      <c r="AN190" s="8"/>
      <c r="AO190" s="983"/>
      <c r="AP190" s="983"/>
      <c r="AQ190" s="983"/>
      <c r="AR190" s="983"/>
      <c r="AS190" s="983"/>
      <c r="AT190" s="983"/>
      <c r="AU190" s="983"/>
      <c r="AV190" s="983"/>
      <c r="AW190" s="983"/>
      <c r="AX190" s="983"/>
      <c r="AY190" s="983"/>
      <c r="AZ190" s="983"/>
      <c r="BA190" s="983"/>
      <c r="BB190" s="983"/>
      <c r="BC190" s="983"/>
      <c r="BD190" s="983"/>
      <c r="BE190" s="983"/>
      <c r="BF190" s="983"/>
      <c r="BH190" s="1002">
        <f t="shared" si="81"/>
        <v>1</v>
      </c>
      <c r="BI190" s="1002">
        <f t="shared" si="82"/>
        <v>1</v>
      </c>
      <c r="BJ190" s="1002">
        <f t="shared" si="83"/>
        <v>1</v>
      </c>
      <c r="BK190" s="1002">
        <f t="shared" si="84"/>
        <v>0</v>
      </c>
      <c r="BL190" s="1002">
        <f t="shared" si="85"/>
        <v>0</v>
      </c>
    </row>
    <row r="192" spans="2:75" x14ac:dyDescent="0.3">
      <c r="F192" s="975"/>
      <c r="G192" s="975" t="s">
        <v>2036</v>
      </c>
      <c r="H192" s="975"/>
      <c r="I192" s="1003"/>
      <c r="J192" s="1003"/>
      <c r="K192" s="1003"/>
      <c r="L192" s="1003" t="s">
        <v>2037</v>
      </c>
      <c r="M192" s="1003" t="s">
        <v>2038</v>
      </c>
      <c r="O192" s="1003" t="s">
        <v>1409</v>
      </c>
      <c r="P192" s="1003" t="s">
        <v>1410</v>
      </c>
      <c r="Q192" s="1003" t="s">
        <v>1411</v>
      </c>
      <c r="V192" s="981" t="s">
        <v>1557</v>
      </c>
      <c r="W192" s="981" t="s">
        <v>1556</v>
      </c>
      <c r="X192" s="981" t="s">
        <v>501</v>
      </c>
      <c r="Y192" s="981" t="s">
        <v>708</v>
      </c>
      <c r="Z192" s="981" t="s">
        <v>82</v>
      </c>
      <c r="AA192" s="981" t="s">
        <v>709</v>
      </c>
      <c r="AB192" s="981" t="s">
        <v>1419</v>
      </c>
      <c r="AC192" s="981" t="s">
        <v>1420</v>
      </c>
      <c r="AD192" s="982" t="s">
        <v>1827</v>
      </c>
      <c r="AE192" s="981" t="s">
        <v>1828</v>
      </c>
      <c r="AF192" s="981" t="s">
        <v>1425</v>
      </c>
      <c r="AG192" s="981" t="s">
        <v>1535</v>
      </c>
      <c r="AH192" s="981" t="s">
        <v>1536</v>
      </c>
      <c r="AI192" s="981" t="s">
        <v>1559</v>
      </c>
      <c r="AJ192" s="981" t="s">
        <v>1896</v>
      </c>
      <c r="AK192" s="981" t="s">
        <v>1967</v>
      </c>
      <c r="AL192" s="981" t="s">
        <v>19</v>
      </c>
      <c r="AM192" s="981"/>
      <c r="AO192" s="979" t="s">
        <v>1557</v>
      </c>
      <c r="AP192" s="979" t="s">
        <v>1556</v>
      </c>
      <c r="AQ192" s="979" t="s">
        <v>501</v>
      </c>
      <c r="AR192" s="979" t="s">
        <v>708</v>
      </c>
      <c r="AS192" s="979" t="s">
        <v>82</v>
      </c>
      <c r="AT192" s="979" t="s">
        <v>709</v>
      </c>
      <c r="AU192" s="979" t="s">
        <v>1419</v>
      </c>
      <c r="AV192" s="979" t="s">
        <v>1420</v>
      </c>
      <c r="AW192" s="980" t="s">
        <v>1827</v>
      </c>
      <c r="AX192" s="979" t="s">
        <v>1828</v>
      </c>
      <c r="AY192" s="979" t="s">
        <v>1425</v>
      </c>
      <c r="AZ192" s="979" t="s">
        <v>1535</v>
      </c>
      <c r="BA192" s="979" t="s">
        <v>1536</v>
      </c>
      <c r="BB192" s="979" t="s">
        <v>1559</v>
      </c>
      <c r="BC192" s="979" t="s">
        <v>1896</v>
      </c>
      <c r="BD192" s="979" t="s">
        <v>1967</v>
      </c>
      <c r="BE192" s="979" t="s">
        <v>19</v>
      </c>
      <c r="BF192" s="979"/>
      <c r="BH192" s="1001" t="s">
        <v>2045</v>
      </c>
      <c r="BI192" s="1001"/>
      <c r="BJ192" s="1001" t="s">
        <v>1913</v>
      </c>
      <c r="BK192" s="1001" t="s">
        <v>537</v>
      </c>
      <c r="BL192" s="1001" t="s">
        <v>1128</v>
      </c>
    </row>
    <row r="193" spans="2:75" x14ac:dyDescent="0.3">
      <c r="F193" s="977" t="str">
        <f>C171</f>
        <v>2011-2012</v>
      </c>
      <c r="G193" s="977" t="s">
        <v>1829</v>
      </c>
      <c r="H193" s="977"/>
      <c r="I193" s="1004"/>
      <c r="J193" s="1004"/>
      <c r="K193" s="1004"/>
      <c r="L193" s="1004">
        <f>SUM(L173:L190)</f>
        <v>70</v>
      </c>
      <c r="M193" s="1004">
        <f>SUM(M173:M190)</f>
        <v>78</v>
      </c>
      <c r="N193" s="8"/>
      <c r="O193" s="1004">
        <f>COUNTIF(H173:H190,"Voitto")</f>
        <v>7</v>
      </c>
      <c r="P193" s="1004">
        <f>COUNTIF(H173:H190,"Tasapeli")</f>
        <v>3</v>
      </c>
      <c r="Q193" s="1004">
        <f>COUNTIF(H173:H190,"Häviö")</f>
        <v>8</v>
      </c>
      <c r="V193" s="8">
        <f>SUM(V173:V190)</f>
        <v>0</v>
      </c>
      <c r="W193" s="8">
        <f t="shared" ref="W193:AK193" si="86">SUM(W173:W190)</f>
        <v>0</v>
      </c>
      <c r="X193" s="8">
        <f t="shared" si="86"/>
        <v>0</v>
      </c>
      <c r="Y193" s="8">
        <f t="shared" si="86"/>
        <v>0</v>
      </c>
      <c r="Z193" s="8">
        <f t="shared" si="86"/>
        <v>0</v>
      </c>
      <c r="AA193" s="8">
        <f t="shared" si="86"/>
        <v>0</v>
      </c>
      <c r="AB193" s="8">
        <f t="shared" si="86"/>
        <v>0</v>
      </c>
      <c r="AC193" s="8">
        <f t="shared" si="86"/>
        <v>0</v>
      </c>
      <c r="AD193" s="8">
        <f t="shared" si="86"/>
        <v>0</v>
      </c>
      <c r="AE193" s="8">
        <f t="shared" si="86"/>
        <v>0</v>
      </c>
      <c r="AF193" s="8">
        <f t="shared" si="86"/>
        <v>0</v>
      </c>
      <c r="AG193" s="8">
        <f t="shared" si="86"/>
        <v>0</v>
      </c>
      <c r="AH193" s="8">
        <f t="shared" si="86"/>
        <v>0</v>
      </c>
      <c r="AI193" s="8">
        <f t="shared" si="86"/>
        <v>0</v>
      </c>
      <c r="AJ193" s="8">
        <f t="shared" si="86"/>
        <v>0</v>
      </c>
      <c r="AK193" s="8">
        <f t="shared" si="86"/>
        <v>0</v>
      </c>
      <c r="AL193" s="8">
        <f>MIN(AL173:AL190)</f>
        <v>0</v>
      </c>
      <c r="AM193" s="8">
        <f>MAX(AL173:AL190)</f>
        <v>0</v>
      </c>
      <c r="AO193" s="8">
        <f>SUM(AO173:AO190)</f>
        <v>0</v>
      </c>
      <c r="AP193" s="8">
        <f t="shared" ref="AP193:BD193" si="87">SUM(AP173:AP190)</f>
        <v>0</v>
      </c>
      <c r="AQ193" s="8">
        <f t="shared" si="87"/>
        <v>0</v>
      </c>
      <c r="AR193" s="8">
        <f t="shared" si="87"/>
        <v>0</v>
      </c>
      <c r="AS193" s="8">
        <f t="shared" si="87"/>
        <v>0</v>
      </c>
      <c r="AT193" s="8">
        <f t="shared" si="87"/>
        <v>0</v>
      </c>
      <c r="AU193" s="8">
        <f t="shared" si="87"/>
        <v>0</v>
      </c>
      <c r="AV193" s="8">
        <f t="shared" si="87"/>
        <v>0</v>
      </c>
      <c r="AW193" s="8">
        <f t="shared" si="87"/>
        <v>0</v>
      </c>
      <c r="AX193" s="8">
        <f t="shared" si="87"/>
        <v>0</v>
      </c>
      <c r="AY193" s="8">
        <f t="shared" si="87"/>
        <v>0</v>
      </c>
      <c r="AZ193" s="8">
        <f t="shared" si="87"/>
        <v>0</v>
      </c>
      <c r="BA193" s="8">
        <f t="shared" si="87"/>
        <v>0</v>
      </c>
      <c r="BB193" s="8">
        <f t="shared" si="87"/>
        <v>0</v>
      </c>
      <c r="BC193" s="8">
        <f t="shared" si="87"/>
        <v>0</v>
      </c>
      <c r="BD193" s="8">
        <f t="shared" si="87"/>
        <v>0</v>
      </c>
      <c r="BE193">
        <f>MIN(BE173:BE190)</f>
        <v>0</v>
      </c>
      <c r="BF193">
        <f>MAX(BE173:BE190)</f>
        <v>0</v>
      </c>
      <c r="BJ193" s="8">
        <f>SUM(BJ173:BJ190)</f>
        <v>18</v>
      </c>
      <c r="BK193" s="8">
        <f>SUM(BK173:BK190)</f>
        <v>0</v>
      </c>
      <c r="BL193" s="8">
        <f>SUM(BL173:BL190)</f>
        <v>0</v>
      </c>
    </row>
    <row r="198" spans="2:75" x14ac:dyDescent="0.3">
      <c r="C198" s="205" t="s">
        <v>977</v>
      </c>
      <c r="D198" s="205" t="s">
        <v>2624</v>
      </c>
      <c r="V198" s="205" t="s">
        <v>0</v>
      </c>
      <c r="AO198" s="265" t="s">
        <v>1895</v>
      </c>
      <c r="BP198" s="205" t="s">
        <v>977</v>
      </c>
      <c r="BQ198" s="205" t="s">
        <v>2623</v>
      </c>
    </row>
    <row r="199" spans="2:75" x14ac:dyDescent="0.3">
      <c r="B199" s="1003" t="s">
        <v>1393</v>
      </c>
      <c r="C199" s="975" t="s">
        <v>1831</v>
      </c>
      <c r="D199" s="975" t="s">
        <v>1830</v>
      </c>
      <c r="E199" s="975" t="s">
        <v>1832</v>
      </c>
      <c r="F199" s="975" t="s">
        <v>1836</v>
      </c>
      <c r="G199" s="975" t="s">
        <v>1835</v>
      </c>
      <c r="H199" s="989" t="s">
        <v>1407</v>
      </c>
      <c r="I199" s="990" t="s">
        <v>2019</v>
      </c>
      <c r="J199" s="990" t="s">
        <v>0</v>
      </c>
      <c r="K199" s="990" t="s">
        <v>1128</v>
      </c>
      <c r="L199" s="1324" t="s">
        <v>1407</v>
      </c>
      <c r="M199" s="1325"/>
      <c r="N199" s="1326" t="s">
        <v>1822</v>
      </c>
      <c r="O199" s="1325"/>
      <c r="P199" s="1326" t="s">
        <v>1823</v>
      </c>
      <c r="Q199" s="1325"/>
      <c r="R199" s="1326" t="s">
        <v>1824</v>
      </c>
      <c r="S199" s="1325"/>
      <c r="T199" s="1326" t="s">
        <v>2706</v>
      </c>
      <c r="U199" s="1324"/>
      <c r="V199" s="981" t="s">
        <v>1557</v>
      </c>
      <c r="W199" s="981" t="s">
        <v>1556</v>
      </c>
      <c r="X199" s="981" t="s">
        <v>501</v>
      </c>
      <c r="Y199" s="981" t="s">
        <v>708</v>
      </c>
      <c r="Z199" s="981" t="s">
        <v>82</v>
      </c>
      <c r="AA199" s="981" t="s">
        <v>709</v>
      </c>
      <c r="AB199" s="981" t="s">
        <v>1419</v>
      </c>
      <c r="AC199" s="981" t="s">
        <v>1420</v>
      </c>
      <c r="AD199" s="982" t="s">
        <v>1827</v>
      </c>
      <c r="AE199" s="981" t="s">
        <v>1828</v>
      </c>
      <c r="AF199" s="981" t="s">
        <v>1425</v>
      </c>
      <c r="AG199" s="981" t="s">
        <v>1535</v>
      </c>
      <c r="AH199" s="981" t="s">
        <v>1536</v>
      </c>
      <c r="AI199" s="981" t="s">
        <v>1559</v>
      </c>
      <c r="AJ199" s="981" t="s">
        <v>1896</v>
      </c>
      <c r="AK199" s="981" t="s">
        <v>1967</v>
      </c>
      <c r="AL199" s="981" t="s">
        <v>19</v>
      </c>
      <c r="AM199" s="981"/>
      <c r="AN199" s="265"/>
      <c r="AO199" s="979" t="s">
        <v>1557</v>
      </c>
      <c r="AP199" s="979" t="s">
        <v>1556</v>
      </c>
      <c r="AQ199" s="979" t="s">
        <v>501</v>
      </c>
      <c r="AR199" s="979" t="s">
        <v>708</v>
      </c>
      <c r="AS199" s="979" t="s">
        <v>82</v>
      </c>
      <c r="AT199" s="979" t="s">
        <v>709</v>
      </c>
      <c r="AU199" s="979" t="s">
        <v>1419</v>
      </c>
      <c r="AV199" s="979" t="s">
        <v>1420</v>
      </c>
      <c r="AW199" s="980" t="s">
        <v>1827</v>
      </c>
      <c r="AX199" s="979" t="s">
        <v>1828</v>
      </c>
      <c r="AY199" s="979" t="s">
        <v>1425</v>
      </c>
      <c r="AZ199" s="979" t="s">
        <v>1535</v>
      </c>
      <c r="BA199" s="979" t="s">
        <v>1536</v>
      </c>
      <c r="BB199" s="979" t="s">
        <v>1559</v>
      </c>
      <c r="BC199" s="979" t="s">
        <v>1896</v>
      </c>
      <c r="BD199" s="979" t="s">
        <v>1967</v>
      </c>
      <c r="BE199" s="979" t="s">
        <v>19</v>
      </c>
      <c r="BF199" s="979"/>
      <c r="BH199" s="1001" t="s">
        <v>1911</v>
      </c>
      <c r="BI199" s="1001" t="s">
        <v>1912</v>
      </c>
      <c r="BJ199" s="1001" t="s">
        <v>1913</v>
      </c>
      <c r="BK199" s="1001" t="s">
        <v>537</v>
      </c>
      <c r="BL199" s="1001" t="s">
        <v>1128</v>
      </c>
    </row>
    <row r="200" spans="2:75" x14ac:dyDescent="0.3">
      <c r="B200" s="1280">
        <v>112</v>
      </c>
      <c r="C200" s="977" t="s">
        <v>977</v>
      </c>
      <c r="D200" s="977" t="s">
        <v>232</v>
      </c>
      <c r="E200" s="977" t="s">
        <v>1516</v>
      </c>
      <c r="F200" s="978">
        <v>41182</v>
      </c>
      <c r="G200" s="977" t="s">
        <v>794</v>
      </c>
      <c r="H200" s="991" t="str">
        <f t="shared" ref="H200:H201" si="88">IF(L200=M200,"Tasapeli",IF(L200&lt;M200,"Häviö","Voitto"))</f>
        <v>Voitto</v>
      </c>
      <c r="I200" s="991" t="s">
        <v>1514</v>
      </c>
      <c r="J200" s="991" t="s">
        <v>0</v>
      </c>
      <c r="K200" s="991" t="s">
        <v>2563</v>
      </c>
      <c r="L200" s="992">
        <f t="shared" ref="L200:L204" si="89">N200+P200+R200</f>
        <v>6</v>
      </c>
      <c r="M200" s="992">
        <f t="shared" ref="M200:M204" si="90">O200+Q200+S200</f>
        <v>3</v>
      </c>
      <c r="N200" s="1262">
        <v>2</v>
      </c>
      <c r="O200" s="992">
        <v>0</v>
      </c>
      <c r="P200" s="1262">
        <v>1</v>
      </c>
      <c r="Q200" s="992">
        <v>0</v>
      </c>
      <c r="R200" s="1262">
        <v>3</v>
      </c>
      <c r="S200" s="992">
        <v>3</v>
      </c>
      <c r="T200" s="1262"/>
      <c r="U200" s="992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8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H200" s="1002">
        <f>IF(V200=0,1,0)</f>
        <v>1</v>
      </c>
      <c r="BI200" s="1002">
        <f>IF(AO200=0,1,0)</f>
        <v>1</v>
      </c>
      <c r="BJ200" s="1002">
        <f>IF(V200+AO200=0,1,0)</f>
        <v>1</v>
      </c>
      <c r="BK200" s="1002">
        <f>IF(BH200&gt;BI200,1,0)</f>
        <v>0</v>
      </c>
      <c r="BL200" s="1002">
        <f>IF(BI200&gt;BH200,1,0)</f>
        <v>0</v>
      </c>
      <c r="BO200" s="1282" t="s">
        <v>1393</v>
      </c>
      <c r="BP200" s="1281" t="s">
        <v>989</v>
      </c>
      <c r="BQ200" s="1282" t="s">
        <v>877</v>
      </c>
      <c r="BR200" s="1282" t="s">
        <v>990</v>
      </c>
      <c r="BS200" s="1282" t="s">
        <v>991</v>
      </c>
      <c r="BT200" s="1282" t="s">
        <v>992</v>
      </c>
      <c r="BU200" s="1282" t="s">
        <v>139</v>
      </c>
      <c r="BV200" s="1282" t="s">
        <v>993</v>
      </c>
      <c r="BW200" s="1282" t="s">
        <v>610</v>
      </c>
    </row>
    <row r="201" spans="2:75" x14ac:dyDescent="0.3">
      <c r="B201" s="1280">
        <v>113</v>
      </c>
      <c r="C201" s="977" t="s">
        <v>977</v>
      </c>
      <c r="D201" s="977" t="s">
        <v>232</v>
      </c>
      <c r="E201" s="977" t="s">
        <v>1537</v>
      </c>
      <c r="F201" s="978">
        <v>41182</v>
      </c>
      <c r="G201" s="977" t="s">
        <v>794</v>
      </c>
      <c r="H201" s="991" t="str">
        <f t="shared" si="88"/>
        <v>Voitto</v>
      </c>
      <c r="I201" s="991" t="s">
        <v>1515</v>
      </c>
      <c r="J201" s="991" t="s">
        <v>0</v>
      </c>
      <c r="K201" s="991" t="s">
        <v>2564</v>
      </c>
      <c r="L201" s="992">
        <f t="shared" si="89"/>
        <v>11</v>
      </c>
      <c r="M201" s="992">
        <f t="shared" si="90"/>
        <v>0</v>
      </c>
      <c r="N201" s="1262">
        <v>3</v>
      </c>
      <c r="O201" s="992">
        <v>0</v>
      </c>
      <c r="P201" s="1262">
        <v>6</v>
      </c>
      <c r="Q201" s="992">
        <v>0</v>
      </c>
      <c r="R201" s="1262">
        <v>2</v>
      </c>
      <c r="S201" s="992">
        <v>0</v>
      </c>
      <c r="T201" s="1262"/>
      <c r="U201" s="992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5"/>
      <c r="AF201" s="985"/>
      <c r="AG201" s="985"/>
      <c r="AH201" s="985"/>
      <c r="AI201" s="985"/>
      <c r="AJ201" s="985"/>
      <c r="AK201" s="985"/>
      <c r="AL201" s="985"/>
      <c r="AM201" s="985"/>
      <c r="AN201" s="8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8"/>
      <c r="BF201" s="988"/>
      <c r="BH201" s="1002">
        <f t="shared" ref="BH201:BH218" si="91">IF(V201=0,1,0)</f>
        <v>1</v>
      </c>
      <c r="BI201" s="1002">
        <f t="shared" ref="BI201:BI218" si="92">IF(AO201=0,1,0)</f>
        <v>1</v>
      </c>
      <c r="BJ201" s="1002">
        <f t="shared" ref="BJ201:BJ218" si="93">IF(V201+AO201=0,1,0)</f>
        <v>1</v>
      </c>
      <c r="BK201" s="1002">
        <f t="shared" ref="BK201:BK218" si="94">IF(BH201&gt;BI201,1,0)</f>
        <v>0</v>
      </c>
      <c r="BL201" s="1002">
        <f t="shared" ref="BL201:BL218" si="95">IF(BI201&gt;BH201,1,0)</f>
        <v>0</v>
      </c>
      <c r="BO201" s="119">
        <v>1</v>
      </c>
      <c r="BP201" s="128" t="s">
        <v>2565</v>
      </c>
      <c r="BQ201" s="119">
        <v>18</v>
      </c>
      <c r="BR201" s="119">
        <v>14</v>
      </c>
      <c r="BS201" s="119">
        <v>1</v>
      </c>
      <c r="BT201" s="119">
        <v>3</v>
      </c>
      <c r="BU201" s="119">
        <v>101</v>
      </c>
      <c r="BV201" s="119">
        <v>59</v>
      </c>
      <c r="BW201" s="119">
        <v>29</v>
      </c>
    </row>
    <row r="202" spans="2:75" x14ac:dyDescent="0.3">
      <c r="B202" s="1280">
        <v>114</v>
      </c>
      <c r="C202" s="977" t="s">
        <v>977</v>
      </c>
      <c r="D202" s="977" t="s">
        <v>232</v>
      </c>
      <c r="E202" s="977" t="s">
        <v>1538</v>
      </c>
      <c r="F202" s="978">
        <v>41202</v>
      </c>
      <c r="G202" s="977" t="s">
        <v>796</v>
      </c>
      <c r="H202" s="991" t="str">
        <f t="shared" ref="H202:H218" si="96">IF(L202=M202,"Tasapeli",IF(L202&lt;M202,"Häviö","Voitto"))</f>
        <v>Voitto</v>
      </c>
      <c r="I202" s="991" t="s">
        <v>1514</v>
      </c>
      <c r="J202" s="991" t="s">
        <v>0</v>
      </c>
      <c r="K202" s="991" t="s">
        <v>2565</v>
      </c>
      <c r="L202" s="992">
        <f t="shared" si="89"/>
        <v>3</v>
      </c>
      <c r="M202" s="992">
        <f t="shared" si="90"/>
        <v>1</v>
      </c>
      <c r="N202" s="1262">
        <v>0</v>
      </c>
      <c r="O202" s="992">
        <v>0</v>
      </c>
      <c r="P202" s="1262">
        <v>1</v>
      </c>
      <c r="Q202" s="992">
        <v>1</v>
      </c>
      <c r="R202" s="1262">
        <v>2</v>
      </c>
      <c r="S202" s="992">
        <v>0</v>
      </c>
      <c r="T202" s="1262"/>
      <c r="U202" s="992"/>
      <c r="V202" s="985"/>
      <c r="W202" s="985"/>
      <c r="X202" s="985"/>
      <c r="Y202" s="985"/>
      <c r="Z202" s="985"/>
      <c r="AA202" s="985"/>
      <c r="AB202" s="985"/>
      <c r="AC202" s="985"/>
      <c r="AD202" s="985"/>
      <c r="AE202" s="985"/>
      <c r="AF202" s="985"/>
      <c r="AG202" s="985"/>
      <c r="AH202" s="985"/>
      <c r="AI202" s="985"/>
      <c r="AJ202" s="985"/>
      <c r="AK202" s="985"/>
      <c r="AL202" s="986"/>
      <c r="AM202" s="986"/>
      <c r="AN202" s="8"/>
      <c r="AO202" s="983"/>
      <c r="AP202" s="983"/>
      <c r="AQ202" s="983"/>
      <c r="AR202" s="983"/>
      <c r="AS202" s="983"/>
      <c r="AT202" s="983"/>
      <c r="AU202" s="983"/>
      <c r="AV202" s="983"/>
      <c r="AW202" s="983"/>
      <c r="AX202" s="983"/>
      <c r="AY202" s="983"/>
      <c r="AZ202" s="983"/>
      <c r="BA202" s="983"/>
      <c r="BB202" s="983"/>
      <c r="BC202" s="983"/>
      <c r="BD202" s="983"/>
      <c r="BE202" s="988"/>
      <c r="BF202" s="988"/>
      <c r="BH202" s="1002">
        <f t="shared" si="91"/>
        <v>1</v>
      </c>
      <c r="BI202" s="1002">
        <f t="shared" si="92"/>
        <v>1</v>
      </c>
      <c r="BJ202" s="1002">
        <f t="shared" si="93"/>
        <v>1</v>
      </c>
      <c r="BK202" s="1002">
        <f t="shared" si="94"/>
        <v>0</v>
      </c>
      <c r="BL202" s="1002">
        <f t="shared" si="95"/>
        <v>0</v>
      </c>
      <c r="BO202" s="1284">
        <v>2</v>
      </c>
      <c r="BP202" s="1283" t="s">
        <v>0</v>
      </c>
      <c r="BQ202" s="1284">
        <v>18</v>
      </c>
      <c r="BR202" s="1284">
        <v>13</v>
      </c>
      <c r="BS202" s="1284">
        <v>1</v>
      </c>
      <c r="BT202" s="1284">
        <v>4</v>
      </c>
      <c r="BU202" s="1284">
        <v>101</v>
      </c>
      <c r="BV202" s="1284">
        <v>56</v>
      </c>
      <c r="BW202" s="1284">
        <v>27</v>
      </c>
    </row>
    <row r="203" spans="2:75" x14ac:dyDescent="0.3">
      <c r="B203" s="1280">
        <v>115</v>
      </c>
      <c r="C203" s="977" t="s">
        <v>977</v>
      </c>
      <c r="D203" s="977" t="s">
        <v>232</v>
      </c>
      <c r="E203" s="977" t="s">
        <v>1539</v>
      </c>
      <c r="F203" s="978">
        <v>41202</v>
      </c>
      <c r="G203" s="977" t="s">
        <v>796</v>
      </c>
      <c r="H203" s="991" t="str">
        <f t="shared" si="96"/>
        <v>Voitto</v>
      </c>
      <c r="I203" s="991" t="s">
        <v>1515</v>
      </c>
      <c r="J203" s="991" t="s">
        <v>0</v>
      </c>
      <c r="K203" s="991" t="s">
        <v>2566</v>
      </c>
      <c r="L203" s="992">
        <f t="shared" si="89"/>
        <v>3</v>
      </c>
      <c r="M203" s="992">
        <f t="shared" si="90"/>
        <v>2</v>
      </c>
      <c r="N203" s="1262">
        <v>2</v>
      </c>
      <c r="O203" s="992">
        <v>1</v>
      </c>
      <c r="P203" s="1262">
        <v>1</v>
      </c>
      <c r="Q203" s="992">
        <v>0</v>
      </c>
      <c r="R203" s="1262">
        <v>0</v>
      </c>
      <c r="S203" s="992">
        <v>1</v>
      </c>
      <c r="T203" s="1262"/>
      <c r="U203" s="992"/>
      <c r="V203" s="985"/>
      <c r="W203" s="985"/>
      <c r="X203" s="987"/>
      <c r="Y203" s="987"/>
      <c r="Z203" s="987"/>
      <c r="AA203" s="987"/>
      <c r="AB203" s="987"/>
      <c r="AC203" s="987"/>
      <c r="AD203" s="987"/>
      <c r="AE203" s="987"/>
      <c r="AF203" s="987"/>
      <c r="AG203" s="987"/>
      <c r="AH203" s="987"/>
      <c r="AI203" s="987"/>
      <c r="AJ203" s="987"/>
      <c r="AK203" s="985"/>
      <c r="AL203" s="985"/>
      <c r="AM203" s="985"/>
      <c r="AO203" s="983"/>
      <c r="AP203" s="983"/>
      <c r="AQ203" s="983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83"/>
      <c r="BE203" s="984"/>
      <c r="BF203" s="984"/>
      <c r="BH203" s="1002">
        <f t="shared" si="91"/>
        <v>1</v>
      </c>
      <c r="BI203" s="1002">
        <f t="shared" si="92"/>
        <v>1</v>
      </c>
      <c r="BJ203" s="1002">
        <f t="shared" si="93"/>
        <v>1</v>
      </c>
      <c r="BK203" s="1002">
        <f t="shared" si="94"/>
        <v>0</v>
      </c>
      <c r="BL203" s="1002">
        <f t="shared" si="95"/>
        <v>0</v>
      </c>
      <c r="BO203" s="119">
        <v>3</v>
      </c>
      <c r="BP203" s="128" t="s">
        <v>2567</v>
      </c>
      <c r="BQ203" s="119">
        <v>18</v>
      </c>
      <c r="BR203" s="119">
        <v>9</v>
      </c>
      <c r="BS203" s="119">
        <v>1</v>
      </c>
      <c r="BT203" s="119">
        <v>8</v>
      </c>
      <c r="BU203" s="119">
        <v>101</v>
      </c>
      <c r="BV203" s="119">
        <v>87</v>
      </c>
      <c r="BW203" s="119">
        <v>19</v>
      </c>
    </row>
    <row r="204" spans="2:75" x14ac:dyDescent="0.3">
      <c r="B204" s="1280">
        <v>116</v>
      </c>
      <c r="C204" s="977" t="s">
        <v>977</v>
      </c>
      <c r="D204" s="977" t="s">
        <v>232</v>
      </c>
      <c r="E204" s="977" t="s">
        <v>1540</v>
      </c>
      <c r="F204" s="978">
        <v>41216</v>
      </c>
      <c r="G204" s="977" t="s">
        <v>794</v>
      </c>
      <c r="H204" s="991" t="str">
        <f t="shared" si="96"/>
        <v>Voitto</v>
      </c>
      <c r="I204" s="991" t="s">
        <v>1514</v>
      </c>
      <c r="J204" s="991" t="s">
        <v>0</v>
      </c>
      <c r="K204" s="991" t="s">
        <v>2567</v>
      </c>
      <c r="L204" s="992">
        <f t="shared" si="89"/>
        <v>6</v>
      </c>
      <c r="M204" s="992">
        <f t="shared" si="90"/>
        <v>1</v>
      </c>
      <c r="N204" s="1262">
        <v>0</v>
      </c>
      <c r="O204" s="992">
        <v>0</v>
      </c>
      <c r="P204" s="1262">
        <v>1</v>
      </c>
      <c r="Q204" s="992">
        <v>0</v>
      </c>
      <c r="R204" s="1262">
        <v>5</v>
      </c>
      <c r="S204" s="992">
        <v>1</v>
      </c>
      <c r="T204" s="1262"/>
      <c r="U204" s="992"/>
      <c r="V204" s="985"/>
      <c r="W204" s="985"/>
      <c r="X204" s="987"/>
      <c r="Y204" s="987"/>
      <c r="Z204" s="987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5"/>
      <c r="AL204" s="985"/>
      <c r="AM204" s="985"/>
      <c r="AO204" s="983"/>
      <c r="AP204" s="983"/>
      <c r="AQ204" s="976"/>
      <c r="AR204" s="976"/>
      <c r="AS204" s="976"/>
      <c r="AT204" s="976"/>
      <c r="AU204" s="976"/>
      <c r="AV204" s="976"/>
      <c r="AW204" s="976"/>
      <c r="AX204" s="976"/>
      <c r="AY204" s="976"/>
      <c r="AZ204" s="976"/>
      <c r="BA204" s="976"/>
      <c r="BB204" s="976"/>
      <c r="BC204" s="976"/>
      <c r="BD204" s="983"/>
      <c r="BE204" s="983"/>
      <c r="BF204" s="983"/>
      <c r="BH204" s="1002">
        <f t="shared" si="91"/>
        <v>1</v>
      </c>
      <c r="BI204" s="1002">
        <f t="shared" si="92"/>
        <v>1</v>
      </c>
      <c r="BJ204" s="1002">
        <f t="shared" si="93"/>
        <v>1</v>
      </c>
      <c r="BK204" s="1002">
        <f t="shared" si="94"/>
        <v>0</v>
      </c>
      <c r="BL204" s="1002">
        <f t="shared" si="95"/>
        <v>0</v>
      </c>
      <c r="BO204" s="119">
        <v>4</v>
      </c>
      <c r="BP204" s="128" t="s">
        <v>2564</v>
      </c>
      <c r="BQ204" s="119">
        <v>18</v>
      </c>
      <c r="BR204" s="119">
        <v>8</v>
      </c>
      <c r="BS204" s="119">
        <v>3</v>
      </c>
      <c r="BT204" s="119">
        <v>7</v>
      </c>
      <c r="BU204" s="119">
        <v>78</v>
      </c>
      <c r="BV204" s="119">
        <v>81</v>
      </c>
      <c r="BW204" s="119">
        <v>19</v>
      </c>
    </row>
    <row r="205" spans="2:75" x14ac:dyDescent="0.3">
      <c r="B205" s="1280">
        <v>117</v>
      </c>
      <c r="C205" s="1291" t="s">
        <v>977</v>
      </c>
      <c r="D205" s="1291" t="s">
        <v>232</v>
      </c>
      <c r="E205" s="1291" t="s">
        <v>2703</v>
      </c>
      <c r="F205" s="1292">
        <v>41216</v>
      </c>
      <c r="G205" s="1291" t="s">
        <v>794</v>
      </c>
      <c r="H205" s="1293"/>
      <c r="I205" s="1293" t="s">
        <v>1515</v>
      </c>
      <c r="J205" s="1293" t="s">
        <v>0</v>
      </c>
      <c r="K205" s="1293" t="s">
        <v>2702</v>
      </c>
      <c r="L205" s="992"/>
      <c r="M205" s="992"/>
      <c r="N205" s="1262">
        <v>5</v>
      </c>
      <c r="O205" s="992">
        <v>0</v>
      </c>
      <c r="P205" s="1262"/>
      <c r="Q205" s="992"/>
      <c r="R205" s="1262"/>
      <c r="S205" s="992"/>
      <c r="T205" s="1262"/>
      <c r="U205" s="992"/>
      <c r="V205" s="985"/>
      <c r="W205" s="985"/>
      <c r="X205" s="987"/>
      <c r="Y205" s="987"/>
      <c r="Z205" s="987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5"/>
      <c r="AL205" s="985"/>
      <c r="AM205" s="985"/>
      <c r="AO205" s="983"/>
      <c r="AP205" s="983"/>
      <c r="AQ205" s="983"/>
      <c r="AR205" s="976"/>
      <c r="AS205" s="976"/>
      <c r="AT205" s="976"/>
      <c r="AU205" s="976"/>
      <c r="AV205" s="976"/>
      <c r="AW205" s="976"/>
      <c r="AX205" s="976"/>
      <c r="AY205" s="976"/>
      <c r="AZ205" s="976"/>
      <c r="BA205" s="976"/>
      <c r="BB205" s="976"/>
      <c r="BC205" s="976"/>
      <c r="BD205" s="983"/>
      <c r="BE205" s="983"/>
      <c r="BF205" s="983"/>
      <c r="BH205" s="1002">
        <f t="shared" si="91"/>
        <v>1</v>
      </c>
      <c r="BI205" s="1002">
        <f t="shared" si="92"/>
        <v>1</v>
      </c>
      <c r="BJ205" s="1002">
        <f t="shared" si="93"/>
        <v>1</v>
      </c>
      <c r="BK205" s="1002">
        <f t="shared" si="94"/>
        <v>0</v>
      </c>
      <c r="BL205" s="1002">
        <f t="shared" si="95"/>
        <v>0</v>
      </c>
      <c r="BO205" s="119">
        <v>5</v>
      </c>
      <c r="BP205" s="128" t="s">
        <v>2568</v>
      </c>
      <c r="BQ205" s="119">
        <v>18</v>
      </c>
      <c r="BR205" s="119">
        <v>8</v>
      </c>
      <c r="BS205" s="119">
        <v>2</v>
      </c>
      <c r="BT205" s="119">
        <v>8</v>
      </c>
      <c r="BU205" s="119">
        <v>74</v>
      </c>
      <c r="BV205" s="119">
        <v>71</v>
      </c>
      <c r="BW205" s="119">
        <v>18</v>
      </c>
    </row>
    <row r="206" spans="2:75" x14ac:dyDescent="0.3">
      <c r="B206" s="1280">
        <v>118</v>
      </c>
      <c r="C206" s="977" t="s">
        <v>977</v>
      </c>
      <c r="D206" s="977" t="s">
        <v>232</v>
      </c>
      <c r="E206" s="977" t="s">
        <v>1541</v>
      </c>
      <c r="F206" s="978">
        <v>41238</v>
      </c>
      <c r="G206" s="977" t="s">
        <v>796</v>
      </c>
      <c r="H206" s="991" t="str">
        <f t="shared" ref="H206:H217" si="97">IF(L206=M206,"Tasapeli",IF(L206&lt;M206,"Häviö","Voitto"))</f>
        <v>Voitto</v>
      </c>
      <c r="I206" s="991" t="s">
        <v>1514</v>
      </c>
      <c r="J206" s="991" t="s">
        <v>0</v>
      </c>
      <c r="K206" s="991" t="s">
        <v>2567</v>
      </c>
      <c r="L206" s="992">
        <f t="shared" ref="L206:L214" si="98">N206+P206+R206</f>
        <v>7</v>
      </c>
      <c r="M206" s="992">
        <f t="shared" ref="M206:M214" si="99">O206+Q206+S206</f>
        <v>4</v>
      </c>
      <c r="N206" s="1262">
        <v>1</v>
      </c>
      <c r="O206" s="992">
        <v>2</v>
      </c>
      <c r="P206" s="1262">
        <v>2</v>
      </c>
      <c r="Q206" s="992">
        <v>0</v>
      </c>
      <c r="R206" s="1262">
        <v>4</v>
      </c>
      <c r="S206" s="992">
        <v>2</v>
      </c>
      <c r="T206" s="1262"/>
      <c r="U206" s="992"/>
      <c r="V206" s="985"/>
      <c r="W206" s="985"/>
      <c r="X206" s="987"/>
      <c r="Y206" s="987"/>
      <c r="Z206" s="987"/>
      <c r="AA206" s="987"/>
      <c r="AB206" s="987"/>
      <c r="AC206" s="987"/>
      <c r="AD206" s="987"/>
      <c r="AE206" s="987"/>
      <c r="AF206" s="987"/>
      <c r="AG206" s="987"/>
      <c r="AH206" s="987"/>
      <c r="AI206" s="987"/>
      <c r="AJ206" s="987"/>
      <c r="AK206" s="985"/>
      <c r="AL206" s="985"/>
      <c r="AM206" s="985"/>
      <c r="AO206" s="983"/>
      <c r="AP206" s="983"/>
      <c r="AQ206" s="983"/>
      <c r="AR206" s="976"/>
      <c r="AS206" s="976"/>
      <c r="AT206" s="976"/>
      <c r="AU206" s="976"/>
      <c r="AV206" s="976"/>
      <c r="AW206" s="976"/>
      <c r="AX206" s="976"/>
      <c r="AY206" s="976"/>
      <c r="AZ206" s="976"/>
      <c r="BA206" s="976"/>
      <c r="BB206" s="976"/>
      <c r="BC206" s="976"/>
      <c r="BD206" s="983"/>
      <c r="BE206" s="983"/>
      <c r="BF206" s="983"/>
      <c r="BH206" s="1002">
        <f t="shared" ref="BH206:BH217" si="100">IF(V206=0,1,0)</f>
        <v>1</v>
      </c>
      <c r="BI206" s="1002">
        <f t="shared" ref="BI206:BI217" si="101">IF(AO206=0,1,0)</f>
        <v>1</v>
      </c>
      <c r="BJ206" s="1002">
        <f t="shared" ref="BJ206:BJ217" si="102">IF(V206+AO206=0,1,0)</f>
        <v>1</v>
      </c>
      <c r="BK206" s="1002">
        <f t="shared" ref="BK206:BK217" si="103">IF(BH206&gt;BI206,1,0)</f>
        <v>0</v>
      </c>
      <c r="BL206" s="1002">
        <f t="shared" ref="BL206:BL217" si="104">IF(BI206&gt;BH206,1,0)</f>
        <v>0</v>
      </c>
      <c r="BO206" s="119">
        <v>6</v>
      </c>
      <c r="BP206" s="128" t="s">
        <v>2566</v>
      </c>
      <c r="BQ206" s="119">
        <v>18</v>
      </c>
      <c r="BR206" s="119">
        <v>6</v>
      </c>
      <c r="BS206" s="119">
        <v>2</v>
      </c>
      <c r="BT206" s="119">
        <v>10</v>
      </c>
      <c r="BU206" s="119">
        <v>103</v>
      </c>
      <c r="BV206" s="119">
        <v>93</v>
      </c>
      <c r="BW206" s="119">
        <v>14</v>
      </c>
    </row>
    <row r="207" spans="2:75" x14ac:dyDescent="0.3">
      <c r="B207" s="1280">
        <v>119</v>
      </c>
      <c r="C207" s="977" t="s">
        <v>977</v>
      </c>
      <c r="D207" s="977" t="s">
        <v>232</v>
      </c>
      <c r="E207" s="977" t="s">
        <v>1542</v>
      </c>
      <c r="F207" s="978">
        <v>41238</v>
      </c>
      <c r="G207" s="977" t="s">
        <v>796</v>
      </c>
      <c r="H207" s="991" t="str">
        <f t="shared" si="97"/>
        <v>Häviö</v>
      </c>
      <c r="I207" s="991" t="s">
        <v>1515</v>
      </c>
      <c r="J207" s="991" t="s">
        <v>0</v>
      </c>
      <c r="K207" s="991" t="s">
        <v>2568</v>
      </c>
      <c r="L207" s="992">
        <f t="shared" si="98"/>
        <v>1</v>
      </c>
      <c r="M207" s="992">
        <f t="shared" si="99"/>
        <v>2</v>
      </c>
      <c r="N207" s="1262">
        <v>0</v>
      </c>
      <c r="O207" s="992">
        <v>1</v>
      </c>
      <c r="P207" s="1262">
        <v>1</v>
      </c>
      <c r="Q207" s="992">
        <v>1</v>
      </c>
      <c r="R207" s="1262">
        <v>0</v>
      </c>
      <c r="S207" s="992">
        <v>0</v>
      </c>
      <c r="T207" s="1262"/>
      <c r="U207" s="992"/>
      <c r="V207" s="985"/>
      <c r="W207" s="985"/>
      <c r="X207" s="985"/>
      <c r="Y207" s="987"/>
      <c r="Z207" s="987"/>
      <c r="AA207" s="987"/>
      <c r="AB207" s="985"/>
      <c r="AC207" s="987"/>
      <c r="AD207" s="987"/>
      <c r="AE207" s="987"/>
      <c r="AF207" s="987"/>
      <c r="AG207" s="987"/>
      <c r="AH207" s="987"/>
      <c r="AI207" s="987"/>
      <c r="AJ207" s="987"/>
      <c r="AK207" s="985"/>
      <c r="AL207" s="986"/>
      <c r="AM207" s="986"/>
      <c r="AO207" s="983"/>
      <c r="AP207" s="983"/>
      <c r="AQ207" s="983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83"/>
      <c r="BE207" s="983"/>
      <c r="BF207" s="983"/>
      <c r="BH207" s="1002">
        <f t="shared" si="100"/>
        <v>1</v>
      </c>
      <c r="BI207" s="1002">
        <f t="shared" si="101"/>
        <v>1</v>
      </c>
      <c r="BJ207" s="1002">
        <f t="shared" si="102"/>
        <v>1</v>
      </c>
      <c r="BK207" s="1002">
        <f t="shared" si="103"/>
        <v>0</v>
      </c>
      <c r="BL207" s="1002">
        <f t="shared" si="104"/>
        <v>0</v>
      </c>
      <c r="BO207" s="119">
        <v>7</v>
      </c>
      <c r="BP207" s="128" t="s">
        <v>2563</v>
      </c>
      <c r="BQ207" s="119">
        <v>18</v>
      </c>
      <c r="BR207" s="119">
        <v>0</v>
      </c>
      <c r="BS207" s="119">
        <v>0</v>
      </c>
      <c r="BT207" s="119">
        <v>18</v>
      </c>
      <c r="BU207" s="119">
        <v>42</v>
      </c>
      <c r="BV207" s="119">
        <v>153</v>
      </c>
      <c r="BW207" s="119">
        <v>0</v>
      </c>
    </row>
    <row r="208" spans="2:75" x14ac:dyDescent="0.3">
      <c r="B208" s="1280">
        <v>120</v>
      </c>
      <c r="C208" s="977" t="s">
        <v>977</v>
      </c>
      <c r="D208" s="977" t="s">
        <v>232</v>
      </c>
      <c r="E208" s="977" t="s">
        <v>1543</v>
      </c>
      <c r="F208" s="978">
        <v>41251</v>
      </c>
      <c r="G208" s="977" t="s">
        <v>796</v>
      </c>
      <c r="H208" s="991" t="str">
        <f t="shared" si="97"/>
        <v>Voitto</v>
      </c>
      <c r="I208" s="991" t="s">
        <v>1515</v>
      </c>
      <c r="J208" s="991" t="s">
        <v>0</v>
      </c>
      <c r="K208" s="991" t="s">
        <v>2566</v>
      </c>
      <c r="L208" s="992">
        <f t="shared" si="98"/>
        <v>8</v>
      </c>
      <c r="M208" s="992">
        <f t="shared" si="99"/>
        <v>5</v>
      </c>
      <c r="N208" s="1262">
        <v>1</v>
      </c>
      <c r="O208" s="992">
        <v>1</v>
      </c>
      <c r="P208" s="1262">
        <v>4</v>
      </c>
      <c r="Q208" s="992">
        <v>1</v>
      </c>
      <c r="R208" s="1262">
        <v>3</v>
      </c>
      <c r="S208" s="992">
        <v>3</v>
      </c>
      <c r="T208" s="1262"/>
      <c r="U208" s="992"/>
      <c r="V208" s="985"/>
      <c r="W208" s="985"/>
      <c r="X208" s="985"/>
      <c r="Y208" s="985"/>
      <c r="Z208" s="985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8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H208" s="1002">
        <f t="shared" si="100"/>
        <v>1</v>
      </c>
      <c r="BI208" s="1002">
        <f t="shared" si="101"/>
        <v>1</v>
      </c>
      <c r="BJ208" s="1002">
        <f t="shared" si="102"/>
        <v>1</v>
      </c>
      <c r="BK208" s="1002">
        <f t="shared" si="103"/>
        <v>0</v>
      </c>
      <c r="BL208" s="1002">
        <f t="shared" si="104"/>
        <v>0</v>
      </c>
      <c r="BO208" s="307"/>
      <c r="BP208" s="292"/>
      <c r="BQ208" s="307"/>
      <c r="BR208" s="307"/>
      <c r="BS208" s="307"/>
      <c r="BT208" s="307"/>
      <c r="BU208" s="307"/>
      <c r="BV208" s="307"/>
      <c r="BW208" s="307"/>
    </row>
    <row r="209" spans="2:75" x14ac:dyDescent="0.3">
      <c r="B209" s="1280">
        <v>121</v>
      </c>
      <c r="C209" s="977" t="s">
        <v>977</v>
      </c>
      <c r="D209" s="977" t="s">
        <v>232</v>
      </c>
      <c r="E209" s="977" t="s">
        <v>1544</v>
      </c>
      <c r="F209" s="978">
        <v>41251</v>
      </c>
      <c r="G209" s="977" t="s">
        <v>796</v>
      </c>
      <c r="H209" s="991" t="str">
        <f t="shared" si="97"/>
        <v>Voitto</v>
      </c>
      <c r="I209" s="991" t="s">
        <v>1514</v>
      </c>
      <c r="J209" s="991" t="s">
        <v>0</v>
      </c>
      <c r="K209" s="991" t="s">
        <v>2563</v>
      </c>
      <c r="L209" s="992">
        <f t="shared" si="98"/>
        <v>10</v>
      </c>
      <c r="M209" s="992">
        <f t="shared" si="99"/>
        <v>5</v>
      </c>
      <c r="N209" s="1262">
        <v>5</v>
      </c>
      <c r="O209" s="992">
        <v>0</v>
      </c>
      <c r="P209" s="1262">
        <v>2</v>
      </c>
      <c r="Q209" s="992">
        <v>1</v>
      </c>
      <c r="R209" s="1262">
        <v>3</v>
      </c>
      <c r="S209" s="992">
        <v>4</v>
      </c>
      <c r="T209" s="1262"/>
      <c r="U209" s="992"/>
      <c r="V209" s="985"/>
      <c r="W209" s="985"/>
      <c r="X209" s="985"/>
      <c r="Y209" s="985"/>
      <c r="Z209" s="985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8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H209" s="1002">
        <f t="shared" si="100"/>
        <v>1</v>
      </c>
      <c r="BI209" s="1002">
        <f t="shared" si="101"/>
        <v>1</v>
      </c>
      <c r="BJ209" s="1002">
        <f t="shared" si="102"/>
        <v>1</v>
      </c>
      <c r="BK209" s="1002">
        <f t="shared" si="103"/>
        <v>0</v>
      </c>
      <c r="BL209" s="1002">
        <f t="shared" si="104"/>
        <v>0</v>
      </c>
      <c r="BO209" s="8"/>
      <c r="BQ209" s="8"/>
      <c r="BR209" s="8"/>
      <c r="BS209" s="8"/>
      <c r="BT209" s="8"/>
      <c r="BU209" s="8"/>
      <c r="BV209" s="8"/>
      <c r="BW209" s="8"/>
    </row>
    <row r="210" spans="2:75" x14ac:dyDescent="0.3">
      <c r="B210" s="1280">
        <v>122</v>
      </c>
      <c r="C210" s="977" t="s">
        <v>977</v>
      </c>
      <c r="D210" s="977" t="s">
        <v>232</v>
      </c>
      <c r="E210" s="977" t="s">
        <v>1545</v>
      </c>
      <c r="F210" s="978">
        <v>41279</v>
      </c>
      <c r="G210" s="977" t="s">
        <v>796</v>
      </c>
      <c r="H210" s="991" t="str">
        <f t="shared" si="97"/>
        <v>Häviö</v>
      </c>
      <c r="I210" s="991" t="s">
        <v>1514</v>
      </c>
      <c r="J210" s="991" t="s">
        <v>0</v>
      </c>
      <c r="K210" s="991" t="s">
        <v>2568</v>
      </c>
      <c r="L210" s="992">
        <f t="shared" si="98"/>
        <v>4</v>
      </c>
      <c r="M210" s="992">
        <f t="shared" si="99"/>
        <v>5</v>
      </c>
      <c r="N210" s="1262">
        <v>0</v>
      </c>
      <c r="O210" s="992">
        <v>0</v>
      </c>
      <c r="P210" s="1262">
        <v>3</v>
      </c>
      <c r="Q210" s="992">
        <v>1</v>
      </c>
      <c r="R210" s="1262">
        <v>1</v>
      </c>
      <c r="S210" s="992">
        <v>4</v>
      </c>
      <c r="T210" s="1262"/>
      <c r="U210" s="992"/>
      <c r="V210" s="985"/>
      <c r="W210" s="985"/>
      <c r="X210" s="985"/>
      <c r="Y210" s="985"/>
      <c r="Z210" s="985"/>
      <c r="AA210" s="985"/>
      <c r="AB210" s="985"/>
      <c r="AC210" s="985"/>
      <c r="AD210" s="985"/>
      <c r="AE210" s="985"/>
      <c r="AF210" s="985"/>
      <c r="AG210" s="985"/>
      <c r="AH210" s="985"/>
      <c r="AI210" s="985"/>
      <c r="AJ210" s="985"/>
      <c r="AK210" s="985"/>
      <c r="AL210" s="985"/>
      <c r="AM210" s="985"/>
      <c r="AN210" s="8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H210" s="1002">
        <f t="shared" si="100"/>
        <v>1</v>
      </c>
      <c r="BI210" s="1002">
        <f t="shared" si="101"/>
        <v>1</v>
      </c>
      <c r="BJ210" s="1002">
        <f t="shared" si="102"/>
        <v>1</v>
      </c>
      <c r="BK210" s="1002">
        <f t="shared" si="103"/>
        <v>0</v>
      </c>
      <c r="BL210" s="1002">
        <f t="shared" si="104"/>
        <v>0</v>
      </c>
      <c r="BO210" s="8"/>
      <c r="BQ210" s="8"/>
      <c r="BR210" s="8"/>
      <c r="BS210" s="8"/>
      <c r="BT210" s="8"/>
      <c r="BU210" s="8"/>
      <c r="BV210" s="8"/>
      <c r="BW210" s="8"/>
    </row>
    <row r="211" spans="2:75" x14ac:dyDescent="0.3">
      <c r="B211" s="1280">
        <v>123</v>
      </c>
      <c r="C211" s="977" t="s">
        <v>977</v>
      </c>
      <c r="D211" s="977" t="s">
        <v>232</v>
      </c>
      <c r="E211" s="977" t="s">
        <v>1546</v>
      </c>
      <c r="F211" s="978">
        <v>41293</v>
      </c>
      <c r="G211" s="977" t="s">
        <v>794</v>
      </c>
      <c r="H211" s="991" t="str">
        <f t="shared" si="97"/>
        <v>Voitto</v>
      </c>
      <c r="I211" s="991" t="s">
        <v>1515</v>
      </c>
      <c r="J211" s="991" t="s">
        <v>0</v>
      </c>
      <c r="K211" s="991" t="s">
        <v>2564</v>
      </c>
      <c r="L211" s="992">
        <f t="shared" si="98"/>
        <v>5</v>
      </c>
      <c r="M211" s="992">
        <f t="shared" si="99"/>
        <v>3</v>
      </c>
      <c r="N211" s="1262">
        <v>2</v>
      </c>
      <c r="O211" s="992">
        <v>1</v>
      </c>
      <c r="P211" s="1262">
        <v>1</v>
      </c>
      <c r="Q211" s="992">
        <v>1</v>
      </c>
      <c r="R211" s="1262">
        <v>2</v>
      </c>
      <c r="S211" s="992">
        <v>1</v>
      </c>
      <c r="T211" s="1262"/>
      <c r="U211" s="992"/>
      <c r="V211" s="985"/>
      <c r="W211" s="985"/>
      <c r="X211" s="985"/>
      <c r="Y211" s="985"/>
      <c r="Z211" s="985"/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8"/>
      <c r="AO211" s="983"/>
      <c r="AP211" s="983"/>
      <c r="AQ211" s="983"/>
      <c r="AR211" s="983"/>
      <c r="AS211" s="983"/>
      <c r="AT211" s="983"/>
      <c r="AU211" s="983"/>
      <c r="AV211" s="983"/>
      <c r="AW211" s="983"/>
      <c r="AX211" s="983"/>
      <c r="AY211" s="983"/>
      <c r="AZ211" s="983"/>
      <c r="BA211" s="983"/>
      <c r="BB211" s="983"/>
      <c r="BC211" s="983"/>
      <c r="BD211" s="983"/>
      <c r="BE211" s="983"/>
      <c r="BF211" s="983"/>
      <c r="BH211" s="1002">
        <f t="shared" si="100"/>
        <v>1</v>
      </c>
      <c r="BI211" s="1002">
        <f t="shared" si="101"/>
        <v>1</v>
      </c>
      <c r="BJ211" s="1002">
        <f t="shared" si="102"/>
        <v>1</v>
      </c>
      <c r="BK211" s="1002">
        <f t="shared" si="103"/>
        <v>0</v>
      </c>
      <c r="BL211" s="1002">
        <f t="shared" si="104"/>
        <v>0</v>
      </c>
    </row>
    <row r="212" spans="2:75" x14ac:dyDescent="0.3">
      <c r="B212" s="1280">
        <v>124</v>
      </c>
      <c r="C212" s="977" t="s">
        <v>977</v>
      </c>
      <c r="D212" s="977" t="s">
        <v>232</v>
      </c>
      <c r="E212" s="977" t="s">
        <v>1547</v>
      </c>
      <c r="F212" s="978">
        <v>41293</v>
      </c>
      <c r="G212" s="977" t="s">
        <v>794</v>
      </c>
      <c r="H212" s="991" t="str">
        <f t="shared" si="97"/>
        <v>Voitto</v>
      </c>
      <c r="I212" s="991" t="s">
        <v>1514</v>
      </c>
      <c r="J212" s="991" t="s">
        <v>0</v>
      </c>
      <c r="K212" s="991" t="s">
        <v>2565</v>
      </c>
      <c r="L212" s="992">
        <f t="shared" si="98"/>
        <v>6</v>
      </c>
      <c r="M212" s="992">
        <f t="shared" si="99"/>
        <v>4</v>
      </c>
      <c r="N212" s="1262">
        <v>1</v>
      </c>
      <c r="O212" s="992">
        <v>2</v>
      </c>
      <c r="P212" s="1262">
        <v>2</v>
      </c>
      <c r="Q212" s="992">
        <v>1</v>
      </c>
      <c r="R212" s="1262">
        <v>3</v>
      </c>
      <c r="S212" s="992">
        <v>1</v>
      </c>
      <c r="T212" s="1262"/>
      <c r="U212" s="992"/>
      <c r="V212" s="985"/>
      <c r="W212" s="985"/>
      <c r="X212" s="985"/>
      <c r="Y212" s="985"/>
      <c r="Z212" s="985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8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H212" s="1002">
        <f t="shared" si="100"/>
        <v>1</v>
      </c>
      <c r="BI212" s="1002">
        <f t="shared" si="101"/>
        <v>1</v>
      </c>
      <c r="BJ212" s="1002">
        <f t="shared" si="102"/>
        <v>1</v>
      </c>
      <c r="BK212" s="1002">
        <f t="shared" si="103"/>
        <v>0</v>
      </c>
      <c r="BL212" s="1002">
        <f t="shared" si="104"/>
        <v>0</v>
      </c>
    </row>
    <row r="213" spans="2:75" x14ac:dyDescent="0.3">
      <c r="B213" s="1280">
        <v>125</v>
      </c>
      <c r="C213" s="977" t="s">
        <v>977</v>
      </c>
      <c r="D213" s="977" t="s">
        <v>232</v>
      </c>
      <c r="E213" s="977" t="s">
        <v>1548</v>
      </c>
      <c r="F213" s="978">
        <v>41307</v>
      </c>
      <c r="G213" s="977" t="s">
        <v>796</v>
      </c>
      <c r="H213" s="991" t="str">
        <f t="shared" si="97"/>
        <v>Voitto</v>
      </c>
      <c r="I213" s="991" t="s">
        <v>1514</v>
      </c>
      <c r="J213" s="991" t="s">
        <v>0</v>
      </c>
      <c r="K213" s="991" t="s">
        <v>2568</v>
      </c>
      <c r="L213" s="992">
        <f t="shared" si="98"/>
        <v>4</v>
      </c>
      <c r="M213" s="992">
        <f t="shared" si="99"/>
        <v>3</v>
      </c>
      <c r="N213" s="1262">
        <v>0</v>
      </c>
      <c r="O213" s="992">
        <v>1</v>
      </c>
      <c r="P213" s="1262">
        <v>1</v>
      </c>
      <c r="Q213" s="992">
        <v>0</v>
      </c>
      <c r="R213" s="1262">
        <v>3</v>
      </c>
      <c r="S213" s="992">
        <v>2</v>
      </c>
      <c r="T213" s="1262"/>
      <c r="U213" s="992"/>
      <c r="V213" s="985"/>
      <c r="W213" s="985"/>
      <c r="X213" s="985"/>
      <c r="Y213" s="985"/>
      <c r="Z213" s="985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8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H213" s="1002">
        <f t="shared" si="100"/>
        <v>1</v>
      </c>
      <c r="BI213" s="1002">
        <f t="shared" si="101"/>
        <v>1</v>
      </c>
      <c r="BJ213" s="1002">
        <f t="shared" si="102"/>
        <v>1</v>
      </c>
      <c r="BK213" s="1002">
        <f t="shared" si="103"/>
        <v>0</v>
      </c>
      <c r="BL213" s="1002">
        <f t="shared" si="104"/>
        <v>0</v>
      </c>
    </row>
    <row r="214" spans="2:75" x14ac:dyDescent="0.3">
      <c r="B214" s="1280">
        <v>126</v>
      </c>
      <c r="C214" s="977" t="s">
        <v>977</v>
      </c>
      <c r="D214" s="977" t="s">
        <v>232</v>
      </c>
      <c r="E214" s="977" t="s">
        <v>1549</v>
      </c>
      <c r="F214" s="978">
        <v>41307</v>
      </c>
      <c r="G214" s="977" t="s">
        <v>796</v>
      </c>
      <c r="H214" s="991" t="str">
        <f t="shared" si="97"/>
        <v>Häviö</v>
      </c>
      <c r="I214" s="991" t="s">
        <v>1515</v>
      </c>
      <c r="J214" s="991" t="s">
        <v>0</v>
      </c>
      <c r="K214" s="991" t="s">
        <v>2567</v>
      </c>
      <c r="L214" s="992">
        <f t="shared" si="98"/>
        <v>3</v>
      </c>
      <c r="M214" s="992">
        <f t="shared" si="99"/>
        <v>7</v>
      </c>
      <c r="N214" s="1262">
        <v>1</v>
      </c>
      <c r="O214" s="992">
        <v>1</v>
      </c>
      <c r="P214" s="1262">
        <v>2</v>
      </c>
      <c r="Q214" s="992">
        <v>1</v>
      </c>
      <c r="R214" s="1262">
        <v>0</v>
      </c>
      <c r="S214" s="992">
        <v>5</v>
      </c>
      <c r="T214" s="1262"/>
      <c r="U214" s="992"/>
      <c r="V214" s="985"/>
      <c r="W214" s="985"/>
      <c r="X214" s="985"/>
      <c r="Y214" s="985"/>
      <c r="Z214" s="985"/>
      <c r="AA214" s="985"/>
      <c r="AB214" s="985"/>
      <c r="AC214" s="985"/>
      <c r="AD214" s="985"/>
      <c r="AE214" s="985"/>
      <c r="AF214" s="985"/>
      <c r="AG214" s="985"/>
      <c r="AH214" s="985"/>
      <c r="AI214" s="985"/>
      <c r="AJ214" s="985"/>
      <c r="AK214" s="985"/>
      <c r="AL214" s="985"/>
      <c r="AM214" s="985"/>
      <c r="AN214" s="8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H214" s="1002">
        <f t="shared" si="100"/>
        <v>1</v>
      </c>
      <c r="BI214" s="1002">
        <f t="shared" si="101"/>
        <v>1</v>
      </c>
      <c r="BJ214" s="1002">
        <f t="shared" si="102"/>
        <v>1</v>
      </c>
      <c r="BK214" s="1002">
        <f t="shared" si="103"/>
        <v>0</v>
      </c>
      <c r="BL214" s="1002">
        <f t="shared" si="104"/>
        <v>0</v>
      </c>
    </row>
    <row r="215" spans="2:75" x14ac:dyDescent="0.3">
      <c r="B215" s="1280">
        <v>127</v>
      </c>
      <c r="C215" s="977" t="s">
        <v>977</v>
      </c>
      <c r="D215" s="977" t="s">
        <v>232</v>
      </c>
      <c r="E215" s="977" t="s">
        <v>1550</v>
      </c>
      <c r="F215" s="978">
        <v>41322</v>
      </c>
      <c r="G215" s="977" t="s">
        <v>796</v>
      </c>
      <c r="H215" s="991" t="str">
        <f t="shared" si="97"/>
        <v>Voitto</v>
      </c>
      <c r="I215" s="991" t="s">
        <v>1515</v>
      </c>
      <c r="J215" s="991" t="s">
        <v>0</v>
      </c>
      <c r="K215" s="991" t="s">
        <v>2563</v>
      </c>
      <c r="L215" s="992">
        <f>N215+P215+R215</f>
        <v>14</v>
      </c>
      <c r="M215" s="992">
        <f>O215+Q215+S215</f>
        <v>2</v>
      </c>
      <c r="N215" s="1262">
        <v>6</v>
      </c>
      <c r="O215" s="992">
        <v>1</v>
      </c>
      <c r="P215" s="1262">
        <v>4</v>
      </c>
      <c r="Q215" s="992">
        <v>1</v>
      </c>
      <c r="R215" s="1262">
        <v>4</v>
      </c>
      <c r="S215" s="992">
        <v>0</v>
      </c>
      <c r="T215" s="1262"/>
      <c r="U215" s="992"/>
      <c r="V215" s="985"/>
      <c r="W215" s="985"/>
      <c r="X215" s="985"/>
      <c r="Y215" s="985"/>
      <c r="Z215" s="985"/>
      <c r="AA215" s="985"/>
      <c r="AB215" s="985"/>
      <c r="AC215" s="985"/>
      <c r="AD215" s="985"/>
      <c r="AE215" s="985"/>
      <c r="AF215" s="985"/>
      <c r="AG215" s="985"/>
      <c r="AH215" s="985"/>
      <c r="AI215" s="985"/>
      <c r="AJ215" s="985"/>
      <c r="AK215" s="985"/>
      <c r="AL215" s="985"/>
      <c r="AM215" s="985"/>
      <c r="AN215" s="8"/>
      <c r="AO215" s="983"/>
      <c r="AP215" s="983"/>
      <c r="AQ215" s="983"/>
      <c r="AR215" s="983"/>
      <c r="AS215" s="983"/>
      <c r="AT215" s="983"/>
      <c r="AU215" s="983"/>
      <c r="AV215" s="983"/>
      <c r="AW215" s="983"/>
      <c r="AX215" s="983"/>
      <c r="AY215" s="983"/>
      <c r="AZ215" s="983"/>
      <c r="BA215" s="983"/>
      <c r="BB215" s="983"/>
      <c r="BC215" s="983"/>
      <c r="BD215" s="983"/>
      <c r="BE215" s="983"/>
      <c r="BF215" s="983"/>
      <c r="BH215" s="1002">
        <f t="shared" si="100"/>
        <v>1</v>
      </c>
      <c r="BI215" s="1002">
        <f t="shared" si="101"/>
        <v>1</v>
      </c>
      <c r="BJ215" s="1002">
        <f t="shared" si="102"/>
        <v>1</v>
      </c>
      <c r="BK215" s="1002">
        <f t="shared" si="103"/>
        <v>0</v>
      </c>
      <c r="BL215" s="1002">
        <f t="shared" si="104"/>
        <v>0</v>
      </c>
    </row>
    <row r="216" spans="2:75" x14ac:dyDescent="0.3">
      <c r="B216" s="1280">
        <v>128</v>
      </c>
      <c r="C216" s="977" t="s">
        <v>977</v>
      </c>
      <c r="D216" s="977" t="s">
        <v>232</v>
      </c>
      <c r="E216" s="977" t="s">
        <v>1551</v>
      </c>
      <c r="F216" s="978">
        <v>41322</v>
      </c>
      <c r="G216" s="977" t="s">
        <v>796</v>
      </c>
      <c r="H216" s="991" t="str">
        <f t="shared" si="97"/>
        <v>Voitto</v>
      </c>
      <c r="I216" s="991" t="s">
        <v>1514</v>
      </c>
      <c r="J216" s="991" t="s">
        <v>0</v>
      </c>
      <c r="K216" s="991" t="s">
        <v>2566</v>
      </c>
      <c r="L216" s="992">
        <f t="shared" ref="L216:L217" si="105">N216+P216+R216</f>
        <v>7</v>
      </c>
      <c r="M216" s="992">
        <f t="shared" ref="M216:M217" si="106">O216+Q216+S216</f>
        <v>4</v>
      </c>
      <c r="N216" s="1262">
        <v>2</v>
      </c>
      <c r="O216" s="992">
        <v>1</v>
      </c>
      <c r="P216" s="1262">
        <v>2</v>
      </c>
      <c r="Q216" s="992">
        <v>0</v>
      </c>
      <c r="R216" s="1262">
        <v>3</v>
      </c>
      <c r="S216" s="992">
        <v>3</v>
      </c>
      <c r="T216" s="1262"/>
      <c r="U216" s="992"/>
      <c r="V216" s="985"/>
      <c r="W216" s="985"/>
      <c r="X216" s="985"/>
      <c r="Y216" s="985"/>
      <c r="Z216" s="985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8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H216" s="1002">
        <f t="shared" si="100"/>
        <v>1</v>
      </c>
      <c r="BI216" s="1002">
        <f t="shared" si="101"/>
        <v>1</v>
      </c>
      <c r="BJ216" s="1002">
        <f t="shared" si="102"/>
        <v>1</v>
      </c>
      <c r="BK216" s="1002">
        <f t="shared" si="103"/>
        <v>0</v>
      </c>
      <c r="BL216" s="1002">
        <f t="shared" si="104"/>
        <v>0</v>
      </c>
    </row>
    <row r="217" spans="2:75" x14ac:dyDescent="0.3">
      <c r="B217" s="1280">
        <v>129</v>
      </c>
      <c r="C217" s="977" t="s">
        <v>977</v>
      </c>
      <c r="D217" s="977" t="s">
        <v>232</v>
      </c>
      <c r="E217" s="977" t="s">
        <v>1552</v>
      </c>
      <c r="F217" s="978">
        <v>41356</v>
      </c>
      <c r="G217" s="977" t="s">
        <v>794</v>
      </c>
      <c r="H217" s="991" t="str">
        <f t="shared" si="97"/>
        <v>Häviö</v>
      </c>
      <c r="I217" s="991" t="s">
        <v>1514</v>
      </c>
      <c r="J217" s="991" t="s">
        <v>0</v>
      </c>
      <c r="K217" s="991" t="s">
        <v>2564</v>
      </c>
      <c r="L217" s="992">
        <f t="shared" si="105"/>
        <v>1</v>
      </c>
      <c r="M217" s="992">
        <f t="shared" si="106"/>
        <v>3</v>
      </c>
      <c r="N217" s="1262">
        <v>1</v>
      </c>
      <c r="O217" s="992">
        <v>0</v>
      </c>
      <c r="P217" s="1262">
        <v>0</v>
      </c>
      <c r="Q217" s="992">
        <v>0</v>
      </c>
      <c r="R217" s="1262">
        <v>0</v>
      </c>
      <c r="S217" s="992">
        <v>3</v>
      </c>
      <c r="T217" s="1262"/>
      <c r="U217" s="992"/>
      <c r="V217" s="985"/>
      <c r="W217" s="985"/>
      <c r="X217" s="985"/>
      <c r="Y217" s="985"/>
      <c r="Z217" s="985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8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H217" s="1002">
        <f t="shared" si="100"/>
        <v>1</v>
      </c>
      <c r="BI217" s="1002">
        <f t="shared" si="101"/>
        <v>1</v>
      </c>
      <c r="BJ217" s="1002">
        <f t="shared" si="102"/>
        <v>1</v>
      </c>
      <c r="BK217" s="1002">
        <f t="shared" si="103"/>
        <v>0</v>
      </c>
      <c r="BL217" s="1002">
        <f t="shared" si="104"/>
        <v>0</v>
      </c>
    </row>
    <row r="218" spans="2:75" x14ac:dyDescent="0.3">
      <c r="B218" s="1280">
        <v>130</v>
      </c>
      <c r="C218" s="977" t="s">
        <v>977</v>
      </c>
      <c r="D218" s="977" t="s">
        <v>232</v>
      </c>
      <c r="E218" s="977" t="s">
        <v>1553</v>
      </c>
      <c r="F218" s="978">
        <v>41356</v>
      </c>
      <c r="G218" s="977" t="s">
        <v>794</v>
      </c>
      <c r="H218" s="991" t="str">
        <f t="shared" si="96"/>
        <v>Tasapeli</v>
      </c>
      <c r="I218" s="991" t="s">
        <v>1515</v>
      </c>
      <c r="J218" s="991" t="s">
        <v>0</v>
      </c>
      <c r="K218" s="991" t="s">
        <v>2565</v>
      </c>
      <c r="L218" s="992">
        <f t="shared" ref="L218" si="107">N218+P218+R218</f>
        <v>2</v>
      </c>
      <c r="M218" s="992">
        <f t="shared" ref="M218" si="108">O218+Q218+S218</f>
        <v>2</v>
      </c>
      <c r="N218" s="1262">
        <v>0</v>
      </c>
      <c r="O218" s="992">
        <v>0</v>
      </c>
      <c r="P218" s="1262">
        <v>2</v>
      </c>
      <c r="Q218" s="992">
        <v>0</v>
      </c>
      <c r="R218" s="1262">
        <v>0</v>
      </c>
      <c r="S218" s="992">
        <v>2</v>
      </c>
      <c r="T218" s="1262"/>
      <c r="U218" s="992"/>
      <c r="V218" s="985"/>
      <c r="W218" s="985"/>
      <c r="X218" s="985"/>
      <c r="Y218" s="985"/>
      <c r="Z218" s="985"/>
      <c r="AA218" s="985"/>
      <c r="AB218" s="985"/>
      <c r="AC218" s="985"/>
      <c r="AD218" s="985"/>
      <c r="AE218" s="985"/>
      <c r="AF218" s="985"/>
      <c r="AG218" s="985"/>
      <c r="AH218" s="985"/>
      <c r="AI218" s="985"/>
      <c r="AJ218" s="985"/>
      <c r="AK218" s="985"/>
      <c r="AL218" s="985"/>
      <c r="AM218" s="985"/>
      <c r="AN218" s="8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H218" s="1002">
        <f t="shared" si="91"/>
        <v>1</v>
      </c>
      <c r="BI218" s="1002">
        <f t="shared" si="92"/>
        <v>1</v>
      </c>
      <c r="BJ218" s="1002">
        <f t="shared" si="93"/>
        <v>1</v>
      </c>
      <c r="BK218" s="1002">
        <f t="shared" si="94"/>
        <v>0</v>
      </c>
      <c r="BL218" s="1002">
        <f t="shared" si="95"/>
        <v>0</v>
      </c>
    </row>
    <row r="220" spans="2:75" x14ac:dyDescent="0.3">
      <c r="F220" s="975"/>
      <c r="G220" s="975" t="s">
        <v>2036</v>
      </c>
      <c r="H220" s="975"/>
      <c r="I220" s="1003"/>
      <c r="J220" s="1003"/>
      <c r="K220" s="1003"/>
      <c r="L220" s="1003" t="s">
        <v>2037</v>
      </c>
      <c r="M220" s="1003" t="s">
        <v>2038</v>
      </c>
      <c r="O220" s="1003" t="s">
        <v>1409</v>
      </c>
      <c r="P220" s="1003" t="s">
        <v>1410</v>
      </c>
      <c r="Q220" s="1003" t="s">
        <v>1411</v>
      </c>
      <c r="V220" s="981" t="s">
        <v>1557</v>
      </c>
      <c r="W220" s="981" t="s">
        <v>1556</v>
      </c>
      <c r="X220" s="981" t="s">
        <v>501</v>
      </c>
      <c r="Y220" s="981" t="s">
        <v>708</v>
      </c>
      <c r="Z220" s="981" t="s">
        <v>82</v>
      </c>
      <c r="AA220" s="981" t="s">
        <v>709</v>
      </c>
      <c r="AB220" s="981" t="s">
        <v>1419</v>
      </c>
      <c r="AC220" s="981" t="s">
        <v>1420</v>
      </c>
      <c r="AD220" s="982" t="s">
        <v>1827</v>
      </c>
      <c r="AE220" s="981" t="s">
        <v>1828</v>
      </c>
      <c r="AF220" s="981" t="s">
        <v>1425</v>
      </c>
      <c r="AG220" s="981" t="s">
        <v>1535</v>
      </c>
      <c r="AH220" s="981" t="s">
        <v>1536</v>
      </c>
      <c r="AI220" s="981" t="s">
        <v>1559</v>
      </c>
      <c r="AJ220" s="981" t="s">
        <v>1896</v>
      </c>
      <c r="AK220" s="981" t="s">
        <v>1967</v>
      </c>
      <c r="AL220" s="981" t="s">
        <v>19</v>
      </c>
      <c r="AM220" s="981"/>
      <c r="AO220" s="979" t="s">
        <v>1557</v>
      </c>
      <c r="AP220" s="979" t="s">
        <v>1556</v>
      </c>
      <c r="AQ220" s="979" t="s">
        <v>501</v>
      </c>
      <c r="AR220" s="979" t="s">
        <v>708</v>
      </c>
      <c r="AS220" s="979" t="s">
        <v>82</v>
      </c>
      <c r="AT220" s="979" t="s">
        <v>709</v>
      </c>
      <c r="AU220" s="979" t="s">
        <v>1419</v>
      </c>
      <c r="AV220" s="979" t="s">
        <v>1420</v>
      </c>
      <c r="AW220" s="980" t="s">
        <v>1827</v>
      </c>
      <c r="AX220" s="979" t="s">
        <v>1828</v>
      </c>
      <c r="AY220" s="979" t="s">
        <v>1425</v>
      </c>
      <c r="AZ220" s="979" t="s">
        <v>1535</v>
      </c>
      <c r="BA220" s="979" t="s">
        <v>1536</v>
      </c>
      <c r="BB220" s="979" t="s">
        <v>1559</v>
      </c>
      <c r="BC220" s="979" t="s">
        <v>1896</v>
      </c>
      <c r="BD220" s="979" t="s">
        <v>1967</v>
      </c>
      <c r="BE220" s="979" t="s">
        <v>19</v>
      </c>
      <c r="BF220" s="979"/>
      <c r="BH220" s="1001" t="s">
        <v>2045</v>
      </c>
      <c r="BI220" s="1001"/>
      <c r="BJ220" s="1001" t="s">
        <v>1913</v>
      </c>
      <c r="BK220" s="1001" t="s">
        <v>537</v>
      </c>
      <c r="BL220" s="1001" t="s">
        <v>1128</v>
      </c>
    </row>
    <row r="221" spans="2:75" x14ac:dyDescent="0.3">
      <c r="F221" s="977"/>
      <c r="G221" s="977" t="s">
        <v>232</v>
      </c>
      <c r="H221" s="977"/>
      <c r="I221" s="1004"/>
      <c r="J221" s="1004"/>
      <c r="K221" s="1004"/>
      <c r="L221" s="1004">
        <f>SUM(L200:L218)</f>
        <v>101</v>
      </c>
      <c r="M221" s="1004">
        <f>SUM(M200:M218)</f>
        <v>56</v>
      </c>
      <c r="N221" s="8"/>
      <c r="O221" s="1004">
        <f>COUNTIF(H200:H218,"Voitto")</f>
        <v>13</v>
      </c>
      <c r="P221" s="1004">
        <f>COUNTIF(H200:H218,"Tasapeli")</f>
        <v>1</v>
      </c>
      <c r="Q221" s="1004">
        <f>COUNTIF(H200:H218,"Häviö")</f>
        <v>4</v>
      </c>
      <c r="V221" s="8">
        <f>SUM(V200:V218)</f>
        <v>0</v>
      </c>
      <c r="W221" s="8">
        <f t="shared" ref="W221:AK221" si="109">SUM(W200:W218)</f>
        <v>0</v>
      </c>
      <c r="X221" s="8">
        <f t="shared" si="109"/>
        <v>0</v>
      </c>
      <c r="Y221" s="8">
        <f t="shared" si="109"/>
        <v>0</v>
      </c>
      <c r="Z221" s="8">
        <f t="shared" si="109"/>
        <v>0</v>
      </c>
      <c r="AA221" s="8">
        <f t="shared" si="109"/>
        <v>0</v>
      </c>
      <c r="AB221" s="8">
        <f t="shared" si="109"/>
        <v>0</v>
      </c>
      <c r="AC221" s="8">
        <f t="shared" si="109"/>
        <v>0</v>
      </c>
      <c r="AD221" s="8">
        <f t="shared" si="109"/>
        <v>0</v>
      </c>
      <c r="AE221" s="8">
        <f t="shared" si="109"/>
        <v>0</v>
      </c>
      <c r="AF221" s="8">
        <f t="shared" si="109"/>
        <v>0</v>
      </c>
      <c r="AG221" s="8">
        <f t="shared" si="109"/>
        <v>0</v>
      </c>
      <c r="AH221" s="8">
        <f t="shared" si="109"/>
        <v>0</v>
      </c>
      <c r="AI221" s="8">
        <f t="shared" si="109"/>
        <v>0</v>
      </c>
      <c r="AJ221" s="8">
        <f t="shared" si="109"/>
        <v>0</v>
      </c>
      <c r="AK221" s="8">
        <f t="shared" si="109"/>
        <v>0</v>
      </c>
      <c r="AL221" s="8">
        <f>MIN(AL200:AL218)</f>
        <v>0</v>
      </c>
      <c r="AM221" s="8">
        <f>MAX(AL200:AL218)</f>
        <v>0</v>
      </c>
      <c r="AO221" s="8">
        <f>SUM(AO200:AO218)</f>
        <v>0</v>
      </c>
      <c r="AP221" s="8">
        <f t="shared" ref="AP221:BD221" si="110">SUM(AP200:AP218)</f>
        <v>0</v>
      </c>
      <c r="AQ221" s="8">
        <f t="shared" si="110"/>
        <v>0</v>
      </c>
      <c r="AR221" s="8">
        <f t="shared" si="110"/>
        <v>0</v>
      </c>
      <c r="AS221" s="8">
        <f t="shared" si="110"/>
        <v>0</v>
      </c>
      <c r="AT221" s="8">
        <f t="shared" si="110"/>
        <v>0</v>
      </c>
      <c r="AU221" s="8">
        <f t="shared" si="110"/>
        <v>0</v>
      </c>
      <c r="AV221" s="8">
        <f t="shared" si="110"/>
        <v>0</v>
      </c>
      <c r="AW221" s="8">
        <f t="shared" si="110"/>
        <v>0</v>
      </c>
      <c r="AX221" s="8">
        <f t="shared" si="110"/>
        <v>0</v>
      </c>
      <c r="AY221" s="8">
        <f t="shared" si="110"/>
        <v>0</v>
      </c>
      <c r="AZ221" s="8">
        <f t="shared" si="110"/>
        <v>0</v>
      </c>
      <c r="BA221" s="8">
        <f t="shared" si="110"/>
        <v>0</v>
      </c>
      <c r="BB221" s="8">
        <f t="shared" si="110"/>
        <v>0</v>
      </c>
      <c r="BC221" s="8">
        <f t="shared" si="110"/>
        <v>0</v>
      </c>
      <c r="BD221" s="8">
        <f t="shared" si="110"/>
        <v>0</v>
      </c>
      <c r="BE221">
        <f>MIN(BE200:BE218)</f>
        <v>0</v>
      </c>
      <c r="BF221">
        <f>MAX(BE200:BE218)</f>
        <v>0</v>
      </c>
      <c r="BJ221" s="8">
        <f>SUM(BJ200:BJ218)</f>
        <v>19</v>
      </c>
      <c r="BK221" s="8">
        <f>SUM(BK200:BK218)</f>
        <v>0</v>
      </c>
      <c r="BL221" s="8">
        <f>SUM(BL200:BL218)</f>
        <v>0</v>
      </c>
    </row>
    <row r="222" spans="2:75" x14ac:dyDescent="0.3">
      <c r="F222" s="977"/>
      <c r="G222" s="977" t="s">
        <v>2708</v>
      </c>
      <c r="H222" s="977"/>
      <c r="I222" s="1004"/>
      <c r="J222" s="1004"/>
      <c r="K222" s="1004"/>
      <c r="L222" s="1004">
        <v>5</v>
      </c>
      <c r="M222" s="1004">
        <v>0</v>
      </c>
      <c r="N222" s="8"/>
      <c r="O222" s="1004">
        <v>1</v>
      </c>
      <c r="P222" s="1004">
        <v>0</v>
      </c>
      <c r="Q222" s="1004">
        <v>0</v>
      </c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J222" s="8"/>
      <c r="BK222" s="8"/>
      <c r="BL222" s="8"/>
    </row>
    <row r="223" spans="2:75" x14ac:dyDescent="0.3">
      <c r="F223" s="977" t="s">
        <v>977</v>
      </c>
      <c r="G223" s="977" t="s">
        <v>232</v>
      </c>
      <c r="H223" s="977"/>
      <c r="I223" s="1004"/>
      <c r="J223" s="1004"/>
      <c r="K223" s="1004"/>
      <c r="L223" s="1004">
        <f>SUM(L221:L222)</f>
        <v>106</v>
      </c>
      <c r="M223" s="1004">
        <f>SUM(M221:M222)</f>
        <v>56</v>
      </c>
      <c r="N223" s="8"/>
      <c r="O223" s="1004">
        <f>SUM(O221:O222)</f>
        <v>14</v>
      </c>
      <c r="P223" s="1004">
        <f>SUM(P221:P222)</f>
        <v>1</v>
      </c>
      <c r="Q223" s="1004">
        <f>SUM(Q221:Q222)</f>
        <v>4</v>
      </c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J223" s="8"/>
      <c r="BK223" s="8"/>
      <c r="BL223" s="8"/>
    </row>
    <row r="228" spans="1:75" x14ac:dyDescent="0.3">
      <c r="C228" s="205" t="s">
        <v>1102</v>
      </c>
      <c r="D228" s="205" t="s">
        <v>2625</v>
      </c>
      <c r="V228" s="205" t="s">
        <v>0</v>
      </c>
      <c r="AO228" s="265" t="s">
        <v>1895</v>
      </c>
      <c r="BP228" s="205" t="s">
        <v>1102</v>
      </c>
      <c r="BQ228" s="205" t="s">
        <v>2621</v>
      </c>
    </row>
    <row r="229" spans="1:75" x14ac:dyDescent="0.3">
      <c r="B229" s="1003" t="s">
        <v>1393</v>
      </c>
      <c r="C229" s="975" t="s">
        <v>1831</v>
      </c>
      <c r="D229" s="975" t="s">
        <v>1830</v>
      </c>
      <c r="E229" s="975" t="s">
        <v>1832</v>
      </c>
      <c r="F229" s="975" t="s">
        <v>1836</v>
      </c>
      <c r="G229" s="975" t="s">
        <v>1835</v>
      </c>
      <c r="H229" s="989" t="s">
        <v>1407</v>
      </c>
      <c r="I229" s="990" t="s">
        <v>2019</v>
      </c>
      <c r="J229" s="990" t="s">
        <v>0</v>
      </c>
      <c r="K229" s="990" t="s">
        <v>1128</v>
      </c>
      <c r="L229" s="1324" t="s">
        <v>1407</v>
      </c>
      <c r="M229" s="1325"/>
      <c r="N229" s="1326" t="s">
        <v>1822</v>
      </c>
      <c r="O229" s="1325"/>
      <c r="P229" s="1326" t="s">
        <v>1823</v>
      </c>
      <c r="Q229" s="1325"/>
      <c r="R229" s="1326" t="s">
        <v>1824</v>
      </c>
      <c r="S229" s="1325"/>
      <c r="T229" s="1326" t="s">
        <v>2706</v>
      </c>
      <c r="U229" s="1324"/>
      <c r="V229" s="981" t="s">
        <v>1557</v>
      </c>
      <c r="W229" s="981" t="s">
        <v>1556</v>
      </c>
      <c r="X229" s="981" t="s">
        <v>501</v>
      </c>
      <c r="Y229" s="981" t="s">
        <v>708</v>
      </c>
      <c r="Z229" s="981" t="s">
        <v>82</v>
      </c>
      <c r="AA229" s="981" t="s">
        <v>709</v>
      </c>
      <c r="AB229" s="981" t="s">
        <v>1419</v>
      </c>
      <c r="AC229" s="981" t="s">
        <v>1420</v>
      </c>
      <c r="AD229" s="982" t="s">
        <v>1827</v>
      </c>
      <c r="AE229" s="981" t="s">
        <v>1828</v>
      </c>
      <c r="AF229" s="981" t="s">
        <v>1425</v>
      </c>
      <c r="AG229" s="981" t="s">
        <v>1535</v>
      </c>
      <c r="AH229" s="981" t="s">
        <v>1536</v>
      </c>
      <c r="AI229" s="981" t="s">
        <v>1559</v>
      </c>
      <c r="AJ229" s="981" t="s">
        <v>1896</v>
      </c>
      <c r="AK229" s="981" t="s">
        <v>1967</v>
      </c>
      <c r="AL229" s="981" t="s">
        <v>19</v>
      </c>
      <c r="AM229" s="981"/>
      <c r="AN229" s="265"/>
      <c r="AO229" s="979" t="s">
        <v>1557</v>
      </c>
      <c r="AP229" s="979" t="s">
        <v>1556</v>
      </c>
      <c r="AQ229" s="979" t="s">
        <v>501</v>
      </c>
      <c r="AR229" s="979" t="s">
        <v>708</v>
      </c>
      <c r="AS229" s="979" t="s">
        <v>82</v>
      </c>
      <c r="AT229" s="979" t="s">
        <v>709</v>
      </c>
      <c r="AU229" s="979" t="s">
        <v>1419</v>
      </c>
      <c r="AV229" s="979" t="s">
        <v>1420</v>
      </c>
      <c r="AW229" s="980" t="s">
        <v>1827</v>
      </c>
      <c r="AX229" s="979" t="s">
        <v>1828</v>
      </c>
      <c r="AY229" s="979" t="s">
        <v>1425</v>
      </c>
      <c r="AZ229" s="979" t="s">
        <v>1535</v>
      </c>
      <c r="BA229" s="979" t="s">
        <v>1536</v>
      </c>
      <c r="BB229" s="979" t="s">
        <v>1559</v>
      </c>
      <c r="BC229" s="979" t="s">
        <v>1896</v>
      </c>
      <c r="BD229" s="979" t="s">
        <v>1967</v>
      </c>
      <c r="BE229" s="979" t="s">
        <v>19</v>
      </c>
      <c r="BF229" s="979"/>
      <c r="BH229" s="1001" t="s">
        <v>1911</v>
      </c>
      <c r="BI229" s="1001" t="s">
        <v>1912</v>
      </c>
      <c r="BJ229" s="1001" t="s">
        <v>1913</v>
      </c>
      <c r="BK229" s="1001" t="s">
        <v>537</v>
      </c>
      <c r="BL229" s="1001" t="s">
        <v>1128</v>
      </c>
    </row>
    <row r="230" spans="1:75" x14ac:dyDescent="0.3">
      <c r="B230" s="1280">
        <v>131</v>
      </c>
      <c r="C230" s="977" t="s">
        <v>1102</v>
      </c>
      <c r="D230" s="977" t="s">
        <v>1829</v>
      </c>
      <c r="E230" s="977" t="s">
        <v>1516</v>
      </c>
      <c r="F230" s="978">
        <v>41546</v>
      </c>
      <c r="G230" s="977" t="s">
        <v>796</v>
      </c>
      <c r="H230" s="991" t="str">
        <f t="shared" ref="H230:H247" si="111">IF(L230=M230,"Tasapeli",IF(L230&lt;M230,"Häviö","Voitto"))</f>
        <v>Häviö</v>
      </c>
      <c r="I230" s="991" t="s">
        <v>1514</v>
      </c>
      <c r="J230" s="991" t="s">
        <v>0</v>
      </c>
      <c r="K230" s="991" t="s">
        <v>1000</v>
      </c>
      <c r="L230" s="992">
        <f t="shared" ref="L230:L243" si="112">N230+P230+R230</f>
        <v>0</v>
      </c>
      <c r="M230" s="992">
        <f t="shared" ref="M230:M243" si="113">O230+Q230+S230</f>
        <v>7</v>
      </c>
      <c r="N230" s="1262">
        <v>0</v>
      </c>
      <c r="O230" s="992">
        <v>2</v>
      </c>
      <c r="P230" s="1262">
        <v>0</v>
      </c>
      <c r="Q230" s="992">
        <v>1</v>
      </c>
      <c r="R230" s="1262">
        <v>0</v>
      </c>
      <c r="S230" s="992">
        <v>4</v>
      </c>
      <c r="T230" s="1262"/>
      <c r="U230" s="992"/>
      <c r="V230" s="985"/>
      <c r="W230" s="985"/>
      <c r="X230" s="985"/>
      <c r="Y230" s="985"/>
      <c r="Z230" s="985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8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H230" s="1002">
        <f>IF(V230=0,1,0)</f>
        <v>1</v>
      </c>
      <c r="BI230" s="1002">
        <f>IF(AO230=0,1,0)</f>
        <v>1</v>
      </c>
      <c r="BJ230" s="1002">
        <f>IF(V230+AO230=0,1,0)</f>
        <v>1</v>
      </c>
      <c r="BK230" s="1002">
        <f>IF(BH230&gt;BI230,1,0)</f>
        <v>0</v>
      </c>
      <c r="BL230" s="1002">
        <f>IF(BI230&gt;BH230,1,0)</f>
        <v>0</v>
      </c>
      <c r="BO230" s="1282" t="s">
        <v>1393</v>
      </c>
      <c r="BP230" s="1281" t="s">
        <v>989</v>
      </c>
      <c r="BQ230" s="1282" t="s">
        <v>877</v>
      </c>
      <c r="BR230" s="1282" t="s">
        <v>990</v>
      </c>
      <c r="BS230" s="1282" t="s">
        <v>991</v>
      </c>
      <c r="BT230" s="1282" t="s">
        <v>992</v>
      </c>
      <c r="BU230" s="1282" t="s">
        <v>139</v>
      </c>
      <c r="BV230" s="1282" t="s">
        <v>993</v>
      </c>
      <c r="BW230" s="1282" t="s">
        <v>610</v>
      </c>
    </row>
    <row r="231" spans="1:75" x14ac:dyDescent="0.3">
      <c r="B231" s="1280">
        <v>132</v>
      </c>
      <c r="C231" s="977" t="s">
        <v>1102</v>
      </c>
      <c r="D231" s="977" t="s">
        <v>1829</v>
      </c>
      <c r="E231" s="977" t="s">
        <v>1537</v>
      </c>
      <c r="F231" s="978">
        <v>41566</v>
      </c>
      <c r="G231" s="977" t="s">
        <v>150</v>
      </c>
      <c r="H231" s="991" t="str">
        <f t="shared" si="111"/>
        <v>Häviö</v>
      </c>
      <c r="I231" s="991" t="s">
        <v>1515</v>
      </c>
      <c r="J231" s="991" t="s">
        <v>0</v>
      </c>
      <c r="K231" s="991" t="s">
        <v>996</v>
      </c>
      <c r="L231" s="992">
        <f t="shared" si="112"/>
        <v>1</v>
      </c>
      <c r="M231" s="992">
        <f t="shared" si="113"/>
        <v>6</v>
      </c>
      <c r="N231" s="1262">
        <v>0</v>
      </c>
      <c r="O231" s="992">
        <v>1</v>
      </c>
      <c r="P231" s="1262">
        <v>0</v>
      </c>
      <c r="Q231" s="992">
        <v>2</v>
      </c>
      <c r="R231" s="1262">
        <v>1</v>
      </c>
      <c r="S231" s="992">
        <v>3</v>
      </c>
      <c r="T231" s="1262"/>
      <c r="U231" s="992"/>
      <c r="V231" s="985"/>
      <c r="W231" s="985"/>
      <c r="X231" s="985"/>
      <c r="Y231" s="985"/>
      <c r="Z231" s="985"/>
      <c r="AA231" s="985"/>
      <c r="AB231" s="985"/>
      <c r="AC231" s="985"/>
      <c r="AD231" s="985"/>
      <c r="AE231" s="985"/>
      <c r="AF231" s="985"/>
      <c r="AG231" s="985"/>
      <c r="AH231" s="985"/>
      <c r="AI231" s="985"/>
      <c r="AJ231" s="985"/>
      <c r="AK231" s="985"/>
      <c r="AL231" s="985"/>
      <c r="AM231" s="985"/>
      <c r="AN231" s="8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8"/>
      <c r="BF231" s="988"/>
      <c r="BH231" s="1002">
        <f t="shared" ref="BH231:BH247" si="114">IF(V231=0,1,0)</f>
        <v>1</v>
      </c>
      <c r="BI231" s="1002">
        <f t="shared" ref="BI231:BI247" si="115">IF(AO231=0,1,0)</f>
        <v>1</v>
      </c>
      <c r="BJ231" s="1002">
        <f t="shared" ref="BJ231:BJ247" si="116">IF(V231+AO231=0,1,0)</f>
        <v>1</v>
      </c>
      <c r="BK231" s="1002">
        <f t="shared" ref="BK231:BK247" si="117">IF(BH231&gt;BI231,1,0)</f>
        <v>0</v>
      </c>
      <c r="BL231" s="1002">
        <f t="shared" ref="BL231:BL247" si="118">IF(BI231&gt;BH231,1,0)</f>
        <v>0</v>
      </c>
      <c r="BO231" s="119">
        <v>1</v>
      </c>
      <c r="BP231" s="128" t="s">
        <v>996</v>
      </c>
      <c r="BQ231" s="119">
        <v>18</v>
      </c>
      <c r="BR231" s="119">
        <v>16</v>
      </c>
      <c r="BS231" s="119">
        <v>0</v>
      </c>
      <c r="BT231" s="119">
        <v>2</v>
      </c>
      <c r="BU231" s="119">
        <v>119</v>
      </c>
      <c r="BV231" s="119">
        <v>56</v>
      </c>
      <c r="BW231" s="119">
        <v>32</v>
      </c>
    </row>
    <row r="232" spans="1:75" x14ac:dyDescent="0.3">
      <c r="A232" s="969"/>
      <c r="B232" s="1290">
        <v>133</v>
      </c>
      <c r="C232" s="977" t="s">
        <v>1102</v>
      </c>
      <c r="D232" s="977" t="s">
        <v>1829</v>
      </c>
      <c r="E232" s="977" t="s">
        <v>1538</v>
      </c>
      <c r="F232" s="978">
        <v>41566</v>
      </c>
      <c r="G232" s="977" t="s">
        <v>150</v>
      </c>
      <c r="H232" s="991" t="str">
        <f t="shared" si="111"/>
        <v>Häviö</v>
      </c>
      <c r="I232" s="991" t="s">
        <v>1514</v>
      </c>
      <c r="J232" s="991" t="s">
        <v>0</v>
      </c>
      <c r="K232" s="991" t="s">
        <v>998</v>
      </c>
      <c r="L232" s="992">
        <f t="shared" si="112"/>
        <v>7</v>
      </c>
      <c r="M232" s="992">
        <f t="shared" si="113"/>
        <v>9</v>
      </c>
      <c r="N232" s="1262">
        <v>7</v>
      </c>
      <c r="O232" s="992">
        <v>9</v>
      </c>
      <c r="P232" s="1262"/>
      <c r="Q232" s="992"/>
      <c r="R232" s="1262"/>
      <c r="S232" s="992"/>
      <c r="T232" s="1262"/>
      <c r="U232" s="992"/>
      <c r="V232" s="985"/>
      <c r="W232" s="985"/>
      <c r="X232" s="985"/>
      <c r="Y232" s="985"/>
      <c r="Z232" s="985"/>
      <c r="AA232" s="985"/>
      <c r="AB232" s="985"/>
      <c r="AC232" s="985"/>
      <c r="AD232" s="985"/>
      <c r="AE232" s="985"/>
      <c r="AF232" s="985"/>
      <c r="AG232" s="985"/>
      <c r="AH232" s="985"/>
      <c r="AI232" s="985"/>
      <c r="AJ232" s="985"/>
      <c r="AK232" s="985"/>
      <c r="AL232" s="986"/>
      <c r="AM232" s="986"/>
      <c r="AN232" s="8"/>
      <c r="AO232" s="983"/>
      <c r="AP232" s="983"/>
      <c r="AQ232" s="983"/>
      <c r="AR232" s="983"/>
      <c r="AS232" s="983"/>
      <c r="AT232" s="983"/>
      <c r="AU232" s="983"/>
      <c r="AV232" s="983"/>
      <c r="AW232" s="983"/>
      <c r="AX232" s="983"/>
      <c r="AY232" s="983"/>
      <c r="AZ232" s="983"/>
      <c r="BA232" s="983"/>
      <c r="BB232" s="983"/>
      <c r="BC232" s="983"/>
      <c r="BD232" s="983"/>
      <c r="BE232" s="988"/>
      <c r="BF232" s="988"/>
      <c r="BH232" s="1002">
        <f t="shared" si="114"/>
        <v>1</v>
      </c>
      <c r="BI232" s="1002">
        <f t="shared" si="115"/>
        <v>1</v>
      </c>
      <c r="BJ232" s="1002">
        <f t="shared" si="116"/>
        <v>1</v>
      </c>
      <c r="BK232" s="1002">
        <f t="shared" si="117"/>
        <v>0</v>
      </c>
      <c r="BL232" s="1002">
        <f t="shared" si="118"/>
        <v>0</v>
      </c>
      <c r="BO232" s="119">
        <v>2</v>
      </c>
      <c r="BP232" s="128" t="s">
        <v>998</v>
      </c>
      <c r="BQ232" s="119">
        <v>18</v>
      </c>
      <c r="BR232" s="119">
        <v>13</v>
      </c>
      <c r="BS232" s="119">
        <v>2</v>
      </c>
      <c r="BT232" s="119">
        <v>3</v>
      </c>
      <c r="BU232" s="119">
        <v>110</v>
      </c>
      <c r="BV232" s="119">
        <v>60</v>
      </c>
      <c r="BW232" s="119">
        <v>28</v>
      </c>
    </row>
    <row r="233" spans="1:75" x14ac:dyDescent="0.3">
      <c r="B233" s="1280">
        <v>134</v>
      </c>
      <c r="C233" s="977" t="s">
        <v>1102</v>
      </c>
      <c r="D233" s="977" t="s">
        <v>1829</v>
      </c>
      <c r="E233" s="977" t="s">
        <v>1539</v>
      </c>
      <c r="F233" s="978">
        <v>41580</v>
      </c>
      <c r="G233" s="977" t="s">
        <v>242</v>
      </c>
      <c r="H233" s="991" t="str">
        <f t="shared" si="111"/>
        <v>Voitto</v>
      </c>
      <c r="I233" s="991" t="s">
        <v>1514</v>
      </c>
      <c r="J233" s="991" t="s">
        <v>0</v>
      </c>
      <c r="K233" s="991" t="s">
        <v>1007</v>
      </c>
      <c r="L233" s="992">
        <f t="shared" si="112"/>
        <v>4</v>
      </c>
      <c r="M233" s="992">
        <f t="shared" si="113"/>
        <v>3</v>
      </c>
      <c r="N233" s="1262">
        <v>1</v>
      </c>
      <c r="O233" s="992">
        <v>0</v>
      </c>
      <c r="P233" s="1262">
        <v>1</v>
      </c>
      <c r="Q233" s="992">
        <v>2</v>
      </c>
      <c r="R233" s="1262">
        <v>2</v>
      </c>
      <c r="S233" s="992">
        <v>1</v>
      </c>
      <c r="T233" s="1262"/>
      <c r="U233" s="992"/>
      <c r="V233" s="985"/>
      <c r="W233" s="985"/>
      <c r="X233" s="987"/>
      <c r="Y233" s="987"/>
      <c r="Z233" s="987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5"/>
      <c r="AL233" s="985"/>
      <c r="AM233" s="985"/>
      <c r="AO233" s="983"/>
      <c r="AP233" s="983"/>
      <c r="AQ233" s="983"/>
      <c r="AR233" s="976"/>
      <c r="AS233" s="976"/>
      <c r="AT233" s="976"/>
      <c r="AU233" s="976"/>
      <c r="AV233" s="976"/>
      <c r="AW233" s="976"/>
      <c r="AX233" s="976"/>
      <c r="AY233" s="976"/>
      <c r="AZ233" s="976"/>
      <c r="BA233" s="976"/>
      <c r="BB233" s="976"/>
      <c r="BC233" s="976"/>
      <c r="BD233" s="983"/>
      <c r="BE233" s="984"/>
      <c r="BF233" s="984"/>
      <c r="BH233" s="1002">
        <f t="shared" si="114"/>
        <v>1</v>
      </c>
      <c r="BI233" s="1002">
        <f t="shared" si="115"/>
        <v>1</v>
      </c>
      <c r="BJ233" s="1002">
        <f t="shared" si="116"/>
        <v>1</v>
      </c>
      <c r="BK233" s="1002">
        <f t="shared" si="117"/>
        <v>0</v>
      </c>
      <c r="BL233" s="1002">
        <f t="shared" si="118"/>
        <v>0</v>
      </c>
      <c r="BO233" s="119">
        <v>3</v>
      </c>
      <c r="BP233" s="128" t="s">
        <v>1000</v>
      </c>
      <c r="BQ233" s="119">
        <v>18</v>
      </c>
      <c r="BR233" s="119">
        <v>11</v>
      </c>
      <c r="BS233" s="119">
        <v>1</v>
      </c>
      <c r="BT233" s="119">
        <v>6</v>
      </c>
      <c r="BU233" s="119">
        <v>97</v>
      </c>
      <c r="BV233" s="119">
        <v>65</v>
      </c>
      <c r="BW233" s="119">
        <v>23</v>
      </c>
    </row>
    <row r="234" spans="1:75" x14ac:dyDescent="0.3">
      <c r="B234" s="1280">
        <v>135</v>
      </c>
      <c r="C234" s="977" t="s">
        <v>1102</v>
      </c>
      <c r="D234" s="977" t="s">
        <v>1829</v>
      </c>
      <c r="E234" s="977" t="s">
        <v>1540</v>
      </c>
      <c r="F234" s="978">
        <v>41601</v>
      </c>
      <c r="G234" s="977" t="s">
        <v>1027</v>
      </c>
      <c r="H234" s="991" t="str">
        <f t="shared" si="111"/>
        <v>Voitto</v>
      </c>
      <c r="I234" s="991" t="s">
        <v>1514</v>
      </c>
      <c r="J234" s="991" t="s">
        <v>0</v>
      </c>
      <c r="K234" s="991" t="s">
        <v>1009</v>
      </c>
      <c r="L234" s="992">
        <f t="shared" si="112"/>
        <v>4</v>
      </c>
      <c r="M234" s="992">
        <f t="shared" si="113"/>
        <v>3</v>
      </c>
      <c r="N234" s="1262">
        <v>1</v>
      </c>
      <c r="O234" s="992">
        <v>0</v>
      </c>
      <c r="P234" s="1262">
        <v>1</v>
      </c>
      <c r="Q234" s="992">
        <v>1</v>
      </c>
      <c r="R234" s="1262">
        <v>2</v>
      </c>
      <c r="S234" s="992">
        <v>2</v>
      </c>
      <c r="T234" s="1262"/>
      <c r="U234" s="992"/>
      <c r="V234" s="985"/>
      <c r="W234" s="985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5"/>
      <c r="AL234" s="985"/>
      <c r="AM234" s="985"/>
      <c r="AO234" s="983"/>
      <c r="AP234" s="983"/>
      <c r="AQ234" s="976"/>
      <c r="AR234" s="976"/>
      <c r="AS234" s="976"/>
      <c r="AT234" s="976"/>
      <c r="AU234" s="976"/>
      <c r="AV234" s="976"/>
      <c r="AW234" s="976"/>
      <c r="AX234" s="976"/>
      <c r="AY234" s="976"/>
      <c r="AZ234" s="976"/>
      <c r="BA234" s="976"/>
      <c r="BB234" s="976"/>
      <c r="BC234" s="976"/>
      <c r="BD234" s="983"/>
      <c r="BE234" s="983"/>
      <c r="BF234" s="983"/>
      <c r="BH234" s="1002">
        <f t="shared" si="114"/>
        <v>1</v>
      </c>
      <c r="BI234" s="1002">
        <f t="shared" si="115"/>
        <v>1</v>
      </c>
      <c r="BJ234" s="1002">
        <f t="shared" si="116"/>
        <v>1</v>
      </c>
      <c r="BK234" s="1002">
        <f t="shared" si="117"/>
        <v>0</v>
      </c>
      <c r="BL234" s="1002">
        <f t="shared" si="118"/>
        <v>0</v>
      </c>
      <c r="BO234" s="119">
        <v>4</v>
      </c>
      <c r="BP234" s="128" t="s">
        <v>1002</v>
      </c>
      <c r="BQ234" s="119">
        <v>18</v>
      </c>
      <c r="BR234" s="119">
        <v>9</v>
      </c>
      <c r="BS234" s="119">
        <v>2</v>
      </c>
      <c r="BT234" s="119">
        <v>7</v>
      </c>
      <c r="BU234" s="119">
        <v>76</v>
      </c>
      <c r="BV234" s="119">
        <v>75</v>
      </c>
      <c r="BW234" s="119">
        <v>20</v>
      </c>
    </row>
    <row r="235" spans="1:75" x14ac:dyDescent="0.3">
      <c r="B235" s="1280">
        <v>136</v>
      </c>
      <c r="C235" s="977" t="s">
        <v>1102</v>
      </c>
      <c r="D235" s="977" t="s">
        <v>1829</v>
      </c>
      <c r="E235" s="977" t="s">
        <v>1541</v>
      </c>
      <c r="F235" s="978">
        <v>41601</v>
      </c>
      <c r="G235" s="977" t="s">
        <v>1027</v>
      </c>
      <c r="H235" s="991" t="str">
        <f t="shared" si="111"/>
        <v>Häviö</v>
      </c>
      <c r="I235" s="991" t="s">
        <v>1515</v>
      </c>
      <c r="J235" s="991" t="s">
        <v>0</v>
      </c>
      <c r="K235" s="991" t="s">
        <v>1002</v>
      </c>
      <c r="L235" s="992">
        <f t="shared" si="112"/>
        <v>2</v>
      </c>
      <c r="M235" s="992">
        <f t="shared" si="113"/>
        <v>6</v>
      </c>
      <c r="N235" s="1262">
        <v>0</v>
      </c>
      <c r="O235" s="992">
        <v>2</v>
      </c>
      <c r="P235" s="1262">
        <v>1</v>
      </c>
      <c r="Q235" s="992">
        <v>2</v>
      </c>
      <c r="R235" s="1262">
        <v>1</v>
      </c>
      <c r="S235" s="992">
        <v>2</v>
      </c>
      <c r="T235" s="1262"/>
      <c r="U235" s="992"/>
      <c r="V235" s="985"/>
      <c r="W235" s="985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5"/>
      <c r="AL235" s="985"/>
      <c r="AM235" s="985"/>
      <c r="AO235" s="983"/>
      <c r="AP235" s="983"/>
      <c r="AQ235" s="983"/>
      <c r="AR235" s="976"/>
      <c r="AS235" s="976"/>
      <c r="AT235" s="976"/>
      <c r="AU235" s="976"/>
      <c r="AV235" s="976"/>
      <c r="AW235" s="976"/>
      <c r="AX235" s="976"/>
      <c r="AY235" s="976"/>
      <c r="AZ235" s="976"/>
      <c r="BA235" s="976"/>
      <c r="BB235" s="976"/>
      <c r="BC235" s="976"/>
      <c r="BD235" s="983"/>
      <c r="BE235" s="983"/>
      <c r="BF235" s="983"/>
      <c r="BH235" s="1002">
        <f t="shared" si="114"/>
        <v>1</v>
      </c>
      <c r="BI235" s="1002">
        <f t="shared" si="115"/>
        <v>1</v>
      </c>
      <c r="BJ235" s="1002">
        <f t="shared" si="116"/>
        <v>1</v>
      </c>
      <c r="BK235" s="1002">
        <f t="shared" si="117"/>
        <v>0</v>
      </c>
      <c r="BL235" s="1002">
        <f t="shared" si="118"/>
        <v>0</v>
      </c>
      <c r="BO235" s="1284">
        <v>5</v>
      </c>
      <c r="BP235" s="1283" t="s">
        <v>0</v>
      </c>
      <c r="BQ235" s="1284">
        <v>18</v>
      </c>
      <c r="BR235" s="1284">
        <v>9</v>
      </c>
      <c r="BS235" s="1284">
        <v>1</v>
      </c>
      <c r="BT235" s="1284">
        <v>8</v>
      </c>
      <c r="BU235" s="1284">
        <v>87</v>
      </c>
      <c r="BV235" s="1284">
        <v>89</v>
      </c>
      <c r="BW235" s="1284">
        <v>19</v>
      </c>
    </row>
    <row r="236" spans="1:75" x14ac:dyDescent="0.3">
      <c r="B236" s="1280">
        <v>137</v>
      </c>
      <c r="C236" s="977" t="s">
        <v>1102</v>
      </c>
      <c r="D236" s="977" t="s">
        <v>1829</v>
      </c>
      <c r="E236" s="977" t="s">
        <v>1542</v>
      </c>
      <c r="F236" s="978">
        <v>41609</v>
      </c>
      <c r="G236" s="977" t="s">
        <v>796</v>
      </c>
      <c r="H236" s="991" t="str">
        <f t="shared" si="111"/>
        <v>Voitto</v>
      </c>
      <c r="I236" s="991" t="s">
        <v>1515</v>
      </c>
      <c r="J236" s="991" t="s">
        <v>0</v>
      </c>
      <c r="K236" s="991" t="s">
        <v>1011</v>
      </c>
      <c r="L236" s="992">
        <f t="shared" si="112"/>
        <v>5</v>
      </c>
      <c r="M236" s="992">
        <f t="shared" si="113"/>
        <v>2</v>
      </c>
      <c r="N236" s="1262">
        <v>1</v>
      </c>
      <c r="O236" s="992">
        <v>0</v>
      </c>
      <c r="P236" s="1262">
        <v>3</v>
      </c>
      <c r="Q236" s="992">
        <v>0</v>
      </c>
      <c r="R236" s="1262">
        <v>1</v>
      </c>
      <c r="S236" s="992">
        <v>2</v>
      </c>
      <c r="T236" s="1262"/>
      <c r="U236" s="992"/>
      <c r="V236" s="985"/>
      <c r="W236" s="985"/>
      <c r="X236" s="985"/>
      <c r="Y236" s="987"/>
      <c r="Z236" s="987"/>
      <c r="AA236" s="987"/>
      <c r="AB236" s="985"/>
      <c r="AC236" s="987"/>
      <c r="AD236" s="987"/>
      <c r="AE236" s="987"/>
      <c r="AF236" s="987"/>
      <c r="AG236" s="987"/>
      <c r="AH236" s="987"/>
      <c r="AI236" s="987"/>
      <c r="AJ236" s="987"/>
      <c r="AK236" s="985"/>
      <c r="AL236" s="986"/>
      <c r="AM236" s="986"/>
      <c r="AO236" s="983"/>
      <c r="AP236" s="983"/>
      <c r="AQ236" s="983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83"/>
      <c r="BE236" s="983"/>
      <c r="BF236" s="983"/>
      <c r="BH236" s="1002">
        <f t="shared" si="114"/>
        <v>1</v>
      </c>
      <c r="BI236" s="1002">
        <f t="shared" si="115"/>
        <v>1</v>
      </c>
      <c r="BJ236" s="1002">
        <f t="shared" si="116"/>
        <v>1</v>
      </c>
      <c r="BK236" s="1002">
        <f t="shared" si="117"/>
        <v>0</v>
      </c>
      <c r="BL236" s="1002">
        <f t="shared" si="118"/>
        <v>0</v>
      </c>
      <c r="BO236" s="119">
        <v>6</v>
      </c>
      <c r="BP236" s="128" t="s">
        <v>1005</v>
      </c>
      <c r="BQ236" s="119">
        <v>18</v>
      </c>
      <c r="BR236" s="119">
        <v>8</v>
      </c>
      <c r="BS236" s="119">
        <v>2</v>
      </c>
      <c r="BT236" s="119">
        <v>8</v>
      </c>
      <c r="BU236" s="119">
        <v>77</v>
      </c>
      <c r="BV236" s="119">
        <v>67</v>
      </c>
      <c r="BW236" s="119">
        <v>18</v>
      </c>
    </row>
    <row r="237" spans="1:75" x14ac:dyDescent="0.3">
      <c r="B237" s="1280">
        <v>138</v>
      </c>
      <c r="C237" s="977" t="s">
        <v>1102</v>
      </c>
      <c r="D237" s="977" t="s">
        <v>1829</v>
      </c>
      <c r="E237" s="977" t="s">
        <v>1543</v>
      </c>
      <c r="F237" s="978">
        <v>41623</v>
      </c>
      <c r="G237" s="977" t="s">
        <v>150</v>
      </c>
      <c r="H237" s="991" t="str">
        <f t="shared" si="111"/>
        <v>Voitto</v>
      </c>
      <c r="I237" s="991" t="s">
        <v>1514</v>
      </c>
      <c r="J237" s="991" t="s">
        <v>0</v>
      </c>
      <c r="K237" s="991" t="s">
        <v>2569</v>
      </c>
      <c r="L237" s="992">
        <f t="shared" si="112"/>
        <v>7</v>
      </c>
      <c r="M237" s="992">
        <f t="shared" si="113"/>
        <v>5</v>
      </c>
      <c r="N237" s="1262">
        <v>0</v>
      </c>
      <c r="O237" s="992">
        <v>1</v>
      </c>
      <c r="P237" s="1262">
        <v>4</v>
      </c>
      <c r="Q237" s="992">
        <v>3</v>
      </c>
      <c r="R237" s="1262">
        <v>3</v>
      </c>
      <c r="S237" s="992">
        <v>1</v>
      </c>
      <c r="T237" s="1262"/>
      <c r="U237" s="992"/>
      <c r="V237" s="985"/>
      <c r="W237" s="985"/>
      <c r="X237" s="985"/>
      <c r="Y237" s="985"/>
      <c r="Z237" s="985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8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H237" s="1002">
        <f t="shared" si="114"/>
        <v>1</v>
      </c>
      <c r="BI237" s="1002">
        <f t="shared" si="115"/>
        <v>1</v>
      </c>
      <c r="BJ237" s="1002">
        <f t="shared" si="116"/>
        <v>1</v>
      </c>
      <c r="BK237" s="1002">
        <f t="shared" si="117"/>
        <v>0</v>
      </c>
      <c r="BL237" s="1002">
        <f t="shared" si="118"/>
        <v>0</v>
      </c>
      <c r="BO237" s="119">
        <v>7</v>
      </c>
      <c r="BP237" s="128" t="s">
        <v>1007</v>
      </c>
      <c r="BQ237" s="119">
        <v>18</v>
      </c>
      <c r="BR237" s="119">
        <v>7</v>
      </c>
      <c r="BS237" s="119">
        <v>1</v>
      </c>
      <c r="BT237" s="119">
        <v>10</v>
      </c>
      <c r="BU237" s="119">
        <v>61</v>
      </c>
      <c r="BV237" s="119">
        <v>70</v>
      </c>
      <c r="BW237" s="119">
        <v>15</v>
      </c>
    </row>
    <row r="238" spans="1:75" x14ac:dyDescent="0.3">
      <c r="B238" s="1280">
        <v>139</v>
      </c>
      <c r="C238" s="977" t="s">
        <v>1102</v>
      </c>
      <c r="D238" s="977" t="s">
        <v>1829</v>
      </c>
      <c r="E238" s="977" t="s">
        <v>1544</v>
      </c>
      <c r="F238" s="978">
        <v>41623</v>
      </c>
      <c r="G238" s="977" t="s">
        <v>150</v>
      </c>
      <c r="H238" s="991" t="str">
        <f t="shared" si="111"/>
        <v>Häviö</v>
      </c>
      <c r="I238" s="991" t="s">
        <v>1514</v>
      </c>
      <c r="J238" s="991" t="s">
        <v>0</v>
      </c>
      <c r="K238" s="991" t="s">
        <v>996</v>
      </c>
      <c r="L238" s="992">
        <f t="shared" si="112"/>
        <v>7</v>
      </c>
      <c r="M238" s="992">
        <f t="shared" si="113"/>
        <v>11</v>
      </c>
      <c r="N238" s="1262">
        <v>1</v>
      </c>
      <c r="O238" s="992">
        <v>2</v>
      </c>
      <c r="P238" s="1262">
        <v>4</v>
      </c>
      <c r="Q238" s="992">
        <v>3</v>
      </c>
      <c r="R238" s="1262">
        <v>2</v>
      </c>
      <c r="S238" s="992">
        <v>6</v>
      </c>
      <c r="T238" s="1262"/>
      <c r="U238" s="992"/>
      <c r="V238" s="985"/>
      <c r="W238" s="985"/>
      <c r="X238" s="985"/>
      <c r="Y238" s="985"/>
      <c r="Z238" s="985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8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H238" s="1002">
        <f t="shared" si="114"/>
        <v>1</v>
      </c>
      <c r="BI238" s="1002">
        <f t="shared" si="115"/>
        <v>1</v>
      </c>
      <c r="BJ238" s="1002">
        <f t="shared" si="116"/>
        <v>1</v>
      </c>
      <c r="BK238" s="1002">
        <f t="shared" si="117"/>
        <v>0</v>
      </c>
      <c r="BL238" s="1002">
        <f t="shared" si="118"/>
        <v>0</v>
      </c>
      <c r="BO238" s="119">
        <v>8</v>
      </c>
      <c r="BP238" s="128" t="s">
        <v>1009</v>
      </c>
      <c r="BQ238" s="119">
        <v>18</v>
      </c>
      <c r="BR238" s="119">
        <v>4</v>
      </c>
      <c r="BS238" s="119">
        <v>3</v>
      </c>
      <c r="BT238" s="119">
        <v>11</v>
      </c>
      <c r="BU238" s="119">
        <v>83</v>
      </c>
      <c r="BV238" s="119">
        <v>89</v>
      </c>
      <c r="BW238" s="119">
        <v>11</v>
      </c>
    </row>
    <row r="239" spans="1:75" x14ac:dyDescent="0.3">
      <c r="B239" s="1280">
        <v>140</v>
      </c>
      <c r="C239" s="977" t="s">
        <v>1102</v>
      </c>
      <c r="D239" s="977" t="s">
        <v>1829</v>
      </c>
      <c r="E239" s="977" t="s">
        <v>1545</v>
      </c>
      <c r="F239" s="978">
        <v>41650</v>
      </c>
      <c r="G239" s="977" t="s">
        <v>242</v>
      </c>
      <c r="H239" s="991" t="str">
        <f t="shared" si="111"/>
        <v>Häviö</v>
      </c>
      <c r="I239" s="991" t="s">
        <v>1515</v>
      </c>
      <c r="J239" s="991" t="s">
        <v>0</v>
      </c>
      <c r="K239" s="991" t="s">
        <v>998</v>
      </c>
      <c r="L239" s="992">
        <f t="shared" si="112"/>
        <v>3</v>
      </c>
      <c r="M239" s="992">
        <f t="shared" si="113"/>
        <v>4</v>
      </c>
      <c r="N239" s="1262">
        <v>0</v>
      </c>
      <c r="O239" s="992">
        <v>1</v>
      </c>
      <c r="P239" s="1262">
        <v>2</v>
      </c>
      <c r="Q239" s="992">
        <v>1</v>
      </c>
      <c r="R239" s="1262">
        <v>1</v>
      </c>
      <c r="S239" s="992">
        <v>2</v>
      </c>
      <c r="T239" s="1262"/>
      <c r="U239" s="992"/>
      <c r="V239" s="985"/>
      <c r="W239" s="985"/>
      <c r="X239" s="985"/>
      <c r="Y239" s="985"/>
      <c r="Z239" s="985"/>
      <c r="AA239" s="985"/>
      <c r="AB239" s="985"/>
      <c r="AC239" s="985"/>
      <c r="AD239" s="985"/>
      <c r="AE239" s="985"/>
      <c r="AF239" s="985"/>
      <c r="AG239" s="985"/>
      <c r="AH239" s="985"/>
      <c r="AI239" s="985"/>
      <c r="AJ239" s="985"/>
      <c r="AK239" s="985"/>
      <c r="AL239" s="985"/>
      <c r="AM239" s="985"/>
      <c r="AN239" s="8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H239" s="1002">
        <f t="shared" si="114"/>
        <v>1</v>
      </c>
      <c r="BI239" s="1002">
        <f t="shared" si="115"/>
        <v>1</v>
      </c>
      <c r="BJ239" s="1002">
        <f t="shared" si="116"/>
        <v>1</v>
      </c>
      <c r="BK239" s="1002">
        <f t="shared" si="117"/>
        <v>0</v>
      </c>
      <c r="BL239" s="1002">
        <f t="shared" si="118"/>
        <v>0</v>
      </c>
      <c r="BO239" s="1088">
        <v>9</v>
      </c>
      <c r="BP239" s="128" t="s">
        <v>1011</v>
      </c>
      <c r="BQ239" s="119">
        <v>18</v>
      </c>
      <c r="BR239" s="119">
        <v>2</v>
      </c>
      <c r="BS239" s="119">
        <v>4</v>
      </c>
      <c r="BT239" s="119">
        <v>12</v>
      </c>
      <c r="BU239" s="119">
        <v>70</v>
      </c>
      <c r="BV239" s="119">
        <v>122</v>
      </c>
      <c r="BW239" s="119">
        <v>8</v>
      </c>
    </row>
    <row r="240" spans="1:75" x14ac:dyDescent="0.3">
      <c r="B240" s="1280">
        <v>141</v>
      </c>
      <c r="C240" s="977" t="s">
        <v>1102</v>
      </c>
      <c r="D240" s="977" t="s">
        <v>1829</v>
      </c>
      <c r="E240" s="977" t="s">
        <v>1546</v>
      </c>
      <c r="F240" s="978">
        <v>41664</v>
      </c>
      <c r="G240" s="977" t="s">
        <v>1027</v>
      </c>
      <c r="H240" s="991" t="str">
        <f t="shared" si="111"/>
        <v>Voitto</v>
      </c>
      <c r="I240" s="991" t="s">
        <v>1515</v>
      </c>
      <c r="J240" s="991" t="s">
        <v>0</v>
      </c>
      <c r="K240" s="991" t="s">
        <v>1013</v>
      </c>
      <c r="L240" s="992">
        <f t="shared" si="112"/>
        <v>5</v>
      </c>
      <c r="M240" s="992">
        <f t="shared" si="113"/>
        <v>2</v>
      </c>
      <c r="N240" s="1262">
        <v>4</v>
      </c>
      <c r="O240" s="992">
        <v>1</v>
      </c>
      <c r="P240" s="1262">
        <v>1</v>
      </c>
      <c r="Q240" s="992">
        <v>1</v>
      </c>
      <c r="R240" s="1262">
        <v>0</v>
      </c>
      <c r="S240" s="992">
        <v>0</v>
      </c>
      <c r="T240" s="1262"/>
      <c r="U240" s="992"/>
      <c r="V240" s="985"/>
      <c r="W240" s="985"/>
      <c r="X240" s="985"/>
      <c r="Y240" s="985"/>
      <c r="Z240" s="985"/>
      <c r="AA240" s="985"/>
      <c r="AB240" s="985"/>
      <c r="AC240" s="985"/>
      <c r="AD240" s="985"/>
      <c r="AE240" s="985"/>
      <c r="AF240" s="985"/>
      <c r="AG240" s="985"/>
      <c r="AH240" s="985"/>
      <c r="AI240" s="985"/>
      <c r="AJ240" s="985"/>
      <c r="AK240" s="985"/>
      <c r="AL240" s="985"/>
      <c r="AM240" s="985"/>
      <c r="AN240" s="8"/>
      <c r="AO240" s="983"/>
      <c r="AP240" s="983"/>
      <c r="AQ240" s="983"/>
      <c r="AR240" s="983"/>
      <c r="AS240" s="983"/>
      <c r="AT240" s="983"/>
      <c r="AU240" s="983"/>
      <c r="AV240" s="983"/>
      <c r="AW240" s="983"/>
      <c r="AX240" s="983"/>
      <c r="AY240" s="983"/>
      <c r="AZ240" s="983"/>
      <c r="BA240" s="983"/>
      <c r="BB240" s="983"/>
      <c r="BC240" s="983"/>
      <c r="BD240" s="983"/>
      <c r="BE240" s="983"/>
      <c r="BF240" s="983"/>
      <c r="BH240" s="1002">
        <f t="shared" si="114"/>
        <v>1</v>
      </c>
      <c r="BI240" s="1002">
        <f t="shared" si="115"/>
        <v>1</v>
      </c>
      <c r="BJ240" s="1002">
        <f t="shared" si="116"/>
        <v>1</v>
      </c>
      <c r="BK240" s="1002">
        <f t="shared" si="117"/>
        <v>0</v>
      </c>
      <c r="BL240" s="1002">
        <f t="shared" si="118"/>
        <v>0</v>
      </c>
      <c r="BO240" s="119">
        <v>10</v>
      </c>
      <c r="BP240" s="128" t="s">
        <v>1013</v>
      </c>
      <c r="BQ240" s="119">
        <v>18</v>
      </c>
      <c r="BR240" s="119">
        <v>2</v>
      </c>
      <c r="BS240" s="119">
        <v>2</v>
      </c>
      <c r="BT240" s="119">
        <v>14</v>
      </c>
      <c r="BU240" s="119">
        <v>63</v>
      </c>
      <c r="BV240" s="119">
        <v>150</v>
      </c>
      <c r="BW240" s="119">
        <v>6</v>
      </c>
    </row>
    <row r="241" spans="2:69" x14ac:dyDescent="0.3">
      <c r="B241" s="1280">
        <v>142</v>
      </c>
      <c r="C241" s="977" t="s">
        <v>1102</v>
      </c>
      <c r="D241" s="977" t="s">
        <v>1829</v>
      </c>
      <c r="E241" s="977" t="s">
        <v>1547</v>
      </c>
      <c r="F241" s="978">
        <v>41664</v>
      </c>
      <c r="G241" s="977" t="s">
        <v>1027</v>
      </c>
      <c r="H241" s="991" t="str">
        <f t="shared" si="111"/>
        <v>Häviö</v>
      </c>
      <c r="I241" s="991" t="s">
        <v>1515</v>
      </c>
      <c r="J241" s="991" t="s">
        <v>0</v>
      </c>
      <c r="K241" s="991" t="s">
        <v>1000</v>
      </c>
      <c r="L241" s="992">
        <f t="shared" si="112"/>
        <v>3</v>
      </c>
      <c r="M241" s="992">
        <f t="shared" si="113"/>
        <v>4</v>
      </c>
      <c r="N241" s="1262">
        <v>0</v>
      </c>
      <c r="O241" s="992">
        <v>1</v>
      </c>
      <c r="P241" s="1262">
        <v>0</v>
      </c>
      <c r="Q241" s="992">
        <v>2</v>
      </c>
      <c r="R241" s="1262">
        <v>3</v>
      </c>
      <c r="S241" s="992">
        <v>1</v>
      </c>
      <c r="T241" s="1262"/>
      <c r="U241" s="992"/>
      <c r="V241" s="985"/>
      <c r="W241" s="985"/>
      <c r="X241" s="985"/>
      <c r="Y241" s="985"/>
      <c r="Z241" s="985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8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H241" s="1002">
        <f t="shared" si="114"/>
        <v>1</v>
      </c>
      <c r="BI241" s="1002">
        <f t="shared" si="115"/>
        <v>1</v>
      </c>
      <c r="BJ241" s="1002">
        <f t="shared" si="116"/>
        <v>1</v>
      </c>
      <c r="BK241" s="1002">
        <f t="shared" si="117"/>
        <v>0</v>
      </c>
      <c r="BL241" s="1002">
        <f t="shared" si="118"/>
        <v>0</v>
      </c>
    </row>
    <row r="242" spans="2:69" x14ac:dyDescent="0.3">
      <c r="B242" s="1280">
        <v>143</v>
      </c>
      <c r="C242" s="977" t="s">
        <v>1102</v>
      </c>
      <c r="D242" s="977" t="s">
        <v>1829</v>
      </c>
      <c r="E242" s="977" t="s">
        <v>1548</v>
      </c>
      <c r="F242" s="978">
        <v>41679</v>
      </c>
      <c r="G242" s="977" t="s">
        <v>151</v>
      </c>
      <c r="H242" s="991" t="str">
        <f t="shared" si="111"/>
        <v>Voitto</v>
      </c>
      <c r="I242" s="991" t="s">
        <v>1515</v>
      </c>
      <c r="J242" s="991" t="s">
        <v>0</v>
      </c>
      <c r="K242" s="991" t="s">
        <v>1007</v>
      </c>
      <c r="L242" s="992">
        <f t="shared" si="112"/>
        <v>6</v>
      </c>
      <c r="M242" s="992">
        <f t="shared" si="113"/>
        <v>3</v>
      </c>
      <c r="N242" s="1262">
        <v>2</v>
      </c>
      <c r="O242" s="992">
        <v>0</v>
      </c>
      <c r="P242" s="1262">
        <v>1</v>
      </c>
      <c r="Q242" s="992">
        <v>2</v>
      </c>
      <c r="R242" s="1262">
        <v>3</v>
      </c>
      <c r="S242" s="992">
        <v>1</v>
      </c>
      <c r="T242" s="1262"/>
      <c r="U242" s="992"/>
      <c r="V242" s="985"/>
      <c r="W242" s="985"/>
      <c r="X242" s="985"/>
      <c r="Y242" s="985"/>
      <c r="Z242" s="985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8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H242" s="1002">
        <f t="shared" si="114"/>
        <v>1</v>
      </c>
      <c r="BI242" s="1002">
        <f t="shared" si="115"/>
        <v>1</v>
      </c>
      <c r="BJ242" s="1002">
        <f t="shared" si="116"/>
        <v>1</v>
      </c>
      <c r="BK242" s="1002">
        <f t="shared" si="117"/>
        <v>0</v>
      </c>
      <c r="BL242" s="1002">
        <f t="shared" si="118"/>
        <v>0</v>
      </c>
    </row>
    <row r="243" spans="2:69" x14ac:dyDescent="0.3">
      <c r="B243" s="1280">
        <v>144</v>
      </c>
      <c r="C243" s="977" t="s">
        <v>1102</v>
      </c>
      <c r="D243" s="977" t="s">
        <v>1829</v>
      </c>
      <c r="E243" s="977" t="s">
        <v>1549</v>
      </c>
      <c r="F243" s="978">
        <v>41692</v>
      </c>
      <c r="G243" s="977" t="s">
        <v>796</v>
      </c>
      <c r="H243" s="991" t="str">
        <f t="shared" si="111"/>
        <v>Voitto</v>
      </c>
      <c r="I243" s="991" t="s">
        <v>1514</v>
      </c>
      <c r="J243" s="991" t="s">
        <v>0</v>
      </c>
      <c r="K243" s="991" t="s">
        <v>1011</v>
      </c>
      <c r="L243" s="992">
        <f t="shared" si="112"/>
        <v>11</v>
      </c>
      <c r="M243" s="992">
        <f t="shared" si="113"/>
        <v>0</v>
      </c>
      <c r="N243" s="1262">
        <v>2</v>
      </c>
      <c r="O243" s="992">
        <v>0</v>
      </c>
      <c r="P243" s="1262">
        <v>7</v>
      </c>
      <c r="Q243" s="992">
        <v>0</v>
      </c>
      <c r="R243" s="1262">
        <v>2</v>
      </c>
      <c r="S243" s="992">
        <v>0</v>
      </c>
      <c r="T243" s="1262"/>
      <c r="U243" s="992"/>
      <c r="V243" s="985"/>
      <c r="W243" s="985"/>
      <c r="X243" s="985"/>
      <c r="Y243" s="985"/>
      <c r="Z243" s="985"/>
      <c r="AA243" s="985"/>
      <c r="AB243" s="985"/>
      <c r="AC243" s="985"/>
      <c r="AD243" s="985"/>
      <c r="AE243" s="985"/>
      <c r="AF243" s="985"/>
      <c r="AG243" s="985"/>
      <c r="AH243" s="985"/>
      <c r="AI243" s="985"/>
      <c r="AJ243" s="985"/>
      <c r="AK243" s="985"/>
      <c r="AL243" s="985"/>
      <c r="AM243" s="985"/>
      <c r="AN243" s="8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H243" s="1002">
        <f t="shared" si="114"/>
        <v>1</v>
      </c>
      <c r="BI243" s="1002">
        <f t="shared" si="115"/>
        <v>1</v>
      </c>
      <c r="BJ243" s="1002">
        <f t="shared" si="116"/>
        <v>1</v>
      </c>
      <c r="BK243" s="1002">
        <f t="shared" si="117"/>
        <v>0</v>
      </c>
      <c r="BL243" s="1002">
        <f t="shared" si="118"/>
        <v>0</v>
      </c>
    </row>
    <row r="244" spans="2:69" x14ac:dyDescent="0.3">
      <c r="B244" s="1280">
        <v>145</v>
      </c>
      <c r="C244" s="977" t="s">
        <v>1102</v>
      </c>
      <c r="D244" s="977" t="s">
        <v>1829</v>
      </c>
      <c r="E244" s="977" t="s">
        <v>1550</v>
      </c>
      <c r="F244" s="978">
        <v>41692</v>
      </c>
      <c r="G244" s="977" t="s">
        <v>796</v>
      </c>
      <c r="H244" s="991" t="str">
        <f t="shared" si="111"/>
        <v>Voitto</v>
      </c>
      <c r="I244" s="991" t="s">
        <v>1515</v>
      </c>
      <c r="J244" s="991" t="s">
        <v>0</v>
      </c>
      <c r="K244" s="991" t="s">
        <v>2569</v>
      </c>
      <c r="L244" s="992">
        <f>N244+P244+R244</f>
        <v>4</v>
      </c>
      <c r="M244" s="992">
        <f>O244+Q244+S244</f>
        <v>3</v>
      </c>
      <c r="N244" s="1262">
        <v>2</v>
      </c>
      <c r="O244" s="992">
        <v>1</v>
      </c>
      <c r="P244" s="1262">
        <v>0</v>
      </c>
      <c r="Q244" s="992">
        <v>1</v>
      </c>
      <c r="R244" s="1262">
        <v>2</v>
      </c>
      <c r="S244" s="992">
        <v>1</v>
      </c>
      <c r="T244" s="1262"/>
      <c r="U244" s="992"/>
      <c r="V244" s="985"/>
      <c r="W244" s="985"/>
      <c r="X244" s="985"/>
      <c r="Y244" s="985"/>
      <c r="Z244" s="985"/>
      <c r="AA244" s="985"/>
      <c r="AB244" s="985"/>
      <c r="AC244" s="985"/>
      <c r="AD244" s="985"/>
      <c r="AE244" s="985"/>
      <c r="AF244" s="985"/>
      <c r="AG244" s="985"/>
      <c r="AH244" s="985"/>
      <c r="AI244" s="985"/>
      <c r="AJ244" s="985"/>
      <c r="AK244" s="985"/>
      <c r="AL244" s="985"/>
      <c r="AM244" s="985"/>
      <c r="AN244" s="8"/>
      <c r="AO244" s="983"/>
      <c r="AP244" s="983"/>
      <c r="AQ244" s="983"/>
      <c r="AR244" s="983"/>
      <c r="AS244" s="983"/>
      <c r="AT244" s="983"/>
      <c r="AU244" s="983"/>
      <c r="AV244" s="983"/>
      <c r="AW244" s="983"/>
      <c r="AX244" s="983"/>
      <c r="AY244" s="983"/>
      <c r="AZ244" s="983"/>
      <c r="BA244" s="983"/>
      <c r="BB244" s="983"/>
      <c r="BC244" s="983"/>
      <c r="BD244" s="983"/>
      <c r="BE244" s="983"/>
      <c r="BF244" s="983"/>
      <c r="BH244" s="1002">
        <f t="shared" si="114"/>
        <v>1</v>
      </c>
      <c r="BI244" s="1002">
        <f t="shared" si="115"/>
        <v>1</v>
      </c>
      <c r="BJ244" s="1002">
        <f t="shared" si="116"/>
        <v>1</v>
      </c>
      <c r="BK244" s="1002">
        <f t="shared" si="117"/>
        <v>0</v>
      </c>
      <c r="BL244" s="1002">
        <f t="shared" si="118"/>
        <v>0</v>
      </c>
    </row>
    <row r="245" spans="2:69" x14ac:dyDescent="0.3">
      <c r="B245" s="1280">
        <v>146</v>
      </c>
      <c r="C245" s="977" t="s">
        <v>1102</v>
      </c>
      <c r="D245" s="977" t="s">
        <v>1829</v>
      </c>
      <c r="E245" s="977" t="s">
        <v>1551</v>
      </c>
      <c r="F245" s="978">
        <v>41700</v>
      </c>
      <c r="G245" s="977" t="s">
        <v>151</v>
      </c>
      <c r="H245" s="991" t="str">
        <f t="shared" si="111"/>
        <v>Häviö</v>
      </c>
      <c r="I245" s="991" t="s">
        <v>1514</v>
      </c>
      <c r="J245" s="991" t="s">
        <v>0</v>
      </c>
      <c r="K245" s="991" t="s">
        <v>1002</v>
      </c>
      <c r="L245" s="992">
        <f t="shared" ref="L245:L247" si="119">N245+P245+R245</f>
        <v>2</v>
      </c>
      <c r="M245" s="992">
        <f t="shared" ref="M245:M247" si="120">O245+Q245+S245</f>
        <v>6</v>
      </c>
      <c r="N245" s="1262">
        <v>1</v>
      </c>
      <c r="O245" s="992">
        <v>3</v>
      </c>
      <c r="P245" s="1262">
        <v>0</v>
      </c>
      <c r="Q245" s="992">
        <v>0</v>
      </c>
      <c r="R245" s="1262">
        <v>1</v>
      </c>
      <c r="S245" s="992">
        <v>3</v>
      </c>
      <c r="T245" s="1262"/>
      <c r="U245" s="992"/>
      <c r="V245" s="985"/>
      <c r="W245" s="985"/>
      <c r="X245" s="985"/>
      <c r="Y245" s="985"/>
      <c r="Z245" s="985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8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H245" s="1002">
        <f t="shared" si="114"/>
        <v>1</v>
      </c>
      <c r="BI245" s="1002">
        <f t="shared" si="115"/>
        <v>1</v>
      </c>
      <c r="BJ245" s="1002">
        <f t="shared" si="116"/>
        <v>1</v>
      </c>
      <c r="BK245" s="1002">
        <f t="shared" si="117"/>
        <v>0</v>
      </c>
      <c r="BL245" s="1002">
        <f t="shared" si="118"/>
        <v>0</v>
      </c>
    </row>
    <row r="246" spans="2:69" x14ac:dyDescent="0.3">
      <c r="B246" s="1280">
        <v>147</v>
      </c>
      <c r="C246" s="977" t="s">
        <v>1102</v>
      </c>
      <c r="D246" s="977" t="s">
        <v>1829</v>
      </c>
      <c r="E246" s="977" t="s">
        <v>1552</v>
      </c>
      <c r="F246" s="978">
        <v>41713</v>
      </c>
      <c r="G246" s="977" t="s">
        <v>796</v>
      </c>
      <c r="H246" s="991" t="str">
        <f t="shared" si="111"/>
        <v>Tasapeli</v>
      </c>
      <c r="I246" s="991" t="s">
        <v>1515</v>
      </c>
      <c r="J246" s="991" t="s">
        <v>0</v>
      </c>
      <c r="K246" s="991" t="s">
        <v>1009</v>
      </c>
      <c r="L246" s="992">
        <f t="shared" si="119"/>
        <v>8</v>
      </c>
      <c r="M246" s="992">
        <f t="shared" si="120"/>
        <v>8</v>
      </c>
      <c r="N246" s="1262">
        <v>1</v>
      </c>
      <c r="O246" s="992">
        <v>5</v>
      </c>
      <c r="P246" s="1262">
        <v>2</v>
      </c>
      <c r="Q246" s="992">
        <v>2</v>
      </c>
      <c r="R246" s="1262">
        <v>5</v>
      </c>
      <c r="S246" s="992">
        <v>1</v>
      </c>
      <c r="T246" s="1262"/>
      <c r="U246" s="992"/>
      <c r="V246" s="985"/>
      <c r="W246" s="985"/>
      <c r="X246" s="985"/>
      <c r="Y246" s="985"/>
      <c r="Z246" s="985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8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H246" s="1002">
        <f t="shared" si="114"/>
        <v>1</v>
      </c>
      <c r="BI246" s="1002">
        <f t="shared" si="115"/>
        <v>1</v>
      </c>
      <c r="BJ246" s="1002">
        <f t="shared" si="116"/>
        <v>1</v>
      </c>
      <c r="BK246" s="1002">
        <f t="shared" si="117"/>
        <v>0</v>
      </c>
      <c r="BL246" s="1002">
        <f t="shared" si="118"/>
        <v>0</v>
      </c>
    </row>
    <row r="247" spans="2:69" x14ac:dyDescent="0.3">
      <c r="B247" s="1280">
        <v>148</v>
      </c>
      <c r="C247" s="977" t="s">
        <v>1102</v>
      </c>
      <c r="D247" s="977" t="s">
        <v>1829</v>
      </c>
      <c r="E247" s="977" t="s">
        <v>1553</v>
      </c>
      <c r="F247" s="978">
        <v>41713</v>
      </c>
      <c r="G247" s="977" t="s">
        <v>796</v>
      </c>
      <c r="H247" s="991" t="str">
        <f t="shared" si="111"/>
        <v>Voitto</v>
      </c>
      <c r="I247" s="991" t="s">
        <v>1514</v>
      </c>
      <c r="J247" s="991" t="s">
        <v>0</v>
      </c>
      <c r="K247" s="991" t="s">
        <v>1013</v>
      </c>
      <c r="L247" s="992">
        <f t="shared" si="119"/>
        <v>8</v>
      </c>
      <c r="M247" s="992">
        <f t="shared" si="120"/>
        <v>7</v>
      </c>
      <c r="N247" s="1262">
        <v>2</v>
      </c>
      <c r="O247" s="992">
        <v>2</v>
      </c>
      <c r="P247" s="1262">
        <v>2</v>
      </c>
      <c r="Q247" s="992">
        <v>3</v>
      </c>
      <c r="R247" s="1262">
        <v>4</v>
      </c>
      <c r="S247" s="992">
        <v>2</v>
      </c>
      <c r="T247" s="1262"/>
      <c r="U247" s="992"/>
      <c r="V247" s="985"/>
      <c r="W247" s="985"/>
      <c r="X247" s="985"/>
      <c r="Y247" s="985"/>
      <c r="Z247" s="985"/>
      <c r="AA247" s="985"/>
      <c r="AB247" s="985"/>
      <c r="AC247" s="985"/>
      <c r="AD247" s="985"/>
      <c r="AE247" s="985"/>
      <c r="AF247" s="985"/>
      <c r="AG247" s="985"/>
      <c r="AH247" s="985"/>
      <c r="AI247" s="985"/>
      <c r="AJ247" s="985"/>
      <c r="AK247" s="985"/>
      <c r="AL247" s="985"/>
      <c r="AM247" s="985"/>
      <c r="AN247" s="8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H247" s="1002">
        <f t="shared" si="114"/>
        <v>1</v>
      </c>
      <c r="BI247" s="1002">
        <f t="shared" si="115"/>
        <v>1</v>
      </c>
      <c r="BJ247" s="1002">
        <f t="shared" si="116"/>
        <v>1</v>
      </c>
      <c r="BK247" s="1002">
        <f t="shared" si="117"/>
        <v>0</v>
      </c>
      <c r="BL247" s="1002">
        <f t="shared" si="118"/>
        <v>0</v>
      </c>
    </row>
    <row r="249" spans="2:69" x14ac:dyDescent="0.3">
      <c r="F249" s="975"/>
      <c r="G249" s="975" t="s">
        <v>2036</v>
      </c>
      <c r="H249" s="975"/>
      <c r="I249" s="1003"/>
      <c r="J249" s="1003"/>
      <c r="K249" s="1003"/>
      <c r="L249" s="1003" t="s">
        <v>2037</v>
      </c>
      <c r="M249" s="1003" t="s">
        <v>2038</v>
      </c>
      <c r="O249" s="1003" t="s">
        <v>1409</v>
      </c>
      <c r="P249" s="1003" t="s">
        <v>1410</v>
      </c>
      <c r="Q249" s="1003" t="s">
        <v>1411</v>
      </c>
      <c r="V249" s="981" t="s">
        <v>1557</v>
      </c>
      <c r="W249" s="981" t="s">
        <v>1556</v>
      </c>
      <c r="X249" s="981" t="s">
        <v>501</v>
      </c>
      <c r="Y249" s="981" t="s">
        <v>708</v>
      </c>
      <c r="Z249" s="981" t="s">
        <v>82</v>
      </c>
      <c r="AA249" s="981" t="s">
        <v>709</v>
      </c>
      <c r="AB249" s="981" t="s">
        <v>1419</v>
      </c>
      <c r="AC249" s="981" t="s">
        <v>1420</v>
      </c>
      <c r="AD249" s="982" t="s">
        <v>1827</v>
      </c>
      <c r="AE249" s="981" t="s">
        <v>1828</v>
      </c>
      <c r="AF249" s="981" t="s">
        <v>1425</v>
      </c>
      <c r="AG249" s="981" t="s">
        <v>1535</v>
      </c>
      <c r="AH249" s="981" t="s">
        <v>1536</v>
      </c>
      <c r="AI249" s="981" t="s">
        <v>1559</v>
      </c>
      <c r="AJ249" s="981" t="s">
        <v>1896</v>
      </c>
      <c r="AK249" s="981" t="s">
        <v>1967</v>
      </c>
      <c r="AL249" s="981" t="s">
        <v>19</v>
      </c>
      <c r="AM249" s="981"/>
      <c r="AO249" s="979" t="s">
        <v>1557</v>
      </c>
      <c r="AP249" s="979" t="s">
        <v>1556</v>
      </c>
      <c r="AQ249" s="979" t="s">
        <v>501</v>
      </c>
      <c r="AR249" s="979" t="s">
        <v>708</v>
      </c>
      <c r="AS249" s="979" t="s">
        <v>82</v>
      </c>
      <c r="AT249" s="979" t="s">
        <v>709</v>
      </c>
      <c r="AU249" s="979" t="s">
        <v>1419</v>
      </c>
      <c r="AV249" s="979" t="s">
        <v>1420</v>
      </c>
      <c r="AW249" s="980" t="s">
        <v>1827</v>
      </c>
      <c r="AX249" s="979" t="s">
        <v>1828</v>
      </c>
      <c r="AY249" s="979" t="s">
        <v>1425</v>
      </c>
      <c r="AZ249" s="979" t="s">
        <v>1535</v>
      </c>
      <c r="BA249" s="979" t="s">
        <v>1536</v>
      </c>
      <c r="BB249" s="979" t="s">
        <v>1559</v>
      </c>
      <c r="BC249" s="979" t="s">
        <v>1896</v>
      </c>
      <c r="BD249" s="979" t="s">
        <v>1967</v>
      </c>
      <c r="BE249" s="979" t="s">
        <v>19</v>
      </c>
      <c r="BF249" s="979"/>
      <c r="BH249" s="1001" t="s">
        <v>2045</v>
      </c>
      <c r="BI249" s="1001"/>
      <c r="BJ249" s="1001" t="s">
        <v>1913</v>
      </c>
      <c r="BK249" s="1001" t="s">
        <v>537</v>
      </c>
      <c r="BL249" s="1001" t="s">
        <v>1128</v>
      </c>
    </row>
    <row r="250" spans="2:69" x14ac:dyDescent="0.3">
      <c r="F250" s="977" t="str">
        <f>C228</f>
        <v>2013-2014</v>
      </c>
      <c r="G250" s="977" t="s">
        <v>1829</v>
      </c>
      <c r="H250" s="977"/>
      <c r="I250" s="1004"/>
      <c r="J250" s="1004"/>
      <c r="K250" s="1004"/>
      <c r="L250" s="1004">
        <f>SUM(L230:L247)</f>
        <v>87</v>
      </c>
      <c r="M250" s="1004">
        <f>SUM(M230:M247)</f>
        <v>89</v>
      </c>
      <c r="N250" s="8"/>
      <c r="O250" s="1004">
        <f>COUNTIF(H230:H247,"Voitto")</f>
        <v>9</v>
      </c>
      <c r="P250" s="1004">
        <f>COUNTIF(H230:H247,"Tasapeli")</f>
        <v>1</v>
      </c>
      <c r="Q250" s="1004">
        <f>COUNTIF(H230:H247,"Häviö")</f>
        <v>8</v>
      </c>
      <c r="V250" s="8">
        <f>SUM(V230:V247)</f>
        <v>0</v>
      </c>
      <c r="W250" s="8">
        <f t="shared" ref="W250:AK250" si="121">SUM(W230:W247)</f>
        <v>0</v>
      </c>
      <c r="X250" s="8">
        <f t="shared" si="121"/>
        <v>0</v>
      </c>
      <c r="Y250" s="8">
        <f t="shared" si="121"/>
        <v>0</v>
      </c>
      <c r="Z250" s="8">
        <f t="shared" si="121"/>
        <v>0</v>
      </c>
      <c r="AA250" s="8">
        <f t="shared" si="121"/>
        <v>0</v>
      </c>
      <c r="AB250" s="8">
        <f t="shared" si="121"/>
        <v>0</v>
      </c>
      <c r="AC250" s="8">
        <f t="shared" si="121"/>
        <v>0</v>
      </c>
      <c r="AD250" s="8">
        <f t="shared" si="121"/>
        <v>0</v>
      </c>
      <c r="AE250" s="8">
        <f t="shared" si="121"/>
        <v>0</v>
      </c>
      <c r="AF250" s="8">
        <f t="shared" si="121"/>
        <v>0</v>
      </c>
      <c r="AG250" s="8">
        <f t="shared" si="121"/>
        <v>0</v>
      </c>
      <c r="AH250" s="8">
        <f t="shared" si="121"/>
        <v>0</v>
      </c>
      <c r="AI250" s="8">
        <f t="shared" si="121"/>
        <v>0</v>
      </c>
      <c r="AJ250" s="8">
        <f t="shared" si="121"/>
        <v>0</v>
      </c>
      <c r="AK250" s="8">
        <f t="shared" si="121"/>
        <v>0</v>
      </c>
      <c r="AL250" s="8">
        <f>MIN(AL230:AL247)</f>
        <v>0</v>
      </c>
      <c r="AM250" s="8">
        <f>MAX(AL230:AL247)</f>
        <v>0</v>
      </c>
      <c r="AO250" s="8">
        <f>SUM(AO230:AO247)</f>
        <v>0</v>
      </c>
      <c r="AP250" s="8">
        <f t="shared" ref="AP250:BD250" si="122">SUM(AP230:AP247)</f>
        <v>0</v>
      </c>
      <c r="AQ250" s="8">
        <f t="shared" si="122"/>
        <v>0</v>
      </c>
      <c r="AR250" s="8">
        <f t="shared" si="122"/>
        <v>0</v>
      </c>
      <c r="AS250" s="8">
        <f t="shared" si="122"/>
        <v>0</v>
      </c>
      <c r="AT250" s="8">
        <f t="shared" si="122"/>
        <v>0</v>
      </c>
      <c r="AU250" s="8">
        <f t="shared" si="122"/>
        <v>0</v>
      </c>
      <c r="AV250" s="8">
        <f t="shared" si="122"/>
        <v>0</v>
      </c>
      <c r="AW250" s="8">
        <f t="shared" si="122"/>
        <v>0</v>
      </c>
      <c r="AX250" s="8">
        <f t="shared" si="122"/>
        <v>0</v>
      </c>
      <c r="AY250" s="8">
        <f t="shared" si="122"/>
        <v>0</v>
      </c>
      <c r="AZ250" s="8">
        <f t="shared" si="122"/>
        <v>0</v>
      </c>
      <c r="BA250" s="8">
        <f t="shared" si="122"/>
        <v>0</v>
      </c>
      <c r="BB250" s="8">
        <f t="shared" si="122"/>
        <v>0</v>
      </c>
      <c r="BC250" s="8">
        <f t="shared" si="122"/>
        <v>0</v>
      </c>
      <c r="BD250" s="8">
        <f t="shared" si="122"/>
        <v>0</v>
      </c>
      <c r="BE250">
        <f>MIN(BE230:BE247)</f>
        <v>0</v>
      </c>
      <c r="BF250">
        <f>MAX(BE230:BE247)</f>
        <v>0</v>
      </c>
      <c r="BJ250" s="8">
        <f>SUM(BJ230:BJ247)</f>
        <v>18</v>
      </c>
      <c r="BK250" s="8">
        <f>SUM(BK230:BK247)</f>
        <v>0</v>
      </c>
      <c r="BL250" s="8">
        <f>SUM(BL230:BL247)</f>
        <v>0</v>
      </c>
    </row>
    <row r="255" spans="2:69" x14ac:dyDescent="0.3">
      <c r="C255" s="205" t="s">
        <v>1385</v>
      </c>
      <c r="D255" s="205" t="s">
        <v>2626</v>
      </c>
      <c r="V255" s="205" t="s">
        <v>0</v>
      </c>
      <c r="AO255" s="265" t="s">
        <v>1895</v>
      </c>
      <c r="BP255" s="205" t="s">
        <v>1385</v>
      </c>
      <c r="BQ255" s="205" t="s">
        <v>2620</v>
      </c>
    </row>
    <row r="256" spans="2:69" x14ac:dyDescent="0.3">
      <c r="B256" s="1003" t="s">
        <v>1393</v>
      </c>
      <c r="C256" s="975" t="s">
        <v>1831</v>
      </c>
      <c r="D256" s="975" t="s">
        <v>1830</v>
      </c>
      <c r="E256" s="975" t="s">
        <v>1832</v>
      </c>
      <c r="F256" s="975" t="s">
        <v>1836</v>
      </c>
      <c r="G256" s="975" t="s">
        <v>1835</v>
      </c>
      <c r="H256" s="989" t="s">
        <v>1407</v>
      </c>
      <c r="I256" s="990" t="s">
        <v>2019</v>
      </c>
      <c r="J256" s="990" t="s">
        <v>0</v>
      </c>
      <c r="K256" s="990" t="s">
        <v>1128</v>
      </c>
      <c r="L256" s="1324" t="s">
        <v>1407</v>
      </c>
      <c r="M256" s="1325"/>
      <c r="N256" s="1326" t="s">
        <v>1822</v>
      </c>
      <c r="O256" s="1325"/>
      <c r="P256" s="1326" t="s">
        <v>1823</v>
      </c>
      <c r="Q256" s="1325"/>
      <c r="R256" s="1326" t="s">
        <v>1824</v>
      </c>
      <c r="S256" s="1325"/>
      <c r="T256" s="1326" t="s">
        <v>2706</v>
      </c>
      <c r="U256" s="1324"/>
      <c r="V256" s="981" t="s">
        <v>1557</v>
      </c>
      <c r="W256" s="981" t="s">
        <v>1556</v>
      </c>
      <c r="X256" s="981" t="s">
        <v>501</v>
      </c>
      <c r="Y256" s="981" t="s">
        <v>708</v>
      </c>
      <c r="Z256" s="981" t="s">
        <v>82</v>
      </c>
      <c r="AA256" s="981" t="s">
        <v>709</v>
      </c>
      <c r="AB256" s="981" t="s">
        <v>1419</v>
      </c>
      <c r="AC256" s="981" t="s">
        <v>1420</v>
      </c>
      <c r="AD256" s="982" t="s">
        <v>1827</v>
      </c>
      <c r="AE256" s="981" t="s">
        <v>1828</v>
      </c>
      <c r="AF256" s="981" t="s">
        <v>1425</v>
      </c>
      <c r="AG256" s="981" t="s">
        <v>1535</v>
      </c>
      <c r="AH256" s="981" t="s">
        <v>1536</v>
      </c>
      <c r="AI256" s="981" t="s">
        <v>1559</v>
      </c>
      <c r="AJ256" s="981" t="s">
        <v>1896</v>
      </c>
      <c r="AK256" s="981" t="s">
        <v>1967</v>
      </c>
      <c r="AL256" s="981" t="s">
        <v>19</v>
      </c>
      <c r="AM256" s="981"/>
      <c r="AN256" s="265"/>
      <c r="AO256" s="979" t="s">
        <v>1557</v>
      </c>
      <c r="AP256" s="979" t="s">
        <v>1556</v>
      </c>
      <c r="AQ256" s="979" t="s">
        <v>501</v>
      </c>
      <c r="AR256" s="979" t="s">
        <v>708</v>
      </c>
      <c r="AS256" s="979" t="s">
        <v>82</v>
      </c>
      <c r="AT256" s="979" t="s">
        <v>709</v>
      </c>
      <c r="AU256" s="979" t="s">
        <v>1419</v>
      </c>
      <c r="AV256" s="979" t="s">
        <v>1420</v>
      </c>
      <c r="AW256" s="980" t="s">
        <v>1827</v>
      </c>
      <c r="AX256" s="979" t="s">
        <v>1828</v>
      </c>
      <c r="AY256" s="979" t="s">
        <v>1425</v>
      </c>
      <c r="AZ256" s="979" t="s">
        <v>1535</v>
      </c>
      <c r="BA256" s="979" t="s">
        <v>1536</v>
      </c>
      <c r="BB256" s="979" t="s">
        <v>1559</v>
      </c>
      <c r="BC256" s="979" t="s">
        <v>1896</v>
      </c>
      <c r="BD256" s="979" t="s">
        <v>1967</v>
      </c>
      <c r="BE256" s="979" t="s">
        <v>19</v>
      </c>
      <c r="BF256" s="979"/>
      <c r="BH256" s="1001" t="s">
        <v>1911</v>
      </c>
      <c r="BI256" s="1001" t="s">
        <v>1912</v>
      </c>
      <c r="BJ256" s="1001" t="s">
        <v>1913</v>
      </c>
      <c r="BK256" s="1001" t="s">
        <v>537</v>
      </c>
      <c r="BL256" s="1001" t="s">
        <v>1128</v>
      </c>
    </row>
    <row r="257" spans="2:75" x14ac:dyDescent="0.3">
      <c r="B257" s="1280">
        <v>149</v>
      </c>
      <c r="C257" s="977" t="s">
        <v>1385</v>
      </c>
      <c r="D257" s="977" t="s">
        <v>1829</v>
      </c>
      <c r="E257" s="977" t="s">
        <v>1516</v>
      </c>
      <c r="F257" s="978">
        <v>41916</v>
      </c>
      <c r="G257" s="977" t="s">
        <v>796</v>
      </c>
      <c r="H257" s="991" t="str">
        <f t="shared" ref="H257:H274" si="123">IF(L257=M257,"Tasapeli",IF(L257&lt;M257,"Häviö","Voitto"))</f>
        <v>Voitto</v>
      </c>
      <c r="I257" s="991" t="s">
        <v>1514</v>
      </c>
      <c r="J257" s="991" t="s">
        <v>0</v>
      </c>
      <c r="K257" s="991" t="s">
        <v>1110</v>
      </c>
      <c r="L257" s="992">
        <f t="shared" ref="L257:L270" si="124">N257+P257+R257</f>
        <v>3</v>
      </c>
      <c r="M257" s="992">
        <f t="shared" ref="M257:M270" si="125">O257+Q257+S257</f>
        <v>1</v>
      </c>
      <c r="N257" s="1262">
        <v>0</v>
      </c>
      <c r="O257" s="992">
        <v>0</v>
      </c>
      <c r="P257" s="1262">
        <v>1</v>
      </c>
      <c r="Q257" s="992">
        <v>0</v>
      </c>
      <c r="R257" s="1262">
        <v>2</v>
      </c>
      <c r="S257" s="992">
        <v>1</v>
      </c>
      <c r="T257" s="1262"/>
      <c r="U257" s="992"/>
      <c r="V257" s="985"/>
      <c r="W257" s="985"/>
      <c r="X257" s="985"/>
      <c r="Y257" s="985"/>
      <c r="Z257" s="985"/>
      <c r="AA257" s="985"/>
      <c r="AB257" s="985"/>
      <c r="AC257" s="985"/>
      <c r="AD257" s="985"/>
      <c r="AE257" s="985"/>
      <c r="AF257" s="985"/>
      <c r="AG257" s="985"/>
      <c r="AH257" s="985"/>
      <c r="AI257" s="985"/>
      <c r="AJ257" s="985"/>
      <c r="AK257" s="985"/>
      <c r="AL257" s="985"/>
      <c r="AM257" s="985"/>
      <c r="AN257" s="8"/>
      <c r="AO257" s="983"/>
      <c r="AP257" s="983"/>
      <c r="AQ257" s="983"/>
      <c r="AR257" s="983"/>
      <c r="AS257" s="983"/>
      <c r="AT257" s="983"/>
      <c r="AU257" s="983"/>
      <c r="AV257" s="983"/>
      <c r="AW257" s="983"/>
      <c r="AX257" s="983"/>
      <c r="AY257" s="983"/>
      <c r="AZ257" s="983"/>
      <c r="BA257" s="983"/>
      <c r="BB257" s="983"/>
      <c r="BC257" s="983"/>
      <c r="BD257" s="983"/>
      <c r="BE257" s="983"/>
      <c r="BF257" s="983"/>
      <c r="BH257" s="1002">
        <f>IF(V257=0,1,0)</f>
        <v>1</v>
      </c>
      <c r="BI257" s="1002">
        <f>IF(AO257=0,1,0)</f>
        <v>1</v>
      </c>
      <c r="BJ257" s="1002">
        <f>IF(V257+AO257=0,1,0)</f>
        <v>1</v>
      </c>
      <c r="BK257" s="1002">
        <f>IF(BH257&gt;BI257,1,0)</f>
        <v>0</v>
      </c>
      <c r="BL257" s="1002">
        <f>IF(BI257&gt;BH257,1,0)</f>
        <v>0</v>
      </c>
      <c r="BO257" s="1282" t="s">
        <v>1393</v>
      </c>
      <c r="BP257" s="1281" t="s">
        <v>989</v>
      </c>
      <c r="BQ257" s="1282" t="s">
        <v>877</v>
      </c>
      <c r="BR257" s="1282" t="s">
        <v>990</v>
      </c>
      <c r="BS257" s="1282" t="s">
        <v>991</v>
      </c>
      <c r="BT257" s="1282" t="s">
        <v>992</v>
      </c>
      <c r="BU257" s="1282" t="s">
        <v>139</v>
      </c>
      <c r="BV257" s="1282" t="s">
        <v>993</v>
      </c>
      <c r="BW257" s="1282" t="s">
        <v>610</v>
      </c>
    </row>
    <row r="258" spans="2:75" ht="15" thickBot="1" x14ac:dyDescent="0.35">
      <c r="B258" s="1280">
        <v>150</v>
      </c>
      <c r="C258" s="977" t="s">
        <v>1385</v>
      </c>
      <c r="D258" s="977" t="s">
        <v>1829</v>
      </c>
      <c r="E258" s="977" t="s">
        <v>1537</v>
      </c>
      <c r="F258" s="978">
        <v>41916</v>
      </c>
      <c r="G258" s="977" t="s">
        <v>796</v>
      </c>
      <c r="H258" s="991" t="str">
        <f t="shared" si="123"/>
        <v>Häviö</v>
      </c>
      <c r="I258" s="991" t="s">
        <v>1515</v>
      </c>
      <c r="J258" s="991" t="s">
        <v>0</v>
      </c>
      <c r="K258" s="991" t="s">
        <v>1126</v>
      </c>
      <c r="L258" s="992">
        <f t="shared" si="124"/>
        <v>3</v>
      </c>
      <c r="M258" s="992">
        <f t="shared" si="125"/>
        <v>6</v>
      </c>
      <c r="N258" s="1262">
        <v>1</v>
      </c>
      <c r="O258" s="992">
        <v>1</v>
      </c>
      <c r="P258" s="1262">
        <v>1</v>
      </c>
      <c r="Q258" s="992">
        <v>1</v>
      </c>
      <c r="R258" s="1262">
        <v>1</v>
      </c>
      <c r="S258" s="992">
        <v>4</v>
      </c>
      <c r="T258" s="1262"/>
      <c r="U258" s="992"/>
      <c r="V258" s="985"/>
      <c r="W258" s="985"/>
      <c r="X258" s="985"/>
      <c r="Y258" s="985"/>
      <c r="Z258" s="985"/>
      <c r="AA258" s="985"/>
      <c r="AB258" s="985"/>
      <c r="AC258" s="985"/>
      <c r="AD258" s="985"/>
      <c r="AE258" s="985"/>
      <c r="AF258" s="985"/>
      <c r="AG258" s="985"/>
      <c r="AH258" s="985"/>
      <c r="AI258" s="985"/>
      <c r="AJ258" s="985"/>
      <c r="AK258" s="985"/>
      <c r="AL258" s="985"/>
      <c r="AM258" s="985"/>
      <c r="AN258" s="8"/>
      <c r="AO258" s="983"/>
      <c r="AP258" s="983"/>
      <c r="AQ258" s="983"/>
      <c r="AR258" s="983"/>
      <c r="AS258" s="983"/>
      <c r="AT258" s="983"/>
      <c r="AU258" s="983"/>
      <c r="AV258" s="983"/>
      <c r="AW258" s="983"/>
      <c r="AX258" s="983"/>
      <c r="AY258" s="983"/>
      <c r="AZ258" s="983"/>
      <c r="BA258" s="983"/>
      <c r="BB258" s="983"/>
      <c r="BC258" s="983"/>
      <c r="BD258" s="983"/>
      <c r="BE258" s="988"/>
      <c r="BF258" s="988"/>
      <c r="BH258" s="1002">
        <f t="shared" ref="BH258:BH274" si="126">IF(V258=0,1,0)</f>
        <v>1</v>
      </c>
      <c r="BI258" s="1002">
        <f t="shared" ref="BI258:BI274" si="127">IF(AO258=0,1,0)</f>
        <v>1</v>
      </c>
      <c r="BJ258" s="1002">
        <f t="shared" ref="BJ258:BJ274" si="128">IF(V258+AO258=0,1,0)</f>
        <v>1</v>
      </c>
      <c r="BK258" s="1002">
        <f t="shared" ref="BK258:BK274" si="129">IF(BH258&gt;BI258,1,0)</f>
        <v>0</v>
      </c>
      <c r="BL258" s="1002">
        <f t="shared" ref="BL258:BL274" si="130">IF(BI258&gt;BH258,1,0)</f>
        <v>0</v>
      </c>
      <c r="BO258" s="121">
        <v>1</v>
      </c>
      <c r="BP258" s="1285" t="s">
        <v>1126</v>
      </c>
      <c r="BQ258" s="121">
        <v>20</v>
      </c>
      <c r="BR258" s="121">
        <v>17</v>
      </c>
      <c r="BS258" s="121">
        <v>0</v>
      </c>
      <c r="BT258" s="121">
        <v>3</v>
      </c>
      <c r="BU258" s="121">
        <v>115</v>
      </c>
      <c r="BV258" s="121">
        <v>41</v>
      </c>
      <c r="BW258" s="121">
        <v>34</v>
      </c>
    </row>
    <row r="259" spans="2:75" x14ac:dyDescent="0.3">
      <c r="B259" s="1280">
        <v>151</v>
      </c>
      <c r="C259" s="977" t="s">
        <v>1385</v>
      </c>
      <c r="D259" s="977" t="s">
        <v>1829</v>
      </c>
      <c r="E259" s="977" t="s">
        <v>1538</v>
      </c>
      <c r="F259" s="978">
        <v>41937</v>
      </c>
      <c r="G259" s="977" t="s">
        <v>1027</v>
      </c>
      <c r="H259" s="991" t="str">
        <f t="shared" si="123"/>
        <v>Voitto</v>
      </c>
      <c r="I259" s="991" t="s">
        <v>1515</v>
      </c>
      <c r="J259" s="991" t="s">
        <v>0</v>
      </c>
      <c r="K259" s="991" t="s">
        <v>1110</v>
      </c>
      <c r="L259" s="992">
        <f t="shared" si="124"/>
        <v>6</v>
      </c>
      <c r="M259" s="992">
        <f t="shared" si="125"/>
        <v>3</v>
      </c>
      <c r="N259" s="1262">
        <v>0</v>
      </c>
      <c r="O259" s="992">
        <v>1</v>
      </c>
      <c r="P259" s="1262">
        <v>2</v>
      </c>
      <c r="Q259" s="992">
        <v>1</v>
      </c>
      <c r="R259" s="1262">
        <v>4</v>
      </c>
      <c r="S259" s="992">
        <v>1</v>
      </c>
      <c r="T259" s="1262"/>
      <c r="U259" s="992"/>
      <c r="V259" s="985"/>
      <c r="W259" s="985"/>
      <c r="X259" s="985"/>
      <c r="Y259" s="985"/>
      <c r="Z259" s="985"/>
      <c r="AA259" s="985"/>
      <c r="AB259" s="985"/>
      <c r="AC259" s="985"/>
      <c r="AD259" s="985"/>
      <c r="AE259" s="985"/>
      <c r="AF259" s="985"/>
      <c r="AG259" s="985"/>
      <c r="AH259" s="985"/>
      <c r="AI259" s="985"/>
      <c r="AJ259" s="985"/>
      <c r="AK259" s="985"/>
      <c r="AL259" s="986"/>
      <c r="AM259" s="986"/>
      <c r="AN259" s="8"/>
      <c r="AO259" s="983"/>
      <c r="AP259" s="983"/>
      <c r="AQ259" s="983"/>
      <c r="AR259" s="983"/>
      <c r="AS259" s="983"/>
      <c r="AT259" s="983"/>
      <c r="AU259" s="983"/>
      <c r="AV259" s="983"/>
      <c r="AW259" s="983"/>
      <c r="AX259" s="983"/>
      <c r="AY259" s="983"/>
      <c r="AZ259" s="983"/>
      <c r="BA259" s="983"/>
      <c r="BB259" s="983"/>
      <c r="BC259" s="983"/>
      <c r="BD259" s="983"/>
      <c r="BE259" s="988"/>
      <c r="BF259" s="988"/>
      <c r="BH259" s="1002">
        <f t="shared" si="126"/>
        <v>1</v>
      </c>
      <c r="BI259" s="1002">
        <f t="shared" si="127"/>
        <v>1</v>
      </c>
      <c r="BJ259" s="1002">
        <f t="shared" si="128"/>
        <v>1</v>
      </c>
      <c r="BK259" s="1002">
        <f t="shared" si="129"/>
        <v>0</v>
      </c>
      <c r="BL259" s="1002">
        <f t="shared" si="130"/>
        <v>0</v>
      </c>
      <c r="BO259" s="227">
        <v>2</v>
      </c>
      <c r="BP259" s="141" t="s">
        <v>1220</v>
      </c>
      <c r="BQ259" s="227">
        <v>20</v>
      </c>
      <c r="BR259" s="227">
        <v>13</v>
      </c>
      <c r="BS259" s="227">
        <v>1</v>
      </c>
      <c r="BT259" s="227">
        <v>6</v>
      </c>
      <c r="BU259" s="227">
        <v>112</v>
      </c>
      <c r="BV259" s="227">
        <v>85</v>
      </c>
      <c r="BW259" s="227">
        <v>27</v>
      </c>
    </row>
    <row r="260" spans="2:75" ht="15" thickBot="1" x14ac:dyDescent="0.35">
      <c r="B260" s="1280">
        <v>152</v>
      </c>
      <c r="C260" s="977" t="s">
        <v>1385</v>
      </c>
      <c r="D260" s="977" t="s">
        <v>1829</v>
      </c>
      <c r="E260" s="977" t="s">
        <v>1539</v>
      </c>
      <c r="F260" s="978">
        <v>41937</v>
      </c>
      <c r="G260" s="977" t="s">
        <v>1027</v>
      </c>
      <c r="H260" s="991" t="str">
        <f t="shared" si="123"/>
        <v>Häviö</v>
      </c>
      <c r="I260" s="991" t="s">
        <v>1514</v>
      </c>
      <c r="J260" s="991" t="s">
        <v>0</v>
      </c>
      <c r="K260" s="991" t="s">
        <v>1395</v>
      </c>
      <c r="L260" s="992">
        <f t="shared" si="124"/>
        <v>1</v>
      </c>
      <c r="M260" s="992">
        <f t="shared" si="125"/>
        <v>2</v>
      </c>
      <c r="N260" s="1262">
        <v>0</v>
      </c>
      <c r="O260" s="992">
        <v>0</v>
      </c>
      <c r="P260" s="1262">
        <v>1</v>
      </c>
      <c r="Q260" s="992">
        <v>2</v>
      </c>
      <c r="R260" s="1262">
        <v>0</v>
      </c>
      <c r="S260" s="992">
        <v>0</v>
      </c>
      <c r="T260" s="1262"/>
      <c r="U260" s="992"/>
      <c r="V260" s="985"/>
      <c r="W260" s="985"/>
      <c r="X260" s="987"/>
      <c r="Y260" s="987"/>
      <c r="Z260" s="987"/>
      <c r="AA260" s="987"/>
      <c r="AB260" s="987"/>
      <c r="AC260" s="987"/>
      <c r="AD260" s="987"/>
      <c r="AE260" s="987"/>
      <c r="AF260" s="987"/>
      <c r="AG260" s="987"/>
      <c r="AH260" s="987"/>
      <c r="AI260" s="987"/>
      <c r="AJ260" s="987"/>
      <c r="AK260" s="985"/>
      <c r="AL260" s="985"/>
      <c r="AM260" s="985"/>
      <c r="AO260" s="983"/>
      <c r="AP260" s="983"/>
      <c r="AQ260" s="983"/>
      <c r="AR260" s="976"/>
      <c r="AS260" s="976"/>
      <c r="AT260" s="976"/>
      <c r="AU260" s="976"/>
      <c r="AV260" s="976"/>
      <c r="AW260" s="976"/>
      <c r="AX260" s="976"/>
      <c r="AY260" s="976"/>
      <c r="AZ260" s="976"/>
      <c r="BA260" s="976"/>
      <c r="BB260" s="976"/>
      <c r="BC260" s="976"/>
      <c r="BD260" s="983"/>
      <c r="BE260" s="984"/>
      <c r="BF260" s="984"/>
      <c r="BH260" s="1002">
        <f t="shared" si="126"/>
        <v>1</v>
      </c>
      <c r="BI260" s="1002">
        <f t="shared" si="127"/>
        <v>1</v>
      </c>
      <c r="BJ260" s="1002">
        <f t="shared" si="128"/>
        <v>1</v>
      </c>
      <c r="BK260" s="1002">
        <f t="shared" si="129"/>
        <v>0</v>
      </c>
      <c r="BL260" s="1002">
        <f t="shared" si="130"/>
        <v>0</v>
      </c>
      <c r="BO260" s="1288">
        <v>3</v>
      </c>
      <c r="BP260" s="1289" t="s">
        <v>0</v>
      </c>
      <c r="BQ260" s="1288">
        <v>20</v>
      </c>
      <c r="BR260" s="1288">
        <v>12</v>
      </c>
      <c r="BS260" s="1288">
        <v>3</v>
      </c>
      <c r="BT260" s="1288">
        <v>5</v>
      </c>
      <c r="BU260" s="1288">
        <v>105</v>
      </c>
      <c r="BV260" s="1288">
        <v>69</v>
      </c>
      <c r="BW260" s="1288">
        <v>27</v>
      </c>
    </row>
    <row r="261" spans="2:75" x14ac:dyDescent="0.3">
      <c r="B261" s="1280">
        <v>153</v>
      </c>
      <c r="C261" s="977" t="s">
        <v>1385</v>
      </c>
      <c r="D261" s="977" t="s">
        <v>1829</v>
      </c>
      <c r="E261" s="977" t="s">
        <v>1540</v>
      </c>
      <c r="F261" s="978">
        <v>41951</v>
      </c>
      <c r="G261" s="977" t="s">
        <v>150</v>
      </c>
      <c r="H261" s="991" t="str">
        <f t="shared" si="123"/>
        <v>Voitto</v>
      </c>
      <c r="I261" s="991" t="s">
        <v>1515</v>
      </c>
      <c r="J261" s="991" t="s">
        <v>0</v>
      </c>
      <c r="K261" s="991" t="s">
        <v>1173</v>
      </c>
      <c r="L261" s="992">
        <f t="shared" si="124"/>
        <v>11</v>
      </c>
      <c r="M261" s="992">
        <f t="shared" si="125"/>
        <v>0</v>
      </c>
      <c r="N261" s="1262">
        <v>4</v>
      </c>
      <c r="O261" s="992">
        <v>0</v>
      </c>
      <c r="P261" s="1262">
        <v>2</v>
      </c>
      <c r="Q261" s="992">
        <v>0</v>
      </c>
      <c r="R261" s="1262">
        <v>5</v>
      </c>
      <c r="S261" s="992">
        <v>0</v>
      </c>
      <c r="T261" s="1262"/>
      <c r="U261" s="992"/>
      <c r="V261" s="985"/>
      <c r="W261" s="985"/>
      <c r="X261" s="987"/>
      <c r="Y261" s="987"/>
      <c r="Z261" s="987"/>
      <c r="AA261" s="987"/>
      <c r="AB261" s="987"/>
      <c r="AC261" s="987"/>
      <c r="AD261" s="987"/>
      <c r="AE261" s="987"/>
      <c r="AF261" s="987"/>
      <c r="AG261" s="987"/>
      <c r="AH261" s="987"/>
      <c r="AI261" s="987"/>
      <c r="AJ261" s="987"/>
      <c r="AK261" s="985"/>
      <c r="AL261" s="985"/>
      <c r="AM261" s="985"/>
      <c r="AO261" s="983"/>
      <c r="AP261" s="983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83"/>
      <c r="BE261" s="983"/>
      <c r="BF261" s="983"/>
      <c r="BH261" s="1002">
        <f t="shared" si="126"/>
        <v>1</v>
      </c>
      <c r="BI261" s="1002">
        <f t="shared" si="127"/>
        <v>1</v>
      </c>
      <c r="BJ261" s="1002">
        <f t="shared" si="128"/>
        <v>1</v>
      </c>
      <c r="BK261" s="1002">
        <f t="shared" si="129"/>
        <v>0</v>
      </c>
      <c r="BL261" s="1002">
        <f t="shared" si="130"/>
        <v>0</v>
      </c>
      <c r="BO261" s="227">
        <v>4</v>
      </c>
      <c r="BP261" s="141" t="s">
        <v>1245</v>
      </c>
      <c r="BQ261" s="227">
        <v>20</v>
      </c>
      <c r="BR261" s="227">
        <v>10</v>
      </c>
      <c r="BS261" s="227">
        <v>5</v>
      </c>
      <c r="BT261" s="227">
        <v>5</v>
      </c>
      <c r="BU261" s="227">
        <v>126</v>
      </c>
      <c r="BV261" s="227">
        <v>100</v>
      </c>
      <c r="BW261" s="227">
        <v>25</v>
      </c>
    </row>
    <row r="262" spans="2:75" x14ac:dyDescent="0.3">
      <c r="B262" s="1280">
        <v>154</v>
      </c>
      <c r="C262" s="977" t="s">
        <v>1385</v>
      </c>
      <c r="D262" s="977" t="s">
        <v>1829</v>
      </c>
      <c r="E262" s="977" t="s">
        <v>1541</v>
      </c>
      <c r="F262" s="978">
        <v>41951</v>
      </c>
      <c r="G262" s="977" t="s">
        <v>150</v>
      </c>
      <c r="H262" s="991" t="str">
        <f t="shared" si="123"/>
        <v>Voitto</v>
      </c>
      <c r="I262" s="991" t="s">
        <v>1514</v>
      </c>
      <c r="J262" s="991" t="s">
        <v>0</v>
      </c>
      <c r="K262" s="991" t="s">
        <v>1195</v>
      </c>
      <c r="L262" s="992">
        <f t="shared" si="124"/>
        <v>6</v>
      </c>
      <c r="M262" s="992">
        <f t="shared" si="125"/>
        <v>3</v>
      </c>
      <c r="N262" s="1262">
        <v>2</v>
      </c>
      <c r="O262" s="992">
        <v>2</v>
      </c>
      <c r="P262" s="1262">
        <v>3</v>
      </c>
      <c r="Q262" s="992">
        <v>1</v>
      </c>
      <c r="R262" s="1262">
        <v>1</v>
      </c>
      <c r="S262" s="992">
        <v>0</v>
      </c>
      <c r="T262" s="1262"/>
      <c r="U262" s="992"/>
      <c r="V262" s="985"/>
      <c r="W262" s="985"/>
      <c r="X262" s="987"/>
      <c r="Y262" s="987"/>
      <c r="Z262" s="987"/>
      <c r="AA262" s="987"/>
      <c r="AB262" s="987"/>
      <c r="AC262" s="987"/>
      <c r="AD262" s="987"/>
      <c r="AE262" s="987"/>
      <c r="AF262" s="987"/>
      <c r="AG262" s="987"/>
      <c r="AH262" s="987"/>
      <c r="AI262" s="987"/>
      <c r="AJ262" s="987"/>
      <c r="AK262" s="985"/>
      <c r="AL262" s="985"/>
      <c r="AM262" s="985"/>
      <c r="AO262" s="983"/>
      <c r="AP262" s="983"/>
      <c r="AQ262" s="983"/>
      <c r="AR262" s="976"/>
      <c r="AS262" s="976"/>
      <c r="AT262" s="976"/>
      <c r="AU262" s="976"/>
      <c r="AV262" s="976"/>
      <c r="AW262" s="976"/>
      <c r="AX262" s="976"/>
      <c r="AY262" s="976"/>
      <c r="AZ262" s="976"/>
      <c r="BA262" s="976"/>
      <c r="BB262" s="976"/>
      <c r="BC262" s="976"/>
      <c r="BD262" s="983"/>
      <c r="BE262" s="983"/>
      <c r="BF262" s="983"/>
      <c r="BH262" s="1002">
        <f t="shared" si="126"/>
        <v>1</v>
      </c>
      <c r="BI262" s="1002">
        <f t="shared" si="127"/>
        <v>1</v>
      </c>
      <c r="BJ262" s="1002">
        <f t="shared" si="128"/>
        <v>1</v>
      </c>
      <c r="BK262" s="1002">
        <f t="shared" si="129"/>
        <v>0</v>
      </c>
      <c r="BL262" s="1002">
        <f t="shared" si="130"/>
        <v>0</v>
      </c>
      <c r="BO262" s="119">
        <v>5</v>
      </c>
      <c r="BP262" s="128" t="s">
        <v>1000</v>
      </c>
      <c r="BQ262" s="119">
        <v>20</v>
      </c>
      <c r="BR262" s="119">
        <v>11</v>
      </c>
      <c r="BS262" s="119">
        <v>3</v>
      </c>
      <c r="BT262" s="119">
        <v>6</v>
      </c>
      <c r="BU262" s="119">
        <v>105</v>
      </c>
      <c r="BV262" s="119">
        <v>78</v>
      </c>
      <c r="BW262" s="119">
        <v>25</v>
      </c>
    </row>
    <row r="263" spans="2:75" x14ac:dyDescent="0.3">
      <c r="B263" s="1280">
        <v>155</v>
      </c>
      <c r="C263" s="977" t="s">
        <v>1385</v>
      </c>
      <c r="D263" s="977" t="s">
        <v>1829</v>
      </c>
      <c r="E263" s="977" t="s">
        <v>1542</v>
      </c>
      <c r="F263" s="978">
        <v>41972</v>
      </c>
      <c r="G263" s="977" t="s">
        <v>150</v>
      </c>
      <c r="H263" s="991" t="str">
        <f t="shared" si="123"/>
        <v>Voitto</v>
      </c>
      <c r="I263" s="991" t="s">
        <v>1515</v>
      </c>
      <c r="J263" s="991" t="s">
        <v>0</v>
      </c>
      <c r="K263" s="991" t="s">
        <v>1000</v>
      </c>
      <c r="L263" s="992">
        <f t="shared" si="124"/>
        <v>4</v>
      </c>
      <c r="M263" s="992">
        <f t="shared" si="125"/>
        <v>1</v>
      </c>
      <c r="N263" s="1262">
        <v>2</v>
      </c>
      <c r="O263" s="992">
        <v>0</v>
      </c>
      <c r="P263" s="1262">
        <v>1</v>
      </c>
      <c r="Q263" s="992">
        <v>0</v>
      </c>
      <c r="R263" s="1262">
        <v>1</v>
      </c>
      <c r="S263" s="992">
        <v>1</v>
      </c>
      <c r="T263" s="1262"/>
      <c r="U263" s="992"/>
      <c r="V263" s="985"/>
      <c r="W263" s="985"/>
      <c r="X263" s="985"/>
      <c r="Y263" s="987"/>
      <c r="Z263" s="987"/>
      <c r="AA263" s="987"/>
      <c r="AB263" s="985"/>
      <c r="AC263" s="987"/>
      <c r="AD263" s="987"/>
      <c r="AE263" s="987"/>
      <c r="AF263" s="987"/>
      <c r="AG263" s="987"/>
      <c r="AH263" s="987"/>
      <c r="AI263" s="987"/>
      <c r="AJ263" s="987"/>
      <c r="AK263" s="985"/>
      <c r="AL263" s="986"/>
      <c r="AM263" s="986"/>
      <c r="AO263" s="983"/>
      <c r="AP263" s="983"/>
      <c r="AQ263" s="983"/>
      <c r="AR263" s="976"/>
      <c r="AS263" s="976"/>
      <c r="AT263" s="976"/>
      <c r="AU263" s="976"/>
      <c r="AV263" s="976"/>
      <c r="AW263" s="976"/>
      <c r="AX263" s="976"/>
      <c r="AY263" s="976"/>
      <c r="AZ263" s="976"/>
      <c r="BA263" s="976"/>
      <c r="BB263" s="976"/>
      <c r="BC263" s="976"/>
      <c r="BD263" s="983"/>
      <c r="BE263" s="983"/>
      <c r="BF263" s="983"/>
      <c r="BH263" s="1002">
        <f t="shared" si="126"/>
        <v>1</v>
      </c>
      <c r="BI263" s="1002">
        <f t="shared" si="127"/>
        <v>1</v>
      </c>
      <c r="BJ263" s="1002">
        <f t="shared" si="128"/>
        <v>1</v>
      </c>
      <c r="BK263" s="1002">
        <f t="shared" si="129"/>
        <v>0</v>
      </c>
      <c r="BL263" s="1002">
        <f t="shared" si="130"/>
        <v>0</v>
      </c>
      <c r="BO263" s="119">
        <v>6</v>
      </c>
      <c r="BP263" s="128" t="s">
        <v>1195</v>
      </c>
      <c r="BQ263" s="119">
        <v>20</v>
      </c>
      <c r="BR263" s="119">
        <v>10</v>
      </c>
      <c r="BS263" s="119">
        <v>2</v>
      </c>
      <c r="BT263" s="119">
        <v>8</v>
      </c>
      <c r="BU263" s="119">
        <v>108</v>
      </c>
      <c r="BV263" s="119">
        <v>90</v>
      </c>
      <c r="BW263" s="119">
        <v>22</v>
      </c>
    </row>
    <row r="264" spans="2:75" x14ac:dyDescent="0.3">
      <c r="B264" s="1280">
        <v>156</v>
      </c>
      <c r="C264" s="977" t="s">
        <v>1385</v>
      </c>
      <c r="D264" s="977" t="s">
        <v>1829</v>
      </c>
      <c r="E264" s="977" t="s">
        <v>1543</v>
      </c>
      <c r="F264" s="978">
        <v>41972</v>
      </c>
      <c r="G264" s="977" t="s">
        <v>150</v>
      </c>
      <c r="H264" s="991" t="str">
        <f t="shared" si="123"/>
        <v>Häviö</v>
      </c>
      <c r="I264" s="991" t="s">
        <v>1514</v>
      </c>
      <c r="J264" s="991" t="s">
        <v>0</v>
      </c>
      <c r="K264" s="991" t="s">
        <v>1220</v>
      </c>
      <c r="L264" s="992">
        <f t="shared" si="124"/>
        <v>4</v>
      </c>
      <c r="M264" s="992">
        <f t="shared" si="125"/>
        <v>8</v>
      </c>
      <c r="N264" s="1262">
        <v>0</v>
      </c>
      <c r="O264" s="992">
        <v>4</v>
      </c>
      <c r="P264" s="1262">
        <v>0</v>
      </c>
      <c r="Q264" s="992">
        <v>1</v>
      </c>
      <c r="R264" s="1262">
        <v>4</v>
      </c>
      <c r="S264" s="992">
        <v>3</v>
      </c>
      <c r="T264" s="1262"/>
      <c r="U264" s="992"/>
      <c r="V264" s="985"/>
      <c r="W264" s="985"/>
      <c r="X264" s="985"/>
      <c r="Y264" s="985"/>
      <c r="Z264" s="985"/>
      <c r="AA264" s="985"/>
      <c r="AB264" s="985"/>
      <c r="AC264" s="985"/>
      <c r="AD264" s="985"/>
      <c r="AE264" s="985"/>
      <c r="AF264" s="985"/>
      <c r="AG264" s="985"/>
      <c r="AH264" s="985"/>
      <c r="AI264" s="985"/>
      <c r="AJ264" s="985"/>
      <c r="AK264" s="985"/>
      <c r="AL264" s="985"/>
      <c r="AM264" s="985"/>
      <c r="AN264" s="8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H264" s="1002">
        <f t="shared" si="126"/>
        <v>1</v>
      </c>
      <c r="BI264" s="1002">
        <f t="shared" si="127"/>
        <v>1</v>
      </c>
      <c r="BJ264" s="1002">
        <f t="shared" si="128"/>
        <v>1</v>
      </c>
      <c r="BK264" s="1002">
        <f t="shared" si="129"/>
        <v>0</v>
      </c>
      <c r="BL264" s="1002">
        <f t="shared" si="130"/>
        <v>0</v>
      </c>
      <c r="BO264" s="119">
        <v>7</v>
      </c>
      <c r="BP264" s="128" t="s">
        <v>1110</v>
      </c>
      <c r="BQ264" s="119">
        <v>20</v>
      </c>
      <c r="BR264" s="119">
        <v>9</v>
      </c>
      <c r="BS264" s="119">
        <v>2</v>
      </c>
      <c r="BT264" s="119">
        <v>9</v>
      </c>
      <c r="BU264" s="119">
        <v>88</v>
      </c>
      <c r="BV264" s="119">
        <v>90</v>
      </c>
      <c r="BW264" s="119">
        <v>20</v>
      </c>
    </row>
    <row r="265" spans="2:75" x14ac:dyDescent="0.3">
      <c r="B265" s="1280">
        <v>157</v>
      </c>
      <c r="C265" s="977" t="s">
        <v>1385</v>
      </c>
      <c r="D265" s="977" t="s">
        <v>1829</v>
      </c>
      <c r="E265" s="977" t="s">
        <v>1544</v>
      </c>
      <c r="F265" s="978">
        <v>41993</v>
      </c>
      <c r="G265" s="977" t="s">
        <v>796</v>
      </c>
      <c r="H265" s="991" t="str">
        <f t="shared" si="123"/>
        <v>Voitto</v>
      </c>
      <c r="I265" s="991" t="s">
        <v>1515</v>
      </c>
      <c r="J265" s="991" t="s">
        <v>0</v>
      </c>
      <c r="K265" s="991" t="s">
        <v>1002</v>
      </c>
      <c r="L265" s="992">
        <f t="shared" si="124"/>
        <v>4</v>
      </c>
      <c r="M265" s="992">
        <f t="shared" si="125"/>
        <v>2</v>
      </c>
      <c r="N265" s="1262">
        <v>0</v>
      </c>
      <c r="O265" s="992">
        <v>0</v>
      </c>
      <c r="P265" s="1262">
        <v>2</v>
      </c>
      <c r="Q265" s="992">
        <v>1</v>
      </c>
      <c r="R265" s="1262">
        <v>2</v>
      </c>
      <c r="S265" s="992">
        <v>1</v>
      </c>
      <c r="T265" s="1262"/>
      <c r="U265" s="992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8"/>
      <c r="AO265" s="983"/>
      <c r="AP265" s="983"/>
      <c r="AQ265" s="983"/>
      <c r="AR265" s="983"/>
      <c r="AS265" s="983"/>
      <c r="AT265" s="983"/>
      <c r="AU265" s="983"/>
      <c r="AV265" s="983"/>
      <c r="AW265" s="983"/>
      <c r="AX265" s="983"/>
      <c r="AY265" s="983"/>
      <c r="AZ265" s="983"/>
      <c r="BA265" s="983"/>
      <c r="BB265" s="983"/>
      <c r="BC265" s="983"/>
      <c r="BD265" s="983"/>
      <c r="BE265" s="983"/>
      <c r="BF265" s="983"/>
      <c r="BH265" s="1002">
        <f t="shared" si="126"/>
        <v>1</v>
      </c>
      <c r="BI265" s="1002">
        <f t="shared" si="127"/>
        <v>1</v>
      </c>
      <c r="BJ265" s="1002">
        <f t="shared" si="128"/>
        <v>1</v>
      </c>
      <c r="BK265" s="1002">
        <f t="shared" si="129"/>
        <v>0</v>
      </c>
      <c r="BL265" s="1002">
        <f t="shared" si="130"/>
        <v>0</v>
      </c>
      <c r="BO265" s="119">
        <v>8</v>
      </c>
      <c r="BP265" s="128" t="s">
        <v>1395</v>
      </c>
      <c r="BQ265" s="119">
        <v>20</v>
      </c>
      <c r="BR265" s="119">
        <v>7</v>
      </c>
      <c r="BS265" s="119">
        <v>2</v>
      </c>
      <c r="BT265" s="119">
        <v>11</v>
      </c>
      <c r="BU265" s="119">
        <v>86</v>
      </c>
      <c r="BV265" s="119">
        <v>95</v>
      </c>
      <c r="BW265" s="119">
        <v>16</v>
      </c>
    </row>
    <row r="266" spans="2:75" ht="15" thickBot="1" x14ac:dyDescent="0.35">
      <c r="B266" s="1280">
        <v>158</v>
      </c>
      <c r="C266" s="977" t="s">
        <v>1385</v>
      </c>
      <c r="D266" s="977" t="s">
        <v>1829</v>
      </c>
      <c r="E266" s="977" t="s">
        <v>1545</v>
      </c>
      <c r="F266" s="978">
        <v>41993</v>
      </c>
      <c r="G266" s="977" t="s">
        <v>796</v>
      </c>
      <c r="H266" s="991" t="str">
        <f t="shared" si="123"/>
        <v>Voitto</v>
      </c>
      <c r="I266" s="991" t="s">
        <v>1514</v>
      </c>
      <c r="J266" s="991" t="s">
        <v>0</v>
      </c>
      <c r="K266" s="991" t="s">
        <v>1245</v>
      </c>
      <c r="L266" s="992">
        <f t="shared" si="124"/>
        <v>10</v>
      </c>
      <c r="M266" s="992">
        <f t="shared" si="125"/>
        <v>4</v>
      </c>
      <c r="N266" s="1262">
        <v>6</v>
      </c>
      <c r="O266" s="992">
        <v>1</v>
      </c>
      <c r="P266" s="1262">
        <v>1</v>
      </c>
      <c r="Q266" s="992">
        <v>2</v>
      </c>
      <c r="R266" s="1262">
        <v>3</v>
      </c>
      <c r="S266" s="992">
        <v>1</v>
      </c>
      <c r="T266" s="1262"/>
      <c r="U266" s="992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5"/>
      <c r="AF266" s="985"/>
      <c r="AG266" s="985"/>
      <c r="AH266" s="985"/>
      <c r="AI266" s="985"/>
      <c r="AJ266" s="985"/>
      <c r="AK266" s="985"/>
      <c r="AL266" s="985"/>
      <c r="AM266" s="985"/>
      <c r="AN266" s="8"/>
      <c r="AO266" s="983"/>
      <c r="AP266" s="983"/>
      <c r="AQ266" s="983"/>
      <c r="AR266" s="983"/>
      <c r="AS266" s="983"/>
      <c r="AT266" s="983"/>
      <c r="AU266" s="983"/>
      <c r="AV266" s="983"/>
      <c r="AW266" s="983"/>
      <c r="AX266" s="983"/>
      <c r="AY266" s="983"/>
      <c r="AZ266" s="983"/>
      <c r="BA266" s="983"/>
      <c r="BB266" s="983"/>
      <c r="BC266" s="983"/>
      <c r="BD266" s="983"/>
      <c r="BE266" s="983"/>
      <c r="BF266" s="983"/>
      <c r="BH266" s="1002">
        <f t="shared" si="126"/>
        <v>1</v>
      </c>
      <c r="BI266" s="1002">
        <f t="shared" si="127"/>
        <v>1</v>
      </c>
      <c r="BJ266" s="1002">
        <f t="shared" si="128"/>
        <v>1</v>
      </c>
      <c r="BK266" s="1002">
        <f t="shared" si="129"/>
        <v>0</v>
      </c>
      <c r="BL266" s="1002">
        <f t="shared" si="130"/>
        <v>0</v>
      </c>
      <c r="BO266" s="121">
        <v>9</v>
      </c>
      <c r="BP266" s="1285" t="s">
        <v>1279</v>
      </c>
      <c r="BQ266" s="121">
        <v>20</v>
      </c>
      <c r="BR266" s="121">
        <v>4</v>
      </c>
      <c r="BS266" s="121">
        <v>5</v>
      </c>
      <c r="BT266" s="121">
        <v>11</v>
      </c>
      <c r="BU266" s="121">
        <v>75</v>
      </c>
      <c r="BV266" s="121">
        <v>100</v>
      </c>
      <c r="BW266" s="121">
        <v>13</v>
      </c>
    </row>
    <row r="267" spans="2:75" x14ac:dyDescent="0.3">
      <c r="B267" s="1280">
        <v>159</v>
      </c>
      <c r="C267" s="977" t="s">
        <v>1385</v>
      </c>
      <c r="D267" s="977" t="s">
        <v>1829</v>
      </c>
      <c r="E267" s="977" t="s">
        <v>1546</v>
      </c>
      <c r="F267" s="978">
        <v>42014</v>
      </c>
      <c r="G267" s="977" t="s">
        <v>1027</v>
      </c>
      <c r="H267" s="991" t="str">
        <f t="shared" si="123"/>
        <v>Häviö</v>
      </c>
      <c r="I267" s="991" t="s">
        <v>1514</v>
      </c>
      <c r="J267" s="991" t="s">
        <v>0</v>
      </c>
      <c r="K267" s="991" t="s">
        <v>1126</v>
      </c>
      <c r="L267" s="992">
        <f t="shared" si="124"/>
        <v>3</v>
      </c>
      <c r="M267" s="992">
        <f t="shared" si="125"/>
        <v>6</v>
      </c>
      <c r="N267" s="1262">
        <v>2</v>
      </c>
      <c r="O267" s="992">
        <v>1</v>
      </c>
      <c r="P267" s="1262">
        <v>0</v>
      </c>
      <c r="Q267" s="992">
        <v>2</v>
      </c>
      <c r="R267" s="1262">
        <v>1</v>
      </c>
      <c r="S267" s="992">
        <v>3</v>
      </c>
      <c r="T267" s="1262"/>
      <c r="U267" s="992"/>
      <c r="V267" s="985"/>
      <c r="W267" s="985"/>
      <c r="X267" s="985"/>
      <c r="Y267" s="985"/>
      <c r="Z267" s="985"/>
      <c r="AA267" s="985"/>
      <c r="AB267" s="985"/>
      <c r="AC267" s="985"/>
      <c r="AD267" s="985"/>
      <c r="AE267" s="985"/>
      <c r="AF267" s="985"/>
      <c r="AG267" s="985"/>
      <c r="AH267" s="985"/>
      <c r="AI267" s="985"/>
      <c r="AJ267" s="985"/>
      <c r="AK267" s="985"/>
      <c r="AL267" s="985"/>
      <c r="AM267" s="985"/>
      <c r="AN267" s="8"/>
      <c r="AO267" s="983"/>
      <c r="AP267" s="983"/>
      <c r="AQ267" s="983"/>
      <c r="AR267" s="983"/>
      <c r="AS267" s="983"/>
      <c r="AT267" s="983"/>
      <c r="AU267" s="983"/>
      <c r="AV267" s="983"/>
      <c r="AW267" s="983"/>
      <c r="AX267" s="983"/>
      <c r="AY267" s="983"/>
      <c r="AZ267" s="983"/>
      <c r="BA267" s="983"/>
      <c r="BB267" s="983"/>
      <c r="BC267" s="983"/>
      <c r="BD267" s="983"/>
      <c r="BE267" s="983"/>
      <c r="BF267" s="983"/>
      <c r="BH267" s="1002">
        <f t="shared" si="126"/>
        <v>1</v>
      </c>
      <c r="BI267" s="1002">
        <f t="shared" si="127"/>
        <v>1</v>
      </c>
      <c r="BJ267" s="1002">
        <f t="shared" si="128"/>
        <v>1</v>
      </c>
      <c r="BK267" s="1002">
        <f t="shared" si="129"/>
        <v>0</v>
      </c>
      <c r="BL267" s="1002">
        <f t="shared" si="130"/>
        <v>0</v>
      </c>
      <c r="BO267" s="227">
        <v>10</v>
      </c>
      <c r="BP267" s="141" t="s">
        <v>1002</v>
      </c>
      <c r="BQ267" s="227">
        <v>20</v>
      </c>
      <c r="BR267" s="227">
        <v>4</v>
      </c>
      <c r="BS267" s="227">
        <v>2</v>
      </c>
      <c r="BT267" s="227">
        <v>14</v>
      </c>
      <c r="BU267" s="227">
        <v>61</v>
      </c>
      <c r="BV267" s="227">
        <v>109</v>
      </c>
      <c r="BW267" s="227">
        <v>10</v>
      </c>
    </row>
    <row r="268" spans="2:75" x14ac:dyDescent="0.3">
      <c r="B268" s="1280">
        <v>160</v>
      </c>
      <c r="C268" s="977" t="s">
        <v>1385</v>
      </c>
      <c r="D268" s="977" t="s">
        <v>1829</v>
      </c>
      <c r="E268" s="977" t="s">
        <v>1547</v>
      </c>
      <c r="F268" s="978">
        <v>42014</v>
      </c>
      <c r="G268" s="977" t="s">
        <v>1027</v>
      </c>
      <c r="H268" s="991" t="str">
        <f t="shared" si="123"/>
        <v>Voitto</v>
      </c>
      <c r="I268" s="991" t="s">
        <v>1515</v>
      </c>
      <c r="J268" s="991" t="s">
        <v>0</v>
      </c>
      <c r="K268" s="991" t="s">
        <v>1279</v>
      </c>
      <c r="L268" s="992">
        <f t="shared" si="124"/>
        <v>3</v>
      </c>
      <c r="M268" s="992">
        <f t="shared" si="125"/>
        <v>2</v>
      </c>
      <c r="N268" s="1262">
        <v>0</v>
      </c>
      <c r="O268" s="992">
        <v>0</v>
      </c>
      <c r="P268" s="1262">
        <v>1</v>
      </c>
      <c r="Q268" s="992">
        <v>2</v>
      </c>
      <c r="R268" s="1262">
        <v>2</v>
      </c>
      <c r="S268" s="992">
        <v>0</v>
      </c>
      <c r="T268" s="1262"/>
      <c r="U268" s="992"/>
      <c r="V268" s="985"/>
      <c r="W268" s="985"/>
      <c r="X268" s="985"/>
      <c r="Y268" s="985"/>
      <c r="Z268" s="985"/>
      <c r="AA268" s="985"/>
      <c r="AB268" s="985"/>
      <c r="AC268" s="985"/>
      <c r="AD268" s="985"/>
      <c r="AE268" s="985"/>
      <c r="AF268" s="985"/>
      <c r="AG268" s="985"/>
      <c r="AH268" s="985"/>
      <c r="AI268" s="985"/>
      <c r="AJ268" s="985"/>
      <c r="AK268" s="985"/>
      <c r="AL268" s="985"/>
      <c r="AM268" s="985"/>
      <c r="AN268" s="8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H268" s="1002">
        <f t="shared" si="126"/>
        <v>1</v>
      </c>
      <c r="BI268" s="1002">
        <f t="shared" si="127"/>
        <v>1</v>
      </c>
      <c r="BJ268" s="1002">
        <f t="shared" si="128"/>
        <v>1</v>
      </c>
      <c r="BK268" s="1002">
        <f t="shared" si="129"/>
        <v>0</v>
      </c>
      <c r="BL268" s="1002">
        <f t="shared" si="130"/>
        <v>0</v>
      </c>
      <c r="BO268" s="119">
        <v>11</v>
      </c>
      <c r="BP268" s="128" t="s">
        <v>1173</v>
      </c>
      <c r="BQ268" s="119">
        <v>20</v>
      </c>
      <c r="BR268" s="119">
        <v>0</v>
      </c>
      <c r="BS268" s="119">
        <v>1</v>
      </c>
      <c r="BT268" s="119">
        <v>19</v>
      </c>
      <c r="BU268" s="119">
        <v>50</v>
      </c>
      <c r="BV268" s="119">
        <v>174</v>
      </c>
      <c r="BW268" s="119">
        <v>1</v>
      </c>
    </row>
    <row r="269" spans="2:75" x14ac:dyDescent="0.3">
      <c r="B269" s="1280">
        <v>161</v>
      </c>
      <c r="C269" s="977" t="s">
        <v>1385</v>
      </c>
      <c r="D269" s="977" t="s">
        <v>1829</v>
      </c>
      <c r="E269" s="977" t="s">
        <v>1548</v>
      </c>
      <c r="F269" s="978">
        <v>42028</v>
      </c>
      <c r="G269" s="977" t="s">
        <v>796</v>
      </c>
      <c r="H269" s="991" t="str">
        <f t="shared" si="123"/>
        <v>Voitto</v>
      </c>
      <c r="I269" s="991" t="s">
        <v>1515</v>
      </c>
      <c r="J269" s="991" t="s">
        <v>0</v>
      </c>
      <c r="K269" s="991" t="s">
        <v>1195</v>
      </c>
      <c r="L269" s="992">
        <f t="shared" si="124"/>
        <v>5</v>
      </c>
      <c r="M269" s="992">
        <f t="shared" si="125"/>
        <v>4</v>
      </c>
      <c r="N269" s="1262">
        <v>1</v>
      </c>
      <c r="O269" s="992">
        <v>1</v>
      </c>
      <c r="P269" s="1262">
        <v>3</v>
      </c>
      <c r="Q269" s="992">
        <v>1</v>
      </c>
      <c r="R269" s="1262">
        <v>1</v>
      </c>
      <c r="S269" s="992">
        <v>2</v>
      </c>
      <c r="T269" s="1262"/>
      <c r="U269" s="992"/>
      <c r="V269" s="985"/>
      <c r="W269" s="985"/>
      <c r="X269" s="985"/>
      <c r="Y269" s="985"/>
      <c r="Z269" s="985"/>
      <c r="AA269" s="985"/>
      <c r="AB269" s="985"/>
      <c r="AC269" s="985"/>
      <c r="AD269" s="985"/>
      <c r="AE269" s="985"/>
      <c r="AF269" s="985"/>
      <c r="AG269" s="985"/>
      <c r="AH269" s="985"/>
      <c r="AI269" s="985"/>
      <c r="AJ269" s="985"/>
      <c r="AK269" s="985"/>
      <c r="AL269" s="985"/>
      <c r="AM269" s="985"/>
      <c r="AN269" s="8"/>
      <c r="AO269" s="983"/>
      <c r="AP269" s="983"/>
      <c r="AQ269" s="983"/>
      <c r="AR269" s="983"/>
      <c r="AS269" s="983"/>
      <c r="AT269" s="983"/>
      <c r="AU269" s="983"/>
      <c r="AV269" s="983"/>
      <c r="AW269" s="983"/>
      <c r="AX269" s="983"/>
      <c r="AY269" s="983"/>
      <c r="AZ269" s="983"/>
      <c r="BA269" s="983"/>
      <c r="BB269" s="983"/>
      <c r="BC269" s="983"/>
      <c r="BD269" s="983"/>
      <c r="BE269" s="983"/>
      <c r="BF269" s="983"/>
      <c r="BH269" s="1002">
        <f t="shared" si="126"/>
        <v>1</v>
      </c>
      <c r="BI269" s="1002">
        <f t="shared" si="127"/>
        <v>1</v>
      </c>
      <c r="BJ269" s="1002">
        <f t="shared" si="128"/>
        <v>1</v>
      </c>
      <c r="BK269" s="1002">
        <f t="shared" si="129"/>
        <v>0</v>
      </c>
      <c r="BL269" s="1002">
        <f t="shared" si="130"/>
        <v>0</v>
      </c>
    </row>
    <row r="270" spans="2:75" x14ac:dyDescent="0.3">
      <c r="B270" s="1280">
        <v>162</v>
      </c>
      <c r="C270" s="977" t="s">
        <v>1385</v>
      </c>
      <c r="D270" s="977" t="s">
        <v>1829</v>
      </c>
      <c r="E270" s="977" t="s">
        <v>1549</v>
      </c>
      <c r="F270" s="978">
        <v>42028</v>
      </c>
      <c r="G270" s="977" t="s">
        <v>796</v>
      </c>
      <c r="H270" s="991" t="str">
        <f t="shared" si="123"/>
        <v>Tasapeli</v>
      </c>
      <c r="I270" s="991" t="s">
        <v>1514</v>
      </c>
      <c r="J270" s="991" t="s">
        <v>0</v>
      </c>
      <c r="K270" s="991" t="s">
        <v>1000</v>
      </c>
      <c r="L270" s="992">
        <f t="shared" si="124"/>
        <v>3</v>
      </c>
      <c r="M270" s="992">
        <f t="shared" si="125"/>
        <v>3</v>
      </c>
      <c r="N270" s="1262">
        <v>1</v>
      </c>
      <c r="O270" s="992">
        <v>0</v>
      </c>
      <c r="P270" s="1262">
        <v>2</v>
      </c>
      <c r="Q270" s="992">
        <v>2</v>
      </c>
      <c r="R270" s="1262">
        <v>0</v>
      </c>
      <c r="S270" s="992">
        <v>1</v>
      </c>
      <c r="T270" s="1262"/>
      <c r="U270" s="992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5"/>
      <c r="AF270" s="985"/>
      <c r="AG270" s="985"/>
      <c r="AH270" s="985"/>
      <c r="AI270" s="985"/>
      <c r="AJ270" s="985"/>
      <c r="AK270" s="985"/>
      <c r="AL270" s="985"/>
      <c r="AM270" s="985"/>
      <c r="AN270" s="8"/>
      <c r="AO270" s="983"/>
      <c r="AP270" s="983"/>
      <c r="AQ270" s="983"/>
      <c r="AR270" s="983"/>
      <c r="AS270" s="983"/>
      <c r="AT270" s="983"/>
      <c r="AU270" s="983"/>
      <c r="AV270" s="983"/>
      <c r="AW270" s="983"/>
      <c r="AX270" s="983"/>
      <c r="AY270" s="983"/>
      <c r="AZ270" s="983"/>
      <c r="BA270" s="983"/>
      <c r="BB270" s="983"/>
      <c r="BC270" s="983"/>
      <c r="BD270" s="983"/>
      <c r="BE270" s="983"/>
      <c r="BF270" s="983"/>
      <c r="BH270" s="1002">
        <f t="shared" si="126"/>
        <v>1</v>
      </c>
      <c r="BI270" s="1002">
        <f t="shared" si="127"/>
        <v>1</v>
      </c>
      <c r="BJ270" s="1002">
        <f t="shared" si="128"/>
        <v>1</v>
      </c>
      <c r="BK270" s="1002">
        <f t="shared" si="129"/>
        <v>0</v>
      </c>
      <c r="BL270" s="1002">
        <f t="shared" si="130"/>
        <v>0</v>
      </c>
    </row>
    <row r="271" spans="2:75" x14ac:dyDescent="0.3">
      <c r="B271" s="1280">
        <v>163</v>
      </c>
      <c r="C271" s="977" t="s">
        <v>1385</v>
      </c>
      <c r="D271" s="977" t="s">
        <v>1829</v>
      </c>
      <c r="E271" s="977" t="s">
        <v>1550</v>
      </c>
      <c r="F271" s="978">
        <v>42049</v>
      </c>
      <c r="G271" s="977" t="s">
        <v>796</v>
      </c>
      <c r="H271" s="991" t="str">
        <f t="shared" si="123"/>
        <v>Voitto</v>
      </c>
      <c r="I271" s="991" t="s">
        <v>1514</v>
      </c>
      <c r="J271" s="991" t="s">
        <v>0</v>
      </c>
      <c r="K271" s="991" t="s">
        <v>1173</v>
      </c>
      <c r="L271" s="992">
        <f>N271+P271+R271</f>
        <v>12</v>
      </c>
      <c r="M271" s="992">
        <f>O271+Q271+S271</f>
        <v>0</v>
      </c>
      <c r="N271" s="1262">
        <v>6</v>
      </c>
      <c r="O271" s="992">
        <v>0</v>
      </c>
      <c r="P271" s="1262">
        <v>6</v>
      </c>
      <c r="Q271" s="992">
        <v>0</v>
      </c>
      <c r="R271" s="1262"/>
      <c r="S271" s="992"/>
      <c r="T271" s="1262"/>
      <c r="U271" s="992"/>
      <c r="V271" s="985"/>
      <c r="W271" s="985"/>
      <c r="X271" s="985"/>
      <c r="Y271" s="985"/>
      <c r="Z271" s="985"/>
      <c r="AA271" s="985"/>
      <c r="AB271" s="985"/>
      <c r="AC271" s="985"/>
      <c r="AD271" s="985"/>
      <c r="AE271" s="985"/>
      <c r="AF271" s="985"/>
      <c r="AG271" s="985"/>
      <c r="AH271" s="985"/>
      <c r="AI271" s="985"/>
      <c r="AJ271" s="985"/>
      <c r="AK271" s="985"/>
      <c r="AL271" s="985"/>
      <c r="AM271" s="985"/>
      <c r="AN271" s="8"/>
      <c r="AO271" s="983"/>
      <c r="AP271" s="983"/>
      <c r="AQ271" s="983"/>
      <c r="AR271" s="983"/>
      <c r="AS271" s="983"/>
      <c r="AT271" s="983"/>
      <c r="AU271" s="983"/>
      <c r="AV271" s="983"/>
      <c r="AW271" s="983"/>
      <c r="AX271" s="983"/>
      <c r="AY271" s="983"/>
      <c r="AZ271" s="983"/>
      <c r="BA271" s="983"/>
      <c r="BB271" s="983"/>
      <c r="BC271" s="983"/>
      <c r="BD271" s="983"/>
      <c r="BE271" s="983"/>
      <c r="BF271" s="983"/>
      <c r="BH271" s="1002">
        <f t="shared" si="126"/>
        <v>1</v>
      </c>
      <c r="BI271" s="1002">
        <f t="shared" si="127"/>
        <v>1</v>
      </c>
      <c r="BJ271" s="1002">
        <f t="shared" si="128"/>
        <v>1</v>
      </c>
      <c r="BK271" s="1002">
        <f t="shared" si="129"/>
        <v>0</v>
      </c>
      <c r="BL271" s="1002">
        <f t="shared" si="130"/>
        <v>0</v>
      </c>
    </row>
    <row r="272" spans="2:75" x14ac:dyDescent="0.3">
      <c r="B272" s="1280">
        <v>164</v>
      </c>
      <c r="C272" s="977" t="s">
        <v>1385</v>
      </c>
      <c r="D272" s="977" t="s">
        <v>1829</v>
      </c>
      <c r="E272" s="977" t="s">
        <v>1551</v>
      </c>
      <c r="F272" s="978">
        <v>42049</v>
      </c>
      <c r="G272" s="977" t="s">
        <v>796</v>
      </c>
      <c r="H272" s="991" t="str">
        <f t="shared" si="123"/>
        <v>Häviö</v>
      </c>
      <c r="I272" s="991" t="s">
        <v>1514</v>
      </c>
      <c r="J272" s="991" t="s">
        <v>0</v>
      </c>
      <c r="K272" s="991" t="s">
        <v>1279</v>
      </c>
      <c r="L272" s="992">
        <f t="shared" ref="L272:L274" si="131">N272+P272+R272</f>
        <v>2</v>
      </c>
      <c r="M272" s="992">
        <f t="shared" ref="M272:M274" si="132">O272+Q272+S272</f>
        <v>6</v>
      </c>
      <c r="N272" s="1262">
        <v>1</v>
      </c>
      <c r="O272" s="992">
        <v>1</v>
      </c>
      <c r="P272" s="1262">
        <v>1</v>
      </c>
      <c r="Q272" s="992">
        <v>3</v>
      </c>
      <c r="R272" s="1262">
        <v>0</v>
      </c>
      <c r="S272" s="992">
        <v>2</v>
      </c>
      <c r="T272" s="1262"/>
      <c r="U272" s="992"/>
      <c r="V272" s="985"/>
      <c r="W272" s="985"/>
      <c r="X272" s="985"/>
      <c r="Y272" s="985"/>
      <c r="Z272" s="985"/>
      <c r="AA272" s="985"/>
      <c r="AB272" s="985"/>
      <c r="AC272" s="985"/>
      <c r="AD272" s="985"/>
      <c r="AE272" s="985"/>
      <c r="AF272" s="985"/>
      <c r="AG272" s="985"/>
      <c r="AH272" s="985"/>
      <c r="AI272" s="985"/>
      <c r="AJ272" s="985"/>
      <c r="AK272" s="985"/>
      <c r="AL272" s="985"/>
      <c r="AM272" s="985"/>
      <c r="AN272" s="8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H272" s="1002">
        <f t="shared" si="126"/>
        <v>1</v>
      </c>
      <c r="BI272" s="1002">
        <f t="shared" si="127"/>
        <v>1</v>
      </c>
      <c r="BJ272" s="1002">
        <f t="shared" si="128"/>
        <v>1</v>
      </c>
      <c r="BK272" s="1002">
        <f t="shared" si="129"/>
        <v>0</v>
      </c>
      <c r="BL272" s="1002">
        <f t="shared" si="130"/>
        <v>0</v>
      </c>
    </row>
    <row r="273" spans="1:69" x14ac:dyDescent="0.3">
      <c r="B273" s="1280">
        <v>165</v>
      </c>
      <c r="C273" s="977" t="s">
        <v>1385</v>
      </c>
      <c r="D273" s="977" t="s">
        <v>1829</v>
      </c>
      <c r="E273" s="977" t="s">
        <v>1552</v>
      </c>
      <c r="F273" s="978">
        <v>42063</v>
      </c>
      <c r="G273" s="977" t="s">
        <v>1343</v>
      </c>
      <c r="H273" s="991" t="str">
        <f t="shared" si="123"/>
        <v>Voitto</v>
      </c>
      <c r="I273" s="991" t="s">
        <v>1514</v>
      </c>
      <c r="J273" s="991" t="s">
        <v>0</v>
      </c>
      <c r="K273" s="991" t="s">
        <v>1002</v>
      </c>
      <c r="L273" s="992">
        <f t="shared" si="131"/>
        <v>6</v>
      </c>
      <c r="M273" s="992">
        <f t="shared" si="132"/>
        <v>4</v>
      </c>
      <c r="N273" s="1262">
        <v>3</v>
      </c>
      <c r="O273" s="992">
        <v>0</v>
      </c>
      <c r="P273" s="1262">
        <v>2</v>
      </c>
      <c r="Q273" s="992">
        <v>1</v>
      </c>
      <c r="R273" s="1262">
        <v>1</v>
      </c>
      <c r="S273" s="992">
        <v>3</v>
      </c>
      <c r="T273" s="1262"/>
      <c r="U273" s="992"/>
      <c r="V273" s="985"/>
      <c r="W273" s="985"/>
      <c r="X273" s="985"/>
      <c r="Y273" s="985"/>
      <c r="Z273" s="985"/>
      <c r="AA273" s="985"/>
      <c r="AB273" s="985"/>
      <c r="AC273" s="985"/>
      <c r="AD273" s="985"/>
      <c r="AE273" s="985"/>
      <c r="AF273" s="985"/>
      <c r="AG273" s="985"/>
      <c r="AH273" s="985"/>
      <c r="AI273" s="985"/>
      <c r="AJ273" s="985"/>
      <c r="AK273" s="985"/>
      <c r="AL273" s="985"/>
      <c r="AM273" s="985"/>
      <c r="AN273" s="8"/>
      <c r="AO273" s="983"/>
      <c r="AP273" s="983"/>
      <c r="AQ273" s="983"/>
      <c r="AR273" s="983"/>
      <c r="AS273" s="983"/>
      <c r="AT273" s="983"/>
      <c r="AU273" s="983"/>
      <c r="AV273" s="983"/>
      <c r="AW273" s="983"/>
      <c r="AX273" s="983"/>
      <c r="AY273" s="983"/>
      <c r="AZ273" s="983"/>
      <c r="BA273" s="983"/>
      <c r="BB273" s="983"/>
      <c r="BC273" s="983"/>
      <c r="BD273" s="983"/>
      <c r="BE273" s="983"/>
      <c r="BF273" s="983"/>
      <c r="BH273" s="1002">
        <f t="shared" si="126"/>
        <v>1</v>
      </c>
      <c r="BI273" s="1002">
        <f t="shared" si="127"/>
        <v>1</v>
      </c>
      <c r="BJ273" s="1002">
        <f t="shared" si="128"/>
        <v>1</v>
      </c>
      <c r="BK273" s="1002">
        <f t="shared" si="129"/>
        <v>0</v>
      </c>
      <c r="BL273" s="1002">
        <f t="shared" si="130"/>
        <v>0</v>
      </c>
    </row>
    <row r="274" spans="1:69" x14ac:dyDescent="0.3">
      <c r="B274" s="1280">
        <v>166</v>
      </c>
      <c r="C274" s="977" t="s">
        <v>1385</v>
      </c>
      <c r="D274" s="977" t="s">
        <v>1829</v>
      </c>
      <c r="E274" s="977" t="s">
        <v>1553</v>
      </c>
      <c r="F274" s="978">
        <v>42063</v>
      </c>
      <c r="G274" s="977" t="s">
        <v>1343</v>
      </c>
      <c r="H274" s="991" t="str">
        <f t="shared" si="123"/>
        <v>Tasapeli</v>
      </c>
      <c r="I274" s="991" t="s">
        <v>1515</v>
      </c>
      <c r="J274" s="991" t="s">
        <v>0</v>
      </c>
      <c r="K274" s="991" t="s">
        <v>1220</v>
      </c>
      <c r="L274" s="992">
        <f t="shared" si="131"/>
        <v>4</v>
      </c>
      <c r="M274" s="992">
        <f t="shared" si="132"/>
        <v>4</v>
      </c>
      <c r="N274" s="1262">
        <v>1</v>
      </c>
      <c r="O274" s="992">
        <v>1</v>
      </c>
      <c r="P274" s="1262">
        <v>1</v>
      </c>
      <c r="Q274" s="992">
        <v>2</v>
      </c>
      <c r="R274" s="1262">
        <v>2</v>
      </c>
      <c r="S274" s="992">
        <v>1</v>
      </c>
      <c r="T274" s="1262"/>
      <c r="U274" s="992"/>
      <c r="V274" s="985"/>
      <c r="W274" s="985"/>
      <c r="X274" s="985"/>
      <c r="Y274" s="985"/>
      <c r="Z274" s="985"/>
      <c r="AA274" s="985"/>
      <c r="AB274" s="985"/>
      <c r="AC274" s="985"/>
      <c r="AD274" s="985"/>
      <c r="AE274" s="985"/>
      <c r="AF274" s="985"/>
      <c r="AG274" s="985"/>
      <c r="AH274" s="985"/>
      <c r="AI274" s="985"/>
      <c r="AJ274" s="985"/>
      <c r="AK274" s="985"/>
      <c r="AL274" s="985"/>
      <c r="AM274" s="985"/>
      <c r="AN274" s="8"/>
      <c r="AO274" s="983"/>
      <c r="AP274" s="983"/>
      <c r="AQ274" s="983"/>
      <c r="AR274" s="983"/>
      <c r="AS274" s="983"/>
      <c r="AT274" s="983"/>
      <c r="AU274" s="983"/>
      <c r="AV274" s="983"/>
      <c r="AW274" s="983"/>
      <c r="AX274" s="983"/>
      <c r="AY274" s="983"/>
      <c r="AZ274" s="983"/>
      <c r="BA274" s="983"/>
      <c r="BB274" s="983"/>
      <c r="BC274" s="983"/>
      <c r="BD274" s="983"/>
      <c r="BE274" s="983"/>
      <c r="BF274" s="983"/>
      <c r="BH274" s="1002">
        <f t="shared" si="126"/>
        <v>1</v>
      </c>
      <c r="BI274" s="1002">
        <f t="shared" si="127"/>
        <v>1</v>
      </c>
      <c r="BJ274" s="1002">
        <f t="shared" si="128"/>
        <v>1</v>
      </c>
      <c r="BK274" s="1002">
        <f t="shared" si="129"/>
        <v>0</v>
      </c>
      <c r="BL274" s="1002">
        <f t="shared" si="130"/>
        <v>0</v>
      </c>
    </row>
    <row r="275" spans="1:69" x14ac:dyDescent="0.3">
      <c r="B275" s="1280">
        <v>167</v>
      </c>
      <c r="C275" s="977" t="s">
        <v>1385</v>
      </c>
      <c r="D275" s="977" t="s">
        <v>1829</v>
      </c>
      <c r="E275" s="977" t="s">
        <v>1554</v>
      </c>
      <c r="F275" s="978">
        <v>42084</v>
      </c>
      <c r="G275" s="977" t="s">
        <v>242</v>
      </c>
      <c r="H275" s="991" t="str">
        <f t="shared" ref="H275:H277" si="133">IF(L275=M275,"Tasapeli",IF(L275&lt;M275,"Häviö","Voitto"))</f>
        <v>Voitto</v>
      </c>
      <c r="I275" s="991" t="s">
        <v>1515</v>
      </c>
      <c r="J275" s="991" t="s">
        <v>0</v>
      </c>
      <c r="K275" s="991" t="s">
        <v>1395</v>
      </c>
      <c r="L275" s="992">
        <f t="shared" ref="L275:L276" si="134">N275+P275+R275</f>
        <v>9</v>
      </c>
      <c r="M275" s="992">
        <f t="shared" ref="M275:M276" si="135">O275+Q275+S275</f>
        <v>4</v>
      </c>
      <c r="N275" s="1262">
        <v>2</v>
      </c>
      <c r="O275" s="992">
        <v>1</v>
      </c>
      <c r="P275" s="1262">
        <v>1</v>
      </c>
      <c r="Q275" s="992">
        <v>2</v>
      </c>
      <c r="R275" s="1262">
        <v>6</v>
      </c>
      <c r="S275" s="992">
        <v>1</v>
      </c>
      <c r="T275" s="1262"/>
      <c r="U275" s="992"/>
    </row>
    <row r="276" spans="1:69" x14ac:dyDescent="0.3">
      <c r="B276" s="1280">
        <v>168</v>
      </c>
      <c r="C276" s="977" t="s">
        <v>1385</v>
      </c>
      <c r="D276" s="977" t="s">
        <v>1829</v>
      </c>
      <c r="E276" s="977" t="s">
        <v>1555</v>
      </c>
      <c r="F276" s="978">
        <v>42084</v>
      </c>
      <c r="G276" s="977" t="s">
        <v>242</v>
      </c>
      <c r="H276" s="991" t="str">
        <f t="shared" si="133"/>
        <v>Tasapeli</v>
      </c>
      <c r="I276" s="991" t="s">
        <v>1515</v>
      </c>
      <c r="J276" s="991" t="s">
        <v>0</v>
      </c>
      <c r="K276" s="991" t="s">
        <v>1245</v>
      </c>
      <c r="L276" s="992">
        <f t="shared" si="134"/>
        <v>6</v>
      </c>
      <c r="M276" s="992">
        <f t="shared" si="135"/>
        <v>6</v>
      </c>
      <c r="N276" s="1262">
        <v>3</v>
      </c>
      <c r="O276" s="992">
        <v>2</v>
      </c>
      <c r="P276" s="1262">
        <v>3</v>
      </c>
      <c r="Q276" s="992">
        <v>1</v>
      </c>
      <c r="R276" s="1262">
        <v>0</v>
      </c>
      <c r="S276" s="992">
        <v>3</v>
      </c>
      <c r="T276" s="1262"/>
      <c r="U276" s="992"/>
    </row>
    <row r="277" spans="1:69" x14ac:dyDescent="0.3">
      <c r="A277" s="969"/>
      <c r="B277" s="1290">
        <v>169</v>
      </c>
      <c r="C277" s="1055" t="s">
        <v>1385</v>
      </c>
      <c r="D277" s="1055" t="s">
        <v>2378</v>
      </c>
      <c r="E277" s="1055" t="s">
        <v>1871</v>
      </c>
      <c r="F277" s="1054">
        <v>42091</v>
      </c>
      <c r="G277" s="1055" t="s">
        <v>2522</v>
      </c>
      <c r="H277" s="1056" t="str">
        <f t="shared" si="133"/>
        <v>Häviö</v>
      </c>
      <c r="I277" s="1056" t="s">
        <v>1515</v>
      </c>
      <c r="J277" s="1056" t="s">
        <v>0</v>
      </c>
      <c r="K277" s="1056" t="s">
        <v>2018</v>
      </c>
      <c r="L277" s="992">
        <f t="shared" ref="L277" si="136">N277+P277+R277</f>
        <v>3</v>
      </c>
      <c r="M277" s="992">
        <f t="shared" ref="M277" si="137">O277+Q277+S277</f>
        <v>4</v>
      </c>
      <c r="N277" s="1262">
        <v>3</v>
      </c>
      <c r="O277" s="992">
        <v>4</v>
      </c>
      <c r="P277" s="1262"/>
      <c r="Q277" s="992"/>
      <c r="R277" s="1262"/>
      <c r="S277" s="992"/>
      <c r="T277" s="1262"/>
      <c r="U277" s="992"/>
    </row>
    <row r="279" spans="1:69" x14ac:dyDescent="0.3">
      <c r="F279" s="975"/>
      <c r="G279" s="975" t="s">
        <v>2036</v>
      </c>
      <c r="H279" s="975"/>
      <c r="I279" s="1003"/>
      <c r="J279" s="1003"/>
      <c r="K279" s="1003"/>
      <c r="L279" s="1003" t="s">
        <v>2037</v>
      </c>
      <c r="M279" s="1003" t="s">
        <v>2038</v>
      </c>
      <c r="O279" s="1003" t="s">
        <v>1409</v>
      </c>
      <c r="P279" s="1003" t="s">
        <v>1410</v>
      </c>
      <c r="Q279" s="1003" t="s">
        <v>1411</v>
      </c>
      <c r="V279" s="981" t="s">
        <v>1557</v>
      </c>
      <c r="W279" s="981" t="s">
        <v>1556</v>
      </c>
      <c r="X279" s="981" t="s">
        <v>501</v>
      </c>
      <c r="Y279" s="981" t="s">
        <v>708</v>
      </c>
      <c r="Z279" s="981" t="s">
        <v>82</v>
      </c>
      <c r="AA279" s="981" t="s">
        <v>709</v>
      </c>
      <c r="AB279" s="981" t="s">
        <v>1419</v>
      </c>
      <c r="AC279" s="981" t="s">
        <v>1420</v>
      </c>
      <c r="AD279" s="982" t="s">
        <v>1827</v>
      </c>
      <c r="AE279" s="981" t="s">
        <v>1828</v>
      </c>
      <c r="AF279" s="981" t="s">
        <v>1425</v>
      </c>
      <c r="AG279" s="981" t="s">
        <v>1535</v>
      </c>
      <c r="AH279" s="981" t="s">
        <v>1536</v>
      </c>
      <c r="AI279" s="981" t="s">
        <v>1559</v>
      </c>
      <c r="AJ279" s="981" t="s">
        <v>1896</v>
      </c>
      <c r="AK279" s="981" t="s">
        <v>1967</v>
      </c>
      <c r="AL279" s="981" t="s">
        <v>19</v>
      </c>
      <c r="AM279" s="981"/>
      <c r="AO279" s="979" t="s">
        <v>1557</v>
      </c>
      <c r="AP279" s="979" t="s">
        <v>1556</v>
      </c>
      <c r="AQ279" s="979" t="s">
        <v>501</v>
      </c>
      <c r="AR279" s="979" t="s">
        <v>708</v>
      </c>
      <c r="AS279" s="979" t="s">
        <v>82</v>
      </c>
      <c r="AT279" s="979" t="s">
        <v>709</v>
      </c>
      <c r="AU279" s="979" t="s">
        <v>1419</v>
      </c>
      <c r="AV279" s="979" t="s">
        <v>1420</v>
      </c>
      <c r="AW279" s="980" t="s">
        <v>1827</v>
      </c>
      <c r="AX279" s="979" t="s">
        <v>1828</v>
      </c>
      <c r="AY279" s="979" t="s">
        <v>1425</v>
      </c>
      <c r="AZ279" s="979" t="s">
        <v>1535</v>
      </c>
      <c r="BA279" s="979" t="s">
        <v>1536</v>
      </c>
      <c r="BB279" s="979" t="s">
        <v>1559</v>
      </c>
      <c r="BC279" s="979" t="s">
        <v>1896</v>
      </c>
      <c r="BD279" s="979" t="s">
        <v>1967</v>
      </c>
      <c r="BE279" s="979" t="s">
        <v>19</v>
      </c>
      <c r="BF279" s="979"/>
      <c r="BH279" s="1001" t="s">
        <v>2045</v>
      </c>
      <c r="BI279" s="1001"/>
      <c r="BJ279" s="1001" t="s">
        <v>1913</v>
      </c>
      <c r="BK279" s="1001" t="s">
        <v>537</v>
      </c>
      <c r="BL279" s="1001" t="s">
        <v>1128</v>
      </c>
    </row>
    <row r="280" spans="1:69" x14ac:dyDescent="0.3">
      <c r="F280" s="977"/>
      <c r="G280" s="977" t="s">
        <v>1829</v>
      </c>
      <c r="H280" s="977"/>
      <c r="I280" s="1004"/>
      <c r="J280" s="1004"/>
      <c r="K280" s="1004"/>
      <c r="L280" s="1004">
        <f>SUM(L257:L276)</f>
        <v>105</v>
      </c>
      <c r="M280" s="1004">
        <f>SUM(M257:M276)</f>
        <v>69</v>
      </c>
      <c r="N280" s="8"/>
      <c r="O280" s="1004">
        <f>COUNTIF(H257:H276,"Voitto")</f>
        <v>12</v>
      </c>
      <c r="P280" s="1004">
        <f>COUNTIF(H257:H276,"Tasapeli")</f>
        <v>3</v>
      </c>
      <c r="Q280" s="1004">
        <f>COUNTIF(H257:H276,"Häviö")</f>
        <v>5</v>
      </c>
      <c r="V280" s="8">
        <f t="shared" ref="V280:AK280" si="138">SUM(V257:V274)</f>
        <v>0</v>
      </c>
      <c r="W280" s="8">
        <f t="shared" si="138"/>
        <v>0</v>
      </c>
      <c r="X280" s="8">
        <f t="shared" si="138"/>
        <v>0</v>
      </c>
      <c r="Y280" s="8">
        <f t="shared" si="138"/>
        <v>0</v>
      </c>
      <c r="Z280" s="8">
        <f t="shared" si="138"/>
        <v>0</v>
      </c>
      <c r="AA280" s="8">
        <f t="shared" si="138"/>
        <v>0</v>
      </c>
      <c r="AB280" s="8">
        <f t="shared" si="138"/>
        <v>0</v>
      </c>
      <c r="AC280" s="8">
        <f t="shared" si="138"/>
        <v>0</v>
      </c>
      <c r="AD280" s="8">
        <f t="shared" si="138"/>
        <v>0</v>
      </c>
      <c r="AE280" s="8">
        <f t="shared" si="138"/>
        <v>0</v>
      </c>
      <c r="AF280" s="8">
        <f t="shared" si="138"/>
        <v>0</v>
      </c>
      <c r="AG280" s="8">
        <f t="shared" si="138"/>
        <v>0</v>
      </c>
      <c r="AH280" s="8">
        <f t="shared" si="138"/>
        <v>0</v>
      </c>
      <c r="AI280" s="8">
        <f t="shared" si="138"/>
        <v>0</v>
      </c>
      <c r="AJ280" s="8">
        <f t="shared" si="138"/>
        <v>0</v>
      </c>
      <c r="AK280" s="8">
        <f t="shared" si="138"/>
        <v>0</v>
      </c>
      <c r="AL280" s="8">
        <f>MIN(AL257:AL274)</f>
        <v>0</v>
      </c>
      <c r="AM280" s="8">
        <f>MAX(AL257:AL274)</f>
        <v>0</v>
      </c>
      <c r="AO280" s="8">
        <f t="shared" ref="AO280:BD280" si="139">SUM(AO257:AO274)</f>
        <v>0</v>
      </c>
      <c r="AP280" s="8">
        <f t="shared" si="139"/>
        <v>0</v>
      </c>
      <c r="AQ280" s="8">
        <f t="shared" si="139"/>
        <v>0</v>
      </c>
      <c r="AR280" s="8">
        <f t="shared" si="139"/>
        <v>0</v>
      </c>
      <c r="AS280" s="8">
        <f t="shared" si="139"/>
        <v>0</v>
      </c>
      <c r="AT280" s="8">
        <f t="shared" si="139"/>
        <v>0</v>
      </c>
      <c r="AU280" s="8">
        <f t="shared" si="139"/>
        <v>0</v>
      </c>
      <c r="AV280" s="8">
        <f t="shared" si="139"/>
        <v>0</v>
      </c>
      <c r="AW280" s="8">
        <f t="shared" si="139"/>
        <v>0</v>
      </c>
      <c r="AX280" s="8">
        <f t="shared" si="139"/>
        <v>0</v>
      </c>
      <c r="AY280" s="8">
        <f t="shared" si="139"/>
        <v>0</v>
      </c>
      <c r="AZ280" s="8">
        <f t="shared" si="139"/>
        <v>0</v>
      </c>
      <c r="BA280" s="8">
        <f t="shared" si="139"/>
        <v>0</v>
      </c>
      <c r="BB280" s="8">
        <f t="shared" si="139"/>
        <v>0</v>
      </c>
      <c r="BC280" s="8">
        <f t="shared" si="139"/>
        <v>0</v>
      </c>
      <c r="BD280" s="8">
        <f t="shared" si="139"/>
        <v>0</v>
      </c>
      <c r="BE280">
        <f>MIN(BE257:BE274)</f>
        <v>0</v>
      </c>
      <c r="BF280">
        <f>MAX(BE257:BE274)</f>
        <v>0</v>
      </c>
      <c r="BJ280" s="8">
        <f>SUM(BJ257:BJ274)</f>
        <v>18</v>
      </c>
      <c r="BK280" s="8">
        <f>SUM(BK257:BK274)</f>
        <v>0</v>
      </c>
      <c r="BL280" s="8">
        <f>SUM(BL257:BL274)</f>
        <v>0</v>
      </c>
    </row>
    <row r="281" spans="1:69" x14ac:dyDescent="0.3">
      <c r="F281" s="977"/>
      <c r="G281" s="977" t="s">
        <v>2378</v>
      </c>
      <c r="H281" s="977"/>
      <c r="I281" s="1004"/>
      <c r="J281" s="1004"/>
      <c r="K281" s="1004"/>
      <c r="L281" s="1004">
        <f>SUM(L277)</f>
        <v>3</v>
      </c>
      <c r="M281" s="1004">
        <f>SUM(M277)</f>
        <v>4</v>
      </c>
      <c r="N281" s="8"/>
      <c r="O281" s="1004">
        <f>COUNTIF(H277,"Voitto")</f>
        <v>0</v>
      </c>
      <c r="P281" s="1004">
        <f>COUNTIF(H277,"Tasapeli")</f>
        <v>0</v>
      </c>
      <c r="Q281" s="1004">
        <f>COUNTIF(H277,"Häviö")</f>
        <v>1</v>
      </c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J281" s="8"/>
      <c r="BK281" s="8"/>
      <c r="BL281" s="8"/>
    </row>
    <row r="282" spans="1:69" x14ac:dyDescent="0.3">
      <c r="F282" s="977" t="s">
        <v>1385</v>
      </c>
      <c r="G282" s="977" t="s">
        <v>2710</v>
      </c>
      <c r="H282" s="977"/>
      <c r="I282" s="1004"/>
      <c r="J282" s="1004"/>
      <c r="K282" s="1004"/>
      <c r="L282" s="1004">
        <f>SUM(L280:L281)</f>
        <v>108</v>
      </c>
      <c r="M282" s="1004">
        <f>SUM(M280:M281)</f>
        <v>73</v>
      </c>
      <c r="N282" s="8"/>
      <c r="O282" s="1004">
        <f>SUM(O280:O281)</f>
        <v>12</v>
      </c>
      <c r="P282" s="1004">
        <f>SUM(P280:P281)</f>
        <v>3</v>
      </c>
      <c r="Q282" s="1004">
        <f>SUM(Q280:Q281)</f>
        <v>6</v>
      </c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J282" s="8"/>
      <c r="BK282" s="8"/>
      <c r="BL282" s="8"/>
    </row>
    <row r="287" spans="1:69" x14ac:dyDescent="0.3">
      <c r="C287" s="205" t="s">
        <v>1490</v>
      </c>
      <c r="D287" s="205" t="s">
        <v>2626</v>
      </c>
      <c r="V287" s="205" t="s">
        <v>0</v>
      </c>
      <c r="AO287" s="265" t="s">
        <v>1895</v>
      </c>
      <c r="BP287" s="205" t="s">
        <v>1490</v>
      </c>
      <c r="BQ287" s="205" t="s">
        <v>2620</v>
      </c>
    </row>
    <row r="288" spans="1:69" x14ac:dyDescent="0.3">
      <c r="B288" s="1003" t="s">
        <v>1393</v>
      </c>
      <c r="C288" s="975" t="s">
        <v>1831</v>
      </c>
      <c r="D288" s="975" t="s">
        <v>1830</v>
      </c>
      <c r="E288" s="975" t="s">
        <v>1832</v>
      </c>
      <c r="F288" s="975" t="s">
        <v>1836</v>
      </c>
      <c r="G288" s="975" t="s">
        <v>1835</v>
      </c>
      <c r="H288" s="989" t="s">
        <v>1407</v>
      </c>
      <c r="I288" s="990" t="s">
        <v>2019</v>
      </c>
      <c r="J288" s="990" t="s">
        <v>0</v>
      </c>
      <c r="K288" s="990" t="s">
        <v>1128</v>
      </c>
      <c r="L288" s="1324" t="s">
        <v>1407</v>
      </c>
      <c r="M288" s="1325"/>
      <c r="N288" s="1326" t="s">
        <v>1822</v>
      </c>
      <c r="O288" s="1325"/>
      <c r="P288" s="1326" t="s">
        <v>1823</v>
      </c>
      <c r="Q288" s="1325"/>
      <c r="R288" s="1326" t="s">
        <v>1824</v>
      </c>
      <c r="S288" s="1325"/>
      <c r="T288" s="1326" t="s">
        <v>2706</v>
      </c>
      <c r="U288" s="1324"/>
      <c r="V288" s="981" t="s">
        <v>1557</v>
      </c>
      <c r="W288" s="981" t="s">
        <v>1556</v>
      </c>
      <c r="X288" s="981" t="s">
        <v>501</v>
      </c>
      <c r="Y288" s="981" t="s">
        <v>708</v>
      </c>
      <c r="Z288" s="981" t="s">
        <v>82</v>
      </c>
      <c r="AA288" s="981" t="s">
        <v>709</v>
      </c>
      <c r="AB288" s="981" t="s">
        <v>1419</v>
      </c>
      <c r="AC288" s="981" t="s">
        <v>1420</v>
      </c>
      <c r="AD288" s="982" t="s">
        <v>1827</v>
      </c>
      <c r="AE288" s="981" t="s">
        <v>1828</v>
      </c>
      <c r="AF288" s="981" t="s">
        <v>1425</v>
      </c>
      <c r="AG288" s="981" t="s">
        <v>1535</v>
      </c>
      <c r="AH288" s="981" t="s">
        <v>1536</v>
      </c>
      <c r="AI288" s="981" t="s">
        <v>1559</v>
      </c>
      <c r="AJ288" s="981" t="s">
        <v>1896</v>
      </c>
      <c r="AK288" s="981" t="s">
        <v>1967</v>
      </c>
      <c r="AL288" s="981" t="s">
        <v>19</v>
      </c>
      <c r="AM288" s="981"/>
      <c r="AN288" s="265"/>
      <c r="AO288" s="979" t="s">
        <v>1557</v>
      </c>
      <c r="AP288" s="979" t="s">
        <v>1556</v>
      </c>
      <c r="AQ288" s="979" t="s">
        <v>501</v>
      </c>
      <c r="AR288" s="979" t="s">
        <v>708</v>
      </c>
      <c r="AS288" s="979" t="s">
        <v>82</v>
      </c>
      <c r="AT288" s="979" t="s">
        <v>709</v>
      </c>
      <c r="AU288" s="979" t="s">
        <v>1419</v>
      </c>
      <c r="AV288" s="979" t="s">
        <v>1420</v>
      </c>
      <c r="AW288" s="980" t="s">
        <v>1827</v>
      </c>
      <c r="AX288" s="979" t="s">
        <v>1828</v>
      </c>
      <c r="AY288" s="979" t="s">
        <v>1425</v>
      </c>
      <c r="AZ288" s="979" t="s">
        <v>1535</v>
      </c>
      <c r="BA288" s="979" t="s">
        <v>1536</v>
      </c>
      <c r="BB288" s="979" t="s">
        <v>1559</v>
      </c>
      <c r="BC288" s="979" t="s">
        <v>1896</v>
      </c>
      <c r="BD288" s="979" t="s">
        <v>1967</v>
      </c>
      <c r="BE288" s="979" t="s">
        <v>19</v>
      </c>
      <c r="BF288" s="979"/>
      <c r="BH288" s="1001" t="s">
        <v>1911</v>
      </c>
      <c r="BI288" s="1001" t="s">
        <v>1912</v>
      </c>
      <c r="BJ288" s="1001" t="s">
        <v>1913</v>
      </c>
      <c r="BK288" s="1001" t="s">
        <v>537</v>
      </c>
      <c r="BL288" s="1001" t="s">
        <v>1128</v>
      </c>
    </row>
    <row r="289" spans="1:75" x14ac:dyDescent="0.3">
      <c r="B289" s="1280">
        <v>170</v>
      </c>
      <c r="C289" s="977" t="s">
        <v>1490</v>
      </c>
      <c r="D289" s="977" t="s">
        <v>1829</v>
      </c>
      <c r="E289" s="977" t="s">
        <v>1516</v>
      </c>
      <c r="F289" s="978">
        <v>42273</v>
      </c>
      <c r="G289" s="977" t="s">
        <v>796</v>
      </c>
      <c r="H289" s="991" t="str">
        <f t="shared" ref="H289:H308" si="140">IF(L289=M289,"Tasapeli",IF(L289&lt;M289,"Häviö","Voitto"))</f>
        <v>Tasapeli</v>
      </c>
      <c r="I289" s="991" t="s">
        <v>1515</v>
      </c>
      <c r="J289" s="991" t="s">
        <v>0</v>
      </c>
      <c r="K289" s="991" t="s">
        <v>1394</v>
      </c>
      <c r="L289" s="992">
        <f t="shared" ref="L289:L302" si="141">N289+P289+R289</f>
        <v>5</v>
      </c>
      <c r="M289" s="992">
        <f t="shared" ref="M289:M302" si="142">O289+Q289+S289</f>
        <v>5</v>
      </c>
      <c r="N289" s="1262">
        <v>1</v>
      </c>
      <c r="O289" s="992">
        <v>2</v>
      </c>
      <c r="P289" s="1262">
        <v>1</v>
      </c>
      <c r="Q289" s="992">
        <v>2</v>
      </c>
      <c r="R289" s="1262">
        <v>3</v>
      </c>
      <c r="S289" s="992">
        <v>1</v>
      </c>
      <c r="T289" s="1262"/>
      <c r="U289" s="992"/>
      <c r="V289" s="985"/>
      <c r="W289" s="985"/>
      <c r="X289" s="985"/>
      <c r="Y289" s="985"/>
      <c r="Z289" s="985"/>
      <c r="AA289" s="985"/>
      <c r="AB289" s="985"/>
      <c r="AC289" s="985"/>
      <c r="AD289" s="985"/>
      <c r="AE289" s="985"/>
      <c r="AF289" s="985"/>
      <c r="AG289" s="985"/>
      <c r="AH289" s="985"/>
      <c r="AI289" s="985"/>
      <c r="AJ289" s="985"/>
      <c r="AK289" s="985"/>
      <c r="AL289" s="985"/>
      <c r="AM289" s="985"/>
      <c r="AN289" s="8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H289" s="1002">
        <f>IF(V289=0,1,0)</f>
        <v>1</v>
      </c>
      <c r="BI289" s="1002">
        <f>IF(AO289=0,1,0)</f>
        <v>1</v>
      </c>
      <c r="BJ289" s="1002">
        <f>IF(V289+AO289=0,1,0)</f>
        <v>1</v>
      </c>
      <c r="BK289" s="1002">
        <f>IF(BH289&gt;BI289,1,0)</f>
        <v>0</v>
      </c>
      <c r="BL289" s="1002">
        <f>IF(BI289&gt;BH289,1,0)</f>
        <v>0</v>
      </c>
      <c r="BO289" s="1282" t="s">
        <v>1393</v>
      </c>
      <c r="BP289" s="1281" t="s">
        <v>989</v>
      </c>
      <c r="BQ289" s="1282" t="s">
        <v>877</v>
      </c>
      <c r="BR289" s="1282" t="s">
        <v>990</v>
      </c>
      <c r="BS289" s="1282" t="s">
        <v>991</v>
      </c>
      <c r="BT289" s="1282" t="s">
        <v>992</v>
      </c>
      <c r="BU289" s="1282" t="s">
        <v>139</v>
      </c>
      <c r="BV289" s="1282" t="s">
        <v>993</v>
      </c>
      <c r="BW289" s="1282" t="s">
        <v>610</v>
      </c>
    </row>
    <row r="290" spans="1:75" ht="15" thickBot="1" x14ac:dyDescent="0.35">
      <c r="B290" s="1280">
        <v>171</v>
      </c>
      <c r="C290" s="977" t="s">
        <v>1490</v>
      </c>
      <c r="D290" s="977" t="s">
        <v>1829</v>
      </c>
      <c r="E290" s="977" t="s">
        <v>1537</v>
      </c>
      <c r="F290" s="978">
        <v>42273</v>
      </c>
      <c r="G290" s="977" t="s">
        <v>796</v>
      </c>
      <c r="H290" s="991" t="str">
        <f t="shared" si="140"/>
        <v>Tasapeli</v>
      </c>
      <c r="I290" s="991" t="s">
        <v>1515</v>
      </c>
      <c r="J290" s="991" t="s">
        <v>0</v>
      </c>
      <c r="K290" s="991" t="s">
        <v>1395</v>
      </c>
      <c r="L290" s="992">
        <f t="shared" si="141"/>
        <v>7</v>
      </c>
      <c r="M290" s="992">
        <f t="shared" si="142"/>
        <v>7</v>
      </c>
      <c r="N290" s="1262">
        <v>3</v>
      </c>
      <c r="O290" s="992">
        <v>3</v>
      </c>
      <c r="P290" s="1262">
        <v>2</v>
      </c>
      <c r="Q290" s="992">
        <v>3</v>
      </c>
      <c r="R290" s="1262">
        <v>2</v>
      </c>
      <c r="S290" s="992">
        <v>1</v>
      </c>
      <c r="T290" s="1262"/>
      <c r="U290" s="992"/>
      <c r="V290" s="985"/>
      <c r="W290" s="985"/>
      <c r="X290" s="985"/>
      <c r="Y290" s="985"/>
      <c r="Z290" s="985"/>
      <c r="AA290" s="985"/>
      <c r="AB290" s="985"/>
      <c r="AC290" s="985"/>
      <c r="AD290" s="985"/>
      <c r="AE290" s="985"/>
      <c r="AF290" s="985"/>
      <c r="AG290" s="985"/>
      <c r="AH290" s="985"/>
      <c r="AI290" s="985"/>
      <c r="AJ290" s="985"/>
      <c r="AK290" s="985"/>
      <c r="AL290" s="985"/>
      <c r="AM290" s="985"/>
      <c r="AN290" s="8"/>
      <c r="AO290" s="983"/>
      <c r="AP290" s="983"/>
      <c r="AQ290" s="983"/>
      <c r="AR290" s="983"/>
      <c r="AS290" s="983"/>
      <c r="AT290" s="983"/>
      <c r="AU290" s="983"/>
      <c r="AV290" s="983"/>
      <c r="AW290" s="983"/>
      <c r="AX290" s="983"/>
      <c r="AY290" s="983"/>
      <c r="AZ290" s="983"/>
      <c r="BA290" s="983"/>
      <c r="BB290" s="983"/>
      <c r="BC290" s="983"/>
      <c r="BD290" s="983"/>
      <c r="BE290" s="988"/>
      <c r="BF290" s="988"/>
      <c r="BH290" s="1002">
        <f t="shared" ref="BH290:BH306" si="143">IF(V290=0,1,0)</f>
        <v>1</v>
      </c>
      <c r="BI290" s="1002">
        <f t="shared" ref="BI290:BI306" si="144">IF(AO290=0,1,0)</f>
        <v>1</v>
      </c>
      <c r="BJ290" s="1002">
        <f t="shared" ref="BJ290:BJ306" si="145">IF(V290+AO290=0,1,0)</f>
        <v>1</v>
      </c>
      <c r="BK290" s="1002">
        <f t="shared" ref="BK290:BK306" si="146">IF(BH290&gt;BI290,1,0)</f>
        <v>0</v>
      </c>
      <c r="BL290" s="1002">
        <f t="shared" ref="BL290:BL306" si="147">IF(BI290&gt;BH290,1,0)</f>
        <v>0</v>
      </c>
      <c r="BO290" s="121">
        <v>1</v>
      </c>
      <c r="BP290" s="1285" t="s">
        <v>1220</v>
      </c>
      <c r="BQ290" s="121">
        <v>19</v>
      </c>
      <c r="BR290" s="121">
        <v>13</v>
      </c>
      <c r="BS290" s="121">
        <v>2</v>
      </c>
      <c r="BT290" s="121">
        <v>4</v>
      </c>
      <c r="BU290" s="121">
        <v>112</v>
      </c>
      <c r="BV290" s="121">
        <v>59</v>
      </c>
      <c r="BW290" s="121">
        <v>28</v>
      </c>
    </row>
    <row r="291" spans="1:75" x14ac:dyDescent="0.3">
      <c r="B291" s="1280">
        <v>172</v>
      </c>
      <c r="C291" s="977" t="s">
        <v>1490</v>
      </c>
      <c r="D291" s="977" t="s">
        <v>1829</v>
      </c>
      <c r="E291" s="977" t="s">
        <v>1538</v>
      </c>
      <c r="F291" s="978">
        <v>42294</v>
      </c>
      <c r="G291" s="977" t="s">
        <v>1414</v>
      </c>
      <c r="H291" s="991" t="str">
        <f t="shared" si="140"/>
        <v>Voitto</v>
      </c>
      <c r="I291" s="991" t="s">
        <v>1514</v>
      </c>
      <c r="J291" s="991" t="s">
        <v>0</v>
      </c>
      <c r="K291" s="991" t="s">
        <v>1396</v>
      </c>
      <c r="L291" s="992">
        <f t="shared" si="141"/>
        <v>8</v>
      </c>
      <c r="M291" s="992">
        <f t="shared" si="142"/>
        <v>5</v>
      </c>
      <c r="N291" s="1262">
        <v>4</v>
      </c>
      <c r="O291" s="992">
        <v>3</v>
      </c>
      <c r="P291" s="1262">
        <v>1</v>
      </c>
      <c r="Q291" s="992">
        <v>1</v>
      </c>
      <c r="R291" s="1262">
        <v>3</v>
      </c>
      <c r="S291" s="992">
        <v>1</v>
      </c>
      <c r="T291" s="1262"/>
      <c r="U291" s="992"/>
      <c r="V291" s="985"/>
      <c r="W291" s="985"/>
      <c r="X291" s="985"/>
      <c r="Y291" s="985"/>
      <c r="Z291" s="985"/>
      <c r="AA291" s="985"/>
      <c r="AB291" s="985"/>
      <c r="AC291" s="985"/>
      <c r="AD291" s="985"/>
      <c r="AE291" s="985"/>
      <c r="AF291" s="985"/>
      <c r="AG291" s="985"/>
      <c r="AH291" s="985"/>
      <c r="AI291" s="985"/>
      <c r="AJ291" s="985"/>
      <c r="AK291" s="985"/>
      <c r="AL291" s="986"/>
      <c r="AM291" s="986"/>
      <c r="AN291" s="8"/>
      <c r="AO291" s="983"/>
      <c r="AP291" s="983"/>
      <c r="AQ291" s="983"/>
      <c r="AR291" s="983"/>
      <c r="AS291" s="983"/>
      <c r="AT291" s="983"/>
      <c r="AU291" s="983"/>
      <c r="AV291" s="983"/>
      <c r="AW291" s="983"/>
      <c r="AX291" s="983"/>
      <c r="AY291" s="983"/>
      <c r="AZ291" s="983"/>
      <c r="BA291" s="983"/>
      <c r="BB291" s="983"/>
      <c r="BC291" s="983"/>
      <c r="BD291" s="983"/>
      <c r="BE291" s="988"/>
      <c r="BF291" s="988"/>
      <c r="BH291" s="1002">
        <f t="shared" si="143"/>
        <v>1</v>
      </c>
      <c r="BI291" s="1002">
        <f t="shared" si="144"/>
        <v>1</v>
      </c>
      <c r="BJ291" s="1002">
        <f t="shared" si="145"/>
        <v>1</v>
      </c>
      <c r="BK291" s="1002">
        <f t="shared" si="146"/>
        <v>0</v>
      </c>
      <c r="BL291" s="1002">
        <f t="shared" si="147"/>
        <v>0</v>
      </c>
      <c r="BO291" s="227">
        <v>2</v>
      </c>
      <c r="BP291" s="141" t="s">
        <v>1394</v>
      </c>
      <c r="BQ291" s="227">
        <v>20</v>
      </c>
      <c r="BR291" s="227">
        <v>12</v>
      </c>
      <c r="BS291" s="227">
        <v>2</v>
      </c>
      <c r="BT291" s="227">
        <v>6</v>
      </c>
      <c r="BU291" s="227">
        <v>98</v>
      </c>
      <c r="BV291" s="227">
        <v>73</v>
      </c>
      <c r="BW291" s="227">
        <v>26</v>
      </c>
    </row>
    <row r="292" spans="1:75" ht="15" thickBot="1" x14ac:dyDescent="0.35">
      <c r="B292" s="1280">
        <v>173</v>
      </c>
      <c r="C292" s="977" t="s">
        <v>1490</v>
      </c>
      <c r="D292" s="977" t="s">
        <v>1829</v>
      </c>
      <c r="E292" s="977" t="s">
        <v>1539</v>
      </c>
      <c r="F292" s="978">
        <v>42294</v>
      </c>
      <c r="G292" s="977" t="s">
        <v>1414</v>
      </c>
      <c r="H292" s="991" t="str">
        <f t="shared" si="140"/>
        <v>Voitto</v>
      </c>
      <c r="I292" s="991" t="s">
        <v>1514</v>
      </c>
      <c r="J292" s="991" t="s">
        <v>0</v>
      </c>
      <c r="K292" s="991" t="s">
        <v>1195</v>
      </c>
      <c r="L292" s="992">
        <f t="shared" si="141"/>
        <v>10</v>
      </c>
      <c r="M292" s="992">
        <f t="shared" si="142"/>
        <v>9</v>
      </c>
      <c r="N292" s="1262">
        <v>4</v>
      </c>
      <c r="O292" s="992">
        <v>4</v>
      </c>
      <c r="P292" s="1262">
        <v>1</v>
      </c>
      <c r="Q292" s="992">
        <v>4</v>
      </c>
      <c r="R292" s="1262">
        <v>5</v>
      </c>
      <c r="S292" s="992">
        <v>1</v>
      </c>
      <c r="T292" s="1262"/>
      <c r="U292" s="992"/>
      <c r="V292" s="985"/>
      <c r="W292" s="985"/>
      <c r="X292" s="987"/>
      <c r="Y292" s="987"/>
      <c r="Z292" s="987"/>
      <c r="AA292" s="987"/>
      <c r="AB292" s="987"/>
      <c r="AC292" s="987"/>
      <c r="AD292" s="987"/>
      <c r="AE292" s="987"/>
      <c r="AF292" s="987"/>
      <c r="AG292" s="987"/>
      <c r="AH292" s="987"/>
      <c r="AI292" s="987"/>
      <c r="AJ292" s="987"/>
      <c r="AK292" s="985"/>
      <c r="AL292" s="985"/>
      <c r="AM292" s="985"/>
      <c r="AO292" s="983"/>
      <c r="AP292" s="983"/>
      <c r="AQ292" s="983"/>
      <c r="AR292" s="976"/>
      <c r="AS292" s="976"/>
      <c r="AT292" s="976"/>
      <c r="AU292" s="976"/>
      <c r="AV292" s="976"/>
      <c r="AW292" s="976"/>
      <c r="AX292" s="976"/>
      <c r="AY292" s="976"/>
      <c r="AZ292" s="976"/>
      <c r="BA292" s="976"/>
      <c r="BB292" s="976"/>
      <c r="BC292" s="976"/>
      <c r="BD292" s="983"/>
      <c r="BE292" s="984"/>
      <c r="BF292" s="984"/>
      <c r="BH292" s="1002">
        <f t="shared" si="143"/>
        <v>1</v>
      </c>
      <c r="BI292" s="1002">
        <f t="shared" si="144"/>
        <v>1</v>
      </c>
      <c r="BJ292" s="1002">
        <f t="shared" si="145"/>
        <v>1</v>
      </c>
      <c r="BK292" s="1002">
        <f t="shared" si="146"/>
        <v>0</v>
      </c>
      <c r="BL292" s="1002">
        <f t="shared" si="147"/>
        <v>0</v>
      </c>
      <c r="BO292" s="121">
        <v>3</v>
      </c>
      <c r="BP292" s="1285" t="s">
        <v>1403</v>
      </c>
      <c r="BQ292" s="121">
        <v>20</v>
      </c>
      <c r="BR292" s="121">
        <v>12</v>
      </c>
      <c r="BS292" s="121">
        <v>1</v>
      </c>
      <c r="BT292" s="121">
        <v>7</v>
      </c>
      <c r="BU292" s="121">
        <v>97</v>
      </c>
      <c r="BV292" s="121">
        <v>68</v>
      </c>
      <c r="BW292" s="121">
        <v>25</v>
      </c>
    </row>
    <row r="293" spans="1:75" x14ac:dyDescent="0.3">
      <c r="B293" s="1280">
        <v>174</v>
      </c>
      <c r="C293" s="977" t="s">
        <v>1490</v>
      </c>
      <c r="D293" s="977" t="s">
        <v>1829</v>
      </c>
      <c r="E293" s="977" t="s">
        <v>1540</v>
      </c>
      <c r="F293" s="978">
        <v>42309</v>
      </c>
      <c r="G293" s="977" t="s">
        <v>796</v>
      </c>
      <c r="H293" s="991" t="str">
        <f t="shared" si="140"/>
        <v>Häviö</v>
      </c>
      <c r="I293" s="991" t="s">
        <v>1515</v>
      </c>
      <c r="J293" s="991" t="s">
        <v>0</v>
      </c>
      <c r="K293" s="991" t="s">
        <v>1402</v>
      </c>
      <c r="L293" s="992">
        <f t="shared" si="141"/>
        <v>1</v>
      </c>
      <c r="M293" s="992">
        <f t="shared" si="142"/>
        <v>6</v>
      </c>
      <c r="N293" s="1262">
        <v>0</v>
      </c>
      <c r="O293" s="992">
        <v>3</v>
      </c>
      <c r="P293" s="1262">
        <v>0</v>
      </c>
      <c r="Q293" s="992">
        <v>0</v>
      </c>
      <c r="R293" s="1262">
        <v>1</v>
      </c>
      <c r="S293" s="992">
        <v>3</v>
      </c>
      <c r="T293" s="1262"/>
      <c r="U293" s="992"/>
      <c r="V293" s="985"/>
      <c r="W293" s="985"/>
      <c r="X293" s="987"/>
      <c r="Y293" s="987"/>
      <c r="Z293" s="987"/>
      <c r="AA293" s="987"/>
      <c r="AB293" s="987"/>
      <c r="AC293" s="987"/>
      <c r="AD293" s="987"/>
      <c r="AE293" s="987"/>
      <c r="AF293" s="987"/>
      <c r="AG293" s="987"/>
      <c r="AH293" s="987"/>
      <c r="AI293" s="987"/>
      <c r="AJ293" s="987"/>
      <c r="AK293" s="985"/>
      <c r="AL293" s="985"/>
      <c r="AM293" s="985"/>
      <c r="AO293" s="983"/>
      <c r="AP293" s="983"/>
      <c r="AQ293" s="976"/>
      <c r="AR293" s="976"/>
      <c r="AS293" s="976"/>
      <c r="AT293" s="976"/>
      <c r="AU293" s="976"/>
      <c r="AV293" s="976"/>
      <c r="AW293" s="976"/>
      <c r="AX293" s="976"/>
      <c r="AY293" s="976"/>
      <c r="AZ293" s="976"/>
      <c r="BA293" s="976"/>
      <c r="BB293" s="976"/>
      <c r="BC293" s="976"/>
      <c r="BD293" s="983"/>
      <c r="BE293" s="983"/>
      <c r="BF293" s="983"/>
      <c r="BH293" s="1002">
        <f t="shared" si="143"/>
        <v>1</v>
      </c>
      <c r="BI293" s="1002">
        <f t="shared" si="144"/>
        <v>1</v>
      </c>
      <c r="BJ293" s="1002">
        <f t="shared" si="145"/>
        <v>1</v>
      </c>
      <c r="BK293" s="1002">
        <f t="shared" si="146"/>
        <v>0</v>
      </c>
      <c r="BL293" s="1002">
        <f t="shared" si="147"/>
        <v>0</v>
      </c>
      <c r="BO293" s="227">
        <v>4</v>
      </c>
      <c r="BP293" s="141" t="s">
        <v>1910</v>
      </c>
      <c r="BQ293" s="227">
        <v>20</v>
      </c>
      <c r="BR293" s="227">
        <v>10</v>
      </c>
      <c r="BS293" s="227">
        <v>4</v>
      </c>
      <c r="BT293" s="227">
        <v>6</v>
      </c>
      <c r="BU293" s="227">
        <v>80</v>
      </c>
      <c r="BV293" s="227">
        <v>73</v>
      </c>
      <c r="BW293" s="227">
        <v>24</v>
      </c>
    </row>
    <row r="294" spans="1:75" x14ac:dyDescent="0.3">
      <c r="B294" s="1280">
        <v>175</v>
      </c>
      <c r="C294" s="977" t="s">
        <v>1490</v>
      </c>
      <c r="D294" s="977" t="s">
        <v>1829</v>
      </c>
      <c r="E294" s="977" t="s">
        <v>1541</v>
      </c>
      <c r="F294" s="978">
        <v>42309</v>
      </c>
      <c r="G294" s="977" t="s">
        <v>796</v>
      </c>
      <c r="H294" s="991" t="str">
        <f t="shared" si="140"/>
        <v>Tasapeli</v>
      </c>
      <c r="I294" s="991" t="s">
        <v>1515</v>
      </c>
      <c r="J294" s="991" t="s">
        <v>0</v>
      </c>
      <c r="K294" s="991" t="s">
        <v>1245</v>
      </c>
      <c r="L294" s="992">
        <f t="shared" si="141"/>
        <v>7</v>
      </c>
      <c r="M294" s="992">
        <f t="shared" si="142"/>
        <v>7</v>
      </c>
      <c r="N294" s="1262">
        <v>1</v>
      </c>
      <c r="O294" s="992">
        <v>0</v>
      </c>
      <c r="P294" s="1262">
        <v>4</v>
      </c>
      <c r="Q294" s="992">
        <v>4</v>
      </c>
      <c r="R294" s="1262">
        <v>2</v>
      </c>
      <c r="S294" s="992">
        <v>3</v>
      </c>
      <c r="T294" s="1262"/>
      <c r="U294" s="992"/>
      <c r="V294" s="985"/>
      <c r="W294" s="985"/>
      <c r="X294" s="987"/>
      <c r="Y294" s="987"/>
      <c r="Z294" s="987"/>
      <c r="AA294" s="987"/>
      <c r="AB294" s="987"/>
      <c r="AC294" s="987"/>
      <c r="AD294" s="987"/>
      <c r="AE294" s="987"/>
      <c r="AF294" s="987"/>
      <c r="AG294" s="987"/>
      <c r="AH294" s="987"/>
      <c r="AI294" s="987"/>
      <c r="AJ294" s="987"/>
      <c r="AK294" s="985"/>
      <c r="AL294" s="985"/>
      <c r="AM294" s="985"/>
      <c r="AO294" s="983"/>
      <c r="AP294" s="983"/>
      <c r="AQ294" s="983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83"/>
      <c r="BE294" s="983"/>
      <c r="BF294" s="983"/>
      <c r="BH294" s="1002">
        <f t="shared" si="143"/>
        <v>1</v>
      </c>
      <c r="BI294" s="1002">
        <f t="shared" si="144"/>
        <v>1</v>
      </c>
      <c r="BJ294" s="1002">
        <f t="shared" si="145"/>
        <v>1</v>
      </c>
      <c r="BK294" s="1002">
        <f t="shared" si="146"/>
        <v>0</v>
      </c>
      <c r="BL294" s="1002">
        <f t="shared" si="147"/>
        <v>0</v>
      </c>
      <c r="BO294" s="119">
        <v>5</v>
      </c>
      <c r="BP294" s="128" t="s">
        <v>1245</v>
      </c>
      <c r="BQ294" s="119">
        <v>20</v>
      </c>
      <c r="BR294" s="119">
        <v>10</v>
      </c>
      <c r="BS294" s="119">
        <v>3</v>
      </c>
      <c r="BT294" s="119">
        <v>7</v>
      </c>
      <c r="BU294" s="119">
        <v>110</v>
      </c>
      <c r="BV294" s="119">
        <v>99</v>
      </c>
      <c r="BW294" s="119">
        <v>23</v>
      </c>
    </row>
    <row r="295" spans="1:75" x14ac:dyDescent="0.3">
      <c r="B295" s="1280">
        <v>176</v>
      </c>
      <c r="C295" s="977" t="s">
        <v>1490</v>
      </c>
      <c r="D295" s="977" t="s">
        <v>1829</v>
      </c>
      <c r="E295" s="977" t="s">
        <v>1542</v>
      </c>
      <c r="F295" s="978">
        <v>42337</v>
      </c>
      <c r="G295" s="977" t="s">
        <v>796</v>
      </c>
      <c r="H295" s="991" t="str">
        <f t="shared" si="140"/>
        <v>Häviö</v>
      </c>
      <c r="I295" s="991" t="s">
        <v>1514</v>
      </c>
      <c r="J295" s="991" t="s">
        <v>0</v>
      </c>
      <c r="K295" s="991" t="s">
        <v>1403</v>
      </c>
      <c r="L295" s="992">
        <f t="shared" si="141"/>
        <v>3</v>
      </c>
      <c r="M295" s="992">
        <f t="shared" si="142"/>
        <v>8</v>
      </c>
      <c r="N295" s="1262">
        <v>1</v>
      </c>
      <c r="O295" s="992">
        <v>3</v>
      </c>
      <c r="P295" s="1262">
        <v>1</v>
      </c>
      <c r="Q295" s="992">
        <v>4</v>
      </c>
      <c r="R295" s="1262">
        <v>1</v>
      </c>
      <c r="S295" s="992">
        <v>1</v>
      </c>
      <c r="T295" s="1262"/>
      <c r="U295" s="992"/>
      <c r="V295" s="985"/>
      <c r="W295" s="985"/>
      <c r="X295" s="985"/>
      <c r="Y295" s="987"/>
      <c r="Z295" s="987"/>
      <c r="AA295" s="987"/>
      <c r="AB295" s="985"/>
      <c r="AC295" s="987"/>
      <c r="AD295" s="987"/>
      <c r="AE295" s="987"/>
      <c r="AF295" s="987"/>
      <c r="AG295" s="987"/>
      <c r="AH295" s="987"/>
      <c r="AI295" s="987"/>
      <c r="AJ295" s="987"/>
      <c r="AK295" s="985"/>
      <c r="AL295" s="986"/>
      <c r="AM295" s="986"/>
      <c r="AO295" s="983"/>
      <c r="AP295" s="983"/>
      <c r="AQ295" s="983"/>
      <c r="AR295" s="976"/>
      <c r="AS295" s="976"/>
      <c r="AT295" s="976"/>
      <c r="AU295" s="976"/>
      <c r="AV295" s="976"/>
      <c r="AW295" s="976"/>
      <c r="AX295" s="976"/>
      <c r="AY295" s="976"/>
      <c r="AZ295" s="976"/>
      <c r="BA295" s="976"/>
      <c r="BB295" s="976"/>
      <c r="BC295" s="976"/>
      <c r="BD295" s="983"/>
      <c r="BE295" s="983"/>
      <c r="BF295" s="983"/>
      <c r="BH295" s="1002">
        <f t="shared" si="143"/>
        <v>1</v>
      </c>
      <c r="BI295" s="1002">
        <f t="shared" si="144"/>
        <v>1</v>
      </c>
      <c r="BJ295" s="1002">
        <f t="shared" si="145"/>
        <v>1</v>
      </c>
      <c r="BK295" s="1002">
        <f t="shared" si="146"/>
        <v>0</v>
      </c>
      <c r="BL295" s="1002">
        <f t="shared" si="147"/>
        <v>0</v>
      </c>
      <c r="BO295" s="119">
        <v>6</v>
      </c>
      <c r="BP295" s="128" t="s">
        <v>1396</v>
      </c>
      <c r="BQ295" s="119">
        <v>20</v>
      </c>
      <c r="BR295" s="119">
        <v>10</v>
      </c>
      <c r="BS295" s="119">
        <v>2</v>
      </c>
      <c r="BT295" s="119">
        <v>8</v>
      </c>
      <c r="BU295" s="119">
        <v>111</v>
      </c>
      <c r="BV295" s="119">
        <v>101</v>
      </c>
      <c r="BW295" s="119">
        <v>22</v>
      </c>
    </row>
    <row r="296" spans="1:75" x14ac:dyDescent="0.3">
      <c r="A296" s="969"/>
      <c r="B296" s="1004">
        <v>177</v>
      </c>
      <c r="C296" s="977" t="s">
        <v>1490</v>
      </c>
      <c r="D296" s="977" t="s">
        <v>1829</v>
      </c>
      <c r="E296" s="977" t="s">
        <v>1543</v>
      </c>
      <c r="F296" s="978">
        <v>42337</v>
      </c>
      <c r="G296" s="977" t="s">
        <v>796</v>
      </c>
      <c r="H296" s="991" t="str">
        <f t="shared" si="140"/>
        <v>Häviö</v>
      </c>
      <c r="I296" s="991" t="s">
        <v>1514</v>
      </c>
      <c r="J296" s="991" t="s">
        <v>0</v>
      </c>
      <c r="K296" s="991" t="s">
        <v>1220</v>
      </c>
      <c r="L296" s="992">
        <f t="shared" si="141"/>
        <v>2</v>
      </c>
      <c r="M296" s="992">
        <f t="shared" si="142"/>
        <v>3</v>
      </c>
      <c r="N296" s="1262">
        <v>0</v>
      </c>
      <c r="O296" s="992">
        <v>1</v>
      </c>
      <c r="P296" s="1262">
        <v>1</v>
      </c>
      <c r="Q296" s="992">
        <v>2</v>
      </c>
      <c r="R296" s="1262">
        <v>1</v>
      </c>
      <c r="S296" s="992">
        <v>0</v>
      </c>
      <c r="T296" s="1262"/>
      <c r="U296" s="992"/>
      <c r="V296" s="985"/>
      <c r="W296" s="985"/>
      <c r="X296" s="985"/>
      <c r="Y296" s="985"/>
      <c r="Z296" s="985"/>
      <c r="AA296" s="985"/>
      <c r="AB296" s="985"/>
      <c r="AC296" s="985"/>
      <c r="AD296" s="985"/>
      <c r="AE296" s="985"/>
      <c r="AF296" s="985"/>
      <c r="AG296" s="985"/>
      <c r="AH296" s="985"/>
      <c r="AI296" s="985"/>
      <c r="AJ296" s="985"/>
      <c r="AK296" s="985"/>
      <c r="AL296" s="985"/>
      <c r="AM296" s="985"/>
      <c r="AN296" s="8"/>
      <c r="AO296" s="983"/>
      <c r="AP296" s="983"/>
      <c r="AQ296" s="983"/>
      <c r="AR296" s="983"/>
      <c r="AS296" s="983"/>
      <c r="AT296" s="983"/>
      <c r="AU296" s="983"/>
      <c r="AV296" s="983"/>
      <c r="AW296" s="983"/>
      <c r="AX296" s="983"/>
      <c r="AY296" s="983"/>
      <c r="AZ296" s="983"/>
      <c r="BA296" s="983"/>
      <c r="BB296" s="983"/>
      <c r="BC296" s="983"/>
      <c r="BD296" s="983"/>
      <c r="BE296" s="983"/>
      <c r="BF296" s="983"/>
      <c r="BH296" s="1002">
        <f t="shared" si="143"/>
        <v>1</v>
      </c>
      <c r="BI296" s="1002">
        <f t="shared" si="144"/>
        <v>1</v>
      </c>
      <c r="BJ296" s="1002">
        <f t="shared" si="145"/>
        <v>1</v>
      </c>
      <c r="BK296" s="1002">
        <f t="shared" si="146"/>
        <v>0</v>
      </c>
      <c r="BL296" s="1002">
        <f t="shared" si="147"/>
        <v>0</v>
      </c>
      <c r="BO296" s="1284">
        <v>7</v>
      </c>
      <c r="BP296" s="1283" t="s">
        <v>0</v>
      </c>
      <c r="BQ296" s="1284">
        <v>19</v>
      </c>
      <c r="BR296" s="1284">
        <v>7</v>
      </c>
      <c r="BS296" s="1284">
        <v>5</v>
      </c>
      <c r="BT296" s="1284">
        <v>7</v>
      </c>
      <c r="BU296" s="1284">
        <v>100</v>
      </c>
      <c r="BV296" s="1284">
        <v>92</v>
      </c>
      <c r="BW296" s="1284">
        <v>19</v>
      </c>
    </row>
    <row r="297" spans="1:75" x14ac:dyDescent="0.3">
      <c r="B297" s="1280">
        <v>178</v>
      </c>
      <c r="C297" s="977" t="s">
        <v>1490</v>
      </c>
      <c r="D297" s="977" t="s">
        <v>1829</v>
      </c>
      <c r="E297" s="977" t="s">
        <v>1544</v>
      </c>
      <c r="F297" s="978">
        <v>42358</v>
      </c>
      <c r="G297" s="977" t="s">
        <v>796</v>
      </c>
      <c r="H297" s="991" t="str">
        <f t="shared" si="140"/>
        <v>Voitto</v>
      </c>
      <c r="I297" s="991" t="s">
        <v>1514</v>
      </c>
      <c r="J297" s="991" t="s">
        <v>0</v>
      </c>
      <c r="K297" s="991" t="s">
        <v>1395</v>
      </c>
      <c r="L297" s="992">
        <f t="shared" si="141"/>
        <v>7</v>
      </c>
      <c r="M297" s="992">
        <f t="shared" si="142"/>
        <v>4</v>
      </c>
      <c r="N297" s="1262">
        <v>3</v>
      </c>
      <c r="O297" s="992">
        <v>1</v>
      </c>
      <c r="P297" s="1262">
        <v>2</v>
      </c>
      <c r="Q297" s="992">
        <v>0</v>
      </c>
      <c r="R297" s="1262">
        <v>2</v>
      </c>
      <c r="S297" s="992">
        <v>3</v>
      </c>
      <c r="T297" s="1262"/>
      <c r="U297" s="992"/>
      <c r="V297" s="985"/>
      <c r="W297" s="985"/>
      <c r="X297" s="985"/>
      <c r="Y297" s="985"/>
      <c r="Z297" s="985"/>
      <c r="AA297" s="985"/>
      <c r="AB297" s="985"/>
      <c r="AC297" s="985"/>
      <c r="AD297" s="985"/>
      <c r="AE297" s="985"/>
      <c r="AF297" s="985"/>
      <c r="AG297" s="985"/>
      <c r="AH297" s="985"/>
      <c r="AI297" s="985"/>
      <c r="AJ297" s="985"/>
      <c r="AK297" s="985"/>
      <c r="AL297" s="985"/>
      <c r="AM297" s="985"/>
      <c r="AN297" s="8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H297" s="1002">
        <f t="shared" si="143"/>
        <v>1</v>
      </c>
      <c r="BI297" s="1002">
        <f t="shared" si="144"/>
        <v>1</v>
      </c>
      <c r="BJ297" s="1002">
        <f t="shared" si="145"/>
        <v>1</v>
      </c>
      <c r="BK297" s="1002">
        <f t="shared" si="146"/>
        <v>0</v>
      </c>
      <c r="BL297" s="1002">
        <f t="shared" si="147"/>
        <v>0</v>
      </c>
      <c r="BO297" s="119">
        <v>8</v>
      </c>
      <c r="BP297" s="128" t="s">
        <v>1404</v>
      </c>
      <c r="BQ297" s="119">
        <v>20</v>
      </c>
      <c r="BR297" s="119">
        <v>7</v>
      </c>
      <c r="BS297" s="119">
        <v>2</v>
      </c>
      <c r="BT297" s="119">
        <v>11</v>
      </c>
      <c r="BU297" s="119">
        <v>83</v>
      </c>
      <c r="BV297" s="119">
        <v>111</v>
      </c>
      <c r="BW297" s="119">
        <v>16</v>
      </c>
    </row>
    <row r="298" spans="1:75" ht="15" thickBot="1" x14ac:dyDescent="0.35">
      <c r="A298" s="969"/>
      <c r="B298" s="1004">
        <v>179</v>
      </c>
      <c r="C298" s="977" t="s">
        <v>1490</v>
      </c>
      <c r="D298" s="977" t="s">
        <v>1829</v>
      </c>
      <c r="E298" s="977" t="s">
        <v>1545</v>
      </c>
      <c r="F298" s="978">
        <v>42358</v>
      </c>
      <c r="G298" s="977" t="s">
        <v>796</v>
      </c>
      <c r="H298" s="991" t="str">
        <f t="shared" si="140"/>
        <v>Häviö</v>
      </c>
      <c r="I298" s="991" t="s">
        <v>1514</v>
      </c>
      <c r="J298" s="991" t="s">
        <v>0</v>
      </c>
      <c r="K298" s="991" t="s">
        <v>1404</v>
      </c>
      <c r="L298" s="992">
        <f t="shared" si="141"/>
        <v>3</v>
      </c>
      <c r="M298" s="992">
        <f t="shared" si="142"/>
        <v>4</v>
      </c>
      <c r="N298" s="1262">
        <v>0</v>
      </c>
      <c r="O298" s="992">
        <v>1</v>
      </c>
      <c r="P298" s="1262">
        <v>1</v>
      </c>
      <c r="Q298" s="992">
        <v>3</v>
      </c>
      <c r="R298" s="1262">
        <v>2</v>
      </c>
      <c r="S298" s="992">
        <v>0</v>
      </c>
      <c r="T298" s="1262"/>
      <c r="U298" s="992"/>
      <c r="V298" s="985"/>
      <c r="W298" s="985"/>
      <c r="X298" s="985"/>
      <c r="Y298" s="985"/>
      <c r="Z298" s="985"/>
      <c r="AA298" s="985"/>
      <c r="AB298" s="985"/>
      <c r="AC298" s="985"/>
      <c r="AD298" s="985"/>
      <c r="AE298" s="985"/>
      <c r="AF298" s="985"/>
      <c r="AG298" s="985"/>
      <c r="AH298" s="985"/>
      <c r="AI298" s="985"/>
      <c r="AJ298" s="985"/>
      <c r="AK298" s="985"/>
      <c r="AL298" s="985"/>
      <c r="AM298" s="985"/>
      <c r="AN298" s="8"/>
      <c r="AO298" s="983"/>
      <c r="AP298" s="983"/>
      <c r="AQ298" s="983"/>
      <c r="AR298" s="983"/>
      <c r="AS298" s="983"/>
      <c r="AT298" s="983"/>
      <c r="AU298" s="983"/>
      <c r="AV298" s="983"/>
      <c r="AW298" s="983"/>
      <c r="AX298" s="983"/>
      <c r="AY298" s="983"/>
      <c r="AZ298" s="983"/>
      <c r="BA298" s="983"/>
      <c r="BB298" s="983"/>
      <c r="BC298" s="983"/>
      <c r="BD298" s="983"/>
      <c r="BE298" s="983"/>
      <c r="BF298" s="983"/>
      <c r="BH298" s="1002">
        <f t="shared" si="143"/>
        <v>1</v>
      </c>
      <c r="BI298" s="1002">
        <f t="shared" si="144"/>
        <v>1</v>
      </c>
      <c r="BJ298" s="1002">
        <f t="shared" si="145"/>
        <v>1</v>
      </c>
      <c r="BK298" s="1002">
        <f t="shared" si="146"/>
        <v>0</v>
      </c>
      <c r="BL298" s="1002">
        <f t="shared" si="147"/>
        <v>0</v>
      </c>
      <c r="BO298" s="121">
        <v>9</v>
      </c>
      <c r="BP298" s="1285" t="s">
        <v>1195</v>
      </c>
      <c r="BQ298" s="121">
        <v>20</v>
      </c>
      <c r="BR298" s="121">
        <v>6</v>
      </c>
      <c r="BS298" s="121">
        <v>3</v>
      </c>
      <c r="BT298" s="121">
        <v>11</v>
      </c>
      <c r="BU298" s="121">
        <v>86</v>
      </c>
      <c r="BV298" s="121">
        <v>118</v>
      </c>
      <c r="BW298" s="121">
        <v>15</v>
      </c>
    </row>
    <row r="299" spans="1:75" x14ac:dyDescent="0.3">
      <c r="B299" s="1280">
        <v>180</v>
      </c>
      <c r="C299" s="977" t="s">
        <v>1490</v>
      </c>
      <c r="D299" s="977" t="s">
        <v>1829</v>
      </c>
      <c r="E299" s="977" t="s">
        <v>1546</v>
      </c>
      <c r="F299" s="978">
        <v>42379</v>
      </c>
      <c r="G299" s="977" t="s">
        <v>150</v>
      </c>
      <c r="H299" s="991" t="str">
        <f t="shared" si="140"/>
        <v>Tasapeli</v>
      </c>
      <c r="I299" s="991" t="s">
        <v>1514</v>
      </c>
      <c r="J299" s="991" t="s">
        <v>0</v>
      </c>
      <c r="K299" s="991" t="s">
        <v>1402</v>
      </c>
      <c r="L299" s="992">
        <f t="shared" si="141"/>
        <v>5</v>
      </c>
      <c r="M299" s="992">
        <f t="shared" si="142"/>
        <v>5</v>
      </c>
      <c r="N299" s="1262">
        <v>0</v>
      </c>
      <c r="O299" s="992">
        <v>4</v>
      </c>
      <c r="P299" s="1262">
        <v>2</v>
      </c>
      <c r="Q299" s="992">
        <v>0</v>
      </c>
      <c r="R299" s="1262">
        <v>3</v>
      </c>
      <c r="S299" s="992">
        <v>1</v>
      </c>
      <c r="T299" s="1262"/>
      <c r="U299" s="992"/>
      <c r="V299" s="985"/>
      <c r="W299" s="985"/>
      <c r="X299" s="985"/>
      <c r="Y299" s="985"/>
      <c r="Z299" s="985"/>
      <c r="AA299" s="985"/>
      <c r="AB299" s="985"/>
      <c r="AC299" s="985"/>
      <c r="AD299" s="985"/>
      <c r="AE299" s="985"/>
      <c r="AF299" s="985"/>
      <c r="AG299" s="985"/>
      <c r="AH299" s="985"/>
      <c r="AI299" s="985"/>
      <c r="AJ299" s="985"/>
      <c r="AK299" s="985"/>
      <c r="AL299" s="985"/>
      <c r="AM299" s="985"/>
      <c r="AN299" s="8"/>
      <c r="AO299" s="983"/>
      <c r="AP299" s="983"/>
      <c r="AQ299" s="983"/>
      <c r="AR299" s="983"/>
      <c r="AS299" s="983"/>
      <c r="AT299" s="983"/>
      <c r="AU299" s="983"/>
      <c r="AV299" s="983"/>
      <c r="AW299" s="983"/>
      <c r="AX299" s="983"/>
      <c r="AY299" s="983"/>
      <c r="AZ299" s="983"/>
      <c r="BA299" s="983"/>
      <c r="BB299" s="983"/>
      <c r="BC299" s="983"/>
      <c r="BD299" s="983"/>
      <c r="BE299" s="983"/>
      <c r="BF299" s="983"/>
      <c r="BH299" s="1002">
        <f t="shared" si="143"/>
        <v>1</v>
      </c>
      <c r="BI299" s="1002">
        <f t="shared" si="144"/>
        <v>1</v>
      </c>
      <c r="BJ299" s="1002">
        <f t="shared" si="145"/>
        <v>1</v>
      </c>
      <c r="BK299" s="1002">
        <f t="shared" si="146"/>
        <v>0</v>
      </c>
      <c r="BL299" s="1002">
        <f t="shared" si="147"/>
        <v>0</v>
      </c>
      <c r="BO299" s="227">
        <v>10</v>
      </c>
      <c r="BP299" s="141" t="s">
        <v>1405</v>
      </c>
      <c r="BQ299" s="227">
        <v>20</v>
      </c>
      <c r="BR299" s="227">
        <v>5</v>
      </c>
      <c r="BS299" s="227">
        <v>3</v>
      </c>
      <c r="BT299" s="227">
        <v>12</v>
      </c>
      <c r="BU299" s="227">
        <v>75</v>
      </c>
      <c r="BV299" s="227">
        <v>99</v>
      </c>
      <c r="BW299" s="227">
        <v>13</v>
      </c>
    </row>
    <row r="300" spans="1:75" x14ac:dyDescent="0.3">
      <c r="B300" s="1280">
        <v>181</v>
      </c>
      <c r="C300" s="977" t="s">
        <v>1490</v>
      </c>
      <c r="D300" s="977" t="s">
        <v>1829</v>
      </c>
      <c r="E300" s="977" t="s">
        <v>1547</v>
      </c>
      <c r="F300" s="978">
        <v>42379</v>
      </c>
      <c r="G300" s="977" t="s">
        <v>150</v>
      </c>
      <c r="H300" s="991" t="str">
        <f t="shared" si="140"/>
        <v>Häviö</v>
      </c>
      <c r="I300" s="991" t="s">
        <v>1514</v>
      </c>
      <c r="J300" s="991" t="s">
        <v>0</v>
      </c>
      <c r="K300" s="991" t="s">
        <v>1394</v>
      </c>
      <c r="L300" s="992">
        <f t="shared" si="141"/>
        <v>5</v>
      </c>
      <c r="M300" s="992">
        <f t="shared" si="142"/>
        <v>7</v>
      </c>
      <c r="N300" s="1262">
        <v>2</v>
      </c>
      <c r="O300" s="992">
        <v>2</v>
      </c>
      <c r="P300" s="1262">
        <v>0</v>
      </c>
      <c r="Q300" s="992">
        <v>1</v>
      </c>
      <c r="R300" s="1262">
        <v>3</v>
      </c>
      <c r="S300" s="992">
        <v>4</v>
      </c>
      <c r="T300" s="1262"/>
      <c r="U300" s="992"/>
      <c r="V300" s="985"/>
      <c r="W300" s="985"/>
      <c r="X300" s="985"/>
      <c r="Y300" s="985"/>
      <c r="Z300" s="985"/>
      <c r="AA300" s="985"/>
      <c r="AB300" s="985"/>
      <c r="AC300" s="985"/>
      <c r="AD300" s="985"/>
      <c r="AE300" s="985"/>
      <c r="AF300" s="985"/>
      <c r="AG300" s="985"/>
      <c r="AH300" s="985"/>
      <c r="AI300" s="985"/>
      <c r="AJ300" s="985"/>
      <c r="AK300" s="985"/>
      <c r="AL300" s="985"/>
      <c r="AM300" s="985"/>
      <c r="AN300" s="8"/>
      <c r="AO300" s="983"/>
      <c r="AP300" s="983"/>
      <c r="AQ300" s="983"/>
      <c r="AR300" s="983"/>
      <c r="AS300" s="983"/>
      <c r="AT300" s="983"/>
      <c r="AU300" s="983"/>
      <c r="AV300" s="983"/>
      <c r="AW300" s="983"/>
      <c r="AX300" s="983"/>
      <c r="AY300" s="983"/>
      <c r="AZ300" s="983"/>
      <c r="BA300" s="983"/>
      <c r="BB300" s="983"/>
      <c r="BC300" s="983"/>
      <c r="BD300" s="983"/>
      <c r="BE300" s="983"/>
      <c r="BF300" s="983"/>
      <c r="BH300" s="1002">
        <f t="shared" si="143"/>
        <v>1</v>
      </c>
      <c r="BI300" s="1002">
        <f t="shared" si="144"/>
        <v>1</v>
      </c>
      <c r="BJ300" s="1002">
        <f t="shared" si="145"/>
        <v>1</v>
      </c>
      <c r="BK300" s="1002">
        <f t="shared" si="146"/>
        <v>0</v>
      </c>
      <c r="BL300" s="1002">
        <f t="shared" si="147"/>
        <v>0</v>
      </c>
      <c r="BO300" s="119">
        <v>11</v>
      </c>
      <c r="BP300" s="128" t="s">
        <v>1395</v>
      </c>
      <c r="BQ300" s="119">
        <v>20</v>
      </c>
      <c r="BR300" s="119">
        <v>2</v>
      </c>
      <c r="BS300" s="119">
        <v>3</v>
      </c>
      <c r="BT300" s="119">
        <v>15</v>
      </c>
      <c r="BU300" s="119">
        <v>62</v>
      </c>
      <c r="BV300" s="119">
        <v>121</v>
      </c>
      <c r="BW300" s="119">
        <v>7</v>
      </c>
    </row>
    <row r="301" spans="1:75" x14ac:dyDescent="0.3">
      <c r="B301" s="1280">
        <v>182</v>
      </c>
      <c r="C301" s="977" t="s">
        <v>1490</v>
      </c>
      <c r="D301" s="977" t="s">
        <v>1829</v>
      </c>
      <c r="E301" s="977" t="s">
        <v>1548</v>
      </c>
      <c r="F301" s="978">
        <v>42399</v>
      </c>
      <c r="G301" s="977" t="s">
        <v>150</v>
      </c>
      <c r="H301" s="991" t="str">
        <f t="shared" si="140"/>
        <v>Voitto</v>
      </c>
      <c r="I301" s="991" t="s">
        <v>1515</v>
      </c>
      <c r="J301" s="991" t="s">
        <v>0</v>
      </c>
      <c r="K301" s="991" t="s">
        <v>1396</v>
      </c>
      <c r="L301" s="992">
        <f t="shared" si="141"/>
        <v>10</v>
      </c>
      <c r="M301" s="992">
        <f t="shared" si="142"/>
        <v>3</v>
      </c>
      <c r="N301" s="1262">
        <v>4</v>
      </c>
      <c r="O301" s="992">
        <v>0</v>
      </c>
      <c r="P301" s="1262">
        <v>4</v>
      </c>
      <c r="Q301" s="992">
        <v>0</v>
      </c>
      <c r="R301" s="1262">
        <v>2</v>
      </c>
      <c r="S301" s="992">
        <v>3</v>
      </c>
      <c r="T301" s="1262"/>
      <c r="U301" s="992"/>
      <c r="V301" s="985"/>
      <c r="W301" s="985"/>
      <c r="X301" s="985"/>
      <c r="Y301" s="985"/>
      <c r="Z301" s="985"/>
      <c r="AA301" s="985"/>
      <c r="AB301" s="985"/>
      <c r="AC301" s="985"/>
      <c r="AD301" s="985"/>
      <c r="AE301" s="985"/>
      <c r="AF301" s="985"/>
      <c r="AG301" s="985"/>
      <c r="AH301" s="985"/>
      <c r="AI301" s="985"/>
      <c r="AJ301" s="985"/>
      <c r="AK301" s="985"/>
      <c r="AL301" s="985"/>
      <c r="AM301" s="985"/>
      <c r="AN301" s="8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H301" s="1002">
        <f t="shared" si="143"/>
        <v>1</v>
      </c>
      <c r="BI301" s="1002">
        <f t="shared" si="144"/>
        <v>1</v>
      </c>
      <c r="BJ301" s="1002">
        <f t="shared" si="145"/>
        <v>1</v>
      </c>
      <c r="BK301" s="1002">
        <f t="shared" si="146"/>
        <v>0</v>
      </c>
      <c r="BL301" s="1002">
        <f t="shared" si="147"/>
        <v>0</v>
      </c>
    </row>
    <row r="302" spans="1:75" x14ac:dyDescent="0.3">
      <c r="B302" s="1280">
        <v>183</v>
      </c>
      <c r="C302" s="977" t="s">
        <v>1490</v>
      </c>
      <c r="D302" s="977" t="s">
        <v>1829</v>
      </c>
      <c r="E302" s="977" t="s">
        <v>1549</v>
      </c>
      <c r="F302" s="978">
        <v>42399</v>
      </c>
      <c r="G302" s="977" t="s">
        <v>150</v>
      </c>
      <c r="H302" s="991" t="str">
        <f t="shared" si="140"/>
        <v>Häviö</v>
      </c>
      <c r="I302" s="991" t="s">
        <v>1515</v>
      </c>
      <c r="J302" s="991" t="s">
        <v>0</v>
      </c>
      <c r="K302" s="991" t="s">
        <v>1195</v>
      </c>
      <c r="L302" s="992">
        <f t="shared" si="141"/>
        <v>2</v>
      </c>
      <c r="M302" s="992">
        <f t="shared" si="142"/>
        <v>3</v>
      </c>
      <c r="N302" s="1262">
        <v>2</v>
      </c>
      <c r="O302" s="992">
        <v>1</v>
      </c>
      <c r="P302" s="1262">
        <v>0</v>
      </c>
      <c r="Q302" s="992">
        <v>1</v>
      </c>
      <c r="R302" s="1262">
        <v>0</v>
      </c>
      <c r="S302" s="992">
        <v>1</v>
      </c>
      <c r="T302" s="1262"/>
      <c r="U302" s="992"/>
      <c r="V302" s="985"/>
      <c r="W302" s="985"/>
      <c r="X302" s="985"/>
      <c r="Y302" s="985"/>
      <c r="Z302" s="985"/>
      <c r="AA302" s="985"/>
      <c r="AB302" s="985"/>
      <c r="AC302" s="985"/>
      <c r="AD302" s="985"/>
      <c r="AE302" s="985"/>
      <c r="AF302" s="985"/>
      <c r="AG302" s="985"/>
      <c r="AH302" s="985"/>
      <c r="AI302" s="985"/>
      <c r="AJ302" s="985"/>
      <c r="AK302" s="985"/>
      <c r="AL302" s="985"/>
      <c r="AM302" s="985"/>
      <c r="AN302" s="8"/>
      <c r="AO302" s="983"/>
      <c r="AP302" s="983"/>
      <c r="AQ302" s="983"/>
      <c r="AR302" s="983"/>
      <c r="AS302" s="983"/>
      <c r="AT302" s="983"/>
      <c r="AU302" s="983"/>
      <c r="AV302" s="983"/>
      <c r="AW302" s="983"/>
      <c r="AX302" s="983"/>
      <c r="AY302" s="983"/>
      <c r="AZ302" s="983"/>
      <c r="BA302" s="983"/>
      <c r="BB302" s="983"/>
      <c r="BC302" s="983"/>
      <c r="BD302" s="983"/>
      <c r="BE302" s="983"/>
      <c r="BF302" s="983"/>
      <c r="BH302" s="1002">
        <f t="shared" si="143"/>
        <v>1</v>
      </c>
      <c r="BI302" s="1002">
        <f t="shared" si="144"/>
        <v>1</v>
      </c>
      <c r="BJ302" s="1002">
        <f t="shared" si="145"/>
        <v>1</v>
      </c>
      <c r="BK302" s="1002">
        <f t="shared" si="146"/>
        <v>0</v>
      </c>
      <c r="BL302" s="1002">
        <f t="shared" si="147"/>
        <v>0</v>
      </c>
    </row>
    <row r="303" spans="1:75" x14ac:dyDescent="0.3">
      <c r="A303" s="969"/>
      <c r="B303" s="1004">
        <v>184</v>
      </c>
      <c r="C303" s="977" t="s">
        <v>1490</v>
      </c>
      <c r="D303" s="977" t="s">
        <v>1829</v>
      </c>
      <c r="E303" s="977" t="s">
        <v>1550</v>
      </c>
      <c r="F303" s="978">
        <v>42414</v>
      </c>
      <c r="G303" s="977" t="s">
        <v>796</v>
      </c>
      <c r="H303" s="991" t="str">
        <f t="shared" si="140"/>
        <v>Tasapeli</v>
      </c>
      <c r="I303" s="991" t="s">
        <v>1515</v>
      </c>
      <c r="J303" s="991" t="s">
        <v>0</v>
      </c>
      <c r="K303" s="991" t="s">
        <v>1405</v>
      </c>
      <c r="L303" s="992">
        <f>N303+P303+R303</f>
        <v>3</v>
      </c>
      <c r="M303" s="992">
        <f>O303+Q303+S303</f>
        <v>3</v>
      </c>
      <c r="N303" s="1262">
        <v>0</v>
      </c>
      <c r="O303" s="992">
        <v>0</v>
      </c>
      <c r="P303" s="1262">
        <v>2</v>
      </c>
      <c r="Q303" s="992">
        <v>1</v>
      </c>
      <c r="R303" s="1262">
        <v>1</v>
      </c>
      <c r="S303" s="992">
        <v>2</v>
      </c>
      <c r="T303" s="1262"/>
      <c r="U303" s="992"/>
      <c r="V303" s="985"/>
      <c r="W303" s="985"/>
      <c r="X303" s="985"/>
      <c r="Y303" s="985"/>
      <c r="Z303" s="985"/>
      <c r="AA303" s="985"/>
      <c r="AB303" s="985"/>
      <c r="AC303" s="985"/>
      <c r="AD303" s="985"/>
      <c r="AE303" s="985"/>
      <c r="AF303" s="985"/>
      <c r="AG303" s="985"/>
      <c r="AH303" s="985"/>
      <c r="AI303" s="985"/>
      <c r="AJ303" s="985"/>
      <c r="AK303" s="985"/>
      <c r="AL303" s="985"/>
      <c r="AM303" s="985"/>
      <c r="AN303" s="8"/>
      <c r="AO303" s="983"/>
      <c r="AP303" s="983"/>
      <c r="AQ303" s="983"/>
      <c r="AR303" s="983"/>
      <c r="AS303" s="983"/>
      <c r="AT303" s="983"/>
      <c r="AU303" s="983"/>
      <c r="AV303" s="983"/>
      <c r="AW303" s="983"/>
      <c r="AX303" s="983"/>
      <c r="AY303" s="983"/>
      <c r="AZ303" s="983"/>
      <c r="BA303" s="983"/>
      <c r="BB303" s="983"/>
      <c r="BC303" s="983"/>
      <c r="BD303" s="983"/>
      <c r="BE303" s="983"/>
      <c r="BF303" s="983"/>
      <c r="BH303" s="1002">
        <f t="shared" si="143"/>
        <v>1</v>
      </c>
      <c r="BI303" s="1002">
        <f t="shared" si="144"/>
        <v>1</v>
      </c>
      <c r="BJ303" s="1002">
        <f t="shared" si="145"/>
        <v>1</v>
      </c>
      <c r="BK303" s="1002">
        <f t="shared" si="146"/>
        <v>0</v>
      </c>
      <c r="BL303" s="1002">
        <f t="shared" si="147"/>
        <v>0</v>
      </c>
    </row>
    <row r="304" spans="1:75" x14ac:dyDescent="0.3">
      <c r="A304" s="969"/>
      <c r="B304" s="1004">
        <v>185</v>
      </c>
      <c r="C304" s="977" t="s">
        <v>1490</v>
      </c>
      <c r="D304" s="977" t="s">
        <v>1829</v>
      </c>
      <c r="E304" s="977" t="s">
        <v>1551</v>
      </c>
      <c r="F304" s="978">
        <v>42414</v>
      </c>
      <c r="G304" s="977" t="s">
        <v>796</v>
      </c>
      <c r="H304" s="991" t="str">
        <f t="shared" si="140"/>
        <v>Häviö</v>
      </c>
      <c r="I304" s="991" t="s">
        <v>1515</v>
      </c>
      <c r="J304" s="991" t="s">
        <v>0</v>
      </c>
      <c r="K304" s="991" t="s">
        <v>1404</v>
      </c>
      <c r="L304" s="992">
        <f t="shared" ref="L304:L308" si="148">N304+P304+R304</f>
        <v>2</v>
      </c>
      <c r="M304" s="992">
        <f t="shared" ref="M304:M308" si="149">O304+Q304+S304</f>
        <v>6</v>
      </c>
      <c r="N304" s="1262">
        <v>1</v>
      </c>
      <c r="O304" s="992">
        <v>4</v>
      </c>
      <c r="P304" s="1262">
        <v>1</v>
      </c>
      <c r="Q304" s="992">
        <v>1</v>
      </c>
      <c r="R304" s="1262">
        <v>0</v>
      </c>
      <c r="S304" s="992">
        <v>1</v>
      </c>
      <c r="T304" s="1262"/>
      <c r="U304" s="992"/>
      <c r="V304" s="985"/>
      <c r="W304" s="985"/>
      <c r="X304" s="985"/>
      <c r="Y304" s="985"/>
      <c r="Z304" s="985"/>
      <c r="AA304" s="985"/>
      <c r="AB304" s="985"/>
      <c r="AC304" s="985"/>
      <c r="AD304" s="985"/>
      <c r="AE304" s="985"/>
      <c r="AF304" s="985"/>
      <c r="AG304" s="985"/>
      <c r="AH304" s="985"/>
      <c r="AI304" s="985"/>
      <c r="AJ304" s="985"/>
      <c r="AK304" s="985"/>
      <c r="AL304" s="985"/>
      <c r="AM304" s="985"/>
      <c r="AN304" s="8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H304" s="1002">
        <f t="shared" si="143"/>
        <v>1</v>
      </c>
      <c r="BI304" s="1002">
        <f t="shared" si="144"/>
        <v>1</v>
      </c>
      <c r="BJ304" s="1002">
        <f t="shared" si="145"/>
        <v>1</v>
      </c>
      <c r="BK304" s="1002">
        <f t="shared" si="146"/>
        <v>0</v>
      </c>
      <c r="BL304" s="1002">
        <f t="shared" si="147"/>
        <v>0</v>
      </c>
    </row>
    <row r="305" spans="1:75" x14ac:dyDescent="0.3">
      <c r="B305" s="1280">
        <v>186</v>
      </c>
      <c r="C305" s="977" t="s">
        <v>1490</v>
      </c>
      <c r="D305" s="977" t="s">
        <v>1829</v>
      </c>
      <c r="E305" s="977" t="s">
        <v>1552</v>
      </c>
      <c r="F305" s="978">
        <v>42434</v>
      </c>
      <c r="G305" s="977" t="s">
        <v>1414</v>
      </c>
      <c r="H305" s="991" t="str">
        <f t="shared" si="140"/>
        <v>Voitto</v>
      </c>
      <c r="I305" s="991" t="s">
        <v>1514</v>
      </c>
      <c r="J305" s="991" t="s">
        <v>0</v>
      </c>
      <c r="K305" s="991" t="s">
        <v>1405</v>
      </c>
      <c r="L305" s="992">
        <f t="shared" si="148"/>
        <v>6</v>
      </c>
      <c r="M305" s="992">
        <f t="shared" si="149"/>
        <v>2</v>
      </c>
      <c r="N305" s="1262">
        <v>1</v>
      </c>
      <c r="O305" s="992">
        <v>1</v>
      </c>
      <c r="P305" s="1262">
        <v>2</v>
      </c>
      <c r="Q305" s="992">
        <v>0</v>
      </c>
      <c r="R305" s="1262">
        <v>3</v>
      </c>
      <c r="S305" s="992">
        <v>1</v>
      </c>
      <c r="T305" s="1262"/>
      <c r="U305" s="992"/>
      <c r="V305" s="985"/>
      <c r="W305" s="985"/>
      <c r="X305" s="985"/>
      <c r="Y305" s="985"/>
      <c r="Z305" s="985"/>
      <c r="AA305" s="985"/>
      <c r="AB305" s="985"/>
      <c r="AC305" s="985"/>
      <c r="AD305" s="985"/>
      <c r="AE305" s="985"/>
      <c r="AF305" s="985"/>
      <c r="AG305" s="985"/>
      <c r="AH305" s="985"/>
      <c r="AI305" s="985"/>
      <c r="AJ305" s="985"/>
      <c r="AK305" s="985"/>
      <c r="AL305" s="985"/>
      <c r="AM305" s="985"/>
      <c r="AN305" s="8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H305" s="1002">
        <f t="shared" si="143"/>
        <v>1</v>
      </c>
      <c r="BI305" s="1002">
        <f t="shared" si="144"/>
        <v>1</v>
      </c>
      <c r="BJ305" s="1002">
        <f t="shared" si="145"/>
        <v>1</v>
      </c>
      <c r="BK305" s="1002">
        <f t="shared" si="146"/>
        <v>0</v>
      </c>
      <c r="BL305" s="1002">
        <f t="shared" si="147"/>
        <v>0</v>
      </c>
    </row>
    <row r="306" spans="1:75" x14ac:dyDescent="0.3">
      <c r="A306" s="969"/>
      <c r="B306" s="1004">
        <v>187</v>
      </c>
      <c r="C306" s="977" t="s">
        <v>1490</v>
      </c>
      <c r="D306" s="977" t="s">
        <v>1829</v>
      </c>
      <c r="E306" s="977" t="s">
        <v>1553</v>
      </c>
      <c r="F306" s="978">
        <v>42434</v>
      </c>
      <c r="G306" s="977" t="s">
        <v>1414</v>
      </c>
      <c r="H306" s="991" t="str">
        <f t="shared" si="140"/>
        <v>Voitto</v>
      </c>
      <c r="I306" s="991" t="s">
        <v>1514</v>
      </c>
      <c r="J306" s="991" t="s">
        <v>0</v>
      </c>
      <c r="K306" s="991" t="s">
        <v>1245</v>
      </c>
      <c r="L306" s="992">
        <f t="shared" si="148"/>
        <v>9</v>
      </c>
      <c r="M306" s="992">
        <f t="shared" si="149"/>
        <v>2</v>
      </c>
      <c r="N306" s="1262">
        <v>3</v>
      </c>
      <c r="O306" s="992">
        <v>2</v>
      </c>
      <c r="P306" s="1262">
        <v>3</v>
      </c>
      <c r="Q306" s="992">
        <v>0</v>
      </c>
      <c r="R306" s="1262">
        <v>3</v>
      </c>
      <c r="S306" s="992">
        <v>0</v>
      </c>
      <c r="T306" s="1262"/>
      <c r="U306" s="992"/>
      <c r="V306" s="985"/>
      <c r="W306" s="985"/>
      <c r="X306" s="985"/>
      <c r="Y306" s="985"/>
      <c r="Z306" s="985"/>
      <c r="AA306" s="985"/>
      <c r="AB306" s="985"/>
      <c r="AC306" s="985"/>
      <c r="AD306" s="985"/>
      <c r="AE306" s="985"/>
      <c r="AF306" s="985"/>
      <c r="AG306" s="985"/>
      <c r="AH306" s="985"/>
      <c r="AI306" s="985"/>
      <c r="AJ306" s="985"/>
      <c r="AK306" s="985"/>
      <c r="AL306" s="985"/>
      <c r="AM306" s="985"/>
      <c r="AN306" s="8"/>
      <c r="AO306" s="983"/>
      <c r="AP306" s="983"/>
      <c r="AQ306" s="983"/>
      <c r="AR306" s="983"/>
      <c r="AS306" s="983"/>
      <c r="AT306" s="983"/>
      <c r="AU306" s="983"/>
      <c r="AV306" s="983"/>
      <c r="AW306" s="983"/>
      <c r="AX306" s="983"/>
      <c r="AY306" s="983"/>
      <c r="AZ306" s="983"/>
      <c r="BA306" s="983"/>
      <c r="BB306" s="983"/>
      <c r="BC306" s="983"/>
      <c r="BD306" s="983"/>
      <c r="BE306" s="983"/>
      <c r="BF306" s="983"/>
      <c r="BH306" s="1002">
        <f t="shared" si="143"/>
        <v>1</v>
      </c>
      <c r="BI306" s="1002">
        <f t="shared" si="144"/>
        <v>1</v>
      </c>
      <c r="BJ306" s="1002">
        <f t="shared" si="145"/>
        <v>1</v>
      </c>
      <c r="BK306" s="1002">
        <f t="shared" si="146"/>
        <v>0</v>
      </c>
      <c r="BL306" s="1002">
        <f t="shared" si="147"/>
        <v>0</v>
      </c>
    </row>
    <row r="307" spans="1:75" x14ac:dyDescent="0.3">
      <c r="B307" s="1280">
        <v>188</v>
      </c>
      <c r="C307" s="977" t="s">
        <v>1490</v>
      </c>
      <c r="D307" s="977" t="s">
        <v>1829</v>
      </c>
      <c r="E307" s="977" t="s">
        <v>1554</v>
      </c>
      <c r="F307" s="978">
        <v>42442</v>
      </c>
      <c r="G307" s="977" t="s">
        <v>796</v>
      </c>
      <c r="H307" s="991" t="str">
        <f t="shared" si="140"/>
        <v>Voitto</v>
      </c>
      <c r="I307" s="991" t="s">
        <v>1515</v>
      </c>
      <c r="J307" s="991" t="s">
        <v>0</v>
      </c>
      <c r="K307" s="991" t="s">
        <v>1403</v>
      </c>
      <c r="L307" s="992">
        <f t="shared" si="148"/>
        <v>5</v>
      </c>
      <c r="M307" s="992">
        <f t="shared" si="149"/>
        <v>3</v>
      </c>
      <c r="N307" s="1262">
        <v>2</v>
      </c>
      <c r="O307" s="992">
        <v>0</v>
      </c>
      <c r="P307" s="1262">
        <v>2</v>
      </c>
      <c r="Q307" s="992">
        <v>2</v>
      </c>
      <c r="R307" s="1262">
        <v>1</v>
      </c>
      <c r="S307" s="992">
        <v>1</v>
      </c>
      <c r="T307" s="1262"/>
      <c r="U307" s="992"/>
    </row>
    <row r="308" spans="1:75" x14ac:dyDescent="0.3">
      <c r="A308" s="969"/>
      <c r="B308" s="1004">
        <v>189</v>
      </c>
      <c r="C308" s="977" t="s">
        <v>1490</v>
      </c>
      <c r="D308" s="977" t="s">
        <v>1829</v>
      </c>
      <c r="E308" s="977" t="s">
        <v>1555</v>
      </c>
      <c r="F308" s="978">
        <v>42442</v>
      </c>
      <c r="G308" s="977" t="s">
        <v>796</v>
      </c>
      <c r="H308" s="991" t="str">
        <f t="shared" si="140"/>
        <v>Häviö</v>
      </c>
      <c r="I308" s="991" t="s">
        <v>1515</v>
      </c>
      <c r="J308" s="991" t="s">
        <v>0</v>
      </c>
      <c r="K308" s="991" t="s">
        <v>1220</v>
      </c>
      <c r="L308" s="992">
        <f t="shared" si="148"/>
        <v>1</v>
      </c>
      <c r="M308" s="992">
        <f t="shared" si="149"/>
        <v>6</v>
      </c>
      <c r="N308" s="1262">
        <v>0</v>
      </c>
      <c r="O308" s="992">
        <v>0</v>
      </c>
      <c r="P308" s="1262">
        <v>0</v>
      </c>
      <c r="Q308" s="992">
        <v>3</v>
      </c>
      <c r="R308" s="1262">
        <v>1</v>
      </c>
      <c r="S308" s="992">
        <v>3</v>
      </c>
      <c r="T308" s="1262"/>
      <c r="U308" s="992"/>
      <c r="V308" s="981" t="s">
        <v>1557</v>
      </c>
      <c r="W308" s="981" t="s">
        <v>1556</v>
      </c>
      <c r="X308" s="981" t="s">
        <v>501</v>
      </c>
      <c r="Y308" s="981" t="s">
        <v>708</v>
      </c>
      <c r="Z308" s="981" t="s">
        <v>82</v>
      </c>
      <c r="AA308" s="981" t="s">
        <v>709</v>
      </c>
      <c r="AB308" s="981" t="s">
        <v>1419</v>
      </c>
      <c r="AC308" s="981" t="s">
        <v>1420</v>
      </c>
      <c r="AD308" s="982" t="s">
        <v>1827</v>
      </c>
      <c r="AE308" s="981" t="s">
        <v>1828</v>
      </c>
      <c r="AF308" s="981" t="s">
        <v>1425</v>
      </c>
      <c r="AG308" s="981" t="s">
        <v>1535</v>
      </c>
      <c r="AH308" s="981" t="s">
        <v>1536</v>
      </c>
      <c r="AI308" s="981" t="s">
        <v>1559</v>
      </c>
      <c r="AJ308" s="981" t="s">
        <v>1896</v>
      </c>
      <c r="AK308" s="981" t="s">
        <v>1967</v>
      </c>
      <c r="AL308" s="981" t="s">
        <v>19</v>
      </c>
      <c r="AM308" s="981"/>
      <c r="AO308" s="979" t="s">
        <v>1557</v>
      </c>
      <c r="AP308" s="979" t="s">
        <v>1556</v>
      </c>
      <c r="AQ308" s="979" t="s">
        <v>501</v>
      </c>
      <c r="AR308" s="979" t="s">
        <v>708</v>
      </c>
      <c r="AS308" s="979" t="s">
        <v>82</v>
      </c>
      <c r="AT308" s="979" t="s">
        <v>709</v>
      </c>
      <c r="AU308" s="979" t="s">
        <v>1419</v>
      </c>
      <c r="AV308" s="979" t="s">
        <v>1420</v>
      </c>
      <c r="AW308" s="980" t="s">
        <v>1827</v>
      </c>
      <c r="AX308" s="979" t="s">
        <v>1828</v>
      </c>
      <c r="AY308" s="979" t="s">
        <v>1425</v>
      </c>
      <c r="AZ308" s="979" t="s">
        <v>1535</v>
      </c>
      <c r="BA308" s="979" t="s">
        <v>1536</v>
      </c>
      <c r="BB308" s="979" t="s">
        <v>1559</v>
      </c>
      <c r="BC308" s="979" t="s">
        <v>1896</v>
      </c>
      <c r="BD308" s="979" t="s">
        <v>1967</v>
      </c>
      <c r="BE308" s="979" t="s">
        <v>19</v>
      </c>
      <c r="BF308" s="979"/>
      <c r="BH308" s="1001" t="s">
        <v>2045</v>
      </c>
      <c r="BI308" s="1001"/>
      <c r="BJ308" s="1001" t="s">
        <v>1913</v>
      </c>
      <c r="BK308" s="1001" t="s">
        <v>537</v>
      </c>
      <c r="BL308" s="1001" t="s">
        <v>1128</v>
      </c>
    </row>
    <row r="309" spans="1:75" x14ac:dyDescent="0.3">
      <c r="V309" s="8">
        <f>SUM(V289:V306)</f>
        <v>0</v>
      </c>
      <c r="W309" s="8">
        <f t="shared" ref="W309:AK309" si="150">SUM(W289:W306)</f>
        <v>0</v>
      </c>
      <c r="X309" s="8">
        <f t="shared" si="150"/>
        <v>0</v>
      </c>
      <c r="Y309" s="8">
        <f t="shared" si="150"/>
        <v>0</v>
      </c>
      <c r="Z309" s="8">
        <f t="shared" si="150"/>
        <v>0</v>
      </c>
      <c r="AA309" s="8">
        <f t="shared" si="150"/>
        <v>0</v>
      </c>
      <c r="AB309" s="8">
        <f t="shared" si="150"/>
        <v>0</v>
      </c>
      <c r="AC309" s="8">
        <f t="shared" si="150"/>
        <v>0</v>
      </c>
      <c r="AD309" s="8">
        <f t="shared" si="150"/>
        <v>0</v>
      </c>
      <c r="AE309" s="8">
        <f t="shared" si="150"/>
        <v>0</v>
      </c>
      <c r="AF309" s="8">
        <f t="shared" si="150"/>
        <v>0</v>
      </c>
      <c r="AG309" s="8">
        <f t="shared" si="150"/>
        <v>0</v>
      </c>
      <c r="AH309" s="8">
        <f t="shared" si="150"/>
        <v>0</v>
      </c>
      <c r="AI309" s="8">
        <f t="shared" si="150"/>
        <v>0</v>
      </c>
      <c r="AJ309" s="8">
        <f t="shared" si="150"/>
        <v>0</v>
      </c>
      <c r="AK309" s="8">
        <f t="shared" si="150"/>
        <v>0</v>
      </c>
      <c r="AL309" s="8">
        <f>MIN(AL289:AL306)</f>
        <v>0</v>
      </c>
      <c r="AM309" s="8">
        <f>MAX(AL289:AL306)</f>
        <v>0</v>
      </c>
      <c r="AO309" s="8">
        <f>SUM(AO289:AO306)</f>
        <v>0</v>
      </c>
      <c r="AP309" s="8">
        <f t="shared" ref="AP309:BD309" si="151">SUM(AP289:AP306)</f>
        <v>0</v>
      </c>
      <c r="AQ309" s="8">
        <f t="shared" si="151"/>
        <v>0</v>
      </c>
      <c r="AR309" s="8">
        <f t="shared" si="151"/>
        <v>0</v>
      </c>
      <c r="AS309" s="8">
        <f t="shared" si="151"/>
        <v>0</v>
      </c>
      <c r="AT309" s="8">
        <f t="shared" si="151"/>
        <v>0</v>
      </c>
      <c r="AU309" s="8">
        <f t="shared" si="151"/>
        <v>0</v>
      </c>
      <c r="AV309" s="8">
        <f t="shared" si="151"/>
        <v>0</v>
      </c>
      <c r="AW309" s="8">
        <f t="shared" si="151"/>
        <v>0</v>
      </c>
      <c r="AX309" s="8">
        <f t="shared" si="151"/>
        <v>0</v>
      </c>
      <c r="AY309" s="8">
        <f t="shared" si="151"/>
        <v>0</v>
      </c>
      <c r="AZ309" s="8">
        <f t="shared" si="151"/>
        <v>0</v>
      </c>
      <c r="BA309" s="8">
        <f t="shared" si="151"/>
        <v>0</v>
      </c>
      <c r="BB309" s="8">
        <f t="shared" si="151"/>
        <v>0</v>
      </c>
      <c r="BC309" s="8">
        <f t="shared" si="151"/>
        <v>0</v>
      </c>
      <c r="BD309" s="8">
        <f t="shared" si="151"/>
        <v>0</v>
      </c>
      <c r="BE309">
        <f>MIN(BE289:BE306)</f>
        <v>0</v>
      </c>
      <c r="BF309">
        <f>MAX(BE289:BE306)</f>
        <v>0</v>
      </c>
      <c r="BJ309" s="8">
        <f>SUM(BJ289:BJ306)</f>
        <v>18</v>
      </c>
      <c r="BK309" s="8">
        <f>SUM(BK289:BK306)</f>
        <v>0</v>
      </c>
      <c r="BL309" s="8">
        <f>SUM(BL289:BL306)</f>
        <v>0</v>
      </c>
    </row>
    <row r="310" spans="1:75" x14ac:dyDescent="0.3">
      <c r="F310" s="975"/>
      <c r="G310" s="975" t="s">
        <v>2036</v>
      </c>
      <c r="H310" s="975"/>
      <c r="I310" s="1003"/>
      <c r="J310" s="1003"/>
      <c r="K310" s="1003"/>
      <c r="L310" s="1003" t="s">
        <v>2037</v>
      </c>
      <c r="M310" s="1003" t="s">
        <v>2038</v>
      </c>
      <c r="O310" s="1003" t="s">
        <v>1409</v>
      </c>
      <c r="P310" s="1003" t="s">
        <v>1410</v>
      </c>
      <c r="Q310" s="1003" t="s">
        <v>1411</v>
      </c>
    </row>
    <row r="311" spans="1:75" x14ac:dyDescent="0.3">
      <c r="F311" s="977" t="str">
        <f>C287</f>
        <v>2015-2016</v>
      </c>
      <c r="G311" s="977" t="s">
        <v>1829</v>
      </c>
      <c r="H311" s="977"/>
      <c r="I311" s="1004"/>
      <c r="J311" s="1004"/>
      <c r="K311" s="1004"/>
      <c r="L311" s="1004">
        <f>SUM(L289:L308)</f>
        <v>101</v>
      </c>
      <c r="M311" s="1004">
        <f>SUM(M289:M308)</f>
        <v>98</v>
      </c>
      <c r="N311" s="8"/>
      <c r="O311" s="1004">
        <f>COUNTIF(H289:H308,"Voitto")</f>
        <v>7</v>
      </c>
      <c r="P311" s="1004">
        <f>COUNTIF(H289:H308,"Tasapeli")</f>
        <v>5</v>
      </c>
      <c r="Q311" s="1004">
        <f>COUNTIF(H289:H308,"Häviö")</f>
        <v>8</v>
      </c>
    </row>
    <row r="316" spans="1:75" x14ac:dyDescent="0.3">
      <c r="C316" s="205" t="s">
        <v>1513</v>
      </c>
      <c r="D316" s="205" t="s">
        <v>2570</v>
      </c>
      <c r="V316" s="205" t="s">
        <v>0</v>
      </c>
      <c r="AO316" s="265" t="s">
        <v>1895</v>
      </c>
      <c r="BP316" s="205" t="s">
        <v>1513</v>
      </c>
      <c r="BQ316" s="205" t="s">
        <v>2620</v>
      </c>
    </row>
    <row r="317" spans="1:75" x14ac:dyDescent="0.3">
      <c r="B317" s="1003" t="s">
        <v>1393</v>
      </c>
      <c r="C317" s="975" t="s">
        <v>1831</v>
      </c>
      <c r="D317" s="975" t="s">
        <v>1830</v>
      </c>
      <c r="E317" s="975" t="s">
        <v>1832</v>
      </c>
      <c r="F317" s="975" t="s">
        <v>1836</v>
      </c>
      <c r="G317" s="975" t="s">
        <v>1835</v>
      </c>
      <c r="H317" s="989" t="s">
        <v>1407</v>
      </c>
      <c r="I317" s="990" t="s">
        <v>2019</v>
      </c>
      <c r="J317" s="990" t="s">
        <v>0</v>
      </c>
      <c r="K317" s="990" t="s">
        <v>1128</v>
      </c>
      <c r="L317" s="1324" t="s">
        <v>1407</v>
      </c>
      <c r="M317" s="1325"/>
      <c r="N317" s="1326" t="s">
        <v>1822</v>
      </c>
      <c r="O317" s="1325"/>
      <c r="P317" s="1326" t="s">
        <v>1823</v>
      </c>
      <c r="Q317" s="1325"/>
      <c r="R317" s="1326" t="s">
        <v>1824</v>
      </c>
      <c r="S317" s="1325"/>
      <c r="T317" s="1326" t="s">
        <v>2706</v>
      </c>
      <c r="U317" s="1324"/>
      <c r="V317" s="981" t="s">
        <v>1557</v>
      </c>
      <c r="W317" s="981" t="s">
        <v>1556</v>
      </c>
      <c r="X317" s="981" t="s">
        <v>501</v>
      </c>
      <c r="Y317" s="981" t="s">
        <v>708</v>
      </c>
      <c r="Z317" s="981" t="s">
        <v>82</v>
      </c>
      <c r="AA317" s="981" t="s">
        <v>709</v>
      </c>
      <c r="AB317" s="981" t="s">
        <v>1419</v>
      </c>
      <c r="AC317" s="981" t="s">
        <v>1420</v>
      </c>
      <c r="AD317" s="982" t="s">
        <v>1827</v>
      </c>
      <c r="AE317" s="981" t="s">
        <v>1828</v>
      </c>
      <c r="AF317" s="981" t="s">
        <v>1425</v>
      </c>
      <c r="AG317" s="981" t="s">
        <v>1535</v>
      </c>
      <c r="AH317" s="981" t="s">
        <v>1536</v>
      </c>
      <c r="AI317" s="981" t="s">
        <v>1559</v>
      </c>
      <c r="AJ317" s="981" t="s">
        <v>1896</v>
      </c>
      <c r="AK317" s="981" t="s">
        <v>1967</v>
      </c>
      <c r="AL317" s="981" t="s">
        <v>19</v>
      </c>
      <c r="AM317" s="981"/>
      <c r="AN317" s="265"/>
      <c r="AO317" s="979" t="s">
        <v>1557</v>
      </c>
      <c r="AP317" s="979" t="s">
        <v>1556</v>
      </c>
      <c r="AQ317" s="979" t="s">
        <v>501</v>
      </c>
      <c r="AR317" s="979" t="s">
        <v>708</v>
      </c>
      <c r="AS317" s="979" t="s">
        <v>82</v>
      </c>
      <c r="AT317" s="979" t="s">
        <v>709</v>
      </c>
      <c r="AU317" s="979" t="s">
        <v>1419</v>
      </c>
      <c r="AV317" s="979" t="s">
        <v>1420</v>
      </c>
      <c r="AW317" s="980" t="s">
        <v>1827</v>
      </c>
      <c r="AX317" s="979" t="s">
        <v>1828</v>
      </c>
      <c r="AY317" s="979" t="s">
        <v>1425</v>
      </c>
      <c r="AZ317" s="979" t="s">
        <v>1535</v>
      </c>
      <c r="BA317" s="979" t="s">
        <v>1536</v>
      </c>
      <c r="BB317" s="979" t="s">
        <v>1559</v>
      </c>
      <c r="BC317" s="979" t="s">
        <v>1896</v>
      </c>
      <c r="BD317" s="979" t="s">
        <v>1967</v>
      </c>
      <c r="BE317" s="979" t="s">
        <v>19</v>
      </c>
      <c r="BF317" s="979"/>
      <c r="BH317" s="1001" t="s">
        <v>1911</v>
      </c>
      <c r="BI317" s="1001" t="s">
        <v>1912</v>
      </c>
      <c r="BJ317" s="1001" t="s">
        <v>1913</v>
      </c>
      <c r="BK317" s="1001" t="s">
        <v>537</v>
      </c>
      <c r="BL317" s="1001" t="s">
        <v>1128</v>
      </c>
    </row>
    <row r="318" spans="1:75" x14ac:dyDescent="0.3">
      <c r="B318" s="1280">
        <v>190</v>
      </c>
      <c r="C318" s="977" t="s">
        <v>1513</v>
      </c>
      <c r="D318" s="977" t="s">
        <v>1829</v>
      </c>
      <c r="E318" s="977" t="s">
        <v>1516</v>
      </c>
      <c r="F318" s="978">
        <v>42652</v>
      </c>
      <c r="G318" s="977" t="s">
        <v>150</v>
      </c>
      <c r="H318" s="991" t="str">
        <f t="shared" ref="H318:H333" si="152">IF(L318=M318,"Tasapeli",IF(L318&lt;M318,"Häviö","Voitto"))</f>
        <v>Häviö</v>
      </c>
      <c r="I318" s="991" t="s">
        <v>1515</v>
      </c>
      <c r="J318" s="991" t="s">
        <v>0</v>
      </c>
      <c r="K318" s="991" t="s">
        <v>1583</v>
      </c>
      <c r="L318" s="992">
        <f t="shared" ref="L318:L331" si="153">N318+P318+R318</f>
        <v>2</v>
      </c>
      <c r="M318" s="992">
        <f t="shared" ref="M318:M331" si="154">O318+Q318+S318</f>
        <v>3</v>
      </c>
      <c r="N318" s="1262">
        <v>0</v>
      </c>
      <c r="O318" s="992">
        <v>1</v>
      </c>
      <c r="P318" s="1262">
        <v>1</v>
      </c>
      <c r="Q318" s="992">
        <v>1</v>
      </c>
      <c r="R318" s="1262">
        <v>1</v>
      </c>
      <c r="S318" s="992">
        <v>1</v>
      </c>
      <c r="T318" s="1262"/>
      <c r="U318" s="992"/>
      <c r="V318" s="985"/>
      <c r="W318" s="985"/>
      <c r="X318" s="985"/>
      <c r="Y318" s="985"/>
      <c r="Z318" s="985"/>
      <c r="AA318" s="985"/>
      <c r="AB318" s="985"/>
      <c r="AC318" s="985"/>
      <c r="AD318" s="985"/>
      <c r="AE318" s="985"/>
      <c r="AF318" s="985"/>
      <c r="AG318" s="985"/>
      <c r="AH318" s="985"/>
      <c r="AI318" s="985"/>
      <c r="AJ318" s="985"/>
      <c r="AK318" s="985"/>
      <c r="AL318" s="985"/>
      <c r="AM318" s="985"/>
      <c r="AN318" s="8"/>
      <c r="AO318" s="983"/>
      <c r="AP318" s="983"/>
      <c r="AQ318" s="983"/>
      <c r="AR318" s="983"/>
      <c r="AS318" s="983"/>
      <c r="AT318" s="983"/>
      <c r="AU318" s="983"/>
      <c r="AV318" s="983"/>
      <c r="AW318" s="983"/>
      <c r="AX318" s="983"/>
      <c r="AY318" s="983"/>
      <c r="AZ318" s="983"/>
      <c r="BA318" s="983"/>
      <c r="BB318" s="983"/>
      <c r="BC318" s="983"/>
      <c r="BD318" s="983"/>
      <c r="BE318" s="983"/>
      <c r="BF318" s="983"/>
      <c r="BH318" s="1002">
        <f>IF(V318=0,1,0)</f>
        <v>1</v>
      </c>
      <c r="BI318" s="1002">
        <f>IF(AO318=0,1,0)</f>
        <v>1</v>
      </c>
      <c r="BJ318" s="1002">
        <f>IF(V318+AO318=0,1,0)</f>
        <v>1</v>
      </c>
      <c r="BK318" s="1002">
        <f>IF(BH318&gt;BI318,1,0)</f>
        <v>0</v>
      </c>
      <c r="BL318" s="1002">
        <f>IF(BI318&gt;BH318,1,0)</f>
        <v>0</v>
      </c>
      <c r="BO318" s="1282" t="s">
        <v>1393</v>
      </c>
      <c r="BP318" s="1281" t="s">
        <v>989</v>
      </c>
      <c r="BQ318" s="1282" t="s">
        <v>877</v>
      </c>
      <c r="BR318" s="1282" t="s">
        <v>990</v>
      </c>
      <c r="BS318" s="1282" t="s">
        <v>991</v>
      </c>
      <c r="BT318" s="1282" t="s">
        <v>992</v>
      </c>
      <c r="BU318" s="1282" t="s">
        <v>139</v>
      </c>
      <c r="BV318" s="1282" t="s">
        <v>993</v>
      </c>
      <c r="BW318" s="1282" t="s">
        <v>610</v>
      </c>
    </row>
    <row r="319" spans="1:75" x14ac:dyDescent="0.3">
      <c r="B319" s="1280">
        <v>191</v>
      </c>
      <c r="C319" s="977" t="s">
        <v>1513</v>
      </c>
      <c r="D319" s="977" t="s">
        <v>1829</v>
      </c>
      <c r="E319" s="977" t="s">
        <v>1537</v>
      </c>
      <c r="F319" s="978">
        <v>42652</v>
      </c>
      <c r="G319" s="977" t="s">
        <v>150</v>
      </c>
      <c r="H319" s="991" t="str">
        <f t="shared" si="152"/>
        <v>Voitto</v>
      </c>
      <c r="I319" s="991" t="s">
        <v>1514</v>
      </c>
      <c r="J319" s="991" t="s">
        <v>0</v>
      </c>
      <c r="K319" s="991" t="s">
        <v>1585</v>
      </c>
      <c r="L319" s="992">
        <f t="shared" si="153"/>
        <v>3</v>
      </c>
      <c r="M319" s="992">
        <f t="shared" si="154"/>
        <v>1</v>
      </c>
      <c r="N319" s="1262">
        <v>1</v>
      </c>
      <c r="O319" s="992">
        <v>0</v>
      </c>
      <c r="P319" s="1262">
        <v>2</v>
      </c>
      <c r="Q319" s="992">
        <v>0</v>
      </c>
      <c r="R319" s="1262">
        <v>0</v>
      </c>
      <c r="S319" s="992">
        <v>1</v>
      </c>
      <c r="T319" s="1262"/>
      <c r="U319" s="992"/>
      <c r="V319" s="985"/>
      <c r="W319" s="985"/>
      <c r="X319" s="985"/>
      <c r="Y319" s="985"/>
      <c r="Z319" s="985"/>
      <c r="AA319" s="985"/>
      <c r="AB319" s="985"/>
      <c r="AC319" s="985"/>
      <c r="AD319" s="985"/>
      <c r="AE319" s="985"/>
      <c r="AF319" s="985"/>
      <c r="AG319" s="985"/>
      <c r="AH319" s="985"/>
      <c r="AI319" s="985"/>
      <c r="AJ319" s="985"/>
      <c r="AK319" s="985"/>
      <c r="AL319" s="985"/>
      <c r="AM319" s="985"/>
      <c r="AN319" s="8"/>
      <c r="AO319" s="983"/>
      <c r="AP319" s="983"/>
      <c r="AQ319" s="983"/>
      <c r="AR319" s="983"/>
      <c r="AS319" s="983"/>
      <c r="AT319" s="983"/>
      <c r="AU319" s="983"/>
      <c r="AV319" s="983"/>
      <c r="AW319" s="983"/>
      <c r="AX319" s="983"/>
      <c r="AY319" s="983"/>
      <c r="AZ319" s="983"/>
      <c r="BA319" s="983"/>
      <c r="BB319" s="983"/>
      <c r="BC319" s="983"/>
      <c r="BD319" s="983"/>
      <c r="BE319" s="988"/>
      <c r="BF319" s="988"/>
      <c r="BH319" s="1002">
        <f t="shared" ref="BH319:BH335" si="155">IF(V319=0,1,0)</f>
        <v>1</v>
      </c>
      <c r="BI319" s="1002">
        <f t="shared" ref="BI319:BI335" si="156">IF(AO319=0,1,0)</f>
        <v>1</v>
      </c>
      <c r="BJ319" s="1002">
        <f t="shared" ref="BJ319:BJ335" si="157">IF(V319+AO319=0,1,0)</f>
        <v>1</v>
      </c>
      <c r="BK319" s="1002">
        <f t="shared" ref="BK319:BK335" si="158">IF(BH319&gt;BI319,1,0)</f>
        <v>0</v>
      </c>
      <c r="BL319" s="1002">
        <f t="shared" ref="BL319:BL335" si="159">IF(BI319&gt;BH319,1,0)</f>
        <v>0</v>
      </c>
      <c r="BO319" s="119">
        <v>1</v>
      </c>
      <c r="BP319" s="128" t="s">
        <v>996</v>
      </c>
      <c r="BQ319" s="119">
        <v>16</v>
      </c>
      <c r="BR319" s="119">
        <v>12</v>
      </c>
      <c r="BS319" s="119">
        <v>2</v>
      </c>
      <c r="BT319" s="119">
        <v>2</v>
      </c>
      <c r="BU319" s="119">
        <v>75</v>
      </c>
      <c r="BV319" s="119">
        <v>44</v>
      </c>
      <c r="BW319" s="119">
        <v>26</v>
      </c>
    </row>
    <row r="320" spans="1:75" x14ac:dyDescent="0.3">
      <c r="B320" s="1280">
        <v>192</v>
      </c>
      <c r="C320" s="977" t="s">
        <v>1513</v>
      </c>
      <c r="D320" s="977" t="s">
        <v>1829</v>
      </c>
      <c r="E320" s="977" t="s">
        <v>1538</v>
      </c>
      <c r="F320" s="978">
        <v>42672</v>
      </c>
      <c r="G320" s="977" t="s">
        <v>150</v>
      </c>
      <c r="H320" s="991" t="str">
        <f t="shared" si="152"/>
        <v>Voitto</v>
      </c>
      <c r="I320" s="991" t="s">
        <v>1515</v>
      </c>
      <c r="J320" s="991" t="s">
        <v>0</v>
      </c>
      <c r="K320" s="991" t="s">
        <v>1007</v>
      </c>
      <c r="L320" s="992">
        <f t="shared" si="153"/>
        <v>6</v>
      </c>
      <c r="M320" s="992">
        <f t="shared" si="154"/>
        <v>4</v>
      </c>
      <c r="N320" s="1262">
        <v>0</v>
      </c>
      <c r="O320" s="992">
        <v>1</v>
      </c>
      <c r="P320" s="1262">
        <v>1</v>
      </c>
      <c r="Q320" s="992">
        <v>2</v>
      </c>
      <c r="R320" s="1262">
        <v>5</v>
      </c>
      <c r="S320" s="992">
        <v>1</v>
      </c>
      <c r="T320" s="1262"/>
      <c r="U320" s="992"/>
      <c r="V320" s="985"/>
      <c r="W320" s="985"/>
      <c r="X320" s="985"/>
      <c r="Y320" s="985"/>
      <c r="Z320" s="985"/>
      <c r="AA320" s="985"/>
      <c r="AB320" s="985"/>
      <c r="AC320" s="985"/>
      <c r="AD320" s="985"/>
      <c r="AE320" s="985"/>
      <c r="AF320" s="985"/>
      <c r="AG320" s="985"/>
      <c r="AH320" s="985"/>
      <c r="AI320" s="985"/>
      <c r="AJ320" s="985"/>
      <c r="AK320" s="985"/>
      <c r="AL320" s="986"/>
      <c r="AM320" s="986"/>
      <c r="AN320" s="8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8"/>
      <c r="BF320" s="988"/>
      <c r="BH320" s="1002">
        <f t="shared" si="155"/>
        <v>1</v>
      </c>
      <c r="BI320" s="1002">
        <f t="shared" si="156"/>
        <v>1</v>
      </c>
      <c r="BJ320" s="1002">
        <f t="shared" si="157"/>
        <v>1</v>
      </c>
      <c r="BK320" s="1002">
        <f t="shared" si="158"/>
        <v>0</v>
      </c>
      <c r="BL320" s="1002">
        <f t="shared" si="159"/>
        <v>0</v>
      </c>
      <c r="BO320" s="119">
        <v>2</v>
      </c>
      <c r="BP320" s="128" t="s">
        <v>1245</v>
      </c>
      <c r="BQ320" s="119">
        <v>16</v>
      </c>
      <c r="BR320" s="119">
        <v>11</v>
      </c>
      <c r="BS320" s="119">
        <v>1</v>
      </c>
      <c r="BT320" s="119">
        <v>4</v>
      </c>
      <c r="BU320" s="119">
        <v>100</v>
      </c>
      <c r="BV320" s="119">
        <v>64</v>
      </c>
      <c r="BW320" s="119">
        <v>23</v>
      </c>
    </row>
    <row r="321" spans="2:75" x14ac:dyDescent="0.3">
      <c r="B321" s="1280">
        <v>193</v>
      </c>
      <c r="C321" s="977" t="s">
        <v>1513</v>
      </c>
      <c r="D321" s="977" t="s">
        <v>1829</v>
      </c>
      <c r="E321" s="977" t="s">
        <v>1539</v>
      </c>
      <c r="F321" s="978">
        <v>42672</v>
      </c>
      <c r="G321" s="977" t="s">
        <v>150</v>
      </c>
      <c r="H321" s="991" t="str">
        <f t="shared" si="152"/>
        <v>Häviö</v>
      </c>
      <c r="I321" s="991" t="s">
        <v>1515</v>
      </c>
      <c r="J321" s="991" t="s">
        <v>0</v>
      </c>
      <c r="K321" s="991" t="s">
        <v>996</v>
      </c>
      <c r="L321" s="992">
        <f t="shared" si="153"/>
        <v>3</v>
      </c>
      <c r="M321" s="992">
        <f t="shared" si="154"/>
        <v>5</v>
      </c>
      <c r="N321" s="1262">
        <v>3</v>
      </c>
      <c r="O321" s="992">
        <v>1</v>
      </c>
      <c r="P321" s="1262">
        <v>0</v>
      </c>
      <c r="Q321" s="992">
        <v>3</v>
      </c>
      <c r="R321" s="1262">
        <v>0</v>
      </c>
      <c r="S321" s="992">
        <v>1</v>
      </c>
      <c r="T321" s="1262"/>
      <c r="U321" s="992"/>
      <c r="V321" s="985"/>
      <c r="W321" s="985"/>
      <c r="X321" s="987"/>
      <c r="Y321" s="987"/>
      <c r="Z321" s="98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5"/>
      <c r="AL321" s="985"/>
      <c r="AM321" s="985"/>
      <c r="AO321" s="983"/>
      <c r="AP321" s="983"/>
      <c r="AQ321" s="983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83"/>
      <c r="BE321" s="984"/>
      <c r="BF321" s="984"/>
      <c r="BH321" s="1002">
        <f t="shared" si="155"/>
        <v>1</v>
      </c>
      <c r="BI321" s="1002">
        <f t="shared" si="156"/>
        <v>1</v>
      </c>
      <c r="BJ321" s="1002">
        <f t="shared" si="157"/>
        <v>1</v>
      </c>
      <c r="BK321" s="1002">
        <f t="shared" si="158"/>
        <v>0</v>
      </c>
      <c r="BL321" s="1002">
        <f t="shared" si="159"/>
        <v>0</v>
      </c>
      <c r="BO321" s="119">
        <v>3</v>
      </c>
      <c r="BP321" s="128" t="s">
        <v>1585</v>
      </c>
      <c r="BQ321" s="119">
        <v>16</v>
      </c>
      <c r="BR321" s="119">
        <v>9</v>
      </c>
      <c r="BS321" s="119">
        <v>3</v>
      </c>
      <c r="BT321" s="119">
        <v>4</v>
      </c>
      <c r="BU321" s="119">
        <v>70</v>
      </c>
      <c r="BV321" s="119">
        <v>56</v>
      </c>
      <c r="BW321" s="119">
        <v>21</v>
      </c>
    </row>
    <row r="322" spans="2:75" x14ac:dyDescent="0.3">
      <c r="B322" s="1280">
        <v>194</v>
      </c>
      <c r="C322" s="977" t="s">
        <v>1513</v>
      </c>
      <c r="D322" s="977" t="s">
        <v>1829</v>
      </c>
      <c r="E322" s="977" t="s">
        <v>1540</v>
      </c>
      <c r="F322" s="978">
        <v>42694</v>
      </c>
      <c r="G322" s="977" t="s">
        <v>150</v>
      </c>
      <c r="H322" s="991" t="str">
        <f t="shared" si="152"/>
        <v>Voitto</v>
      </c>
      <c r="I322" s="991" t="s">
        <v>1514</v>
      </c>
      <c r="J322" s="991" t="s">
        <v>0</v>
      </c>
      <c r="K322" s="991" t="s">
        <v>1402</v>
      </c>
      <c r="L322" s="992">
        <f t="shared" si="153"/>
        <v>8</v>
      </c>
      <c r="M322" s="992">
        <f t="shared" si="154"/>
        <v>1</v>
      </c>
      <c r="N322" s="1262">
        <v>4</v>
      </c>
      <c r="O322" s="992">
        <v>1</v>
      </c>
      <c r="P322" s="1262">
        <v>1</v>
      </c>
      <c r="Q322" s="992">
        <v>0</v>
      </c>
      <c r="R322" s="1262">
        <v>3</v>
      </c>
      <c r="S322" s="992">
        <v>0</v>
      </c>
      <c r="T322" s="1262"/>
      <c r="U322" s="992"/>
      <c r="V322" s="985"/>
      <c r="W322" s="985"/>
      <c r="X322" s="987"/>
      <c r="Y322" s="987"/>
      <c r="Z322" s="987"/>
      <c r="AA322" s="987"/>
      <c r="AB322" s="987"/>
      <c r="AC322" s="987"/>
      <c r="AD322" s="987"/>
      <c r="AE322" s="987"/>
      <c r="AF322" s="987"/>
      <c r="AG322" s="987"/>
      <c r="AH322" s="987"/>
      <c r="AI322" s="987"/>
      <c r="AJ322" s="987"/>
      <c r="AK322" s="985"/>
      <c r="AL322" s="985"/>
      <c r="AM322" s="985"/>
      <c r="AO322" s="983"/>
      <c r="AP322" s="983"/>
      <c r="AQ322" s="976"/>
      <c r="AR322" s="976"/>
      <c r="AS322" s="976"/>
      <c r="AT322" s="976"/>
      <c r="AU322" s="976"/>
      <c r="AV322" s="976"/>
      <c r="AW322" s="976"/>
      <c r="AX322" s="976"/>
      <c r="AY322" s="976"/>
      <c r="AZ322" s="976"/>
      <c r="BA322" s="976"/>
      <c r="BB322" s="976"/>
      <c r="BC322" s="976"/>
      <c r="BD322" s="983"/>
      <c r="BE322" s="983"/>
      <c r="BF322" s="983"/>
      <c r="BH322" s="1002">
        <f t="shared" si="155"/>
        <v>1</v>
      </c>
      <c r="BI322" s="1002">
        <f t="shared" si="156"/>
        <v>1</v>
      </c>
      <c r="BJ322" s="1002">
        <f t="shared" si="157"/>
        <v>1</v>
      </c>
      <c r="BK322" s="1002">
        <f t="shared" si="158"/>
        <v>0</v>
      </c>
      <c r="BL322" s="1002">
        <f t="shared" si="159"/>
        <v>0</v>
      </c>
      <c r="BO322" s="119">
        <v>4</v>
      </c>
      <c r="BP322" s="128" t="s">
        <v>1583</v>
      </c>
      <c r="BQ322" s="119">
        <v>16</v>
      </c>
      <c r="BR322" s="119">
        <v>9</v>
      </c>
      <c r="BS322" s="119">
        <v>2</v>
      </c>
      <c r="BT322" s="119">
        <v>5</v>
      </c>
      <c r="BU322" s="119">
        <v>82</v>
      </c>
      <c r="BV322" s="119">
        <v>64</v>
      </c>
      <c r="BW322" s="119">
        <v>20</v>
      </c>
    </row>
    <row r="323" spans="2:75" x14ac:dyDescent="0.3">
      <c r="B323" s="1280">
        <v>195</v>
      </c>
      <c r="C323" s="977" t="s">
        <v>1513</v>
      </c>
      <c r="D323" s="977" t="s">
        <v>1829</v>
      </c>
      <c r="E323" s="977" t="s">
        <v>1541</v>
      </c>
      <c r="F323" s="978">
        <v>42694</v>
      </c>
      <c r="G323" s="977" t="s">
        <v>150</v>
      </c>
      <c r="H323" s="991" t="str">
        <f t="shared" si="152"/>
        <v>Häviö</v>
      </c>
      <c r="I323" s="991" t="s">
        <v>1515</v>
      </c>
      <c r="J323" s="991" t="s">
        <v>0</v>
      </c>
      <c r="K323" s="991" t="s">
        <v>1403</v>
      </c>
      <c r="L323" s="992">
        <f t="shared" si="153"/>
        <v>4</v>
      </c>
      <c r="M323" s="992">
        <f t="shared" si="154"/>
        <v>6</v>
      </c>
      <c r="N323" s="1262">
        <v>1</v>
      </c>
      <c r="O323" s="992">
        <v>3</v>
      </c>
      <c r="P323" s="1262">
        <v>2</v>
      </c>
      <c r="Q323" s="992">
        <v>1</v>
      </c>
      <c r="R323" s="1262">
        <v>1</v>
      </c>
      <c r="S323" s="992">
        <v>2</v>
      </c>
      <c r="T323" s="1262"/>
      <c r="U323" s="992"/>
      <c r="V323" s="985"/>
      <c r="W323" s="985"/>
      <c r="X323" s="987"/>
      <c r="Y323" s="987"/>
      <c r="Z323" s="987"/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5"/>
      <c r="AL323" s="985"/>
      <c r="AM323" s="985"/>
      <c r="AO323" s="983"/>
      <c r="AP323" s="983"/>
      <c r="AQ323" s="983"/>
      <c r="AR323" s="976"/>
      <c r="AS323" s="976"/>
      <c r="AT323" s="976"/>
      <c r="AU323" s="976"/>
      <c r="AV323" s="976"/>
      <c r="AW323" s="976"/>
      <c r="AX323" s="976"/>
      <c r="AY323" s="976"/>
      <c r="AZ323" s="976"/>
      <c r="BA323" s="976"/>
      <c r="BB323" s="976"/>
      <c r="BC323" s="976"/>
      <c r="BD323" s="983"/>
      <c r="BE323" s="983"/>
      <c r="BF323" s="983"/>
      <c r="BH323" s="1002">
        <f t="shared" si="155"/>
        <v>1</v>
      </c>
      <c r="BI323" s="1002">
        <f t="shared" si="156"/>
        <v>1</v>
      </c>
      <c r="BJ323" s="1002">
        <f t="shared" si="157"/>
        <v>1</v>
      </c>
      <c r="BK323" s="1002">
        <f t="shared" si="158"/>
        <v>0</v>
      </c>
      <c r="BL323" s="1002">
        <f t="shared" si="159"/>
        <v>0</v>
      </c>
      <c r="BO323" s="119">
        <v>5</v>
      </c>
      <c r="BP323" s="128" t="s">
        <v>1403</v>
      </c>
      <c r="BQ323" s="119">
        <v>16</v>
      </c>
      <c r="BR323" s="119">
        <v>8</v>
      </c>
      <c r="BS323" s="119">
        <v>2</v>
      </c>
      <c r="BT323" s="119">
        <v>6</v>
      </c>
      <c r="BU323" s="119">
        <v>75</v>
      </c>
      <c r="BV323" s="119">
        <v>65</v>
      </c>
      <c r="BW323" s="119">
        <v>18</v>
      </c>
    </row>
    <row r="324" spans="2:75" x14ac:dyDescent="0.3">
      <c r="B324" s="1280">
        <v>196</v>
      </c>
      <c r="C324" s="977" t="s">
        <v>1513</v>
      </c>
      <c r="D324" s="977" t="s">
        <v>1829</v>
      </c>
      <c r="E324" s="977" t="s">
        <v>1542</v>
      </c>
      <c r="F324" s="978">
        <v>42722</v>
      </c>
      <c r="G324" s="977" t="s">
        <v>150</v>
      </c>
      <c r="H324" s="991" t="str">
        <f t="shared" si="152"/>
        <v>Voitto</v>
      </c>
      <c r="I324" s="991" t="s">
        <v>1514</v>
      </c>
      <c r="J324" s="991" t="s">
        <v>0</v>
      </c>
      <c r="K324" s="991" t="s">
        <v>1584</v>
      </c>
      <c r="L324" s="992">
        <f t="shared" si="153"/>
        <v>9</v>
      </c>
      <c r="M324" s="992">
        <f t="shared" si="154"/>
        <v>7</v>
      </c>
      <c r="N324" s="1262">
        <v>4</v>
      </c>
      <c r="O324" s="992">
        <v>4</v>
      </c>
      <c r="P324" s="1262">
        <v>1</v>
      </c>
      <c r="Q324" s="992">
        <v>1</v>
      </c>
      <c r="R324" s="1262">
        <v>4</v>
      </c>
      <c r="S324" s="992">
        <v>2</v>
      </c>
      <c r="T324" s="1262"/>
      <c r="U324" s="992"/>
      <c r="V324" s="985"/>
      <c r="W324" s="985"/>
      <c r="X324" s="985"/>
      <c r="Y324" s="987"/>
      <c r="Z324" s="987"/>
      <c r="AA324" s="987"/>
      <c r="AB324" s="985"/>
      <c r="AC324" s="987"/>
      <c r="AD324" s="987"/>
      <c r="AE324" s="987"/>
      <c r="AF324" s="987"/>
      <c r="AG324" s="987"/>
      <c r="AH324" s="987"/>
      <c r="AI324" s="987"/>
      <c r="AJ324" s="987"/>
      <c r="AK324" s="985"/>
      <c r="AL324" s="986"/>
      <c r="AM324" s="986"/>
      <c r="AO324" s="983"/>
      <c r="AP324" s="983"/>
      <c r="AQ324" s="983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83"/>
      <c r="BE324" s="983"/>
      <c r="BF324" s="983"/>
      <c r="BH324" s="1002">
        <f t="shared" si="155"/>
        <v>1</v>
      </c>
      <c r="BI324" s="1002">
        <f t="shared" si="156"/>
        <v>1</v>
      </c>
      <c r="BJ324" s="1002">
        <f t="shared" si="157"/>
        <v>1</v>
      </c>
      <c r="BK324" s="1002">
        <f t="shared" si="158"/>
        <v>0</v>
      </c>
      <c r="BL324" s="1002">
        <f t="shared" si="159"/>
        <v>0</v>
      </c>
      <c r="BO324" s="1284">
        <v>6</v>
      </c>
      <c r="BP324" s="1283" t="s">
        <v>0</v>
      </c>
      <c r="BQ324" s="1284">
        <v>16</v>
      </c>
      <c r="BR324" s="1284">
        <v>6</v>
      </c>
      <c r="BS324" s="1284">
        <v>2</v>
      </c>
      <c r="BT324" s="1284">
        <v>8</v>
      </c>
      <c r="BU324" s="1284">
        <v>69</v>
      </c>
      <c r="BV324" s="1284">
        <v>86</v>
      </c>
      <c r="BW324" s="1284">
        <v>14</v>
      </c>
    </row>
    <row r="325" spans="2:75" x14ac:dyDescent="0.3">
      <c r="B325" s="1280">
        <v>197</v>
      </c>
      <c r="C325" s="977" t="s">
        <v>1513</v>
      </c>
      <c r="D325" s="977" t="s">
        <v>1829</v>
      </c>
      <c r="E325" s="977" t="s">
        <v>1543</v>
      </c>
      <c r="F325" s="978">
        <v>42722</v>
      </c>
      <c r="G325" s="977" t="s">
        <v>150</v>
      </c>
      <c r="H325" s="991" t="str">
        <f t="shared" si="152"/>
        <v>Häviö</v>
      </c>
      <c r="I325" s="991" t="s">
        <v>1514</v>
      </c>
      <c r="J325" s="991" t="s">
        <v>0</v>
      </c>
      <c r="K325" s="991" t="s">
        <v>1245</v>
      </c>
      <c r="L325" s="992">
        <f t="shared" si="153"/>
        <v>1</v>
      </c>
      <c r="M325" s="992">
        <f t="shared" si="154"/>
        <v>12</v>
      </c>
      <c r="N325" s="1262">
        <v>0</v>
      </c>
      <c r="O325" s="992">
        <v>1</v>
      </c>
      <c r="P325" s="1262">
        <v>1</v>
      </c>
      <c r="Q325" s="992">
        <v>4</v>
      </c>
      <c r="R325" s="1262">
        <v>0</v>
      </c>
      <c r="S325" s="992">
        <v>7</v>
      </c>
      <c r="T325" s="1262"/>
      <c r="U325" s="992"/>
      <c r="V325" s="985"/>
      <c r="W325" s="985"/>
      <c r="X325" s="985"/>
      <c r="Y325" s="985"/>
      <c r="Z325" s="985"/>
      <c r="AA325" s="985"/>
      <c r="AB325" s="985"/>
      <c r="AC325" s="985"/>
      <c r="AD325" s="985"/>
      <c r="AE325" s="985"/>
      <c r="AF325" s="985"/>
      <c r="AG325" s="985"/>
      <c r="AH325" s="985"/>
      <c r="AI325" s="985"/>
      <c r="AJ325" s="985"/>
      <c r="AK325" s="985"/>
      <c r="AL325" s="985"/>
      <c r="AM325" s="985"/>
      <c r="AN325" s="8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H325" s="1002">
        <f t="shared" si="155"/>
        <v>1</v>
      </c>
      <c r="BI325" s="1002">
        <f t="shared" si="156"/>
        <v>1</v>
      </c>
      <c r="BJ325" s="1002">
        <f t="shared" si="157"/>
        <v>1</v>
      </c>
      <c r="BK325" s="1002">
        <f t="shared" si="158"/>
        <v>0</v>
      </c>
      <c r="BL325" s="1002">
        <f t="shared" si="159"/>
        <v>0</v>
      </c>
      <c r="BO325" s="119">
        <v>7</v>
      </c>
      <c r="BP325" s="128" t="s">
        <v>1910</v>
      </c>
      <c r="BQ325" s="119">
        <v>16</v>
      </c>
      <c r="BR325" s="119">
        <v>5</v>
      </c>
      <c r="BS325" s="119">
        <v>3</v>
      </c>
      <c r="BT325" s="119">
        <v>8</v>
      </c>
      <c r="BU325" s="119">
        <v>58</v>
      </c>
      <c r="BV325" s="119">
        <v>63</v>
      </c>
      <c r="BW325" s="119">
        <v>13</v>
      </c>
    </row>
    <row r="326" spans="2:75" x14ac:dyDescent="0.3">
      <c r="B326" s="1280">
        <v>198</v>
      </c>
      <c r="C326" s="977" t="s">
        <v>1513</v>
      </c>
      <c r="D326" s="977" t="s">
        <v>1829</v>
      </c>
      <c r="E326" s="977" t="s">
        <v>1544</v>
      </c>
      <c r="F326" s="978">
        <v>42742</v>
      </c>
      <c r="G326" s="977" t="s">
        <v>796</v>
      </c>
      <c r="H326" s="991" t="str">
        <f t="shared" si="152"/>
        <v>Häviö</v>
      </c>
      <c r="I326" s="991" t="s">
        <v>1514</v>
      </c>
      <c r="J326" s="991" t="s">
        <v>0</v>
      </c>
      <c r="K326" s="991" t="s">
        <v>1583</v>
      </c>
      <c r="L326" s="992">
        <f t="shared" si="153"/>
        <v>3</v>
      </c>
      <c r="M326" s="992">
        <f t="shared" si="154"/>
        <v>15</v>
      </c>
      <c r="N326" s="1262">
        <v>1</v>
      </c>
      <c r="O326" s="992">
        <v>10</v>
      </c>
      <c r="P326" s="1262">
        <v>1</v>
      </c>
      <c r="Q326" s="992">
        <v>1</v>
      </c>
      <c r="R326" s="1262">
        <v>1</v>
      </c>
      <c r="S326" s="992">
        <v>4</v>
      </c>
      <c r="T326" s="1262"/>
      <c r="U326" s="992"/>
      <c r="V326" s="985"/>
      <c r="W326" s="985"/>
      <c r="X326" s="985"/>
      <c r="Y326" s="985"/>
      <c r="Z326" s="985"/>
      <c r="AA326" s="985"/>
      <c r="AB326" s="985"/>
      <c r="AC326" s="985"/>
      <c r="AD326" s="985"/>
      <c r="AE326" s="985"/>
      <c r="AF326" s="985"/>
      <c r="AG326" s="985"/>
      <c r="AH326" s="985"/>
      <c r="AI326" s="985"/>
      <c r="AJ326" s="985"/>
      <c r="AK326" s="985"/>
      <c r="AL326" s="985"/>
      <c r="AM326" s="985"/>
      <c r="AN326" s="8"/>
      <c r="AO326" s="983"/>
      <c r="AP326" s="983"/>
      <c r="AQ326" s="983"/>
      <c r="AR326" s="983"/>
      <c r="AS326" s="983"/>
      <c r="AT326" s="983"/>
      <c r="AU326" s="983"/>
      <c r="AV326" s="983"/>
      <c r="AW326" s="983"/>
      <c r="AX326" s="983"/>
      <c r="AY326" s="983"/>
      <c r="AZ326" s="983"/>
      <c r="BA326" s="983"/>
      <c r="BB326" s="983"/>
      <c r="BC326" s="983"/>
      <c r="BD326" s="983"/>
      <c r="BE326" s="983"/>
      <c r="BF326" s="983"/>
      <c r="BH326" s="1002">
        <f t="shared" si="155"/>
        <v>1</v>
      </c>
      <c r="BI326" s="1002">
        <f t="shared" si="156"/>
        <v>1</v>
      </c>
      <c r="BJ326" s="1002">
        <f t="shared" si="157"/>
        <v>1</v>
      </c>
      <c r="BK326" s="1002">
        <f t="shared" si="158"/>
        <v>0</v>
      </c>
      <c r="BL326" s="1002">
        <f t="shared" si="159"/>
        <v>0</v>
      </c>
      <c r="BO326" s="119">
        <v>8</v>
      </c>
      <c r="BP326" s="128" t="s">
        <v>1584</v>
      </c>
      <c r="BQ326" s="119">
        <v>16</v>
      </c>
      <c r="BR326" s="119">
        <v>3</v>
      </c>
      <c r="BS326" s="119">
        <v>2</v>
      </c>
      <c r="BT326" s="119">
        <v>11</v>
      </c>
      <c r="BU326" s="119">
        <v>48</v>
      </c>
      <c r="BV326" s="119">
        <v>92</v>
      </c>
      <c r="BW326" s="119">
        <v>8</v>
      </c>
    </row>
    <row r="327" spans="2:75" x14ac:dyDescent="0.3">
      <c r="B327" s="1280">
        <v>199</v>
      </c>
      <c r="C327" s="977" t="s">
        <v>1513</v>
      </c>
      <c r="D327" s="977" t="s">
        <v>1829</v>
      </c>
      <c r="E327" s="977" t="s">
        <v>1545</v>
      </c>
      <c r="F327" s="978">
        <v>42742</v>
      </c>
      <c r="G327" s="977" t="s">
        <v>796</v>
      </c>
      <c r="H327" s="991" t="str">
        <f t="shared" si="152"/>
        <v>Häviö</v>
      </c>
      <c r="I327" s="991" t="s">
        <v>1515</v>
      </c>
      <c r="J327" s="991" t="s">
        <v>0</v>
      </c>
      <c r="K327" s="991" t="s">
        <v>1585</v>
      </c>
      <c r="L327" s="992">
        <f t="shared" si="153"/>
        <v>5</v>
      </c>
      <c r="M327" s="992">
        <f t="shared" si="154"/>
        <v>8</v>
      </c>
      <c r="N327" s="1262">
        <v>1</v>
      </c>
      <c r="O327" s="992">
        <v>3</v>
      </c>
      <c r="P327" s="1262">
        <v>3</v>
      </c>
      <c r="Q327" s="992">
        <v>2</v>
      </c>
      <c r="R327" s="1262">
        <v>1</v>
      </c>
      <c r="S327" s="992">
        <v>3</v>
      </c>
      <c r="T327" s="1262"/>
      <c r="U327" s="992"/>
      <c r="V327" s="985"/>
      <c r="W327" s="985"/>
      <c r="X327" s="985"/>
      <c r="Y327" s="985"/>
      <c r="Z327" s="985"/>
      <c r="AA327" s="985"/>
      <c r="AB327" s="985"/>
      <c r="AC327" s="985"/>
      <c r="AD327" s="985"/>
      <c r="AE327" s="985"/>
      <c r="AF327" s="985"/>
      <c r="AG327" s="985"/>
      <c r="AH327" s="985"/>
      <c r="AI327" s="985"/>
      <c r="AJ327" s="985"/>
      <c r="AK327" s="985"/>
      <c r="AL327" s="985"/>
      <c r="AM327" s="985"/>
      <c r="AN327" s="8"/>
      <c r="AO327" s="983"/>
      <c r="AP327" s="983"/>
      <c r="AQ327" s="983"/>
      <c r="AR327" s="983"/>
      <c r="AS327" s="983"/>
      <c r="AT327" s="983"/>
      <c r="AU327" s="983"/>
      <c r="AV327" s="983"/>
      <c r="AW327" s="983"/>
      <c r="AX327" s="983"/>
      <c r="AY327" s="983"/>
      <c r="AZ327" s="983"/>
      <c r="BA327" s="983"/>
      <c r="BB327" s="983"/>
      <c r="BC327" s="983"/>
      <c r="BD327" s="983"/>
      <c r="BE327" s="983"/>
      <c r="BF327" s="983"/>
      <c r="BH327" s="1002">
        <f t="shared" si="155"/>
        <v>1</v>
      </c>
      <c r="BI327" s="1002">
        <f t="shared" si="156"/>
        <v>1</v>
      </c>
      <c r="BJ327" s="1002">
        <f t="shared" si="157"/>
        <v>1</v>
      </c>
      <c r="BK327" s="1002">
        <f t="shared" si="158"/>
        <v>0</v>
      </c>
      <c r="BL327" s="1002">
        <f t="shared" si="159"/>
        <v>0</v>
      </c>
      <c r="BO327" s="1088">
        <v>9</v>
      </c>
      <c r="BP327" s="128" t="s">
        <v>1007</v>
      </c>
      <c r="BQ327" s="119">
        <v>16</v>
      </c>
      <c r="BR327" s="119">
        <v>0</v>
      </c>
      <c r="BS327" s="119">
        <v>1</v>
      </c>
      <c r="BT327" s="119">
        <v>15</v>
      </c>
      <c r="BU327" s="119">
        <v>59</v>
      </c>
      <c r="BV327" s="119">
        <v>102</v>
      </c>
      <c r="BW327" s="119">
        <v>1</v>
      </c>
    </row>
    <row r="328" spans="2:75" x14ac:dyDescent="0.3">
      <c r="B328" s="1280">
        <v>200</v>
      </c>
      <c r="C328" s="977" t="s">
        <v>1513</v>
      </c>
      <c r="D328" s="977" t="s">
        <v>1829</v>
      </c>
      <c r="E328" s="977" t="s">
        <v>1546</v>
      </c>
      <c r="F328" s="978">
        <v>42763</v>
      </c>
      <c r="G328" s="977" t="s">
        <v>1593</v>
      </c>
      <c r="H328" s="991" t="str">
        <f t="shared" si="152"/>
        <v>Häviö</v>
      </c>
      <c r="I328" s="991" t="s">
        <v>1514</v>
      </c>
      <c r="J328" s="991" t="s">
        <v>0</v>
      </c>
      <c r="K328" s="991" t="s">
        <v>996</v>
      </c>
      <c r="L328" s="992">
        <f t="shared" si="153"/>
        <v>4</v>
      </c>
      <c r="M328" s="992">
        <f t="shared" si="154"/>
        <v>6</v>
      </c>
      <c r="N328" s="1262">
        <v>4</v>
      </c>
      <c r="O328" s="992">
        <v>3</v>
      </c>
      <c r="P328" s="1262">
        <v>0</v>
      </c>
      <c r="Q328" s="992">
        <v>0</v>
      </c>
      <c r="R328" s="1262">
        <v>0</v>
      </c>
      <c r="S328" s="992">
        <v>3</v>
      </c>
      <c r="T328" s="1262"/>
      <c r="U328" s="992"/>
      <c r="V328" s="985"/>
      <c r="W328" s="985"/>
      <c r="X328" s="985"/>
      <c r="Y328" s="985"/>
      <c r="Z328" s="985"/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8"/>
      <c r="AO328" s="983"/>
      <c r="AP328" s="983"/>
      <c r="AQ328" s="983"/>
      <c r="AR328" s="983"/>
      <c r="AS328" s="983"/>
      <c r="AT328" s="983"/>
      <c r="AU328" s="983"/>
      <c r="AV328" s="983"/>
      <c r="AW328" s="983"/>
      <c r="AX328" s="983"/>
      <c r="AY328" s="983"/>
      <c r="AZ328" s="983"/>
      <c r="BA328" s="983"/>
      <c r="BB328" s="983"/>
      <c r="BC328" s="983"/>
      <c r="BD328" s="983"/>
      <c r="BE328" s="983"/>
      <c r="BF328" s="983"/>
      <c r="BH328" s="1002">
        <f t="shared" si="155"/>
        <v>1</v>
      </c>
      <c r="BI328" s="1002">
        <f t="shared" si="156"/>
        <v>1</v>
      </c>
      <c r="BJ328" s="1002">
        <f t="shared" si="157"/>
        <v>1</v>
      </c>
      <c r="BK328" s="1002">
        <f t="shared" si="158"/>
        <v>0</v>
      </c>
      <c r="BL328" s="1002">
        <f t="shared" si="159"/>
        <v>0</v>
      </c>
      <c r="BO328" s="307"/>
      <c r="BP328" s="292"/>
      <c r="BQ328" s="307"/>
      <c r="BR328" s="307"/>
      <c r="BS328" s="307"/>
      <c r="BT328" s="307"/>
      <c r="BU328" s="307"/>
      <c r="BV328" s="307"/>
      <c r="BW328" s="307"/>
    </row>
    <row r="329" spans="2:75" x14ac:dyDescent="0.3">
      <c r="B329" s="1280">
        <v>201</v>
      </c>
      <c r="C329" s="977" t="s">
        <v>1513</v>
      </c>
      <c r="D329" s="977" t="s">
        <v>1829</v>
      </c>
      <c r="E329" s="977" t="s">
        <v>1547</v>
      </c>
      <c r="F329" s="978">
        <v>42763</v>
      </c>
      <c r="G329" s="977" t="s">
        <v>1593</v>
      </c>
      <c r="H329" s="991" t="str">
        <f t="shared" si="152"/>
        <v>Voitto</v>
      </c>
      <c r="I329" s="991" t="s">
        <v>1514</v>
      </c>
      <c r="J329" s="991" t="s">
        <v>0</v>
      </c>
      <c r="K329" s="991" t="s">
        <v>1007</v>
      </c>
      <c r="L329" s="992">
        <f t="shared" si="153"/>
        <v>7</v>
      </c>
      <c r="M329" s="992">
        <f t="shared" si="154"/>
        <v>4</v>
      </c>
      <c r="N329" s="1262">
        <v>1</v>
      </c>
      <c r="O329" s="992">
        <v>3</v>
      </c>
      <c r="P329" s="1262">
        <v>4</v>
      </c>
      <c r="Q329" s="992">
        <v>1</v>
      </c>
      <c r="R329" s="1262">
        <v>2</v>
      </c>
      <c r="S329" s="992">
        <v>0</v>
      </c>
      <c r="T329" s="1262"/>
      <c r="U329" s="992"/>
      <c r="V329" s="985"/>
      <c r="W329" s="985"/>
      <c r="X329" s="985"/>
      <c r="Y329" s="985"/>
      <c r="Z329" s="985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8"/>
      <c r="AO329" s="983"/>
      <c r="AP329" s="983"/>
      <c r="AQ329" s="983"/>
      <c r="AR329" s="983"/>
      <c r="AS329" s="983"/>
      <c r="AT329" s="983"/>
      <c r="AU329" s="983"/>
      <c r="AV329" s="983"/>
      <c r="AW329" s="983"/>
      <c r="AX329" s="983"/>
      <c r="AY329" s="983"/>
      <c r="AZ329" s="983"/>
      <c r="BA329" s="983"/>
      <c r="BB329" s="983"/>
      <c r="BC329" s="983"/>
      <c r="BD329" s="983"/>
      <c r="BE329" s="983"/>
      <c r="BF329" s="983"/>
      <c r="BH329" s="1002">
        <f t="shared" si="155"/>
        <v>1</v>
      </c>
      <c r="BI329" s="1002">
        <f t="shared" si="156"/>
        <v>1</v>
      </c>
      <c r="BJ329" s="1002">
        <f t="shared" si="157"/>
        <v>1</v>
      </c>
      <c r="BK329" s="1002">
        <f t="shared" si="158"/>
        <v>0</v>
      </c>
      <c r="BL329" s="1002">
        <f t="shared" si="159"/>
        <v>0</v>
      </c>
      <c r="BO329" s="8"/>
      <c r="BQ329" s="8"/>
      <c r="BR329" s="8"/>
      <c r="BS329" s="8"/>
      <c r="BT329" s="8"/>
      <c r="BU329" s="8"/>
      <c r="BV329" s="8"/>
      <c r="BW329" s="8"/>
    </row>
    <row r="330" spans="2:75" x14ac:dyDescent="0.3">
      <c r="B330" s="1280">
        <v>202</v>
      </c>
      <c r="C330" s="977" t="s">
        <v>1513</v>
      </c>
      <c r="D330" s="977" t="s">
        <v>1829</v>
      </c>
      <c r="E330" s="977" t="s">
        <v>1548</v>
      </c>
      <c r="F330" s="978">
        <v>42792</v>
      </c>
      <c r="G330" s="977" t="s">
        <v>150</v>
      </c>
      <c r="H330" s="991" t="str">
        <f t="shared" si="152"/>
        <v>Tasapeli</v>
      </c>
      <c r="I330" s="991" t="s">
        <v>1515</v>
      </c>
      <c r="J330" s="991" t="s">
        <v>0</v>
      </c>
      <c r="K330" s="991" t="s">
        <v>1402</v>
      </c>
      <c r="L330" s="992">
        <f t="shared" si="153"/>
        <v>2</v>
      </c>
      <c r="M330" s="992">
        <f t="shared" si="154"/>
        <v>2</v>
      </c>
      <c r="N330" s="1262">
        <v>1</v>
      </c>
      <c r="O330" s="992">
        <v>0</v>
      </c>
      <c r="P330" s="1262">
        <v>1</v>
      </c>
      <c r="Q330" s="992">
        <v>2</v>
      </c>
      <c r="R330" s="1262">
        <v>0</v>
      </c>
      <c r="S330" s="992">
        <v>0</v>
      </c>
      <c r="T330" s="1262"/>
      <c r="U330" s="992"/>
      <c r="V330" s="985"/>
      <c r="W330" s="985"/>
      <c r="X330" s="985"/>
      <c r="Y330" s="985"/>
      <c r="Z330" s="985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8"/>
      <c r="AO330" s="983"/>
      <c r="AP330" s="983"/>
      <c r="AQ330" s="983"/>
      <c r="AR330" s="983"/>
      <c r="AS330" s="983"/>
      <c r="AT330" s="983"/>
      <c r="AU330" s="983"/>
      <c r="AV330" s="983"/>
      <c r="AW330" s="983"/>
      <c r="AX330" s="983"/>
      <c r="AY330" s="983"/>
      <c r="AZ330" s="983"/>
      <c r="BA330" s="983"/>
      <c r="BB330" s="983"/>
      <c r="BC330" s="983"/>
      <c r="BD330" s="983"/>
      <c r="BE330" s="983"/>
      <c r="BF330" s="983"/>
      <c r="BH330" s="1002">
        <f t="shared" si="155"/>
        <v>1</v>
      </c>
      <c r="BI330" s="1002">
        <f t="shared" si="156"/>
        <v>1</v>
      </c>
      <c r="BJ330" s="1002">
        <f t="shared" si="157"/>
        <v>1</v>
      </c>
      <c r="BK330" s="1002">
        <f t="shared" si="158"/>
        <v>0</v>
      </c>
      <c r="BL330" s="1002">
        <f t="shared" si="159"/>
        <v>0</v>
      </c>
    </row>
    <row r="331" spans="2:75" x14ac:dyDescent="0.3">
      <c r="B331" s="1280">
        <v>203</v>
      </c>
      <c r="C331" s="977" t="s">
        <v>1513</v>
      </c>
      <c r="D331" s="977" t="s">
        <v>1829</v>
      </c>
      <c r="E331" s="977" t="s">
        <v>1549</v>
      </c>
      <c r="F331" s="978">
        <v>42792</v>
      </c>
      <c r="G331" s="977" t="s">
        <v>150</v>
      </c>
      <c r="H331" s="991" t="str">
        <f t="shared" si="152"/>
        <v>Häviö</v>
      </c>
      <c r="I331" s="991" t="s">
        <v>1514</v>
      </c>
      <c r="J331" s="991" t="s">
        <v>0</v>
      </c>
      <c r="K331" s="991" t="s">
        <v>1403</v>
      </c>
      <c r="L331" s="992">
        <f t="shared" si="153"/>
        <v>2</v>
      </c>
      <c r="M331" s="992">
        <f t="shared" si="154"/>
        <v>7</v>
      </c>
      <c r="N331" s="1262">
        <v>1</v>
      </c>
      <c r="O331" s="992">
        <v>3</v>
      </c>
      <c r="P331" s="1262">
        <v>1</v>
      </c>
      <c r="Q331" s="992">
        <v>3</v>
      </c>
      <c r="R331" s="1262">
        <v>0</v>
      </c>
      <c r="S331" s="992">
        <v>1</v>
      </c>
      <c r="T331" s="1262"/>
      <c r="U331" s="992"/>
      <c r="V331" s="985"/>
      <c r="W331" s="985"/>
      <c r="X331" s="985"/>
      <c r="Y331" s="985"/>
      <c r="Z331" s="985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8"/>
      <c r="AO331" s="983"/>
      <c r="AP331" s="983"/>
      <c r="AQ331" s="983"/>
      <c r="AR331" s="983"/>
      <c r="AS331" s="983"/>
      <c r="AT331" s="983"/>
      <c r="AU331" s="983"/>
      <c r="AV331" s="983"/>
      <c r="AW331" s="983"/>
      <c r="AX331" s="983"/>
      <c r="AY331" s="983"/>
      <c r="AZ331" s="983"/>
      <c r="BA331" s="983"/>
      <c r="BB331" s="983"/>
      <c r="BC331" s="983"/>
      <c r="BD331" s="983"/>
      <c r="BE331" s="983"/>
      <c r="BF331" s="983"/>
      <c r="BH331" s="1002">
        <f t="shared" si="155"/>
        <v>1</v>
      </c>
      <c r="BI331" s="1002">
        <f t="shared" si="156"/>
        <v>1</v>
      </c>
      <c r="BJ331" s="1002">
        <f t="shared" si="157"/>
        <v>1</v>
      </c>
      <c r="BK331" s="1002">
        <f t="shared" si="158"/>
        <v>0</v>
      </c>
      <c r="BL331" s="1002">
        <f t="shared" si="159"/>
        <v>0</v>
      </c>
    </row>
    <row r="332" spans="2:75" x14ac:dyDescent="0.3">
      <c r="B332" s="1280">
        <v>204</v>
      </c>
      <c r="C332" s="977" t="s">
        <v>1513</v>
      </c>
      <c r="D332" s="977" t="s">
        <v>1829</v>
      </c>
      <c r="E332" s="977" t="s">
        <v>1550</v>
      </c>
      <c r="F332" s="978">
        <v>42812</v>
      </c>
      <c r="G332" s="977" t="s">
        <v>150</v>
      </c>
      <c r="H332" s="991" t="str">
        <f t="shared" si="152"/>
        <v>Tasapeli</v>
      </c>
      <c r="I332" s="991" t="s">
        <v>1515</v>
      </c>
      <c r="J332" s="991" t="s">
        <v>0</v>
      </c>
      <c r="K332" s="991" t="s">
        <v>1245</v>
      </c>
      <c r="L332" s="992">
        <f>N332+P332+R332</f>
        <v>3</v>
      </c>
      <c r="M332" s="992">
        <f>O332+Q332+S332</f>
        <v>3</v>
      </c>
      <c r="N332" s="1262">
        <v>0</v>
      </c>
      <c r="O332" s="992">
        <v>1</v>
      </c>
      <c r="P332" s="1262">
        <v>2</v>
      </c>
      <c r="Q332" s="992">
        <v>1</v>
      </c>
      <c r="R332" s="1262">
        <v>1</v>
      </c>
      <c r="S332" s="992">
        <v>1</v>
      </c>
      <c r="T332" s="1262"/>
      <c r="U332" s="992"/>
      <c r="V332" s="985"/>
      <c r="W332" s="985"/>
      <c r="X332" s="985"/>
      <c r="Y332" s="985"/>
      <c r="Z332" s="985"/>
      <c r="AA332" s="985"/>
      <c r="AB332" s="985"/>
      <c r="AC332" s="985"/>
      <c r="AD332" s="985"/>
      <c r="AE332" s="985"/>
      <c r="AF332" s="985"/>
      <c r="AG332" s="985"/>
      <c r="AH332" s="985"/>
      <c r="AI332" s="985"/>
      <c r="AJ332" s="985"/>
      <c r="AK332" s="985"/>
      <c r="AL332" s="985"/>
      <c r="AM332" s="985"/>
      <c r="AN332" s="8"/>
      <c r="AO332" s="983"/>
      <c r="AP332" s="983"/>
      <c r="AQ332" s="983"/>
      <c r="AR332" s="983"/>
      <c r="AS332" s="983"/>
      <c r="AT332" s="983"/>
      <c r="AU332" s="983"/>
      <c r="AV332" s="983"/>
      <c r="AW332" s="983"/>
      <c r="AX332" s="983"/>
      <c r="AY332" s="983"/>
      <c r="AZ332" s="983"/>
      <c r="BA332" s="983"/>
      <c r="BB332" s="983"/>
      <c r="BC332" s="983"/>
      <c r="BD332" s="983"/>
      <c r="BE332" s="983"/>
      <c r="BF332" s="983"/>
      <c r="BH332" s="1002">
        <f t="shared" si="155"/>
        <v>1</v>
      </c>
      <c r="BI332" s="1002">
        <f t="shared" si="156"/>
        <v>1</v>
      </c>
      <c r="BJ332" s="1002">
        <f t="shared" si="157"/>
        <v>1</v>
      </c>
      <c r="BK332" s="1002">
        <f t="shared" si="158"/>
        <v>0</v>
      </c>
      <c r="BL332" s="1002">
        <f t="shared" si="159"/>
        <v>0</v>
      </c>
    </row>
    <row r="333" spans="2:75" x14ac:dyDescent="0.3">
      <c r="B333" s="1280">
        <v>205</v>
      </c>
      <c r="C333" s="977" t="s">
        <v>1513</v>
      </c>
      <c r="D333" s="977" t="s">
        <v>1829</v>
      </c>
      <c r="E333" s="977" t="s">
        <v>1551</v>
      </c>
      <c r="F333" s="978">
        <v>42812</v>
      </c>
      <c r="G333" s="977" t="s">
        <v>150</v>
      </c>
      <c r="H333" s="991" t="str">
        <f t="shared" si="152"/>
        <v>Voitto</v>
      </c>
      <c r="I333" s="991" t="s">
        <v>1515</v>
      </c>
      <c r="J333" s="991" t="s">
        <v>0</v>
      </c>
      <c r="K333" s="991" t="s">
        <v>1584</v>
      </c>
      <c r="L333" s="992">
        <f t="shared" ref="L333" si="160">N333+P333+R333</f>
        <v>7</v>
      </c>
      <c r="M333" s="992">
        <f t="shared" ref="M333" si="161">O333+Q333+S333</f>
        <v>2</v>
      </c>
      <c r="N333" s="1262">
        <v>1</v>
      </c>
      <c r="O333" s="992">
        <v>0</v>
      </c>
      <c r="P333" s="1262">
        <v>3</v>
      </c>
      <c r="Q333" s="992">
        <v>1</v>
      </c>
      <c r="R333" s="1262">
        <v>3</v>
      </c>
      <c r="S333" s="992">
        <v>1</v>
      </c>
      <c r="T333" s="1262"/>
      <c r="U333" s="992"/>
      <c r="V333" s="985"/>
      <c r="W333" s="985"/>
      <c r="X333" s="985"/>
      <c r="Y333" s="985"/>
      <c r="Z333" s="985"/>
      <c r="AA333" s="985"/>
      <c r="AB333" s="985"/>
      <c r="AC333" s="985"/>
      <c r="AD333" s="985"/>
      <c r="AE333" s="985"/>
      <c r="AF333" s="985"/>
      <c r="AG333" s="985"/>
      <c r="AH333" s="985"/>
      <c r="AI333" s="985"/>
      <c r="AJ333" s="985"/>
      <c r="AK333" s="985"/>
      <c r="AL333" s="985"/>
      <c r="AM333" s="985"/>
      <c r="AN333" s="8"/>
      <c r="AO333" s="983"/>
      <c r="AP333" s="983"/>
      <c r="AQ333" s="983"/>
      <c r="AR333" s="983"/>
      <c r="AS333" s="983"/>
      <c r="AT333" s="983"/>
      <c r="AU333" s="983"/>
      <c r="AV333" s="983"/>
      <c r="AW333" s="983"/>
      <c r="AX333" s="983"/>
      <c r="AY333" s="983"/>
      <c r="AZ333" s="983"/>
      <c r="BA333" s="983"/>
      <c r="BB333" s="983"/>
      <c r="BC333" s="983"/>
      <c r="BD333" s="983"/>
      <c r="BE333" s="983"/>
      <c r="BF333" s="983"/>
      <c r="BH333" s="1002">
        <f t="shared" si="155"/>
        <v>1</v>
      </c>
      <c r="BI333" s="1002">
        <f t="shared" si="156"/>
        <v>1</v>
      </c>
      <c r="BJ333" s="1002">
        <f t="shared" si="157"/>
        <v>1</v>
      </c>
      <c r="BK333" s="1002">
        <f t="shared" si="158"/>
        <v>0</v>
      </c>
      <c r="BL333" s="1002">
        <f t="shared" si="159"/>
        <v>0</v>
      </c>
    </row>
    <row r="334" spans="2:75" x14ac:dyDescent="0.3">
      <c r="V334" s="985"/>
      <c r="W334" s="985"/>
      <c r="X334" s="985"/>
      <c r="Y334" s="985"/>
      <c r="Z334" s="985"/>
      <c r="AA334" s="985"/>
      <c r="AB334" s="985"/>
      <c r="AC334" s="985"/>
      <c r="AD334" s="985"/>
      <c r="AE334" s="985"/>
      <c r="AF334" s="985"/>
      <c r="AG334" s="985"/>
      <c r="AH334" s="985"/>
      <c r="AI334" s="985"/>
      <c r="AJ334" s="985"/>
      <c r="AK334" s="985"/>
      <c r="AL334" s="985"/>
      <c r="AM334" s="985"/>
      <c r="AN334" s="8"/>
      <c r="AO334" s="983"/>
      <c r="AP334" s="983"/>
      <c r="AQ334" s="983"/>
      <c r="AR334" s="983"/>
      <c r="AS334" s="983"/>
      <c r="AT334" s="983"/>
      <c r="AU334" s="983"/>
      <c r="AV334" s="983"/>
      <c r="AW334" s="983"/>
      <c r="AX334" s="983"/>
      <c r="AY334" s="983"/>
      <c r="AZ334" s="983"/>
      <c r="BA334" s="983"/>
      <c r="BB334" s="983"/>
      <c r="BC334" s="983"/>
      <c r="BD334" s="983"/>
      <c r="BE334" s="983"/>
      <c r="BF334" s="983"/>
      <c r="BH334" s="1002">
        <f t="shared" si="155"/>
        <v>1</v>
      </c>
      <c r="BI334" s="1002">
        <f t="shared" si="156"/>
        <v>1</v>
      </c>
      <c r="BJ334" s="1002">
        <f t="shared" si="157"/>
        <v>1</v>
      </c>
      <c r="BK334" s="1002">
        <f t="shared" si="158"/>
        <v>0</v>
      </c>
      <c r="BL334" s="1002">
        <f t="shared" si="159"/>
        <v>0</v>
      </c>
    </row>
    <row r="335" spans="2:75" x14ac:dyDescent="0.3">
      <c r="F335" s="975"/>
      <c r="G335" s="975" t="s">
        <v>2036</v>
      </c>
      <c r="H335" s="975"/>
      <c r="I335" s="1003"/>
      <c r="J335" s="1003"/>
      <c r="K335" s="1003"/>
      <c r="L335" s="1003" t="s">
        <v>2037</v>
      </c>
      <c r="M335" s="1003" t="s">
        <v>2038</v>
      </c>
      <c r="O335" s="1003" t="s">
        <v>1409</v>
      </c>
      <c r="P335" s="1003" t="s">
        <v>1410</v>
      </c>
      <c r="Q335" s="1003" t="s">
        <v>1411</v>
      </c>
      <c r="V335" s="985"/>
      <c r="W335" s="985"/>
      <c r="X335" s="985"/>
      <c r="Y335" s="985"/>
      <c r="Z335" s="985"/>
      <c r="AA335" s="985"/>
      <c r="AB335" s="985"/>
      <c r="AC335" s="985"/>
      <c r="AD335" s="985"/>
      <c r="AE335" s="985"/>
      <c r="AF335" s="985"/>
      <c r="AG335" s="985"/>
      <c r="AH335" s="985"/>
      <c r="AI335" s="985"/>
      <c r="AJ335" s="985"/>
      <c r="AK335" s="985"/>
      <c r="AL335" s="985"/>
      <c r="AM335" s="985"/>
      <c r="AN335" s="8"/>
      <c r="AO335" s="983"/>
      <c r="AP335" s="983"/>
      <c r="AQ335" s="983"/>
      <c r="AR335" s="983"/>
      <c r="AS335" s="983"/>
      <c r="AT335" s="983"/>
      <c r="AU335" s="983"/>
      <c r="AV335" s="983"/>
      <c r="AW335" s="983"/>
      <c r="AX335" s="983"/>
      <c r="AY335" s="983"/>
      <c r="AZ335" s="983"/>
      <c r="BA335" s="983"/>
      <c r="BB335" s="983"/>
      <c r="BC335" s="983"/>
      <c r="BD335" s="983"/>
      <c r="BE335" s="983"/>
      <c r="BF335" s="983"/>
      <c r="BH335" s="1002">
        <f t="shared" si="155"/>
        <v>1</v>
      </c>
      <c r="BI335" s="1002">
        <f t="shared" si="156"/>
        <v>1</v>
      </c>
      <c r="BJ335" s="1002">
        <f t="shared" si="157"/>
        <v>1</v>
      </c>
      <c r="BK335" s="1002">
        <f t="shared" si="158"/>
        <v>0</v>
      </c>
      <c r="BL335" s="1002">
        <f t="shared" si="159"/>
        <v>0</v>
      </c>
    </row>
    <row r="336" spans="2:75" x14ac:dyDescent="0.3">
      <c r="F336" s="977" t="str">
        <f>C316</f>
        <v>2016-2017</v>
      </c>
      <c r="G336" s="977" t="s">
        <v>1829</v>
      </c>
      <c r="H336" s="977"/>
      <c r="I336" s="1004"/>
      <c r="J336" s="1004"/>
      <c r="K336" s="1004"/>
      <c r="L336" s="1004">
        <f>SUM(L318:L333)</f>
        <v>69</v>
      </c>
      <c r="M336" s="1004">
        <f>SUM(M318:M333)</f>
        <v>86</v>
      </c>
      <c r="N336" s="8"/>
      <c r="O336" s="1004">
        <f>COUNTIF(H318:H333,"Voitto")</f>
        <v>6</v>
      </c>
      <c r="P336" s="1004">
        <f>COUNTIF(H318:H333,"Tasapeli")</f>
        <v>2</v>
      </c>
      <c r="Q336" s="1004">
        <f>COUNTIF(H318:H333,"Häviö")</f>
        <v>8</v>
      </c>
    </row>
    <row r="337" spans="1:75" x14ac:dyDescent="0.3">
      <c r="V337" s="981" t="s">
        <v>1557</v>
      </c>
      <c r="W337" s="981" t="s">
        <v>1556</v>
      </c>
      <c r="X337" s="981" t="s">
        <v>501</v>
      </c>
      <c r="Y337" s="981" t="s">
        <v>708</v>
      </c>
      <c r="Z337" s="981" t="s">
        <v>82</v>
      </c>
      <c r="AA337" s="981" t="s">
        <v>709</v>
      </c>
      <c r="AB337" s="981" t="s">
        <v>1419</v>
      </c>
      <c r="AC337" s="981" t="s">
        <v>1420</v>
      </c>
      <c r="AD337" s="982" t="s">
        <v>1827</v>
      </c>
      <c r="AE337" s="981" t="s">
        <v>1828</v>
      </c>
      <c r="AF337" s="981" t="s">
        <v>1425</v>
      </c>
      <c r="AG337" s="981" t="s">
        <v>1535</v>
      </c>
      <c r="AH337" s="981" t="s">
        <v>1536</v>
      </c>
      <c r="AI337" s="981" t="s">
        <v>1559</v>
      </c>
      <c r="AJ337" s="981" t="s">
        <v>1896</v>
      </c>
      <c r="AK337" s="981" t="s">
        <v>1967</v>
      </c>
      <c r="AL337" s="981" t="s">
        <v>19</v>
      </c>
      <c r="AM337" s="981"/>
      <c r="AO337" s="979" t="s">
        <v>1557</v>
      </c>
      <c r="AP337" s="979" t="s">
        <v>1556</v>
      </c>
      <c r="AQ337" s="979" t="s">
        <v>501</v>
      </c>
      <c r="AR337" s="979" t="s">
        <v>708</v>
      </c>
      <c r="AS337" s="979" t="s">
        <v>82</v>
      </c>
      <c r="AT337" s="979" t="s">
        <v>709</v>
      </c>
      <c r="AU337" s="979" t="s">
        <v>1419</v>
      </c>
      <c r="AV337" s="979" t="s">
        <v>1420</v>
      </c>
      <c r="AW337" s="980" t="s">
        <v>1827</v>
      </c>
      <c r="AX337" s="979" t="s">
        <v>1828</v>
      </c>
      <c r="AY337" s="979" t="s">
        <v>1425</v>
      </c>
      <c r="AZ337" s="979" t="s">
        <v>1535</v>
      </c>
      <c r="BA337" s="979" t="s">
        <v>1536</v>
      </c>
      <c r="BB337" s="979" t="s">
        <v>1559</v>
      </c>
      <c r="BC337" s="979" t="s">
        <v>1896</v>
      </c>
      <c r="BD337" s="979" t="s">
        <v>1967</v>
      </c>
      <c r="BE337" s="979" t="s">
        <v>19</v>
      </c>
      <c r="BF337" s="979"/>
      <c r="BH337" s="1001" t="s">
        <v>2045</v>
      </c>
      <c r="BI337" s="1001"/>
      <c r="BJ337" s="1001" t="s">
        <v>1913</v>
      </c>
      <c r="BK337" s="1001" t="s">
        <v>537</v>
      </c>
      <c r="BL337" s="1001" t="s">
        <v>1128</v>
      </c>
    </row>
    <row r="338" spans="1:75" x14ac:dyDescent="0.3">
      <c r="V338" s="8">
        <f>SUM(V318:V335)</f>
        <v>0</v>
      </c>
      <c r="W338" s="8">
        <f t="shared" ref="W338:AK338" si="162">SUM(W318:W335)</f>
        <v>0</v>
      </c>
      <c r="X338" s="8">
        <f t="shared" si="162"/>
        <v>0</v>
      </c>
      <c r="Y338" s="8">
        <f t="shared" si="162"/>
        <v>0</v>
      </c>
      <c r="Z338" s="8">
        <f t="shared" si="162"/>
        <v>0</v>
      </c>
      <c r="AA338" s="8">
        <f t="shared" si="162"/>
        <v>0</v>
      </c>
      <c r="AB338" s="8">
        <f t="shared" si="162"/>
        <v>0</v>
      </c>
      <c r="AC338" s="8">
        <f t="shared" si="162"/>
        <v>0</v>
      </c>
      <c r="AD338" s="8">
        <f t="shared" si="162"/>
        <v>0</v>
      </c>
      <c r="AE338" s="8">
        <f t="shared" si="162"/>
        <v>0</v>
      </c>
      <c r="AF338" s="8">
        <f t="shared" si="162"/>
        <v>0</v>
      </c>
      <c r="AG338" s="8">
        <f t="shared" si="162"/>
        <v>0</v>
      </c>
      <c r="AH338" s="8">
        <f t="shared" si="162"/>
        <v>0</v>
      </c>
      <c r="AI338" s="8">
        <f t="shared" si="162"/>
        <v>0</v>
      </c>
      <c r="AJ338" s="8">
        <f t="shared" si="162"/>
        <v>0</v>
      </c>
      <c r="AK338" s="8">
        <f t="shared" si="162"/>
        <v>0</v>
      </c>
      <c r="AL338" s="8">
        <f>MIN(AL318:AL335)</f>
        <v>0</v>
      </c>
      <c r="AM338" s="8">
        <f>MAX(AL318:AL335)</f>
        <v>0</v>
      </c>
      <c r="AO338" s="8">
        <f>SUM(AO318:AO335)</f>
        <v>0</v>
      </c>
      <c r="AP338" s="8">
        <f t="shared" ref="AP338:BD338" si="163">SUM(AP318:AP335)</f>
        <v>0</v>
      </c>
      <c r="AQ338" s="8">
        <f t="shared" si="163"/>
        <v>0</v>
      </c>
      <c r="AR338" s="8">
        <f t="shared" si="163"/>
        <v>0</v>
      </c>
      <c r="AS338" s="8">
        <f t="shared" si="163"/>
        <v>0</v>
      </c>
      <c r="AT338" s="8">
        <f t="shared" si="163"/>
        <v>0</v>
      </c>
      <c r="AU338" s="8">
        <f t="shared" si="163"/>
        <v>0</v>
      </c>
      <c r="AV338" s="8">
        <f t="shared" si="163"/>
        <v>0</v>
      </c>
      <c r="AW338" s="8">
        <f t="shared" si="163"/>
        <v>0</v>
      </c>
      <c r="AX338" s="8">
        <f t="shared" si="163"/>
        <v>0</v>
      </c>
      <c r="AY338" s="8">
        <f t="shared" si="163"/>
        <v>0</v>
      </c>
      <c r="AZ338" s="8">
        <f t="shared" si="163"/>
        <v>0</v>
      </c>
      <c r="BA338" s="8">
        <f t="shared" si="163"/>
        <v>0</v>
      </c>
      <c r="BB338" s="8">
        <f t="shared" si="163"/>
        <v>0</v>
      </c>
      <c r="BC338" s="8">
        <f t="shared" si="163"/>
        <v>0</v>
      </c>
      <c r="BD338" s="8">
        <f t="shared" si="163"/>
        <v>0</v>
      </c>
      <c r="BE338">
        <f>MIN(BE318:BE335)</f>
        <v>0</v>
      </c>
      <c r="BF338">
        <f>MAX(BE318:BE335)</f>
        <v>0</v>
      </c>
      <c r="BJ338" s="8">
        <f>SUM(BJ318:BJ335)</f>
        <v>18</v>
      </c>
      <c r="BK338" s="8">
        <f>SUM(BK318:BK335)</f>
        <v>0</v>
      </c>
      <c r="BL338" s="8">
        <f>SUM(BL318:BL335)</f>
        <v>0</v>
      </c>
    </row>
    <row r="341" spans="1:75" x14ac:dyDescent="0.3">
      <c r="C341" s="205" t="s">
        <v>1635</v>
      </c>
      <c r="D341" s="205" t="s">
        <v>2570</v>
      </c>
      <c r="V341" s="8"/>
      <c r="W341" s="8"/>
      <c r="X341" s="8"/>
      <c r="Y341" s="8"/>
      <c r="Z341" s="8"/>
      <c r="AA341" s="8"/>
      <c r="AB341" s="8"/>
      <c r="AC341" s="8"/>
      <c r="AE341" s="8"/>
      <c r="AF341" s="8"/>
      <c r="AG341" s="8"/>
      <c r="AH341" s="8"/>
      <c r="AI341" s="8"/>
      <c r="AJ341" s="8"/>
      <c r="AK341" s="8"/>
      <c r="BP341" s="205" t="s">
        <v>1635</v>
      </c>
      <c r="BQ341" s="205" t="s">
        <v>2620</v>
      </c>
    </row>
    <row r="342" spans="1:75" x14ac:dyDescent="0.3">
      <c r="B342" s="1003" t="s">
        <v>1393</v>
      </c>
      <c r="C342" s="975" t="s">
        <v>1831</v>
      </c>
      <c r="D342" s="975" t="s">
        <v>1830</v>
      </c>
      <c r="E342" s="975" t="s">
        <v>1832</v>
      </c>
      <c r="F342" s="975" t="s">
        <v>1836</v>
      </c>
      <c r="G342" s="975" t="s">
        <v>1835</v>
      </c>
      <c r="H342" s="989" t="s">
        <v>1407</v>
      </c>
      <c r="I342" s="990" t="s">
        <v>2019</v>
      </c>
      <c r="J342" s="990" t="s">
        <v>1837</v>
      </c>
      <c r="K342" s="990" t="s">
        <v>1838</v>
      </c>
      <c r="L342" s="1324" t="s">
        <v>1407</v>
      </c>
      <c r="M342" s="1325"/>
      <c r="N342" s="1326" t="s">
        <v>1822</v>
      </c>
      <c r="O342" s="1325"/>
      <c r="P342" s="1326" t="s">
        <v>1823</v>
      </c>
      <c r="Q342" s="1325"/>
      <c r="R342" s="1326" t="s">
        <v>1824</v>
      </c>
      <c r="S342" s="1325"/>
      <c r="T342" s="1326" t="s">
        <v>2706</v>
      </c>
      <c r="U342" s="1324"/>
      <c r="V342" s="265" t="s">
        <v>1557</v>
      </c>
      <c r="W342" s="265" t="s">
        <v>1556</v>
      </c>
      <c r="X342" s="265"/>
      <c r="Y342" s="265"/>
      <c r="Z342" s="265"/>
      <c r="AA342" s="265"/>
      <c r="AB342" s="265" t="s">
        <v>1419</v>
      </c>
      <c r="AC342" s="265" t="s">
        <v>1420</v>
      </c>
      <c r="AD342" s="205" t="s">
        <v>1827</v>
      </c>
      <c r="AE342" s="265" t="s">
        <v>1828</v>
      </c>
      <c r="AF342" s="265" t="s">
        <v>1425</v>
      </c>
      <c r="AG342" s="265" t="s">
        <v>1535</v>
      </c>
      <c r="AH342" s="265" t="s">
        <v>1536</v>
      </c>
      <c r="AI342" s="265" t="s">
        <v>1559</v>
      </c>
      <c r="AJ342" s="265"/>
      <c r="AK342" s="265"/>
      <c r="AL342" s="265" t="s">
        <v>19</v>
      </c>
      <c r="AM342" s="265"/>
      <c r="AN342" s="265"/>
    </row>
    <row r="343" spans="1:75" x14ac:dyDescent="0.3">
      <c r="B343" s="1280">
        <v>206</v>
      </c>
      <c r="C343" s="977" t="s">
        <v>1635</v>
      </c>
      <c r="D343" s="977" t="s">
        <v>1829</v>
      </c>
      <c r="E343" s="977" t="s">
        <v>1516</v>
      </c>
      <c r="F343" s="978" t="s">
        <v>1640</v>
      </c>
      <c r="G343" s="977" t="s">
        <v>44</v>
      </c>
      <c r="H343" s="991" t="str">
        <f t="shared" ref="H343:H359" si="164">IF(L343=M343,"Tasapeli",IF(L343&lt;M343,"Häviö","Voitto"))</f>
        <v>Häviö</v>
      </c>
      <c r="I343" s="991" t="s">
        <v>1514</v>
      </c>
      <c r="J343" s="991" t="s">
        <v>0</v>
      </c>
      <c r="K343" s="991" t="s">
        <v>1403</v>
      </c>
      <c r="L343" s="992">
        <f t="shared" ref="L343:L356" si="165">N343+P343+R343</f>
        <v>4</v>
      </c>
      <c r="M343" s="992">
        <f t="shared" ref="M343:M356" si="166">O343+Q343+S343</f>
        <v>6</v>
      </c>
      <c r="N343" s="1262">
        <v>1</v>
      </c>
      <c r="O343" s="992">
        <v>1</v>
      </c>
      <c r="P343" s="1262">
        <v>1</v>
      </c>
      <c r="Q343" s="992">
        <v>2</v>
      </c>
      <c r="R343" s="1262">
        <v>2</v>
      </c>
      <c r="S343" s="992">
        <v>3</v>
      </c>
      <c r="T343" s="1262"/>
      <c r="U343" s="992"/>
      <c r="V343" s="8">
        <v>0</v>
      </c>
      <c r="W343" s="8">
        <v>0</v>
      </c>
      <c r="X343" s="8"/>
      <c r="Y343" s="8"/>
      <c r="Z343" s="8"/>
      <c r="AA343" s="8"/>
      <c r="AB343" s="8">
        <v>2</v>
      </c>
      <c r="AC343" s="8">
        <v>0</v>
      </c>
      <c r="AD343" s="8">
        <v>0</v>
      </c>
      <c r="AE343" s="8"/>
      <c r="AF343" s="8">
        <v>0</v>
      </c>
      <c r="AG343" s="8">
        <v>0</v>
      </c>
      <c r="AH343" s="8">
        <v>0</v>
      </c>
      <c r="AI343" s="8">
        <v>0</v>
      </c>
      <c r="AJ343" s="8"/>
      <c r="AK343" s="8"/>
      <c r="AL343" s="8">
        <v>13.24</v>
      </c>
      <c r="AM343" s="8"/>
      <c r="AN343" s="8"/>
      <c r="BO343" s="1282" t="s">
        <v>1393</v>
      </c>
      <c r="BP343" s="1281" t="s">
        <v>989</v>
      </c>
      <c r="BQ343" s="1282" t="s">
        <v>877</v>
      </c>
      <c r="BR343" s="1282" t="s">
        <v>990</v>
      </c>
      <c r="BS343" s="1282" t="s">
        <v>991</v>
      </c>
      <c r="BT343" s="1282" t="s">
        <v>992</v>
      </c>
      <c r="BU343" s="1282" t="s">
        <v>139</v>
      </c>
      <c r="BV343" s="1282" t="s">
        <v>993</v>
      </c>
      <c r="BW343" s="1282" t="s">
        <v>610</v>
      </c>
    </row>
    <row r="344" spans="1:75" x14ac:dyDescent="0.3">
      <c r="B344" s="1280">
        <v>207</v>
      </c>
      <c r="C344" s="977" t="s">
        <v>1635</v>
      </c>
      <c r="D344" s="977" t="s">
        <v>1829</v>
      </c>
      <c r="E344" s="977" t="s">
        <v>1537</v>
      </c>
      <c r="F344" s="978" t="s">
        <v>1641</v>
      </c>
      <c r="G344" s="977" t="s">
        <v>44</v>
      </c>
      <c r="H344" s="991" t="str">
        <f t="shared" si="164"/>
        <v>Häviö</v>
      </c>
      <c r="I344" s="991" t="s">
        <v>1515</v>
      </c>
      <c r="J344" s="991" t="s">
        <v>0</v>
      </c>
      <c r="K344" s="991" t="s">
        <v>1220</v>
      </c>
      <c r="L344" s="992">
        <f t="shared" si="165"/>
        <v>4</v>
      </c>
      <c r="M344" s="992">
        <f t="shared" si="166"/>
        <v>10</v>
      </c>
      <c r="N344" s="1262">
        <v>0</v>
      </c>
      <c r="O344" s="992">
        <v>4</v>
      </c>
      <c r="P344" s="1262">
        <v>3</v>
      </c>
      <c r="Q344" s="992">
        <v>2</v>
      </c>
      <c r="R344" s="1262">
        <v>1</v>
      </c>
      <c r="S344" s="992">
        <v>4</v>
      </c>
      <c r="T344" s="1262"/>
      <c r="U344" s="992"/>
      <c r="V344" s="8">
        <v>3</v>
      </c>
      <c r="W344" s="8">
        <v>6</v>
      </c>
      <c r="X344" s="8"/>
      <c r="Y344" s="8"/>
      <c r="Z344" s="8"/>
      <c r="AA344" s="8"/>
      <c r="AB344" s="8">
        <v>0</v>
      </c>
      <c r="AC344" s="8">
        <v>0</v>
      </c>
      <c r="AD344" s="8">
        <v>0</v>
      </c>
      <c r="AE344" s="8"/>
      <c r="AF344" s="8">
        <v>0</v>
      </c>
      <c r="AG344" s="8">
        <v>0</v>
      </c>
      <c r="AH344" s="8">
        <v>0</v>
      </c>
      <c r="AI344" s="8">
        <v>0</v>
      </c>
      <c r="AJ344" s="8"/>
      <c r="AK344" s="8"/>
      <c r="AL344" s="8">
        <v>22.49</v>
      </c>
      <c r="AM344" s="8"/>
      <c r="AN344" s="8"/>
      <c r="BO344" s="119">
        <v>1</v>
      </c>
      <c r="BP344" s="128" t="s">
        <v>1245</v>
      </c>
      <c r="BQ344" s="119">
        <v>16</v>
      </c>
      <c r="BR344" s="119">
        <v>11</v>
      </c>
      <c r="BS344" s="119">
        <v>2</v>
      </c>
      <c r="BT344" s="119">
        <v>3</v>
      </c>
      <c r="BU344" s="119">
        <v>92</v>
      </c>
      <c r="BV344" s="119">
        <v>64</v>
      </c>
      <c r="BW344" s="119">
        <v>24</v>
      </c>
    </row>
    <row r="345" spans="1:75" x14ac:dyDescent="0.3">
      <c r="B345" s="1280">
        <v>208</v>
      </c>
      <c r="C345" s="977" t="s">
        <v>1635</v>
      </c>
      <c r="D345" s="977" t="s">
        <v>1829</v>
      </c>
      <c r="E345" s="977" t="s">
        <v>1538</v>
      </c>
      <c r="F345" s="978" t="s">
        <v>1642</v>
      </c>
      <c r="G345" s="977" t="s">
        <v>1643</v>
      </c>
      <c r="H345" s="991" t="str">
        <f t="shared" si="164"/>
        <v>Tasapeli</v>
      </c>
      <c r="I345" s="991" t="s">
        <v>1515</v>
      </c>
      <c r="J345" s="991" t="s">
        <v>0</v>
      </c>
      <c r="K345" s="991" t="s">
        <v>1584</v>
      </c>
      <c r="L345" s="992">
        <f t="shared" si="165"/>
        <v>4</v>
      </c>
      <c r="M345" s="992">
        <f t="shared" si="166"/>
        <v>4</v>
      </c>
      <c r="N345" s="1262">
        <v>1</v>
      </c>
      <c r="O345" s="992">
        <v>3</v>
      </c>
      <c r="P345" s="1262">
        <v>2</v>
      </c>
      <c r="Q345" s="992">
        <v>1</v>
      </c>
      <c r="R345" s="1262">
        <v>1</v>
      </c>
      <c r="S345" s="992">
        <v>0</v>
      </c>
      <c r="T345" s="1262"/>
      <c r="U345" s="992"/>
      <c r="V345" s="8">
        <v>1</v>
      </c>
      <c r="W345" s="8">
        <v>2</v>
      </c>
      <c r="X345" s="8"/>
      <c r="Y345" s="8"/>
      <c r="Z345" s="8"/>
      <c r="AA345" s="8"/>
      <c r="AB345" s="8">
        <v>0</v>
      </c>
      <c r="AC345" s="8">
        <v>0</v>
      </c>
      <c r="AD345" s="8">
        <v>0</v>
      </c>
      <c r="AE345" s="8"/>
      <c r="AF345" s="8">
        <v>0</v>
      </c>
      <c r="AG345" s="8">
        <v>0</v>
      </c>
      <c r="AH345" s="8">
        <v>1</v>
      </c>
      <c r="AI345" s="8">
        <v>0</v>
      </c>
      <c r="AJ345" s="8"/>
      <c r="AK345" s="8"/>
      <c r="AL345" s="8">
        <v>9.31</v>
      </c>
      <c r="AM345" s="8"/>
      <c r="AN345" s="8"/>
      <c r="BO345" s="119">
        <v>2</v>
      </c>
      <c r="BP345" s="128" t="s">
        <v>1220</v>
      </c>
      <c r="BQ345" s="119">
        <v>16</v>
      </c>
      <c r="BR345" s="119">
        <v>10</v>
      </c>
      <c r="BS345" s="119">
        <v>3</v>
      </c>
      <c r="BT345" s="119">
        <v>3</v>
      </c>
      <c r="BU345" s="119">
        <v>97</v>
      </c>
      <c r="BV345" s="119">
        <v>54</v>
      </c>
      <c r="BW345" s="119">
        <v>23</v>
      </c>
    </row>
    <row r="346" spans="1:75" x14ac:dyDescent="0.3">
      <c r="B346" s="1280">
        <v>209</v>
      </c>
      <c r="C346" s="977" t="s">
        <v>1635</v>
      </c>
      <c r="D346" s="977" t="s">
        <v>1829</v>
      </c>
      <c r="E346" s="977" t="s">
        <v>1539</v>
      </c>
      <c r="F346" s="978" t="s">
        <v>1644</v>
      </c>
      <c r="G346" s="977" t="s">
        <v>1643</v>
      </c>
      <c r="H346" s="991" t="str">
        <f t="shared" si="164"/>
        <v>Voitto</v>
      </c>
      <c r="I346" s="991" t="s">
        <v>1514</v>
      </c>
      <c r="J346" s="991" t="s">
        <v>0</v>
      </c>
      <c r="K346" s="991" t="s">
        <v>1245</v>
      </c>
      <c r="L346" s="992">
        <f t="shared" si="165"/>
        <v>7</v>
      </c>
      <c r="M346" s="992">
        <f t="shared" si="166"/>
        <v>1</v>
      </c>
      <c r="N346" s="1262">
        <v>2</v>
      </c>
      <c r="O346" s="992">
        <v>1</v>
      </c>
      <c r="P346" s="1262">
        <v>3</v>
      </c>
      <c r="Q346" s="992">
        <v>0</v>
      </c>
      <c r="R346" s="1262">
        <v>2</v>
      </c>
      <c r="S346" s="992">
        <v>0</v>
      </c>
      <c r="T346" s="1262"/>
      <c r="U346" s="992"/>
      <c r="V346" s="8">
        <v>1</v>
      </c>
      <c r="W346" s="8">
        <v>2</v>
      </c>
      <c r="X346" s="8"/>
      <c r="Y346" s="8"/>
      <c r="Z346" s="8"/>
      <c r="AA346" s="8"/>
      <c r="AB346" s="8">
        <v>2</v>
      </c>
      <c r="AC346" s="8">
        <v>0</v>
      </c>
      <c r="AD346" s="8">
        <v>0</v>
      </c>
      <c r="AE346" s="8"/>
      <c r="AF346" s="8">
        <v>0</v>
      </c>
      <c r="AG346" s="8">
        <v>0</v>
      </c>
      <c r="AH346" s="8">
        <v>0</v>
      </c>
      <c r="AI346" s="8">
        <v>0</v>
      </c>
      <c r="AJ346" s="8"/>
      <c r="AK346" s="8"/>
      <c r="AL346" s="8">
        <v>4.01</v>
      </c>
      <c r="AM346" s="8"/>
      <c r="AN346" s="8"/>
      <c r="BO346" s="119">
        <v>3</v>
      </c>
      <c r="BP346" s="128" t="s">
        <v>1403</v>
      </c>
      <c r="BQ346" s="119">
        <v>16</v>
      </c>
      <c r="BR346" s="119">
        <v>10</v>
      </c>
      <c r="BS346" s="119">
        <v>1</v>
      </c>
      <c r="BT346" s="119">
        <v>5</v>
      </c>
      <c r="BU346" s="119">
        <v>99</v>
      </c>
      <c r="BV346" s="119">
        <v>63</v>
      </c>
      <c r="BW346" s="119">
        <v>21</v>
      </c>
    </row>
    <row r="347" spans="1:75" x14ac:dyDescent="0.3">
      <c r="B347" s="1280">
        <v>210</v>
      </c>
      <c r="C347" s="977" t="s">
        <v>1635</v>
      </c>
      <c r="D347" s="977" t="s">
        <v>1829</v>
      </c>
      <c r="E347" s="977" t="s">
        <v>1540</v>
      </c>
      <c r="F347" s="978" t="s">
        <v>1647</v>
      </c>
      <c r="G347" s="977" t="s">
        <v>1049</v>
      </c>
      <c r="H347" s="991" t="str">
        <f t="shared" si="164"/>
        <v>Voitto</v>
      </c>
      <c r="I347" s="991" t="s">
        <v>1514</v>
      </c>
      <c r="J347" s="991" t="s">
        <v>0</v>
      </c>
      <c r="K347" s="991" t="s">
        <v>1638</v>
      </c>
      <c r="L347" s="992">
        <f t="shared" si="165"/>
        <v>6</v>
      </c>
      <c r="M347" s="992">
        <f t="shared" si="166"/>
        <v>3</v>
      </c>
      <c r="N347" s="1262">
        <v>5</v>
      </c>
      <c r="O347" s="992">
        <v>3</v>
      </c>
      <c r="P347" s="1262">
        <v>1</v>
      </c>
      <c r="Q347" s="992">
        <v>0</v>
      </c>
      <c r="R347" s="1262">
        <v>0</v>
      </c>
      <c r="S347" s="992">
        <v>0</v>
      </c>
      <c r="T347" s="1262"/>
      <c r="U347" s="992"/>
      <c r="V347" s="8">
        <v>0</v>
      </c>
      <c r="W347" s="8">
        <v>0</v>
      </c>
      <c r="X347" s="8"/>
      <c r="Y347" s="8"/>
      <c r="Z347" s="8"/>
      <c r="AA347" s="8"/>
      <c r="AB347" s="8">
        <v>0</v>
      </c>
      <c r="AC347" s="8">
        <v>0</v>
      </c>
      <c r="AD347" s="8">
        <v>0</v>
      </c>
      <c r="AE347" s="8"/>
      <c r="AF347" s="8">
        <v>0</v>
      </c>
      <c r="AG347" s="8">
        <v>0</v>
      </c>
      <c r="AH347" s="8">
        <v>0</v>
      </c>
      <c r="AI347" s="8">
        <v>0</v>
      </c>
      <c r="AJ347" s="8"/>
      <c r="AK347" s="8"/>
      <c r="AL347" s="8">
        <v>6.35</v>
      </c>
      <c r="AM347" s="8"/>
      <c r="AN347" s="8"/>
      <c r="BO347" s="119">
        <v>4</v>
      </c>
      <c r="BP347" s="128" t="s">
        <v>1639</v>
      </c>
      <c r="BQ347" s="119">
        <v>16</v>
      </c>
      <c r="BR347" s="119">
        <v>9</v>
      </c>
      <c r="BS347" s="119">
        <v>2</v>
      </c>
      <c r="BT347" s="119">
        <v>5</v>
      </c>
      <c r="BU347" s="119">
        <v>71</v>
      </c>
      <c r="BV347" s="119">
        <v>63</v>
      </c>
      <c r="BW347" s="119">
        <v>20</v>
      </c>
    </row>
    <row r="348" spans="1:75" x14ac:dyDescent="0.3">
      <c r="B348" s="1280">
        <v>211</v>
      </c>
      <c r="C348" s="977" t="s">
        <v>1635</v>
      </c>
      <c r="D348" s="977" t="s">
        <v>1829</v>
      </c>
      <c r="E348" s="977" t="s">
        <v>1541</v>
      </c>
      <c r="F348" s="978" t="s">
        <v>1648</v>
      </c>
      <c r="G348" s="977" t="s">
        <v>1049</v>
      </c>
      <c r="H348" s="991" t="str">
        <f t="shared" si="164"/>
        <v>Häviö</v>
      </c>
      <c r="I348" s="991" t="s">
        <v>1515</v>
      </c>
      <c r="J348" s="991" t="s">
        <v>0</v>
      </c>
      <c r="K348" s="991" t="s">
        <v>1396</v>
      </c>
      <c r="L348" s="992">
        <f t="shared" si="165"/>
        <v>1</v>
      </c>
      <c r="M348" s="992">
        <f t="shared" si="166"/>
        <v>5</v>
      </c>
      <c r="N348" s="1262">
        <v>1</v>
      </c>
      <c r="O348" s="992">
        <v>3</v>
      </c>
      <c r="P348" s="1262">
        <v>0</v>
      </c>
      <c r="Q348" s="992">
        <v>1</v>
      </c>
      <c r="R348" s="1262">
        <v>0</v>
      </c>
      <c r="S348" s="992">
        <v>1</v>
      </c>
      <c r="T348" s="1262"/>
      <c r="U348" s="992"/>
      <c r="V348" s="8">
        <v>2</v>
      </c>
      <c r="W348" s="8">
        <v>12</v>
      </c>
      <c r="X348" s="8"/>
      <c r="Y348" s="8"/>
      <c r="Z348" s="8"/>
      <c r="AA348" s="8"/>
      <c r="AB348" s="8">
        <v>0</v>
      </c>
      <c r="AC348" s="8">
        <v>0</v>
      </c>
      <c r="AD348" s="8">
        <v>0</v>
      </c>
      <c r="AE348" s="8"/>
      <c r="AF348" s="8">
        <v>0</v>
      </c>
      <c r="AG348" s="8">
        <v>0</v>
      </c>
      <c r="AH348" s="8">
        <v>0</v>
      </c>
      <c r="AI348" s="8">
        <v>0</v>
      </c>
      <c r="AJ348" s="8"/>
      <c r="AK348" s="8"/>
      <c r="AL348" s="8">
        <v>13.58</v>
      </c>
      <c r="AM348" s="8"/>
      <c r="AN348" s="8"/>
      <c r="BO348" s="119">
        <v>5</v>
      </c>
      <c r="BP348" s="128" t="s">
        <v>1394</v>
      </c>
      <c r="BQ348" s="119">
        <v>16</v>
      </c>
      <c r="BR348" s="119">
        <v>9</v>
      </c>
      <c r="BS348" s="119">
        <v>1</v>
      </c>
      <c r="BT348" s="119">
        <v>6</v>
      </c>
      <c r="BU348" s="119">
        <v>64</v>
      </c>
      <c r="BV348" s="119">
        <v>42</v>
      </c>
      <c r="BW348" s="119">
        <v>19</v>
      </c>
    </row>
    <row r="349" spans="1:75" x14ac:dyDescent="0.3">
      <c r="A349" s="969"/>
      <c r="B349" s="1004">
        <v>212</v>
      </c>
      <c r="C349" s="977" t="s">
        <v>1635</v>
      </c>
      <c r="D349" s="977" t="s">
        <v>1829</v>
      </c>
      <c r="E349" s="977" t="s">
        <v>1542</v>
      </c>
      <c r="F349" s="978" t="s">
        <v>1649</v>
      </c>
      <c r="G349" s="977" t="s">
        <v>1398</v>
      </c>
      <c r="H349" s="991" t="str">
        <f t="shared" si="164"/>
        <v>Häviö</v>
      </c>
      <c r="I349" s="991" t="s">
        <v>1515</v>
      </c>
      <c r="J349" s="991" t="s">
        <v>1394</v>
      </c>
      <c r="K349" s="991" t="s">
        <v>0</v>
      </c>
      <c r="L349" s="992">
        <f t="shared" si="165"/>
        <v>3</v>
      </c>
      <c r="M349" s="992">
        <f t="shared" si="166"/>
        <v>5</v>
      </c>
      <c r="N349" s="1262">
        <v>0</v>
      </c>
      <c r="O349" s="992">
        <v>0</v>
      </c>
      <c r="P349" s="1262">
        <v>1</v>
      </c>
      <c r="Q349" s="992">
        <v>2</v>
      </c>
      <c r="R349" s="1262">
        <v>2</v>
      </c>
      <c r="S349" s="992">
        <v>3</v>
      </c>
      <c r="T349" s="1262"/>
      <c r="U349" s="992"/>
      <c r="V349" s="8">
        <v>2</v>
      </c>
      <c r="W349" s="8">
        <v>4</v>
      </c>
      <c r="X349" s="8"/>
      <c r="Y349" s="8"/>
      <c r="Z349" s="8"/>
      <c r="AA349" s="8"/>
      <c r="AB349" s="8">
        <v>0</v>
      </c>
      <c r="AC349" s="8">
        <v>0</v>
      </c>
      <c r="AD349" s="8">
        <v>0</v>
      </c>
      <c r="AE349" s="8"/>
      <c r="AF349" s="8">
        <v>0</v>
      </c>
      <c r="AG349" s="8">
        <v>0</v>
      </c>
      <c r="AH349" s="8">
        <v>0</v>
      </c>
      <c r="AI349" s="8">
        <v>0</v>
      </c>
      <c r="AJ349" s="8"/>
      <c r="AK349" s="8"/>
      <c r="AL349" s="8">
        <v>25.54</v>
      </c>
      <c r="AM349" s="8"/>
      <c r="AN349" s="8"/>
      <c r="BO349" s="119">
        <v>6</v>
      </c>
      <c r="BP349" s="128" t="s">
        <v>1396</v>
      </c>
      <c r="BQ349" s="119">
        <v>16</v>
      </c>
      <c r="BR349" s="119">
        <v>7</v>
      </c>
      <c r="BS349" s="119">
        <v>2</v>
      </c>
      <c r="BT349" s="119">
        <v>7</v>
      </c>
      <c r="BU349" s="119">
        <v>74</v>
      </c>
      <c r="BV349" s="119">
        <v>70</v>
      </c>
      <c r="BW349" s="119">
        <v>16</v>
      </c>
    </row>
    <row r="350" spans="1:75" x14ac:dyDescent="0.3">
      <c r="B350" s="1280">
        <v>213</v>
      </c>
      <c r="C350" s="977" t="s">
        <v>1635</v>
      </c>
      <c r="D350" s="977" t="s">
        <v>1829</v>
      </c>
      <c r="E350" s="977" t="s">
        <v>1543</v>
      </c>
      <c r="F350" s="978" t="s">
        <v>1650</v>
      </c>
      <c r="G350" s="977" t="s">
        <v>1398</v>
      </c>
      <c r="H350" s="991" t="str">
        <f t="shared" si="164"/>
        <v>Häviö</v>
      </c>
      <c r="I350" s="991" t="s">
        <v>1514</v>
      </c>
      <c r="J350" s="991" t="s">
        <v>0</v>
      </c>
      <c r="K350" s="991" t="s">
        <v>1639</v>
      </c>
      <c r="L350" s="992">
        <f t="shared" si="165"/>
        <v>3</v>
      </c>
      <c r="M350" s="992">
        <f t="shared" si="166"/>
        <v>5</v>
      </c>
      <c r="N350" s="1262">
        <v>1</v>
      </c>
      <c r="O350" s="992">
        <v>2</v>
      </c>
      <c r="P350" s="1262">
        <v>2</v>
      </c>
      <c r="Q350" s="992">
        <v>1</v>
      </c>
      <c r="R350" s="1262">
        <v>0</v>
      </c>
      <c r="S350" s="992">
        <v>2</v>
      </c>
      <c r="T350" s="1262"/>
      <c r="U350" s="992"/>
      <c r="V350" s="8">
        <v>2</v>
      </c>
      <c r="W350" s="8">
        <v>4</v>
      </c>
      <c r="X350" s="8"/>
      <c r="Y350" s="8"/>
      <c r="Z350" s="8"/>
      <c r="AA350" s="8"/>
      <c r="AB350" s="8">
        <v>0</v>
      </c>
      <c r="AC350" s="8">
        <v>0</v>
      </c>
      <c r="AD350" s="8">
        <v>0</v>
      </c>
      <c r="AE350" s="8"/>
      <c r="AF350" s="8">
        <v>0</v>
      </c>
      <c r="AG350" s="8">
        <v>0</v>
      </c>
      <c r="AH350" s="8">
        <v>0</v>
      </c>
      <c r="AI350" s="8">
        <v>0</v>
      </c>
      <c r="AJ350" s="8"/>
      <c r="AK350" s="8"/>
      <c r="AL350" s="8">
        <v>11.55</v>
      </c>
      <c r="AM350" s="8"/>
      <c r="AN350" s="8"/>
      <c r="BO350" s="1284">
        <v>7</v>
      </c>
      <c r="BP350" s="1283" t="s">
        <v>0</v>
      </c>
      <c r="BQ350" s="1284">
        <v>16</v>
      </c>
      <c r="BR350" s="1284">
        <v>5</v>
      </c>
      <c r="BS350" s="1284">
        <v>1</v>
      </c>
      <c r="BT350" s="1284">
        <v>10</v>
      </c>
      <c r="BU350" s="1284">
        <v>63</v>
      </c>
      <c r="BV350" s="1284">
        <v>75</v>
      </c>
      <c r="BW350" s="1284">
        <v>11</v>
      </c>
    </row>
    <row r="351" spans="1:75" x14ac:dyDescent="0.3">
      <c r="B351" s="1280">
        <v>214</v>
      </c>
      <c r="C351" s="977" t="s">
        <v>1635</v>
      </c>
      <c r="D351" s="977" t="s">
        <v>1829</v>
      </c>
      <c r="E351" s="977" t="s">
        <v>1544</v>
      </c>
      <c r="F351" s="978" t="s">
        <v>1651</v>
      </c>
      <c r="G351" s="977" t="s">
        <v>1398</v>
      </c>
      <c r="H351" s="991" t="str">
        <f t="shared" si="164"/>
        <v>Häviö</v>
      </c>
      <c r="I351" s="991" t="s">
        <v>1514</v>
      </c>
      <c r="J351" s="991" t="s">
        <v>0</v>
      </c>
      <c r="K351" s="991" t="s">
        <v>1220</v>
      </c>
      <c r="L351" s="992">
        <f t="shared" si="165"/>
        <v>3</v>
      </c>
      <c r="M351" s="992">
        <f t="shared" si="166"/>
        <v>4</v>
      </c>
      <c r="N351" s="1262">
        <v>0</v>
      </c>
      <c r="O351" s="992">
        <v>0</v>
      </c>
      <c r="P351" s="1262">
        <v>2</v>
      </c>
      <c r="Q351" s="992">
        <v>1</v>
      </c>
      <c r="R351" s="1262">
        <v>1</v>
      </c>
      <c r="S351" s="992">
        <v>3</v>
      </c>
      <c r="T351" s="1262"/>
      <c r="U351" s="992"/>
      <c r="V351" s="8">
        <v>1</v>
      </c>
      <c r="W351" s="8">
        <v>2</v>
      </c>
      <c r="X351" s="8"/>
      <c r="Y351" s="8"/>
      <c r="Z351" s="8"/>
      <c r="AA351" s="8"/>
      <c r="AB351" s="8">
        <v>0</v>
      </c>
      <c r="AC351" s="8">
        <v>0</v>
      </c>
      <c r="AD351" s="8">
        <v>0</v>
      </c>
      <c r="AE351" s="8"/>
      <c r="AF351" s="8">
        <v>0</v>
      </c>
      <c r="AG351" s="8">
        <v>0</v>
      </c>
      <c r="AH351" s="8">
        <v>0</v>
      </c>
      <c r="AI351" s="8">
        <v>0</v>
      </c>
      <c r="AJ351" s="8"/>
      <c r="AK351" s="8"/>
      <c r="AL351" s="8">
        <v>15.5</v>
      </c>
      <c r="AM351" s="8"/>
      <c r="AN351" s="8"/>
      <c r="BO351" s="119">
        <v>8</v>
      </c>
      <c r="BP351" s="128" t="s">
        <v>1584</v>
      </c>
      <c r="BQ351" s="119">
        <v>16</v>
      </c>
      <c r="BR351" s="119">
        <v>3</v>
      </c>
      <c r="BS351" s="119">
        <v>2</v>
      </c>
      <c r="BT351" s="119">
        <v>11</v>
      </c>
      <c r="BU351" s="119">
        <v>41</v>
      </c>
      <c r="BV351" s="119">
        <v>96</v>
      </c>
      <c r="BW351" s="119">
        <v>8</v>
      </c>
    </row>
    <row r="352" spans="1:75" x14ac:dyDescent="0.3">
      <c r="B352" s="1280">
        <v>215</v>
      </c>
      <c r="C352" s="977" t="s">
        <v>1635</v>
      </c>
      <c r="D352" s="977" t="s">
        <v>1829</v>
      </c>
      <c r="E352" s="977" t="s">
        <v>1545</v>
      </c>
      <c r="F352" s="978" t="s">
        <v>1652</v>
      </c>
      <c r="G352" s="977" t="s">
        <v>1398</v>
      </c>
      <c r="H352" s="991" t="str">
        <f t="shared" si="164"/>
        <v>Häviö</v>
      </c>
      <c r="I352" s="991" t="s">
        <v>1515</v>
      </c>
      <c r="J352" s="991" t="s">
        <v>0</v>
      </c>
      <c r="K352" s="991" t="s">
        <v>1403</v>
      </c>
      <c r="L352" s="992">
        <f t="shared" si="165"/>
        <v>3</v>
      </c>
      <c r="M352" s="992">
        <f t="shared" si="166"/>
        <v>6</v>
      </c>
      <c r="N352" s="1262">
        <v>1</v>
      </c>
      <c r="O352" s="992">
        <v>1</v>
      </c>
      <c r="P352" s="1262">
        <v>1</v>
      </c>
      <c r="Q352" s="992">
        <v>1</v>
      </c>
      <c r="R352" s="1262">
        <v>1</v>
      </c>
      <c r="S352" s="992">
        <v>4</v>
      </c>
      <c r="T352" s="1262"/>
      <c r="U352" s="992"/>
      <c r="V352" s="8">
        <v>2</v>
      </c>
      <c r="W352" s="8">
        <v>4</v>
      </c>
      <c r="X352" s="8"/>
      <c r="Y352" s="8"/>
      <c r="Z352" s="8"/>
      <c r="AA352" s="8"/>
      <c r="AB352" s="8">
        <v>1</v>
      </c>
      <c r="AC352" s="8">
        <v>0</v>
      </c>
      <c r="AD352" s="8">
        <v>0</v>
      </c>
      <c r="AE352" s="8"/>
      <c r="AF352" s="8">
        <v>0</v>
      </c>
      <c r="AG352" s="8">
        <v>0</v>
      </c>
      <c r="AH352" s="8">
        <v>0</v>
      </c>
      <c r="AI352" s="8">
        <v>0</v>
      </c>
      <c r="AJ352" s="8"/>
      <c r="AK352" s="8"/>
      <c r="AL352" s="8">
        <v>6.32</v>
      </c>
      <c r="AM352" s="8"/>
      <c r="AN352" s="8"/>
      <c r="BO352" s="119">
        <v>9</v>
      </c>
      <c r="BP352" s="128" t="s">
        <v>1638</v>
      </c>
      <c r="BQ352" s="119">
        <v>16</v>
      </c>
      <c r="BR352" s="119">
        <v>0</v>
      </c>
      <c r="BS352" s="119">
        <v>2</v>
      </c>
      <c r="BT352" s="119">
        <v>14</v>
      </c>
      <c r="BU352" s="119">
        <v>44</v>
      </c>
      <c r="BV352" s="119">
        <v>118</v>
      </c>
      <c r="BW352" s="119">
        <v>2</v>
      </c>
    </row>
    <row r="353" spans="2:40" x14ac:dyDescent="0.3">
      <c r="B353" s="1280">
        <v>216</v>
      </c>
      <c r="C353" s="977" t="s">
        <v>1635</v>
      </c>
      <c r="D353" s="977" t="s">
        <v>1829</v>
      </c>
      <c r="E353" s="977" t="s">
        <v>1546</v>
      </c>
      <c r="F353" s="978" t="s">
        <v>1653</v>
      </c>
      <c r="G353" s="977" t="s">
        <v>1643</v>
      </c>
      <c r="H353" s="991" t="str">
        <f t="shared" si="164"/>
        <v>Häviö</v>
      </c>
      <c r="I353" s="991" t="s">
        <v>1515</v>
      </c>
      <c r="J353" s="991" t="s">
        <v>0</v>
      </c>
      <c r="K353" s="991" t="s">
        <v>1245</v>
      </c>
      <c r="L353" s="992">
        <f t="shared" si="165"/>
        <v>4</v>
      </c>
      <c r="M353" s="992">
        <f t="shared" si="166"/>
        <v>11</v>
      </c>
      <c r="N353" s="1262">
        <v>0</v>
      </c>
      <c r="O353" s="992">
        <v>5</v>
      </c>
      <c r="P353" s="1262">
        <v>3</v>
      </c>
      <c r="Q353" s="992">
        <v>4</v>
      </c>
      <c r="R353" s="1262">
        <v>1</v>
      </c>
      <c r="S353" s="992">
        <v>2</v>
      </c>
      <c r="T353" s="1262"/>
      <c r="U353" s="992"/>
      <c r="V353" s="8">
        <v>0</v>
      </c>
      <c r="W353" s="8">
        <v>0</v>
      </c>
      <c r="X353" s="8"/>
      <c r="Y353" s="8"/>
      <c r="Z353" s="8"/>
      <c r="AA353" s="8"/>
      <c r="AB353" s="8">
        <v>0</v>
      </c>
      <c r="AC353" s="8">
        <v>0</v>
      </c>
      <c r="AD353" s="8">
        <v>0</v>
      </c>
      <c r="AE353" s="8"/>
      <c r="AF353" s="8">
        <v>0</v>
      </c>
      <c r="AG353" s="8">
        <v>0</v>
      </c>
      <c r="AH353" s="8">
        <v>0</v>
      </c>
      <c r="AI353" s="8">
        <v>0</v>
      </c>
      <c r="AJ353" s="8"/>
      <c r="AK353" s="8"/>
      <c r="AL353" s="8">
        <v>21.46</v>
      </c>
      <c r="AM353" s="8"/>
      <c r="AN353" s="8"/>
    </row>
    <row r="354" spans="2:40" x14ac:dyDescent="0.3">
      <c r="B354" s="1280">
        <v>217</v>
      </c>
      <c r="C354" s="977" t="s">
        <v>1635</v>
      </c>
      <c r="D354" s="977" t="s">
        <v>1829</v>
      </c>
      <c r="E354" s="977" t="s">
        <v>1547</v>
      </c>
      <c r="F354" s="978" t="s">
        <v>1654</v>
      </c>
      <c r="G354" s="977" t="s">
        <v>1643</v>
      </c>
      <c r="H354" s="991" t="str">
        <f t="shared" si="164"/>
        <v>Häviö</v>
      </c>
      <c r="I354" s="991" t="s">
        <v>1514</v>
      </c>
      <c r="J354" s="991" t="s">
        <v>0</v>
      </c>
      <c r="K354" s="991" t="s">
        <v>1584</v>
      </c>
      <c r="L354" s="992">
        <f t="shared" si="165"/>
        <v>1</v>
      </c>
      <c r="M354" s="992">
        <f t="shared" si="166"/>
        <v>2</v>
      </c>
      <c r="N354" s="1262">
        <v>1</v>
      </c>
      <c r="O354" s="992">
        <v>1</v>
      </c>
      <c r="P354" s="1262">
        <v>0</v>
      </c>
      <c r="Q354" s="992">
        <v>0</v>
      </c>
      <c r="R354" s="1262">
        <v>0</v>
      </c>
      <c r="S354" s="992">
        <v>1</v>
      </c>
      <c r="T354" s="1262"/>
      <c r="U354" s="992"/>
      <c r="V354" s="8">
        <v>2</v>
      </c>
      <c r="W354" s="8">
        <v>4</v>
      </c>
      <c r="X354" s="8"/>
      <c r="Y354" s="8"/>
      <c r="Z354" s="8"/>
      <c r="AA354" s="8"/>
      <c r="AB354" s="8">
        <v>0</v>
      </c>
      <c r="AC354" s="8">
        <v>0</v>
      </c>
      <c r="AD354" s="8">
        <v>0</v>
      </c>
      <c r="AE354" s="8"/>
      <c r="AF354" s="8">
        <v>0</v>
      </c>
      <c r="AG354" s="8">
        <v>0</v>
      </c>
      <c r="AH354" s="8">
        <v>0</v>
      </c>
      <c r="AI354" s="8">
        <v>0</v>
      </c>
      <c r="AJ354" s="8"/>
      <c r="AK354" s="8"/>
      <c r="AL354" s="8">
        <v>0.43</v>
      </c>
      <c r="AM354" s="8"/>
      <c r="AN354" s="8"/>
    </row>
    <row r="355" spans="2:40" x14ac:dyDescent="0.3">
      <c r="B355" s="1280">
        <v>218</v>
      </c>
      <c r="C355" s="977" t="s">
        <v>1635</v>
      </c>
      <c r="D355" s="977" t="s">
        <v>1829</v>
      </c>
      <c r="E355" s="977" t="s">
        <v>1548</v>
      </c>
      <c r="F355" s="978" t="s">
        <v>1655</v>
      </c>
      <c r="G355" s="977" t="s">
        <v>44</v>
      </c>
      <c r="H355" s="991" t="str">
        <f t="shared" si="164"/>
        <v>Häviö</v>
      </c>
      <c r="I355" s="991" t="s">
        <v>1514</v>
      </c>
      <c r="J355" s="991" t="s">
        <v>0</v>
      </c>
      <c r="K355" s="991" t="s">
        <v>1396</v>
      </c>
      <c r="L355" s="992">
        <f t="shared" si="165"/>
        <v>3</v>
      </c>
      <c r="M355" s="992">
        <f t="shared" si="166"/>
        <v>4</v>
      </c>
      <c r="N355" s="1262">
        <v>1</v>
      </c>
      <c r="O355" s="992">
        <v>2</v>
      </c>
      <c r="P355" s="1262">
        <v>0</v>
      </c>
      <c r="Q355" s="992">
        <v>0</v>
      </c>
      <c r="R355" s="1262">
        <v>2</v>
      </c>
      <c r="S355" s="992">
        <v>2</v>
      </c>
      <c r="T355" s="1262"/>
      <c r="U355" s="992"/>
      <c r="V355" s="8">
        <v>0</v>
      </c>
      <c r="W355" s="8">
        <v>0</v>
      </c>
      <c r="X355" s="8"/>
      <c r="Y355" s="8"/>
      <c r="Z355" s="8"/>
      <c r="AA355" s="8"/>
      <c r="AB355" s="8">
        <v>0</v>
      </c>
      <c r="AC355" s="8">
        <v>0</v>
      </c>
      <c r="AD355" s="8">
        <v>0</v>
      </c>
      <c r="AE355" s="8"/>
      <c r="AF355" s="8">
        <v>0</v>
      </c>
      <c r="AG355" s="8">
        <v>0</v>
      </c>
      <c r="AH355" s="8">
        <v>0</v>
      </c>
      <c r="AI355" s="8">
        <v>0</v>
      </c>
      <c r="AJ355" s="8"/>
      <c r="AK355" s="8"/>
      <c r="AL355" s="8">
        <v>14.5</v>
      </c>
      <c r="AM355" s="8"/>
      <c r="AN355" s="8"/>
    </row>
    <row r="356" spans="2:40" x14ac:dyDescent="0.3">
      <c r="B356" s="1280">
        <v>219</v>
      </c>
      <c r="C356" s="977" t="s">
        <v>1635</v>
      </c>
      <c r="D356" s="977" t="s">
        <v>1829</v>
      </c>
      <c r="E356" s="977" t="s">
        <v>1549</v>
      </c>
      <c r="F356" s="978" t="s">
        <v>1656</v>
      </c>
      <c r="G356" s="977" t="s">
        <v>44</v>
      </c>
      <c r="H356" s="991" t="str">
        <f t="shared" si="164"/>
        <v>Voitto</v>
      </c>
      <c r="I356" s="991" t="s">
        <v>1515</v>
      </c>
      <c r="J356" s="991" t="s">
        <v>0</v>
      </c>
      <c r="K356" s="991" t="s">
        <v>1638</v>
      </c>
      <c r="L356" s="992">
        <f t="shared" si="165"/>
        <v>8</v>
      </c>
      <c r="M356" s="992">
        <f t="shared" si="166"/>
        <v>4</v>
      </c>
      <c r="N356" s="1262">
        <v>2</v>
      </c>
      <c r="O356" s="992">
        <v>1</v>
      </c>
      <c r="P356" s="1262">
        <v>2</v>
      </c>
      <c r="Q356" s="992">
        <v>0</v>
      </c>
      <c r="R356" s="1262">
        <v>4</v>
      </c>
      <c r="S356" s="992">
        <v>3</v>
      </c>
      <c r="T356" s="1262"/>
      <c r="U356" s="992"/>
      <c r="V356" s="8">
        <v>0</v>
      </c>
      <c r="W356" s="8">
        <v>0</v>
      </c>
      <c r="X356" s="8"/>
      <c r="Y356" s="8"/>
      <c r="Z356" s="8"/>
      <c r="AA356" s="8"/>
      <c r="AB356" s="8">
        <v>0</v>
      </c>
      <c r="AC356" s="8">
        <v>0</v>
      </c>
      <c r="AD356" s="8">
        <v>0</v>
      </c>
      <c r="AE356" s="8"/>
      <c r="AF356" s="8">
        <v>0</v>
      </c>
      <c r="AG356" s="8">
        <v>0</v>
      </c>
      <c r="AH356" s="8">
        <v>0</v>
      </c>
      <c r="AI356" s="8">
        <v>1</v>
      </c>
      <c r="AJ356" s="8"/>
      <c r="AK356" s="8"/>
      <c r="AL356" s="8">
        <v>10.130000000000001</v>
      </c>
      <c r="AM356" s="8"/>
      <c r="AN356" s="8"/>
    </row>
    <row r="357" spans="2:40" x14ac:dyDescent="0.3">
      <c r="B357" s="1280">
        <v>220</v>
      </c>
      <c r="C357" s="977" t="s">
        <v>1635</v>
      </c>
      <c r="D357" s="977" t="s">
        <v>1829</v>
      </c>
      <c r="E357" s="977" t="s">
        <v>1550</v>
      </c>
      <c r="F357" s="978" t="s">
        <v>1657</v>
      </c>
      <c r="G357" s="977" t="s">
        <v>1399</v>
      </c>
      <c r="H357" s="991" t="str">
        <f t="shared" si="164"/>
        <v>Voitto</v>
      </c>
      <c r="I357" s="991" t="s">
        <v>1514</v>
      </c>
      <c r="J357" s="991" t="s">
        <v>0</v>
      </c>
      <c r="K357" s="991" t="s">
        <v>1394</v>
      </c>
      <c r="L357" s="992">
        <f>N357+P357+R357</f>
        <v>4</v>
      </c>
      <c r="M357" s="992">
        <f>O357+Q357+S357</f>
        <v>1</v>
      </c>
      <c r="N357" s="1262">
        <v>0</v>
      </c>
      <c r="O357" s="992">
        <v>1</v>
      </c>
      <c r="P357" s="1262">
        <v>0</v>
      </c>
      <c r="Q357" s="992">
        <v>0</v>
      </c>
      <c r="R357" s="1262">
        <v>4</v>
      </c>
      <c r="S357" s="992">
        <v>0</v>
      </c>
      <c r="T357" s="1262"/>
      <c r="U357" s="992"/>
      <c r="V357" s="8">
        <v>2</v>
      </c>
      <c r="W357" s="8">
        <v>4</v>
      </c>
      <c r="X357" s="8"/>
      <c r="Y357" s="8"/>
      <c r="Z357" s="8"/>
      <c r="AA357" s="8"/>
      <c r="AB357" s="8">
        <v>1</v>
      </c>
      <c r="AC357" s="8">
        <v>0</v>
      </c>
      <c r="AD357" s="8">
        <v>0</v>
      </c>
      <c r="AE357" s="8"/>
      <c r="AF357" s="8">
        <v>0</v>
      </c>
      <c r="AG357" s="8">
        <v>0</v>
      </c>
      <c r="AH357" s="8">
        <v>0</v>
      </c>
      <c r="AI357" s="8">
        <v>1</v>
      </c>
      <c r="AJ357" s="8"/>
      <c r="AK357" s="8"/>
      <c r="AL357" s="8">
        <v>34.11</v>
      </c>
      <c r="AM357" s="8"/>
      <c r="AN357" s="8"/>
    </row>
    <row r="358" spans="2:40" x14ac:dyDescent="0.3">
      <c r="B358" s="1280">
        <v>221</v>
      </c>
      <c r="C358" s="977" t="s">
        <v>1635</v>
      </c>
      <c r="D358" s="977" t="s">
        <v>1829</v>
      </c>
      <c r="E358" s="977" t="s">
        <v>1551</v>
      </c>
      <c r="F358" s="978" t="s">
        <v>1658</v>
      </c>
      <c r="G358" s="977" t="s">
        <v>1399</v>
      </c>
      <c r="H358" s="991" t="str">
        <f t="shared" si="164"/>
        <v>Voitto</v>
      </c>
      <c r="I358" s="991" t="s">
        <v>1515</v>
      </c>
      <c r="J358" s="991" t="s">
        <v>0</v>
      </c>
      <c r="K358" s="991" t="s">
        <v>1639</v>
      </c>
      <c r="L358" s="992">
        <f t="shared" ref="L358" si="167">N358+P358+R358</f>
        <v>5</v>
      </c>
      <c r="M358" s="992">
        <f t="shared" ref="M358" si="168">O358+Q358+S358</f>
        <v>4</v>
      </c>
      <c r="N358" s="1262">
        <v>3</v>
      </c>
      <c r="O358" s="992">
        <v>1</v>
      </c>
      <c r="P358" s="1262">
        <v>0</v>
      </c>
      <c r="Q358" s="992">
        <v>3</v>
      </c>
      <c r="R358" s="1262">
        <v>2</v>
      </c>
      <c r="S358" s="992">
        <v>0</v>
      </c>
      <c r="T358" s="1262"/>
      <c r="U358" s="992"/>
      <c r="V358" s="8">
        <v>3</v>
      </c>
      <c r="W358" s="8">
        <v>6</v>
      </c>
      <c r="X358" s="8"/>
      <c r="Y358" s="8"/>
      <c r="Z358" s="8"/>
      <c r="AA358" s="8"/>
      <c r="AB358" s="8">
        <v>0</v>
      </c>
      <c r="AC358" s="8">
        <v>0</v>
      </c>
      <c r="AD358" s="8">
        <v>0</v>
      </c>
      <c r="AE358" s="8"/>
      <c r="AF358" s="8">
        <v>0</v>
      </c>
      <c r="AG358" s="8">
        <v>0</v>
      </c>
      <c r="AH358" s="8">
        <v>0</v>
      </c>
      <c r="AI358" s="8">
        <v>0</v>
      </c>
      <c r="AJ358" s="8"/>
      <c r="AK358" s="8"/>
      <c r="AL358" s="8">
        <v>1.5</v>
      </c>
      <c r="AM358" s="8"/>
      <c r="AN358" s="8"/>
    </row>
    <row r="359" spans="2:40" x14ac:dyDescent="0.3">
      <c r="B359" s="1280">
        <v>222</v>
      </c>
      <c r="C359" s="1055" t="s">
        <v>1833</v>
      </c>
      <c r="D359" s="1055" t="s">
        <v>2705</v>
      </c>
      <c r="E359" s="1055" t="s">
        <v>1552</v>
      </c>
      <c r="F359" s="1054" t="s">
        <v>2704</v>
      </c>
      <c r="G359" s="1055" t="s">
        <v>44</v>
      </c>
      <c r="H359" s="1056" t="str">
        <f t="shared" si="164"/>
        <v>Voitto</v>
      </c>
      <c r="I359" s="1056" t="s">
        <v>1514</v>
      </c>
      <c r="J359" s="1056" t="s">
        <v>0</v>
      </c>
      <c r="K359" s="1056" t="s">
        <v>1009</v>
      </c>
      <c r="L359" s="992">
        <f>N359+P359+R359+T359</f>
        <v>4</v>
      </c>
      <c r="M359" s="992">
        <f t="shared" ref="M359" si="169">O359+Q359+S359</f>
        <v>3</v>
      </c>
      <c r="N359" s="1262">
        <v>2</v>
      </c>
      <c r="O359" s="992">
        <v>0</v>
      </c>
      <c r="P359" s="1262">
        <v>0</v>
      </c>
      <c r="Q359" s="992">
        <v>2</v>
      </c>
      <c r="R359" s="1262">
        <v>1</v>
      </c>
      <c r="S359" s="992">
        <v>1</v>
      </c>
      <c r="T359" s="1262">
        <v>1</v>
      </c>
      <c r="U359" s="992">
        <v>0</v>
      </c>
    </row>
    <row r="361" spans="2:40" x14ac:dyDescent="0.3">
      <c r="F361" s="975"/>
      <c r="G361" s="975" t="s">
        <v>2036</v>
      </c>
      <c r="H361" s="975"/>
      <c r="I361" s="1003"/>
      <c r="J361" s="1003"/>
      <c r="K361" s="1003"/>
      <c r="L361" s="1003" t="s">
        <v>2037</v>
      </c>
      <c r="M361" s="1003" t="s">
        <v>2038</v>
      </c>
      <c r="O361" s="1003" t="s">
        <v>1409</v>
      </c>
      <c r="P361" s="1003" t="s">
        <v>1410</v>
      </c>
      <c r="Q361" s="1003" t="s">
        <v>1411</v>
      </c>
    </row>
    <row r="362" spans="2:40" x14ac:dyDescent="0.3">
      <c r="F362" s="977"/>
      <c r="G362" s="977" t="s">
        <v>1829</v>
      </c>
      <c r="H362" s="977"/>
      <c r="I362" s="1004"/>
      <c r="J362" s="1004"/>
      <c r="K362" s="1004"/>
      <c r="L362" s="1004">
        <f>SUM(L343:L358)</f>
        <v>63</v>
      </c>
      <c r="M362" s="1004">
        <f>SUM(M343:M358)</f>
        <v>75</v>
      </c>
      <c r="N362" s="8"/>
      <c r="O362" s="1004">
        <f>COUNTIF(H343:H358,"Voitto")</f>
        <v>5</v>
      </c>
      <c r="P362" s="1004">
        <f>COUNTIF(H343:H358,"Tasapeli")</f>
        <v>1</v>
      </c>
      <c r="Q362" s="1004">
        <f>COUNTIF(H343:H358,"Häviö")</f>
        <v>10</v>
      </c>
    </row>
    <row r="363" spans="2:40" x14ac:dyDescent="0.3">
      <c r="F363" s="977"/>
      <c r="G363" s="977" t="s">
        <v>2705</v>
      </c>
      <c r="H363" s="977"/>
      <c r="I363" s="1004"/>
      <c r="J363" s="1004"/>
      <c r="K363" s="1004"/>
      <c r="L363" s="1004">
        <f>SUM(L359)</f>
        <v>4</v>
      </c>
      <c r="M363" s="1004">
        <f>SUM(M359)</f>
        <v>3</v>
      </c>
      <c r="N363" s="8"/>
      <c r="O363" s="1004">
        <f>COUNTIF(H359,"Voitto")</f>
        <v>1</v>
      </c>
      <c r="P363" s="1004">
        <f>COUNTIF(H359,"Tasapeli")</f>
        <v>0</v>
      </c>
      <c r="Q363" s="1004">
        <f>COUNTIF(H359,"Häviö")</f>
        <v>0</v>
      </c>
    </row>
    <row r="364" spans="2:40" x14ac:dyDescent="0.3">
      <c r="F364" s="977" t="s">
        <v>1635</v>
      </c>
      <c r="G364" s="977" t="s">
        <v>2711</v>
      </c>
      <c r="H364" s="977"/>
      <c r="I364" s="1004"/>
      <c r="J364" s="1004"/>
      <c r="K364" s="1004"/>
      <c r="L364" s="1004">
        <f>SUM(L362:L363)</f>
        <v>67</v>
      </c>
      <c r="M364" s="1004">
        <f>SUM(M362:M363)</f>
        <v>78</v>
      </c>
      <c r="N364" s="8"/>
      <c r="O364" s="1004">
        <f>SUM(O362:O363)</f>
        <v>6</v>
      </c>
      <c r="P364" s="1004">
        <f>SUM(P362:P363)</f>
        <v>1</v>
      </c>
      <c r="Q364" s="1004">
        <f>SUM(Q362:Q363)</f>
        <v>10</v>
      </c>
    </row>
    <row r="369" spans="2:75" x14ac:dyDescent="0.3">
      <c r="C369" s="205" t="s">
        <v>1818</v>
      </c>
      <c r="D369" s="205" t="s">
        <v>2284</v>
      </c>
      <c r="V369" s="205" t="s">
        <v>0</v>
      </c>
      <c r="AO369" s="265" t="s">
        <v>1895</v>
      </c>
      <c r="BP369" s="205" t="s">
        <v>1818</v>
      </c>
      <c r="BQ369" s="205" t="s">
        <v>2618</v>
      </c>
    </row>
    <row r="370" spans="2:75" x14ac:dyDescent="0.3">
      <c r="B370" s="1003" t="s">
        <v>1393</v>
      </c>
      <c r="C370" s="975" t="s">
        <v>1831</v>
      </c>
      <c r="D370" s="975" t="s">
        <v>1830</v>
      </c>
      <c r="E370" s="975" t="s">
        <v>1832</v>
      </c>
      <c r="F370" s="975" t="s">
        <v>1836</v>
      </c>
      <c r="G370" s="975" t="s">
        <v>1835</v>
      </c>
      <c r="H370" s="989" t="s">
        <v>1407</v>
      </c>
      <c r="I370" s="990" t="s">
        <v>2019</v>
      </c>
      <c r="J370" s="990" t="s">
        <v>1837</v>
      </c>
      <c r="K370" s="990" t="s">
        <v>1838</v>
      </c>
      <c r="L370" s="1324" t="s">
        <v>1407</v>
      </c>
      <c r="M370" s="1325"/>
      <c r="N370" s="1326" t="s">
        <v>1822</v>
      </c>
      <c r="O370" s="1325"/>
      <c r="P370" s="1326" t="s">
        <v>1823</v>
      </c>
      <c r="Q370" s="1325"/>
      <c r="R370" s="1326" t="s">
        <v>1824</v>
      </c>
      <c r="S370" s="1325"/>
      <c r="T370" s="1326" t="s">
        <v>2706</v>
      </c>
      <c r="U370" s="1324"/>
      <c r="V370" s="981" t="s">
        <v>1557</v>
      </c>
      <c r="W370" s="981" t="s">
        <v>1556</v>
      </c>
      <c r="X370" s="981" t="s">
        <v>501</v>
      </c>
      <c r="Y370" s="981" t="s">
        <v>708</v>
      </c>
      <c r="Z370" s="981" t="s">
        <v>82</v>
      </c>
      <c r="AA370" s="981" t="s">
        <v>709</v>
      </c>
      <c r="AB370" s="981" t="s">
        <v>1419</v>
      </c>
      <c r="AC370" s="981" t="s">
        <v>1420</v>
      </c>
      <c r="AD370" s="982" t="s">
        <v>1827</v>
      </c>
      <c r="AE370" s="981" t="s">
        <v>1828</v>
      </c>
      <c r="AF370" s="981" t="s">
        <v>1425</v>
      </c>
      <c r="AG370" s="981" t="s">
        <v>1535</v>
      </c>
      <c r="AH370" s="981" t="s">
        <v>1536</v>
      </c>
      <c r="AI370" s="981" t="s">
        <v>1559</v>
      </c>
      <c r="AJ370" s="981" t="s">
        <v>1896</v>
      </c>
      <c r="AK370" s="981" t="s">
        <v>1967</v>
      </c>
      <c r="AL370" s="981" t="s">
        <v>19</v>
      </c>
      <c r="AM370" s="981"/>
      <c r="AN370" s="265"/>
      <c r="AO370" s="979" t="s">
        <v>1557</v>
      </c>
      <c r="AP370" s="979" t="s">
        <v>1556</v>
      </c>
      <c r="AQ370" s="979" t="s">
        <v>501</v>
      </c>
      <c r="AR370" s="979" t="s">
        <v>708</v>
      </c>
      <c r="AS370" s="979" t="s">
        <v>82</v>
      </c>
      <c r="AT370" s="979" t="s">
        <v>709</v>
      </c>
      <c r="AU370" s="979" t="s">
        <v>1419</v>
      </c>
      <c r="AV370" s="979" t="s">
        <v>1420</v>
      </c>
      <c r="AW370" s="980" t="s">
        <v>1827</v>
      </c>
      <c r="AX370" s="979" t="s">
        <v>1828</v>
      </c>
      <c r="AY370" s="979" t="s">
        <v>1425</v>
      </c>
      <c r="AZ370" s="979" t="s">
        <v>1535</v>
      </c>
      <c r="BA370" s="979" t="s">
        <v>1536</v>
      </c>
      <c r="BB370" s="979" t="s">
        <v>1559</v>
      </c>
      <c r="BC370" s="979" t="s">
        <v>1896</v>
      </c>
      <c r="BD370" s="979"/>
      <c r="BE370" s="979" t="s">
        <v>19</v>
      </c>
      <c r="BF370" s="979"/>
      <c r="BH370" s="1001" t="s">
        <v>1911</v>
      </c>
      <c r="BI370" s="1001" t="s">
        <v>1912</v>
      </c>
      <c r="BJ370" s="1001" t="s">
        <v>1913</v>
      </c>
      <c r="BK370" s="1001" t="s">
        <v>537</v>
      </c>
      <c r="BL370" s="1001" t="s">
        <v>1128</v>
      </c>
    </row>
    <row r="371" spans="2:75" x14ac:dyDescent="0.3">
      <c r="B371" s="1280">
        <v>223</v>
      </c>
      <c r="C371" s="977" t="s">
        <v>1818</v>
      </c>
      <c r="D371" s="977" t="s">
        <v>1829</v>
      </c>
      <c r="E371" s="977" t="s">
        <v>1516</v>
      </c>
      <c r="F371" s="978" t="s">
        <v>1870</v>
      </c>
      <c r="G371" s="977" t="s">
        <v>1593</v>
      </c>
      <c r="H371" s="991" t="str">
        <f t="shared" ref="H371:H386" si="170">IF(L371=M371,"Tasapeli",IF(L371&lt;M371,"Häviö","Voitto"))</f>
        <v>Voitto</v>
      </c>
      <c r="I371" s="991" t="s">
        <v>1515</v>
      </c>
      <c r="J371" s="991" t="s">
        <v>0</v>
      </c>
      <c r="K371" s="991" t="s">
        <v>1404</v>
      </c>
      <c r="L371" s="992">
        <f t="shared" ref="L371:L384" si="171">N371+P371+R371</f>
        <v>6</v>
      </c>
      <c r="M371" s="992">
        <f t="shared" ref="M371:M384" si="172">O371+Q371+S371</f>
        <v>4</v>
      </c>
      <c r="N371" s="1262">
        <v>2</v>
      </c>
      <c r="O371" s="992">
        <v>2</v>
      </c>
      <c r="P371" s="1262">
        <v>2</v>
      </c>
      <c r="Q371" s="992">
        <v>0</v>
      </c>
      <c r="R371" s="1262">
        <v>2</v>
      </c>
      <c r="S371" s="992">
        <v>2</v>
      </c>
      <c r="T371" s="1262"/>
      <c r="U371" s="992"/>
      <c r="V371" s="985">
        <v>0</v>
      </c>
      <c r="W371" s="985">
        <v>0</v>
      </c>
      <c r="X371" s="985"/>
      <c r="Y371" s="985"/>
      <c r="Z371" s="985"/>
      <c r="AA371" s="985"/>
      <c r="AB371" s="985">
        <v>0</v>
      </c>
      <c r="AC371" s="985">
        <v>0</v>
      </c>
      <c r="AD371" s="985"/>
      <c r="AE371" s="985"/>
      <c r="AF371" s="985"/>
      <c r="AG371" s="985"/>
      <c r="AH371" s="985"/>
      <c r="AI371" s="985"/>
      <c r="AJ371" s="985"/>
      <c r="AK371" s="985" t="s">
        <v>107</v>
      </c>
      <c r="AL371" s="985">
        <v>7.03</v>
      </c>
      <c r="AM371" s="985"/>
      <c r="AN371" s="8"/>
      <c r="AO371" s="983">
        <v>2</v>
      </c>
      <c r="AP371" s="983">
        <v>4</v>
      </c>
      <c r="AQ371" s="983">
        <v>2</v>
      </c>
      <c r="AR371" s="983"/>
      <c r="AS371" s="983"/>
      <c r="AT371" s="983"/>
      <c r="AU371" s="983"/>
      <c r="AV371" s="983"/>
      <c r="AW371" s="983">
        <v>0</v>
      </c>
      <c r="AX371" s="983">
        <v>1</v>
      </c>
      <c r="AY371" s="983"/>
      <c r="AZ371" s="983"/>
      <c r="BA371" s="983"/>
      <c r="BB371" s="983"/>
      <c r="BC371" s="983"/>
      <c r="BD371" s="983"/>
      <c r="BE371" s="983">
        <v>4.1399999999999997</v>
      </c>
      <c r="BF371" s="983"/>
      <c r="BH371" s="1002">
        <f>IF(V371=0,1,0)</f>
        <v>1</v>
      </c>
      <c r="BI371" s="1002">
        <f>IF(AO371=0,1,0)</f>
        <v>0</v>
      </c>
      <c r="BJ371" s="1002">
        <f>IF(V371+AO371=0,1,0)</f>
        <v>0</v>
      </c>
      <c r="BK371" s="1002">
        <f>IF(BH371&gt;BI371,1,0)</f>
        <v>1</v>
      </c>
      <c r="BL371" s="1002">
        <f>IF(BI371&gt;BH371,1,0)</f>
        <v>0</v>
      </c>
      <c r="BO371" s="1282" t="s">
        <v>1393</v>
      </c>
      <c r="BP371" s="1281" t="s">
        <v>989</v>
      </c>
      <c r="BQ371" s="1282" t="s">
        <v>877</v>
      </c>
      <c r="BR371" s="1282" t="s">
        <v>990</v>
      </c>
      <c r="BS371" s="1282" t="s">
        <v>991</v>
      </c>
      <c r="BT371" s="1282" t="s">
        <v>992</v>
      </c>
      <c r="BU371" s="1282" t="s">
        <v>139</v>
      </c>
      <c r="BV371" s="1282" t="s">
        <v>993</v>
      </c>
      <c r="BW371" s="1282" t="s">
        <v>610</v>
      </c>
    </row>
    <row r="372" spans="2:75" x14ac:dyDescent="0.3">
      <c r="B372" s="1280">
        <v>224</v>
      </c>
      <c r="C372" s="977" t="s">
        <v>1818</v>
      </c>
      <c r="D372" s="977" t="s">
        <v>1829</v>
      </c>
      <c r="E372" s="977" t="s">
        <v>1537</v>
      </c>
      <c r="F372" s="978" t="s">
        <v>1872</v>
      </c>
      <c r="G372" s="977" t="s">
        <v>1593</v>
      </c>
      <c r="H372" s="991" t="str">
        <f t="shared" si="170"/>
        <v>Häviö</v>
      </c>
      <c r="I372" s="991" t="s">
        <v>1514</v>
      </c>
      <c r="J372" s="991" t="s">
        <v>0</v>
      </c>
      <c r="K372" s="991" t="s">
        <v>1394</v>
      </c>
      <c r="L372" s="992">
        <f t="shared" si="171"/>
        <v>2</v>
      </c>
      <c r="M372" s="992">
        <f t="shared" si="172"/>
        <v>6</v>
      </c>
      <c r="N372" s="1262">
        <v>1</v>
      </c>
      <c r="O372" s="992">
        <v>3</v>
      </c>
      <c r="P372" s="1262">
        <v>1</v>
      </c>
      <c r="Q372" s="992">
        <v>2</v>
      </c>
      <c r="R372" s="1262">
        <v>0</v>
      </c>
      <c r="S372" s="992">
        <v>1</v>
      </c>
      <c r="T372" s="1262"/>
      <c r="U372" s="992"/>
      <c r="V372" s="985">
        <v>0</v>
      </c>
      <c r="W372" s="985">
        <v>0</v>
      </c>
      <c r="X372" s="985"/>
      <c r="Y372" s="985"/>
      <c r="Z372" s="985"/>
      <c r="AA372" s="985"/>
      <c r="AB372" s="985">
        <v>0</v>
      </c>
      <c r="AC372" s="985">
        <v>0</v>
      </c>
      <c r="AD372" s="985">
        <v>0</v>
      </c>
      <c r="AE372" s="985">
        <v>0</v>
      </c>
      <c r="AF372" s="985">
        <v>0</v>
      </c>
      <c r="AG372" s="985">
        <v>0</v>
      </c>
      <c r="AH372" s="985">
        <v>0</v>
      </c>
      <c r="AI372" s="985">
        <v>0</v>
      </c>
      <c r="AJ372" s="985">
        <v>0</v>
      </c>
      <c r="AK372" s="985">
        <v>7</v>
      </c>
      <c r="AL372" s="985">
        <v>4.25</v>
      </c>
      <c r="AM372" s="985"/>
      <c r="AN372" s="8"/>
      <c r="AO372" s="983">
        <v>1</v>
      </c>
      <c r="AP372" s="983">
        <v>2</v>
      </c>
      <c r="AQ372" s="983">
        <v>1</v>
      </c>
      <c r="AR372" s="983"/>
      <c r="AS372" s="983"/>
      <c r="AT372" s="983"/>
      <c r="AU372" s="983">
        <v>0</v>
      </c>
      <c r="AV372" s="983">
        <v>0</v>
      </c>
      <c r="AW372" s="983">
        <v>0</v>
      </c>
      <c r="AX372" s="983">
        <v>0</v>
      </c>
      <c r="AY372" s="983">
        <v>0</v>
      </c>
      <c r="AZ372" s="983">
        <v>0</v>
      </c>
      <c r="BA372" s="983">
        <v>0</v>
      </c>
      <c r="BB372" s="983">
        <v>0</v>
      </c>
      <c r="BC372" s="983">
        <v>0</v>
      </c>
      <c r="BD372" s="983"/>
      <c r="BE372" s="988">
        <v>1.1000000000000001</v>
      </c>
      <c r="BF372" s="988"/>
      <c r="BH372" s="1002">
        <f t="shared" ref="BH372:BH394" si="173">IF(V372=0,1,0)</f>
        <v>1</v>
      </c>
      <c r="BI372" s="1002">
        <f t="shared" ref="BI372:BI394" si="174">IF(AO372=0,1,0)</f>
        <v>0</v>
      </c>
      <c r="BJ372" s="1002">
        <f t="shared" ref="BJ372:BJ394" si="175">IF(V372+AO372=0,1,0)</f>
        <v>0</v>
      </c>
      <c r="BK372" s="1002">
        <f t="shared" ref="BK372:BK394" si="176">IF(BH372&gt;BI372,1,0)</f>
        <v>1</v>
      </c>
      <c r="BL372" s="1002">
        <f t="shared" ref="BL372:BL394" si="177">IF(BI372&gt;BH372,1,0)</f>
        <v>0</v>
      </c>
      <c r="BO372" s="1284">
        <v>1</v>
      </c>
      <c r="BP372" s="1283" t="s">
        <v>0</v>
      </c>
      <c r="BQ372" s="1284">
        <v>21</v>
      </c>
      <c r="BR372" s="1284">
        <v>18</v>
      </c>
      <c r="BS372" s="1284">
        <v>0</v>
      </c>
      <c r="BT372" s="1284">
        <v>3</v>
      </c>
      <c r="BU372" s="1284">
        <v>125</v>
      </c>
      <c r="BV372" s="1284">
        <v>59</v>
      </c>
      <c r="BW372" s="1284">
        <v>36</v>
      </c>
    </row>
    <row r="373" spans="2:75" x14ac:dyDescent="0.3">
      <c r="B373" s="1280">
        <v>225</v>
      </c>
      <c r="C373" s="977" t="s">
        <v>1818</v>
      </c>
      <c r="D373" s="977" t="s">
        <v>1829</v>
      </c>
      <c r="E373" s="977" t="s">
        <v>1538</v>
      </c>
      <c r="F373" s="978" t="s">
        <v>1873</v>
      </c>
      <c r="G373" s="977" t="s">
        <v>1147</v>
      </c>
      <c r="H373" s="991" t="str">
        <f t="shared" si="170"/>
        <v>Voitto</v>
      </c>
      <c r="I373" s="991" t="s">
        <v>1515</v>
      </c>
      <c r="J373" s="991" t="s">
        <v>0</v>
      </c>
      <c r="K373" s="991" t="s">
        <v>1002</v>
      </c>
      <c r="L373" s="992">
        <f t="shared" si="171"/>
        <v>4</v>
      </c>
      <c r="M373" s="992">
        <f t="shared" si="172"/>
        <v>3</v>
      </c>
      <c r="N373" s="1262">
        <v>2</v>
      </c>
      <c r="O373" s="992">
        <v>1</v>
      </c>
      <c r="P373" s="1262">
        <v>1</v>
      </c>
      <c r="Q373" s="992">
        <v>0</v>
      </c>
      <c r="R373" s="1262">
        <v>1</v>
      </c>
      <c r="S373" s="992">
        <v>2</v>
      </c>
      <c r="T373" s="1262"/>
      <c r="U373" s="992"/>
      <c r="V373" s="985">
        <v>3</v>
      </c>
      <c r="W373" s="985">
        <v>6</v>
      </c>
      <c r="X373" s="985">
        <v>3</v>
      </c>
      <c r="Y373" s="985"/>
      <c r="Z373" s="985"/>
      <c r="AA373" s="985"/>
      <c r="AB373" s="985">
        <v>1</v>
      </c>
      <c r="AC373" s="985">
        <v>0</v>
      </c>
      <c r="AD373" s="985">
        <v>0</v>
      </c>
      <c r="AE373" s="985">
        <v>0</v>
      </c>
      <c r="AF373" s="985">
        <v>0</v>
      </c>
      <c r="AG373" s="985">
        <v>0</v>
      </c>
      <c r="AH373" s="985">
        <v>0</v>
      </c>
      <c r="AI373" s="985">
        <v>0</v>
      </c>
      <c r="AJ373" s="985">
        <v>0</v>
      </c>
      <c r="AK373" s="985">
        <v>4</v>
      </c>
      <c r="AL373" s="986">
        <v>6.52</v>
      </c>
      <c r="AM373" s="986"/>
      <c r="AN373" s="8"/>
      <c r="AO373" s="983">
        <v>3</v>
      </c>
      <c r="AP373" s="983">
        <v>9</v>
      </c>
      <c r="AQ373" s="983">
        <v>2</v>
      </c>
      <c r="AR373" s="983">
        <v>1</v>
      </c>
      <c r="AS373" s="983"/>
      <c r="AT373" s="983"/>
      <c r="AU373" s="983">
        <v>0</v>
      </c>
      <c r="AV373" s="983">
        <v>0</v>
      </c>
      <c r="AW373" s="983">
        <v>1</v>
      </c>
      <c r="AX373" s="983">
        <v>1</v>
      </c>
      <c r="AY373" s="983">
        <v>0</v>
      </c>
      <c r="AZ373" s="983">
        <v>0</v>
      </c>
      <c r="BA373" s="983">
        <v>0</v>
      </c>
      <c r="BB373" s="983">
        <v>0</v>
      </c>
      <c r="BC373" s="983">
        <v>1</v>
      </c>
      <c r="BD373" s="983"/>
      <c r="BE373" s="988">
        <v>8.4600000000000009</v>
      </c>
      <c r="BF373" s="988"/>
      <c r="BH373" s="1002">
        <f t="shared" si="173"/>
        <v>0</v>
      </c>
      <c r="BI373" s="1002">
        <f t="shared" si="174"/>
        <v>0</v>
      </c>
      <c r="BJ373" s="1002">
        <f t="shared" si="175"/>
        <v>0</v>
      </c>
      <c r="BK373" s="1002">
        <f t="shared" si="176"/>
        <v>0</v>
      </c>
      <c r="BL373" s="1002">
        <f t="shared" si="177"/>
        <v>0</v>
      </c>
      <c r="BO373" s="119">
        <v>2</v>
      </c>
      <c r="BP373" s="128" t="s">
        <v>1878</v>
      </c>
      <c r="BQ373" s="119">
        <v>21</v>
      </c>
      <c r="BR373" s="119">
        <v>14</v>
      </c>
      <c r="BS373" s="119">
        <v>1</v>
      </c>
      <c r="BT373" s="119">
        <v>6</v>
      </c>
      <c r="BU373" s="119">
        <v>97</v>
      </c>
      <c r="BV373" s="119">
        <v>71</v>
      </c>
      <c r="BW373" s="119">
        <v>29</v>
      </c>
    </row>
    <row r="374" spans="2:75" x14ac:dyDescent="0.3">
      <c r="B374" s="1280">
        <v>226</v>
      </c>
      <c r="C374" s="977" t="s">
        <v>1818</v>
      </c>
      <c r="D374" s="977" t="s">
        <v>1829</v>
      </c>
      <c r="E374" s="977" t="s">
        <v>1539</v>
      </c>
      <c r="F374" s="978" t="s">
        <v>1874</v>
      </c>
      <c r="G374" s="977" t="s">
        <v>1147</v>
      </c>
      <c r="H374" s="991" t="str">
        <f t="shared" si="170"/>
        <v>Voitto</v>
      </c>
      <c r="I374" s="991" t="s">
        <v>1514</v>
      </c>
      <c r="J374" s="991" t="s">
        <v>0</v>
      </c>
      <c r="K374" s="991" t="s">
        <v>1583</v>
      </c>
      <c r="L374" s="992">
        <f t="shared" si="171"/>
        <v>4</v>
      </c>
      <c r="M374" s="992">
        <f t="shared" si="172"/>
        <v>2</v>
      </c>
      <c r="N374" s="1262">
        <v>2</v>
      </c>
      <c r="O374" s="992">
        <v>0</v>
      </c>
      <c r="P374" s="1262">
        <v>1</v>
      </c>
      <c r="Q374" s="992">
        <v>2</v>
      </c>
      <c r="R374" s="1262">
        <v>1</v>
      </c>
      <c r="S374" s="992">
        <v>0</v>
      </c>
      <c r="T374" s="1262"/>
      <c r="U374" s="992"/>
      <c r="V374" s="985">
        <v>6</v>
      </c>
      <c r="W374" s="985">
        <v>12</v>
      </c>
      <c r="X374" s="987">
        <v>6</v>
      </c>
      <c r="Y374" s="987"/>
      <c r="Z374" s="987"/>
      <c r="AA374" s="987"/>
      <c r="AB374" s="987">
        <v>0</v>
      </c>
      <c r="AC374" s="987">
        <v>0</v>
      </c>
      <c r="AD374" s="987">
        <v>0</v>
      </c>
      <c r="AE374" s="987">
        <v>1</v>
      </c>
      <c r="AF374" s="987">
        <v>0</v>
      </c>
      <c r="AG374" s="987">
        <v>0</v>
      </c>
      <c r="AH374" s="987">
        <v>0</v>
      </c>
      <c r="AI374" s="987">
        <v>0</v>
      </c>
      <c r="AJ374" s="987">
        <v>0</v>
      </c>
      <c r="AK374" s="985">
        <v>14</v>
      </c>
      <c r="AL374" s="985">
        <v>9.2899999999999991</v>
      </c>
      <c r="AM374" s="985"/>
      <c r="AO374" s="983">
        <v>2</v>
      </c>
      <c r="AP374" s="983">
        <v>4</v>
      </c>
      <c r="AQ374" s="983">
        <v>2</v>
      </c>
      <c r="AR374" s="976"/>
      <c r="AS374" s="976"/>
      <c r="AT374" s="976"/>
      <c r="AU374" s="976">
        <v>0</v>
      </c>
      <c r="AV374" s="976">
        <v>0</v>
      </c>
      <c r="AW374" s="976">
        <v>0</v>
      </c>
      <c r="AX374" s="976">
        <v>0</v>
      </c>
      <c r="AY374" s="976">
        <v>0</v>
      </c>
      <c r="AZ374" s="976">
        <v>0</v>
      </c>
      <c r="BA374" s="976">
        <v>2</v>
      </c>
      <c r="BB374" s="976">
        <v>0</v>
      </c>
      <c r="BC374" s="976">
        <v>0</v>
      </c>
      <c r="BD374" s="983"/>
      <c r="BE374" s="984">
        <v>24.27</v>
      </c>
      <c r="BF374" s="984"/>
      <c r="BH374" s="1002">
        <f t="shared" si="173"/>
        <v>0</v>
      </c>
      <c r="BI374" s="1002">
        <f t="shared" si="174"/>
        <v>0</v>
      </c>
      <c r="BJ374" s="1002">
        <f t="shared" si="175"/>
        <v>0</v>
      </c>
      <c r="BK374" s="1002">
        <f t="shared" si="176"/>
        <v>0</v>
      </c>
      <c r="BL374" s="1002">
        <f t="shared" si="177"/>
        <v>0</v>
      </c>
      <c r="BO374" s="119">
        <v>3</v>
      </c>
      <c r="BP374" s="128" t="s">
        <v>1002</v>
      </c>
      <c r="BQ374" s="119">
        <v>21</v>
      </c>
      <c r="BR374" s="119">
        <v>12</v>
      </c>
      <c r="BS374" s="119">
        <v>2</v>
      </c>
      <c r="BT374" s="119">
        <v>7</v>
      </c>
      <c r="BU374" s="119">
        <v>105</v>
      </c>
      <c r="BV374" s="119">
        <v>89</v>
      </c>
      <c r="BW374" s="119">
        <v>26</v>
      </c>
    </row>
    <row r="375" spans="2:75" x14ac:dyDescent="0.3">
      <c r="B375" s="1280">
        <v>227</v>
      </c>
      <c r="C375" s="977" t="s">
        <v>1818</v>
      </c>
      <c r="D375" s="977" t="s">
        <v>1829</v>
      </c>
      <c r="E375" s="977" t="s">
        <v>1540</v>
      </c>
      <c r="F375" s="978" t="s">
        <v>1875</v>
      </c>
      <c r="G375" s="977" t="s">
        <v>1398</v>
      </c>
      <c r="H375" s="991" t="str">
        <f t="shared" si="170"/>
        <v>Voitto</v>
      </c>
      <c r="I375" s="991" t="s">
        <v>1514</v>
      </c>
      <c r="J375" s="991" t="s">
        <v>0</v>
      </c>
      <c r="K375" s="991" t="s">
        <v>1877</v>
      </c>
      <c r="L375" s="992">
        <f t="shared" si="171"/>
        <v>8</v>
      </c>
      <c r="M375" s="992">
        <f t="shared" si="172"/>
        <v>3</v>
      </c>
      <c r="N375" s="1262">
        <v>3</v>
      </c>
      <c r="O375" s="992">
        <v>1</v>
      </c>
      <c r="P375" s="1262">
        <v>2</v>
      </c>
      <c r="Q375" s="992">
        <v>2</v>
      </c>
      <c r="R375" s="1262">
        <v>3</v>
      </c>
      <c r="S375" s="992">
        <v>0</v>
      </c>
      <c r="T375" s="1262"/>
      <c r="U375" s="992"/>
      <c r="V375" s="985">
        <v>0</v>
      </c>
      <c r="W375" s="985">
        <v>0</v>
      </c>
      <c r="X375" s="987"/>
      <c r="Y375" s="987"/>
      <c r="Z375" s="987"/>
      <c r="AA375" s="987"/>
      <c r="AB375" s="987">
        <v>2</v>
      </c>
      <c r="AC375" s="987">
        <v>0</v>
      </c>
      <c r="AD375" s="987">
        <v>0</v>
      </c>
      <c r="AE375" s="987">
        <v>0</v>
      </c>
      <c r="AF375" s="987">
        <v>0</v>
      </c>
      <c r="AG375" s="987">
        <v>0</v>
      </c>
      <c r="AH375" s="987">
        <v>0</v>
      </c>
      <c r="AI375" s="987">
        <v>0</v>
      </c>
      <c r="AJ375" s="987">
        <v>0</v>
      </c>
      <c r="AK375" s="985">
        <v>10</v>
      </c>
      <c r="AL375" s="985">
        <v>7.18</v>
      </c>
      <c r="AM375" s="985"/>
      <c r="AO375" s="983">
        <v>3</v>
      </c>
      <c r="AP375" s="983">
        <v>6</v>
      </c>
      <c r="AQ375" s="976">
        <v>3</v>
      </c>
      <c r="AR375" s="976"/>
      <c r="AS375" s="976"/>
      <c r="AT375" s="976"/>
      <c r="AU375" s="976">
        <v>0</v>
      </c>
      <c r="AV375" s="976">
        <v>0</v>
      </c>
      <c r="AW375" s="976">
        <v>0</v>
      </c>
      <c r="AX375" s="976">
        <v>0</v>
      </c>
      <c r="AY375" s="976">
        <v>0</v>
      </c>
      <c r="AZ375" s="976">
        <v>0</v>
      </c>
      <c r="BA375" s="976">
        <v>0</v>
      </c>
      <c r="BB375" s="976">
        <v>0</v>
      </c>
      <c r="BC375" s="976">
        <v>0</v>
      </c>
      <c r="BD375" s="983"/>
      <c r="BE375" s="983">
        <v>14.5</v>
      </c>
      <c r="BF375" s="983"/>
      <c r="BH375" s="1002">
        <f t="shared" si="173"/>
        <v>1</v>
      </c>
      <c r="BI375" s="1002">
        <f t="shared" si="174"/>
        <v>0</v>
      </c>
      <c r="BJ375" s="1002">
        <f t="shared" si="175"/>
        <v>0</v>
      </c>
      <c r="BK375" s="1002">
        <f t="shared" si="176"/>
        <v>1</v>
      </c>
      <c r="BL375" s="1002">
        <f t="shared" si="177"/>
        <v>0</v>
      </c>
      <c r="BO375" s="119">
        <v>4</v>
      </c>
      <c r="BP375" s="128" t="s">
        <v>1394</v>
      </c>
      <c r="BQ375" s="119">
        <v>21</v>
      </c>
      <c r="BR375" s="119">
        <v>11</v>
      </c>
      <c r="BS375" s="119">
        <v>3</v>
      </c>
      <c r="BT375" s="119">
        <v>7</v>
      </c>
      <c r="BU375" s="119">
        <v>108</v>
      </c>
      <c r="BV375" s="119">
        <v>64</v>
      </c>
      <c r="BW375" s="119">
        <v>25</v>
      </c>
    </row>
    <row r="376" spans="2:75" x14ac:dyDescent="0.3">
      <c r="B376" s="1280">
        <v>228</v>
      </c>
      <c r="C376" s="977" t="s">
        <v>1818</v>
      </c>
      <c r="D376" s="977" t="s">
        <v>1829</v>
      </c>
      <c r="E376" s="977" t="s">
        <v>1541</v>
      </c>
      <c r="F376" s="978" t="s">
        <v>1876</v>
      </c>
      <c r="G376" s="977" t="s">
        <v>1398</v>
      </c>
      <c r="H376" s="991" t="str">
        <f t="shared" si="170"/>
        <v>Voitto</v>
      </c>
      <c r="I376" s="991" t="s">
        <v>1515</v>
      </c>
      <c r="J376" s="991" t="s">
        <v>0</v>
      </c>
      <c r="K376" s="991" t="s">
        <v>1878</v>
      </c>
      <c r="L376" s="992">
        <f t="shared" si="171"/>
        <v>7</v>
      </c>
      <c r="M376" s="992">
        <f t="shared" si="172"/>
        <v>4</v>
      </c>
      <c r="N376" s="1262">
        <v>0</v>
      </c>
      <c r="O376" s="992">
        <v>2</v>
      </c>
      <c r="P376" s="1262">
        <v>3</v>
      </c>
      <c r="Q376" s="992">
        <v>0</v>
      </c>
      <c r="R376" s="1262">
        <v>4</v>
      </c>
      <c r="S376" s="992">
        <v>2</v>
      </c>
      <c r="T376" s="1262"/>
      <c r="U376" s="992"/>
      <c r="V376" s="985">
        <v>0</v>
      </c>
      <c r="W376" s="985">
        <v>0</v>
      </c>
      <c r="X376" s="987"/>
      <c r="Y376" s="987"/>
      <c r="Z376" s="987"/>
      <c r="AA376" s="987"/>
      <c r="AB376" s="987">
        <v>1</v>
      </c>
      <c r="AC376" s="987">
        <v>0</v>
      </c>
      <c r="AD376" s="987">
        <v>0</v>
      </c>
      <c r="AE376" s="987">
        <v>0</v>
      </c>
      <c r="AF376" s="987">
        <v>0</v>
      </c>
      <c r="AG376" s="987">
        <v>0</v>
      </c>
      <c r="AH376" s="987">
        <v>0</v>
      </c>
      <c r="AI376" s="987">
        <v>1</v>
      </c>
      <c r="AJ376" s="987">
        <v>0</v>
      </c>
      <c r="AK376" s="985">
        <v>9</v>
      </c>
      <c r="AL376" s="985">
        <v>21.43</v>
      </c>
      <c r="AM376" s="985"/>
      <c r="AO376" s="983">
        <v>1</v>
      </c>
      <c r="AP376" s="983">
        <v>5</v>
      </c>
      <c r="AQ376" s="983"/>
      <c r="AR376" s="976">
        <v>1</v>
      </c>
      <c r="AS376" s="976"/>
      <c r="AT376" s="976"/>
      <c r="AU376" s="976">
        <v>0</v>
      </c>
      <c r="AV376" s="976">
        <v>0</v>
      </c>
      <c r="AW376" s="976">
        <v>0</v>
      </c>
      <c r="AX376" s="976">
        <v>0</v>
      </c>
      <c r="AY376" s="976">
        <v>0</v>
      </c>
      <c r="AZ376" s="976">
        <v>0</v>
      </c>
      <c r="BA376" s="976">
        <v>0</v>
      </c>
      <c r="BB376" s="976">
        <v>0</v>
      </c>
      <c r="BC376" s="976">
        <v>0</v>
      </c>
      <c r="BD376" s="983"/>
      <c r="BE376" s="983">
        <v>8.5399999999999991</v>
      </c>
      <c r="BF376" s="983"/>
      <c r="BH376" s="1002">
        <f t="shared" si="173"/>
        <v>1</v>
      </c>
      <c r="BI376" s="1002">
        <f t="shared" si="174"/>
        <v>0</v>
      </c>
      <c r="BJ376" s="1002">
        <f t="shared" si="175"/>
        <v>0</v>
      </c>
      <c r="BK376" s="1002">
        <f t="shared" si="176"/>
        <v>1</v>
      </c>
      <c r="BL376" s="1002">
        <f t="shared" si="177"/>
        <v>0</v>
      </c>
      <c r="BO376" s="119">
        <v>5</v>
      </c>
      <c r="BP376" s="128" t="s">
        <v>1404</v>
      </c>
      <c r="BQ376" s="119">
        <v>21</v>
      </c>
      <c r="BR376" s="119">
        <v>11</v>
      </c>
      <c r="BS376" s="119">
        <v>3</v>
      </c>
      <c r="BT376" s="119">
        <v>7</v>
      </c>
      <c r="BU376" s="119">
        <v>106</v>
      </c>
      <c r="BV376" s="119">
        <v>82</v>
      </c>
      <c r="BW376" s="119">
        <v>25</v>
      </c>
    </row>
    <row r="377" spans="2:75" x14ac:dyDescent="0.3">
      <c r="B377" s="1280">
        <v>229</v>
      </c>
      <c r="C377" s="977" t="s">
        <v>1818</v>
      </c>
      <c r="D377" s="977" t="s">
        <v>1829</v>
      </c>
      <c r="E377" s="977" t="s">
        <v>1542</v>
      </c>
      <c r="F377" s="978" t="s">
        <v>1879</v>
      </c>
      <c r="G377" s="977" t="s">
        <v>1398</v>
      </c>
      <c r="H377" s="991" t="str">
        <f t="shared" si="170"/>
        <v>Voitto</v>
      </c>
      <c r="I377" s="991" t="s">
        <v>1514</v>
      </c>
      <c r="J377" s="991" t="s">
        <v>0</v>
      </c>
      <c r="K377" s="991" t="s">
        <v>1007</v>
      </c>
      <c r="L377" s="992">
        <f t="shared" si="171"/>
        <v>10</v>
      </c>
      <c r="M377" s="992">
        <f t="shared" si="172"/>
        <v>2</v>
      </c>
      <c r="N377" s="1262">
        <v>2</v>
      </c>
      <c r="O377" s="992">
        <v>1</v>
      </c>
      <c r="P377" s="1262">
        <v>2</v>
      </c>
      <c r="Q377" s="992">
        <v>1</v>
      </c>
      <c r="R377" s="1262">
        <v>6</v>
      </c>
      <c r="S377" s="992">
        <v>0</v>
      </c>
      <c r="T377" s="1262"/>
      <c r="U377" s="992"/>
      <c r="V377" s="985">
        <v>0</v>
      </c>
      <c r="W377" s="985">
        <v>0</v>
      </c>
      <c r="X377" s="985"/>
      <c r="Y377" s="987"/>
      <c r="Z377" s="987"/>
      <c r="AA377" s="987"/>
      <c r="AB377" s="985">
        <v>0</v>
      </c>
      <c r="AC377" s="987">
        <v>0</v>
      </c>
      <c r="AD377" s="987">
        <v>0</v>
      </c>
      <c r="AE377" s="987">
        <v>0</v>
      </c>
      <c r="AF377" s="987">
        <v>0</v>
      </c>
      <c r="AG377" s="987">
        <v>0</v>
      </c>
      <c r="AH377" s="987">
        <v>0</v>
      </c>
      <c r="AI377" s="987">
        <v>0</v>
      </c>
      <c r="AJ377" s="987">
        <v>0</v>
      </c>
      <c r="AK377" s="985">
        <v>16</v>
      </c>
      <c r="AL377" s="986">
        <v>10.119999999999999</v>
      </c>
      <c r="AM377" s="986"/>
      <c r="AO377" s="983">
        <v>0</v>
      </c>
      <c r="AP377" s="983">
        <v>0</v>
      </c>
      <c r="AQ377" s="983"/>
      <c r="AR377" s="976"/>
      <c r="AS377" s="976"/>
      <c r="AT377" s="976"/>
      <c r="AU377" s="976">
        <v>0</v>
      </c>
      <c r="AV377" s="976">
        <v>0</v>
      </c>
      <c r="AW377" s="976">
        <v>0</v>
      </c>
      <c r="AX377" s="976">
        <v>0</v>
      </c>
      <c r="AY377" s="976">
        <v>0</v>
      </c>
      <c r="AZ377" s="976">
        <v>0</v>
      </c>
      <c r="BA377" s="976">
        <v>0</v>
      </c>
      <c r="BB377" s="976">
        <v>0</v>
      </c>
      <c r="BC377" s="976">
        <v>0</v>
      </c>
      <c r="BD377" s="983"/>
      <c r="BE377" s="983">
        <v>10.01</v>
      </c>
      <c r="BF377" s="983"/>
      <c r="BH377" s="1002">
        <f t="shared" si="173"/>
        <v>1</v>
      </c>
      <c r="BI377" s="1002">
        <f t="shared" si="174"/>
        <v>1</v>
      </c>
      <c r="BJ377" s="1002">
        <f t="shared" si="175"/>
        <v>1</v>
      </c>
      <c r="BK377" s="1002">
        <f t="shared" si="176"/>
        <v>0</v>
      </c>
      <c r="BL377" s="1002">
        <f t="shared" si="177"/>
        <v>0</v>
      </c>
      <c r="BO377" s="119">
        <v>6</v>
      </c>
      <c r="BP377" s="128" t="s">
        <v>1877</v>
      </c>
      <c r="BQ377" s="119">
        <v>21</v>
      </c>
      <c r="BR377" s="119">
        <v>6</v>
      </c>
      <c r="BS377" s="119">
        <v>1</v>
      </c>
      <c r="BT377" s="119">
        <v>14</v>
      </c>
      <c r="BU377" s="119">
        <v>86</v>
      </c>
      <c r="BV377" s="119">
        <v>106</v>
      </c>
      <c r="BW377" s="119">
        <v>13</v>
      </c>
    </row>
    <row r="378" spans="2:75" x14ac:dyDescent="0.3">
      <c r="B378" s="1280">
        <v>230</v>
      </c>
      <c r="C378" s="977" t="s">
        <v>1818</v>
      </c>
      <c r="D378" s="977" t="s">
        <v>1829</v>
      </c>
      <c r="E378" s="977" t="s">
        <v>1543</v>
      </c>
      <c r="F378" s="977" t="s">
        <v>1880</v>
      </c>
      <c r="G378" s="977" t="s">
        <v>44</v>
      </c>
      <c r="H378" s="991" t="str">
        <f t="shared" si="170"/>
        <v>Voitto</v>
      </c>
      <c r="I378" s="991" t="s">
        <v>1514</v>
      </c>
      <c r="J378" s="991" t="s">
        <v>0</v>
      </c>
      <c r="K378" s="991" t="s">
        <v>1002</v>
      </c>
      <c r="L378" s="992">
        <f t="shared" si="171"/>
        <v>7</v>
      </c>
      <c r="M378" s="992">
        <f t="shared" si="172"/>
        <v>4</v>
      </c>
      <c r="N378" s="1262">
        <v>3</v>
      </c>
      <c r="O378" s="992">
        <v>0</v>
      </c>
      <c r="P378" s="1262">
        <v>1</v>
      </c>
      <c r="Q378" s="992">
        <v>1</v>
      </c>
      <c r="R378" s="1262">
        <v>3</v>
      </c>
      <c r="S378" s="992">
        <v>3</v>
      </c>
      <c r="T378" s="1262"/>
      <c r="U378" s="992"/>
      <c r="V378" s="985">
        <v>0</v>
      </c>
      <c r="W378" s="985">
        <v>0</v>
      </c>
      <c r="X378" s="985"/>
      <c r="Y378" s="985"/>
      <c r="Z378" s="985"/>
      <c r="AA378" s="985"/>
      <c r="AB378" s="985">
        <v>0</v>
      </c>
      <c r="AC378" s="985">
        <v>0</v>
      </c>
      <c r="AD378" s="985">
        <v>0</v>
      </c>
      <c r="AE378" s="985">
        <v>0</v>
      </c>
      <c r="AF378" s="985">
        <v>0</v>
      </c>
      <c r="AG378" s="985">
        <v>0</v>
      </c>
      <c r="AH378" s="985">
        <v>0</v>
      </c>
      <c r="AI378" s="985">
        <v>0</v>
      </c>
      <c r="AJ378" s="985">
        <v>0</v>
      </c>
      <c r="AK378" s="985" t="s">
        <v>107</v>
      </c>
      <c r="AL378" s="985">
        <v>0.37</v>
      </c>
      <c r="AM378" s="985"/>
      <c r="AN378" s="8"/>
      <c r="AO378" s="983">
        <v>0</v>
      </c>
      <c r="AP378" s="983">
        <v>0</v>
      </c>
      <c r="AQ378" s="983"/>
      <c r="AR378" s="983"/>
      <c r="AS378" s="983"/>
      <c r="AT378" s="983"/>
      <c r="AU378" s="983">
        <v>0</v>
      </c>
      <c r="AV378" s="983">
        <v>0</v>
      </c>
      <c r="AW378" s="983">
        <v>0</v>
      </c>
      <c r="AX378" s="983">
        <v>0</v>
      </c>
      <c r="AY378" s="983">
        <v>0</v>
      </c>
      <c r="AZ378" s="983">
        <v>0</v>
      </c>
      <c r="BA378" s="983">
        <v>0</v>
      </c>
      <c r="BB378" s="983">
        <v>0</v>
      </c>
      <c r="BC378" s="983">
        <v>0</v>
      </c>
      <c r="BD378" s="983"/>
      <c r="BE378" s="983">
        <v>21.26</v>
      </c>
      <c r="BF378" s="983"/>
      <c r="BH378" s="1002">
        <f t="shared" si="173"/>
        <v>1</v>
      </c>
      <c r="BI378" s="1002">
        <f t="shared" si="174"/>
        <v>1</v>
      </c>
      <c r="BJ378" s="1002">
        <f t="shared" si="175"/>
        <v>1</v>
      </c>
      <c r="BK378" s="1002">
        <f t="shared" si="176"/>
        <v>0</v>
      </c>
      <c r="BL378" s="1002">
        <f t="shared" si="177"/>
        <v>0</v>
      </c>
      <c r="BO378" s="119">
        <v>7</v>
      </c>
      <c r="BP378" s="128" t="s">
        <v>1583</v>
      </c>
      <c r="BQ378" s="119">
        <v>21</v>
      </c>
      <c r="BR378" s="119">
        <v>3</v>
      </c>
      <c r="BS378" s="119">
        <v>4</v>
      </c>
      <c r="BT378" s="119">
        <v>14</v>
      </c>
      <c r="BU378" s="119">
        <v>69</v>
      </c>
      <c r="BV378" s="119">
        <v>117</v>
      </c>
      <c r="BW378" s="119">
        <v>10</v>
      </c>
    </row>
    <row r="379" spans="2:75" x14ac:dyDescent="0.3">
      <c r="B379" s="1280">
        <v>231</v>
      </c>
      <c r="C379" s="977" t="s">
        <v>1818</v>
      </c>
      <c r="D379" s="977" t="s">
        <v>1829</v>
      </c>
      <c r="E379" s="977" t="s">
        <v>1544</v>
      </c>
      <c r="F379" s="977" t="s">
        <v>1881</v>
      </c>
      <c r="G379" s="977" t="s">
        <v>44</v>
      </c>
      <c r="H379" s="991" t="str">
        <f t="shared" si="170"/>
        <v>Häviö</v>
      </c>
      <c r="I379" s="991" t="s">
        <v>1515</v>
      </c>
      <c r="J379" s="991" t="s">
        <v>0</v>
      </c>
      <c r="K379" s="991" t="s">
        <v>1394</v>
      </c>
      <c r="L379" s="992">
        <f t="shared" si="171"/>
        <v>2</v>
      </c>
      <c r="M379" s="992">
        <f t="shared" si="172"/>
        <v>3</v>
      </c>
      <c r="N379" s="1262">
        <v>0</v>
      </c>
      <c r="O379" s="992">
        <v>0</v>
      </c>
      <c r="P379" s="1262">
        <v>0</v>
      </c>
      <c r="Q379" s="992">
        <v>2</v>
      </c>
      <c r="R379" s="1262">
        <v>2</v>
      </c>
      <c r="S379" s="992">
        <v>1</v>
      </c>
      <c r="T379" s="1262"/>
      <c r="U379" s="992"/>
      <c r="V379" s="985">
        <v>0</v>
      </c>
      <c r="W379" s="985">
        <v>0</v>
      </c>
      <c r="X379" s="985"/>
      <c r="Y379" s="985"/>
      <c r="Z379" s="985"/>
      <c r="AA379" s="985"/>
      <c r="AB379" s="985"/>
      <c r="AC379" s="985"/>
      <c r="AD379" s="985"/>
      <c r="AE379" s="985"/>
      <c r="AF379" s="985"/>
      <c r="AG379" s="985"/>
      <c r="AH379" s="985"/>
      <c r="AI379" s="985"/>
      <c r="AJ379" s="985">
        <v>1</v>
      </c>
      <c r="AK379" s="985" t="s">
        <v>107</v>
      </c>
      <c r="AL379" s="985">
        <v>30.45</v>
      </c>
      <c r="AM379" s="985"/>
      <c r="AN379" s="8"/>
      <c r="AO379" s="983">
        <v>0</v>
      </c>
      <c r="AP379" s="983">
        <v>0</v>
      </c>
      <c r="AQ379" s="983"/>
      <c r="AR379" s="983"/>
      <c r="AS379" s="983"/>
      <c r="AT379" s="983"/>
      <c r="AU379" s="983"/>
      <c r="AV379" s="983"/>
      <c r="AW379" s="983"/>
      <c r="AX379" s="983"/>
      <c r="AY379" s="983"/>
      <c r="AZ379" s="983"/>
      <c r="BA379" s="983"/>
      <c r="BB379" s="983"/>
      <c r="BC379" s="983"/>
      <c r="BD379" s="983"/>
      <c r="BE379" s="983">
        <v>25.23</v>
      </c>
      <c r="BF379" s="983"/>
      <c r="BH379" s="1002">
        <f t="shared" si="173"/>
        <v>1</v>
      </c>
      <c r="BI379" s="1002">
        <f t="shared" si="174"/>
        <v>1</v>
      </c>
      <c r="BJ379" s="1002">
        <f t="shared" si="175"/>
        <v>1</v>
      </c>
      <c r="BK379" s="1002">
        <f t="shared" si="176"/>
        <v>0</v>
      </c>
      <c r="BL379" s="1002">
        <f t="shared" si="177"/>
        <v>0</v>
      </c>
      <c r="BO379" s="119">
        <v>8</v>
      </c>
      <c r="BP379" s="128" t="s">
        <v>1007</v>
      </c>
      <c r="BQ379" s="119">
        <v>21</v>
      </c>
      <c r="BR379" s="119">
        <v>1</v>
      </c>
      <c r="BS379" s="119">
        <v>2</v>
      </c>
      <c r="BT379" s="119">
        <v>18</v>
      </c>
      <c r="BU379" s="119">
        <v>71</v>
      </c>
      <c r="BV379" s="119">
        <v>179</v>
      </c>
      <c r="BW379" s="119">
        <v>4</v>
      </c>
    </row>
    <row r="380" spans="2:75" x14ac:dyDescent="0.3">
      <c r="B380" s="1280">
        <v>232</v>
      </c>
      <c r="C380" s="977" t="s">
        <v>1818</v>
      </c>
      <c r="D380" s="977" t="s">
        <v>1829</v>
      </c>
      <c r="E380" s="977" t="s">
        <v>1545</v>
      </c>
      <c r="F380" s="977" t="s">
        <v>1882</v>
      </c>
      <c r="G380" s="977" t="s">
        <v>1593</v>
      </c>
      <c r="H380" s="991" t="str">
        <f t="shared" si="170"/>
        <v>Voitto</v>
      </c>
      <c r="I380" s="991" t="s">
        <v>1515</v>
      </c>
      <c r="J380" s="991" t="s">
        <v>0</v>
      </c>
      <c r="K380" s="991" t="s">
        <v>1583</v>
      </c>
      <c r="L380" s="992">
        <f t="shared" si="171"/>
        <v>4</v>
      </c>
      <c r="M380" s="992">
        <f t="shared" si="172"/>
        <v>1</v>
      </c>
      <c r="N380" s="1262">
        <v>2</v>
      </c>
      <c r="O380" s="992">
        <v>0</v>
      </c>
      <c r="P380" s="1262">
        <v>1</v>
      </c>
      <c r="Q380" s="992">
        <v>0</v>
      </c>
      <c r="R380" s="1262">
        <v>1</v>
      </c>
      <c r="S380" s="992">
        <v>1</v>
      </c>
      <c r="T380" s="1262"/>
      <c r="U380" s="992"/>
      <c r="V380" s="985">
        <v>2</v>
      </c>
      <c r="W380" s="985">
        <v>4</v>
      </c>
      <c r="X380" s="985">
        <v>2</v>
      </c>
      <c r="Y380" s="985"/>
      <c r="Z380" s="985"/>
      <c r="AA380" s="985"/>
      <c r="AB380" s="985">
        <v>1</v>
      </c>
      <c r="AC380" s="985"/>
      <c r="AD380" s="985"/>
      <c r="AE380" s="985"/>
      <c r="AF380" s="985"/>
      <c r="AG380" s="985"/>
      <c r="AH380" s="985"/>
      <c r="AI380" s="985"/>
      <c r="AJ380" s="985"/>
      <c r="AK380" s="985">
        <v>3</v>
      </c>
      <c r="AL380" s="985">
        <v>14.14</v>
      </c>
      <c r="AM380" s="985"/>
      <c r="AN380" s="8"/>
      <c r="AO380" s="983">
        <v>3</v>
      </c>
      <c r="AP380" s="983">
        <v>6</v>
      </c>
      <c r="AQ380" s="983">
        <v>3</v>
      </c>
      <c r="AR380" s="983"/>
      <c r="AS380" s="983"/>
      <c r="AT380" s="983"/>
      <c r="AU380" s="983"/>
      <c r="AV380" s="983"/>
      <c r="AW380" s="983">
        <v>0</v>
      </c>
      <c r="AX380" s="983">
        <v>1</v>
      </c>
      <c r="AY380" s="983"/>
      <c r="AZ380" s="983"/>
      <c r="BA380" s="983"/>
      <c r="BB380" s="983"/>
      <c r="BC380" s="983"/>
      <c r="BD380" s="983"/>
      <c r="BE380" s="983">
        <v>36.200000000000003</v>
      </c>
      <c r="BF380" s="983"/>
      <c r="BH380" s="1002">
        <f t="shared" si="173"/>
        <v>0</v>
      </c>
      <c r="BI380" s="1002">
        <f t="shared" si="174"/>
        <v>0</v>
      </c>
      <c r="BJ380" s="1002">
        <f t="shared" si="175"/>
        <v>0</v>
      </c>
      <c r="BK380" s="1002">
        <f t="shared" si="176"/>
        <v>0</v>
      </c>
      <c r="BL380" s="1002">
        <f t="shared" si="177"/>
        <v>0</v>
      </c>
      <c r="BO380" s="8"/>
      <c r="BQ380" s="8"/>
      <c r="BR380" s="8"/>
      <c r="BS380" s="8"/>
      <c r="BT380" s="8"/>
      <c r="BU380" s="8"/>
      <c r="BV380" s="8"/>
      <c r="BW380" s="8"/>
    </row>
    <row r="381" spans="2:75" x14ac:dyDescent="0.3">
      <c r="B381" s="1280">
        <v>233</v>
      </c>
      <c r="C381" s="977" t="s">
        <v>1818</v>
      </c>
      <c r="D381" s="977" t="s">
        <v>1829</v>
      </c>
      <c r="E381" s="977" t="s">
        <v>1546</v>
      </c>
      <c r="F381" s="977" t="s">
        <v>1883</v>
      </c>
      <c r="G381" s="977" t="s">
        <v>1593</v>
      </c>
      <c r="H381" s="991" t="str">
        <f t="shared" si="170"/>
        <v>Voitto</v>
      </c>
      <c r="I381" s="991" t="s">
        <v>1515</v>
      </c>
      <c r="J381" s="991" t="s">
        <v>0</v>
      </c>
      <c r="K381" s="991" t="s">
        <v>1877</v>
      </c>
      <c r="L381" s="992">
        <f t="shared" si="171"/>
        <v>4</v>
      </c>
      <c r="M381" s="992">
        <f t="shared" si="172"/>
        <v>2</v>
      </c>
      <c r="N381" s="1262">
        <v>2</v>
      </c>
      <c r="O381" s="992">
        <v>1</v>
      </c>
      <c r="P381" s="1262">
        <v>2</v>
      </c>
      <c r="Q381" s="992">
        <v>1</v>
      </c>
      <c r="R381" s="1262">
        <v>0</v>
      </c>
      <c r="S381" s="992">
        <v>0</v>
      </c>
      <c r="T381" s="1262"/>
      <c r="U381" s="992"/>
      <c r="V381" s="985">
        <v>2</v>
      </c>
      <c r="W381" s="985">
        <v>4</v>
      </c>
      <c r="X381" s="985">
        <v>2</v>
      </c>
      <c r="Y381" s="985"/>
      <c r="Z381" s="985"/>
      <c r="AA381" s="985"/>
      <c r="AB381" s="985"/>
      <c r="AC381" s="985"/>
      <c r="AD381" s="985"/>
      <c r="AE381" s="985"/>
      <c r="AF381" s="985"/>
      <c r="AG381" s="985"/>
      <c r="AH381" s="985"/>
      <c r="AI381" s="985"/>
      <c r="AJ381" s="985"/>
      <c r="AK381" s="985">
        <v>11</v>
      </c>
      <c r="AL381" s="985">
        <v>11.15</v>
      </c>
      <c r="AM381" s="985"/>
      <c r="AN381" s="8"/>
      <c r="AO381" s="983">
        <v>2</v>
      </c>
      <c r="AP381" s="983">
        <v>4</v>
      </c>
      <c r="AQ381" s="983">
        <v>2</v>
      </c>
      <c r="AR381" s="983"/>
      <c r="AS381" s="983"/>
      <c r="AT381" s="983"/>
      <c r="AU381" s="983">
        <v>1</v>
      </c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>
        <v>1.32</v>
      </c>
      <c r="BF381" s="983"/>
      <c r="BH381" s="1002">
        <f t="shared" si="173"/>
        <v>0</v>
      </c>
      <c r="BI381" s="1002">
        <f t="shared" si="174"/>
        <v>0</v>
      </c>
      <c r="BJ381" s="1002">
        <f t="shared" si="175"/>
        <v>0</v>
      </c>
      <c r="BK381" s="1002">
        <f t="shared" si="176"/>
        <v>0</v>
      </c>
      <c r="BL381" s="1002">
        <f t="shared" si="177"/>
        <v>0</v>
      </c>
    </row>
    <row r="382" spans="2:75" x14ac:dyDescent="0.3">
      <c r="B382" s="1280">
        <v>234</v>
      </c>
      <c r="C382" s="977" t="s">
        <v>1818</v>
      </c>
      <c r="D382" s="977" t="s">
        <v>1829</v>
      </c>
      <c r="E382" s="977" t="s">
        <v>1547</v>
      </c>
      <c r="F382" s="977" t="s">
        <v>1885</v>
      </c>
      <c r="G382" s="977" t="s">
        <v>1147</v>
      </c>
      <c r="H382" s="991" t="str">
        <f t="shared" si="170"/>
        <v>Häviö</v>
      </c>
      <c r="I382" s="991" t="s">
        <v>1514</v>
      </c>
      <c r="J382" s="991" t="s">
        <v>0</v>
      </c>
      <c r="K382" s="991" t="s">
        <v>1878</v>
      </c>
      <c r="L382" s="992">
        <f t="shared" si="171"/>
        <v>1</v>
      </c>
      <c r="M382" s="992">
        <f t="shared" si="172"/>
        <v>3</v>
      </c>
      <c r="N382" s="1262">
        <v>0</v>
      </c>
      <c r="O382" s="992">
        <v>0</v>
      </c>
      <c r="P382" s="1262">
        <v>1</v>
      </c>
      <c r="Q382" s="992">
        <v>1</v>
      </c>
      <c r="R382" s="1262">
        <v>0</v>
      </c>
      <c r="S382" s="992">
        <v>2</v>
      </c>
      <c r="T382" s="1262"/>
      <c r="U382" s="992"/>
      <c r="V382" s="985">
        <v>1</v>
      </c>
      <c r="W382" s="985">
        <v>5</v>
      </c>
      <c r="X382" s="985"/>
      <c r="Y382" s="985">
        <v>1</v>
      </c>
      <c r="Z382" s="985"/>
      <c r="AA382" s="985"/>
      <c r="AB382" s="985"/>
      <c r="AC382" s="985"/>
      <c r="AD382" s="985"/>
      <c r="AE382" s="985"/>
      <c r="AF382" s="985"/>
      <c r="AG382" s="985"/>
      <c r="AH382" s="985"/>
      <c r="AI382" s="985"/>
      <c r="AJ382" s="985"/>
      <c r="AK382" s="985">
        <v>23</v>
      </c>
      <c r="AL382" s="985">
        <v>29.26</v>
      </c>
      <c r="AM382" s="985"/>
      <c r="AN382" s="8"/>
      <c r="AO382" s="983">
        <v>1</v>
      </c>
      <c r="AP382" s="983">
        <v>2</v>
      </c>
      <c r="AQ382" s="983">
        <v>1</v>
      </c>
      <c r="AR382" s="983"/>
      <c r="AS382" s="983"/>
      <c r="AT382" s="983"/>
      <c r="AU382" s="983">
        <v>1</v>
      </c>
      <c r="AV382" s="983"/>
      <c r="AW382" s="983"/>
      <c r="AX382" s="983"/>
      <c r="AY382" s="983"/>
      <c r="AZ382" s="983"/>
      <c r="BA382" s="983"/>
      <c r="BB382" s="983"/>
      <c r="BC382" s="983"/>
      <c r="BD382" s="983"/>
      <c r="BE382" s="983">
        <v>24.08</v>
      </c>
      <c r="BF382" s="983"/>
      <c r="BH382" s="1002">
        <f t="shared" si="173"/>
        <v>0</v>
      </c>
      <c r="BI382" s="1002">
        <f t="shared" si="174"/>
        <v>0</v>
      </c>
      <c r="BJ382" s="1002">
        <f t="shared" si="175"/>
        <v>0</v>
      </c>
      <c r="BK382" s="1002">
        <f t="shared" si="176"/>
        <v>0</v>
      </c>
      <c r="BL382" s="1002">
        <f t="shared" si="177"/>
        <v>0</v>
      </c>
    </row>
    <row r="383" spans="2:75" x14ac:dyDescent="0.3">
      <c r="B383" s="1280">
        <v>235</v>
      </c>
      <c r="C383" s="977" t="s">
        <v>1818</v>
      </c>
      <c r="D383" s="977" t="s">
        <v>1829</v>
      </c>
      <c r="E383" s="977" t="s">
        <v>1548</v>
      </c>
      <c r="F383" s="977" t="s">
        <v>1886</v>
      </c>
      <c r="G383" s="977" t="s">
        <v>1147</v>
      </c>
      <c r="H383" s="991" t="str">
        <f t="shared" si="170"/>
        <v>Voitto</v>
      </c>
      <c r="I383" s="991" t="s">
        <v>1515</v>
      </c>
      <c r="J383" s="991" t="s">
        <v>0</v>
      </c>
      <c r="K383" s="991" t="s">
        <v>1007</v>
      </c>
      <c r="L383" s="992">
        <f t="shared" si="171"/>
        <v>13</v>
      </c>
      <c r="M383" s="992">
        <f t="shared" si="172"/>
        <v>1</v>
      </c>
      <c r="N383" s="1262">
        <v>8</v>
      </c>
      <c r="O383" s="992">
        <v>1</v>
      </c>
      <c r="P383" s="1262">
        <v>4</v>
      </c>
      <c r="Q383" s="992">
        <v>0</v>
      </c>
      <c r="R383" s="1262">
        <v>1</v>
      </c>
      <c r="S383" s="992">
        <v>0</v>
      </c>
      <c r="T383" s="1262"/>
      <c r="U383" s="992"/>
      <c r="V383" s="985">
        <v>0</v>
      </c>
      <c r="W383" s="985">
        <v>0</v>
      </c>
      <c r="X383" s="985"/>
      <c r="Y383" s="985"/>
      <c r="Z383" s="985"/>
      <c r="AA383" s="985"/>
      <c r="AB383" s="985"/>
      <c r="AC383" s="985"/>
      <c r="AD383" s="985"/>
      <c r="AE383" s="985"/>
      <c r="AF383" s="985"/>
      <c r="AG383" s="985"/>
      <c r="AH383" s="985"/>
      <c r="AI383" s="985"/>
      <c r="AJ383" s="985"/>
      <c r="AK383" s="985">
        <v>8</v>
      </c>
      <c r="AL383" s="985">
        <v>3.23</v>
      </c>
      <c r="AM383" s="985"/>
      <c r="AN383" s="8"/>
      <c r="AO383" s="983">
        <v>0</v>
      </c>
      <c r="AP383" s="983">
        <v>0</v>
      </c>
      <c r="AQ383" s="983"/>
      <c r="AR383" s="983"/>
      <c r="AS383" s="983"/>
      <c r="AT383" s="983"/>
      <c r="AU383" s="983"/>
      <c r="AV383" s="983"/>
      <c r="AW383" s="983"/>
      <c r="AX383" s="983"/>
      <c r="AY383" s="983"/>
      <c r="AZ383" s="983"/>
      <c r="BA383" s="983"/>
      <c r="BB383" s="983"/>
      <c r="BC383" s="983"/>
      <c r="BD383" s="983"/>
      <c r="BE383" s="983">
        <v>13.46</v>
      </c>
      <c r="BF383" s="983"/>
      <c r="BH383" s="1002">
        <f t="shared" si="173"/>
        <v>1</v>
      </c>
      <c r="BI383" s="1002">
        <f t="shared" si="174"/>
        <v>1</v>
      </c>
      <c r="BJ383" s="1002">
        <f t="shared" si="175"/>
        <v>1</v>
      </c>
      <c r="BK383" s="1002">
        <f t="shared" si="176"/>
        <v>0</v>
      </c>
      <c r="BL383" s="1002">
        <f t="shared" si="177"/>
        <v>0</v>
      </c>
    </row>
    <row r="384" spans="2:75" x14ac:dyDescent="0.3">
      <c r="B384" s="1280">
        <v>236</v>
      </c>
      <c r="C384" s="977" t="s">
        <v>1818</v>
      </c>
      <c r="D384" s="977" t="s">
        <v>1829</v>
      </c>
      <c r="E384" s="977" t="s">
        <v>1549</v>
      </c>
      <c r="F384" s="977" t="s">
        <v>1887</v>
      </c>
      <c r="G384" s="977" t="s">
        <v>44</v>
      </c>
      <c r="H384" s="991" t="str">
        <f t="shared" si="170"/>
        <v>Voitto</v>
      </c>
      <c r="I384" s="991" t="s">
        <v>1514</v>
      </c>
      <c r="J384" s="991" t="s">
        <v>0</v>
      </c>
      <c r="K384" s="991" t="s">
        <v>1404</v>
      </c>
      <c r="L384" s="992">
        <f t="shared" si="171"/>
        <v>6</v>
      </c>
      <c r="M384" s="992">
        <f t="shared" si="172"/>
        <v>2</v>
      </c>
      <c r="N384" s="1262">
        <v>0</v>
      </c>
      <c r="O384" s="992">
        <v>1</v>
      </c>
      <c r="P384" s="1262">
        <v>0</v>
      </c>
      <c r="Q384" s="992">
        <v>1</v>
      </c>
      <c r="R384" s="1262">
        <v>6</v>
      </c>
      <c r="S384" s="992">
        <v>0</v>
      </c>
      <c r="T384" s="1262"/>
      <c r="U384" s="992"/>
      <c r="V384" s="985">
        <v>1</v>
      </c>
      <c r="W384" s="985">
        <v>2</v>
      </c>
      <c r="X384" s="985">
        <v>1</v>
      </c>
      <c r="Y384" s="985"/>
      <c r="Z384" s="985"/>
      <c r="AA384" s="985"/>
      <c r="AB384" s="985"/>
      <c r="AC384" s="985"/>
      <c r="AD384" s="985"/>
      <c r="AE384" s="985"/>
      <c r="AF384" s="985"/>
      <c r="AG384" s="985"/>
      <c r="AH384" s="985"/>
      <c r="AI384" s="985"/>
      <c r="AJ384" s="985"/>
      <c r="AK384" s="985">
        <v>15</v>
      </c>
      <c r="AL384" s="985">
        <v>31.1</v>
      </c>
      <c r="AM384" s="985"/>
      <c r="AN384" s="8"/>
      <c r="AO384" s="983">
        <v>1</v>
      </c>
      <c r="AP384" s="983">
        <v>2</v>
      </c>
      <c r="AQ384" s="983">
        <v>1</v>
      </c>
      <c r="AR384" s="983"/>
      <c r="AS384" s="983"/>
      <c r="AT384" s="983"/>
      <c r="AU384" s="983"/>
      <c r="AV384" s="983"/>
      <c r="AW384" s="983"/>
      <c r="AX384" s="983"/>
      <c r="AY384" s="983"/>
      <c r="AZ384" s="983"/>
      <c r="BA384" s="983"/>
      <c r="BB384" s="983"/>
      <c r="BC384" s="983"/>
      <c r="BD384" s="983"/>
      <c r="BE384" s="983">
        <v>8.33</v>
      </c>
      <c r="BF384" s="983"/>
      <c r="BH384" s="1002">
        <f t="shared" si="173"/>
        <v>0</v>
      </c>
      <c r="BI384" s="1002">
        <f t="shared" si="174"/>
        <v>0</v>
      </c>
      <c r="BJ384" s="1002">
        <f t="shared" si="175"/>
        <v>0</v>
      </c>
      <c r="BK384" s="1002">
        <f t="shared" si="176"/>
        <v>0</v>
      </c>
      <c r="BL384" s="1002">
        <f t="shared" si="177"/>
        <v>0</v>
      </c>
    </row>
    <row r="385" spans="2:64" x14ac:dyDescent="0.3">
      <c r="B385" s="1280">
        <v>237</v>
      </c>
      <c r="C385" s="977" t="s">
        <v>1818</v>
      </c>
      <c r="D385" s="977" t="s">
        <v>1829</v>
      </c>
      <c r="E385" s="977" t="s">
        <v>1550</v>
      </c>
      <c r="F385" s="977" t="s">
        <v>1888</v>
      </c>
      <c r="G385" s="977" t="s">
        <v>44</v>
      </c>
      <c r="H385" s="991" t="str">
        <f t="shared" si="170"/>
        <v>Voitto</v>
      </c>
      <c r="I385" s="991" t="s">
        <v>1515</v>
      </c>
      <c r="J385" s="991" t="s">
        <v>0</v>
      </c>
      <c r="K385" s="991" t="s">
        <v>1002</v>
      </c>
      <c r="L385" s="992">
        <f>N385+P385+R385</f>
        <v>8</v>
      </c>
      <c r="M385" s="992">
        <f>O385+Q385+S385</f>
        <v>3</v>
      </c>
      <c r="N385" s="1262">
        <v>1</v>
      </c>
      <c r="O385" s="992">
        <v>1</v>
      </c>
      <c r="P385" s="1262">
        <v>3</v>
      </c>
      <c r="Q385" s="992">
        <v>1</v>
      </c>
      <c r="R385" s="1262">
        <v>4</v>
      </c>
      <c r="S385" s="992">
        <v>1</v>
      </c>
      <c r="T385" s="1262"/>
      <c r="U385" s="992"/>
      <c r="V385" s="985">
        <v>3</v>
      </c>
      <c r="W385" s="985">
        <v>6</v>
      </c>
      <c r="X385" s="985">
        <v>3</v>
      </c>
      <c r="Y385" s="985"/>
      <c r="Z385" s="985"/>
      <c r="AA385" s="985"/>
      <c r="AB385" s="985"/>
      <c r="AC385" s="985"/>
      <c r="AD385" s="985"/>
      <c r="AE385" s="985"/>
      <c r="AF385" s="985"/>
      <c r="AG385" s="985">
        <v>1</v>
      </c>
      <c r="AH385" s="985"/>
      <c r="AI385" s="985"/>
      <c r="AJ385" s="985"/>
      <c r="AK385" s="985">
        <v>14</v>
      </c>
      <c r="AL385" s="985">
        <v>13.49</v>
      </c>
      <c r="AM385" s="985"/>
      <c r="AN385" s="8"/>
      <c r="AO385" s="983">
        <v>1</v>
      </c>
      <c r="AP385" s="983">
        <v>2</v>
      </c>
      <c r="AQ385" s="983">
        <v>1</v>
      </c>
      <c r="AR385" s="983"/>
      <c r="AS385" s="983"/>
      <c r="AT385" s="983"/>
      <c r="AU385" s="983">
        <v>1</v>
      </c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>
        <v>8.42</v>
      </c>
      <c r="BF385" s="983"/>
      <c r="BH385" s="1002">
        <f t="shared" si="173"/>
        <v>0</v>
      </c>
      <c r="BI385" s="1002">
        <f t="shared" si="174"/>
        <v>0</v>
      </c>
      <c r="BJ385" s="1002">
        <f t="shared" si="175"/>
        <v>0</v>
      </c>
      <c r="BK385" s="1002">
        <f t="shared" si="176"/>
        <v>0</v>
      </c>
      <c r="BL385" s="1002">
        <f t="shared" si="177"/>
        <v>0</v>
      </c>
    </row>
    <row r="386" spans="2:64" x14ac:dyDescent="0.3">
      <c r="B386" s="1280">
        <v>238</v>
      </c>
      <c r="C386" s="977" t="s">
        <v>1818</v>
      </c>
      <c r="D386" s="977" t="s">
        <v>1829</v>
      </c>
      <c r="E386" s="977" t="s">
        <v>1551</v>
      </c>
      <c r="F386" s="977" t="s">
        <v>1889</v>
      </c>
      <c r="G386" s="977" t="s">
        <v>1147</v>
      </c>
      <c r="H386" s="991" t="str">
        <f t="shared" si="170"/>
        <v>Voitto</v>
      </c>
      <c r="I386" s="991" t="s">
        <v>1514</v>
      </c>
      <c r="J386" s="991" t="s">
        <v>0</v>
      </c>
      <c r="K386" s="991" t="s">
        <v>1394</v>
      </c>
      <c r="L386" s="992">
        <f t="shared" ref="L386" si="178">N386+P386+R386</f>
        <v>3</v>
      </c>
      <c r="M386" s="992">
        <f t="shared" ref="M386" si="179">O386+Q386+S386</f>
        <v>2</v>
      </c>
      <c r="N386" s="1262">
        <v>2</v>
      </c>
      <c r="O386" s="992">
        <v>0</v>
      </c>
      <c r="P386" s="1262">
        <v>1</v>
      </c>
      <c r="Q386" s="992">
        <v>1</v>
      </c>
      <c r="R386" s="1262">
        <v>0</v>
      </c>
      <c r="S386" s="992">
        <v>1</v>
      </c>
      <c r="T386" s="1262"/>
      <c r="U386" s="992"/>
      <c r="V386" s="985">
        <v>0</v>
      </c>
      <c r="W386" s="985">
        <v>0</v>
      </c>
      <c r="X386" s="985"/>
      <c r="Y386" s="985"/>
      <c r="Z386" s="985"/>
      <c r="AA386" s="985"/>
      <c r="AB386" s="985">
        <v>0</v>
      </c>
      <c r="AC386" s="985"/>
      <c r="AD386" s="985"/>
      <c r="AE386" s="985"/>
      <c r="AF386" s="985"/>
      <c r="AG386" s="985"/>
      <c r="AH386" s="985"/>
      <c r="AI386" s="985"/>
      <c r="AJ386" s="985"/>
      <c r="AK386" s="985">
        <v>13</v>
      </c>
      <c r="AL386" s="985">
        <v>5.51</v>
      </c>
      <c r="AM386" s="985"/>
      <c r="AN386" s="8"/>
      <c r="AO386" s="983">
        <v>0</v>
      </c>
      <c r="AP386" s="983">
        <v>0</v>
      </c>
      <c r="AQ386" s="983"/>
      <c r="AR386" s="983"/>
      <c r="AS386" s="983"/>
      <c r="AT386" s="983"/>
      <c r="AU386" s="983"/>
      <c r="AV386" s="983"/>
      <c r="AW386" s="983"/>
      <c r="AX386" s="983"/>
      <c r="AY386" s="983"/>
      <c r="AZ386" s="983"/>
      <c r="BA386" s="983"/>
      <c r="BB386" s="983"/>
      <c r="BC386" s="983"/>
      <c r="BD386" s="983"/>
      <c r="BE386" s="983">
        <v>26.46</v>
      </c>
      <c r="BF386" s="983"/>
      <c r="BH386" s="1002">
        <f t="shared" si="173"/>
        <v>1</v>
      </c>
      <c r="BI386" s="1002">
        <f t="shared" si="174"/>
        <v>1</v>
      </c>
      <c r="BJ386" s="1002">
        <f t="shared" si="175"/>
        <v>1</v>
      </c>
      <c r="BK386" s="1002">
        <f t="shared" si="176"/>
        <v>0</v>
      </c>
      <c r="BL386" s="1002">
        <f t="shared" si="177"/>
        <v>0</v>
      </c>
    </row>
    <row r="387" spans="2:64" x14ac:dyDescent="0.3">
      <c r="B387" s="1280">
        <v>239</v>
      </c>
      <c r="C387" s="977" t="s">
        <v>1818</v>
      </c>
      <c r="D387" s="977" t="s">
        <v>1829</v>
      </c>
      <c r="E387" s="977" t="s">
        <v>1552</v>
      </c>
      <c r="F387" s="977" t="s">
        <v>1890</v>
      </c>
      <c r="G387" s="977" t="s">
        <v>1147</v>
      </c>
      <c r="H387" s="991" t="str">
        <f t="shared" ref="H387:H394" si="180">IF(L387=M387,"Tasapeli",IF(L387&lt;M387,"Häviö","Voitto"))</f>
        <v>Voitto</v>
      </c>
      <c r="I387" s="991" t="s">
        <v>1514</v>
      </c>
      <c r="J387" s="991" t="s">
        <v>0</v>
      </c>
      <c r="K387" s="991" t="s">
        <v>1583</v>
      </c>
      <c r="L387" s="992">
        <f t="shared" ref="L387:L391" si="181">N387+P387+R387</f>
        <v>3</v>
      </c>
      <c r="M387" s="992">
        <f t="shared" ref="M387:M391" si="182">O387+Q387+S387</f>
        <v>1</v>
      </c>
      <c r="N387" s="1262">
        <v>1</v>
      </c>
      <c r="O387" s="992">
        <v>0</v>
      </c>
      <c r="P387" s="1262">
        <v>0</v>
      </c>
      <c r="Q387" s="992">
        <v>0</v>
      </c>
      <c r="R387" s="1262">
        <v>2</v>
      </c>
      <c r="S387" s="992">
        <v>1</v>
      </c>
      <c r="T387" s="1262"/>
      <c r="U387" s="992"/>
      <c r="V387" s="985">
        <v>2</v>
      </c>
      <c r="W387" s="985">
        <v>4</v>
      </c>
      <c r="X387" s="985">
        <v>2</v>
      </c>
      <c r="Y387" s="985"/>
      <c r="Z387" s="985"/>
      <c r="AA387" s="985"/>
      <c r="AB387" s="985"/>
      <c r="AC387" s="985">
        <v>1</v>
      </c>
      <c r="AD387" s="985"/>
      <c r="AE387" s="985"/>
      <c r="AF387" s="985"/>
      <c r="AG387" s="985"/>
      <c r="AH387" s="985"/>
      <c r="AI387" s="985"/>
      <c r="AJ387" s="985"/>
      <c r="AK387" s="985">
        <v>15</v>
      </c>
      <c r="AL387" s="985">
        <v>8.1199999999999992</v>
      </c>
      <c r="AM387" s="985"/>
      <c r="AN387" s="8"/>
      <c r="AO387" s="983">
        <v>1</v>
      </c>
      <c r="AP387" s="983">
        <v>2</v>
      </c>
      <c r="AQ387" s="983">
        <v>1</v>
      </c>
      <c r="AR387" s="983"/>
      <c r="AS387" s="983"/>
      <c r="AT387" s="983"/>
      <c r="AU387" s="983"/>
      <c r="AV387" s="983"/>
      <c r="AW387" s="983"/>
      <c r="AX387" s="983"/>
      <c r="AY387" s="983"/>
      <c r="AZ387" s="983"/>
      <c r="BA387" s="983"/>
      <c r="BB387" s="983"/>
      <c r="BC387" s="983"/>
      <c r="BD387" s="983"/>
      <c r="BE387" s="983">
        <v>43.13</v>
      </c>
      <c r="BF387" s="983"/>
      <c r="BH387" s="1002">
        <f t="shared" si="173"/>
        <v>0</v>
      </c>
      <c r="BI387" s="1002">
        <f t="shared" si="174"/>
        <v>0</v>
      </c>
      <c r="BJ387" s="1002">
        <f t="shared" si="175"/>
        <v>0</v>
      </c>
      <c r="BK387" s="1002">
        <f t="shared" si="176"/>
        <v>0</v>
      </c>
      <c r="BL387" s="1002">
        <f t="shared" si="177"/>
        <v>0</v>
      </c>
    </row>
    <row r="388" spans="2:64" x14ac:dyDescent="0.3">
      <c r="B388" s="1280">
        <v>240</v>
      </c>
      <c r="C388" s="977" t="s">
        <v>1818</v>
      </c>
      <c r="D388" s="977" t="s">
        <v>1829</v>
      </c>
      <c r="E388" s="977" t="s">
        <v>1553</v>
      </c>
      <c r="F388" s="977" t="s">
        <v>1891</v>
      </c>
      <c r="G388" s="977" t="s">
        <v>1398</v>
      </c>
      <c r="H388" s="991" t="str">
        <f t="shared" si="180"/>
        <v>Voitto</v>
      </c>
      <c r="I388" s="991" t="s">
        <v>1515</v>
      </c>
      <c r="J388" s="991" t="s">
        <v>0</v>
      </c>
      <c r="K388" s="991" t="s">
        <v>1404</v>
      </c>
      <c r="L388" s="992">
        <f t="shared" si="181"/>
        <v>5</v>
      </c>
      <c r="M388" s="992">
        <f t="shared" si="182"/>
        <v>3</v>
      </c>
      <c r="N388" s="1262">
        <v>1</v>
      </c>
      <c r="O388" s="992">
        <v>0</v>
      </c>
      <c r="P388" s="1262">
        <v>2</v>
      </c>
      <c r="Q388" s="992">
        <v>0</v>
      </c>
      <c r="R388" s="1262">
        <v>2</v>
      </c>
      <c r="S388" s="992">
        <v>3</v>
      </c>
      <c r="T388" s="1262"/>
      <c r="U388" s="992"/>
      <c r="V388" s="985">
        <v>0</v>
      </c>
      <c r="W388" s="985">
        <v>0</v>
      </c>
      <c r="X388" s="985"/>
      <c r="Y388" s="985"/>
      <c r="Z388" s="985"/>
      <c r="AA388" s="985"/>
      <c r="AB388" s="985">
        <v>2</v>
      </c>
      <c r="AC388" s="985"/>
      <c r="AD388" s="985"/>
      <c r="AE388" s="985"/>
      <c r="AF388" s="985"/>
      <c r="AG388" s="985"/>
      <c r="AH388" s="985"/>
      <c r="AI388" s="985"/>
      <c r="AJ388" s="985"/>
      <c r="AK388" s="985">
        <v>19</v>
      </c>
      <c r="AL388" s="985">
        <v>1.1299999999999999</v>
      </c>
      <c r="AM388" s="985"/>
      <c r="AN388" s="8"/>
      <c r="AO388" s="983">
        <v>3</v>
      </c>
      <c r="AP388" s="983">
        <v>9</v>
      </c>
      <c r="AQ388" s="983">
        <v>2</v>
      </c>
      <c r="AR388" s="983">
        <v>1</v>
      </c>
      <c r="AS388" s="983"/>
      <c r="AT388" s="983"/>
      <c r="AU388" s="983"/>
      <c r="AV388" s="983"/>
      <c r="AW388" s="983"/>
      <c r="AX388" s="983"/>
      <c r="AY388" s="983"/>
      <c r="AZ388" s="983"/>
      <c r="BA388" s="983"/>
      <c r="BB388" s="983"/>
      <c r="BC388" s="983"/>
      <c r="BD388" s="983"/>
      <c r="BE388" s="983">
        <v>33.159999999999997</v>
      </c>
      <c r="BF388" s="983"/>
      <c r="BH388" s="1002">
        <f t="shared" si="173"/>
        <v>1</v>
      </c>
      <c r="BI388" s="1002">
        <f t="shared" si="174"/>
        <v>0</v>
      </c>
      <c r="BJ388" s="1002">
        <f t="shared" si="175"/>
        <v>0</v>
      </c>
      <c r="BK388" s="1002">
        <f t="shared" si="176"/>
        <v>1</v>
      </c>
      <c r="BL388" s="1002">
        <f t="shared" si="177"/>
        <v>0</v>
      </c>
    </row>
    <row r="389" spans="2:64" x14ac:dyDescent="0.3">
      <c r="B389" s="1280">
        <v>241</v>
      </c>
      <c r="C389" s="977" t="s">
        <v>1818</v>
      </c>
      <c r="D389" s="977" t="s">
        <v>1829</v>
      </c>
      <c r="E389" s="977" t="s">
        <v>1554</v>
      </c>
      <c r="F389" s="977" t="s">
        <v>1892</v>
      </c>
      <c r="G389" s="977" t="s">
        <v>1398</v>
      </c>
      <c r="H389" s="991" t="str">
        <f t="shared" si="180"/>
        <v>Voitto</v>
      </c>
      <c r="I389" s="991" t="s">
        <v>1514</v>
      </c>
      <c r="J389" s="991" t="s">
        <v>0</v>
      </c>
      <c r="K389" s="991" t="s">
        <v>1007</v>
      </c>
      <c r="L389" s="992">
        <f t="shared" si="181"/>
        <v>13</v>
      </c>
      <c r="M389" s="992">
        <f t="shared" si="182"/>
        <v>3</v>
      </c>
      <c r="N389" s="1262">
        <v>2</v>
      </c>
      <c r="O389" s="992">
        <v>1</v>
      </c>
      <c r="P389" s="1262">
        <v>3</v>
      </c>
      <c r="Q389" s="992">
        <v>1</v>
      </c>
      <c r="R389" s="1262">
        <v>8</v>
      </c>
      <c r="S389" s="992">
        <v>1</v>
      </c>
      <c r="T389" s="1262"/>
      <c r="U389" s="992"/>
      <c r="V389" s="985">
        <v>0</v>
      </c>
      <c r="W389" s="985">
        <v>0</v>
      </c>
      <c r="X389" s="985"/>
      <c r="Y389" s="985"/>
      <c r="Z389" s="985"/>
      <c r="AA389" s="985"/>
      <c r="AB389" s="985"/>
      <c r="AC389" s="985"/>
      <c r="AD389" s="985"/>
      <c r="AE389" s="985"/>
      <c r="AF389" s="985"/>
      <c r="AG389" s="985"/>
      <c r="AH389" s="985"/>
      <c r="AI389" s="985"/>
      <c r="AJ389" s="985"/>
      <c r="AK389" s="985">
        <v>17</v>
      </c>
      <c r="AL389" s="985">
        <v>10.43</v>
      </c>
      <c r="AM389" s="985"/>
      <c r="AN389" s="8"/>
      <c r="AO389" s="983">
        <v>0</v>
      </c>
      <c r="AP389" s="983">
        <v>0</v>
      </c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>
        <v>2.56</v>
      </c>
      <c r="BF389" s="983"/>
      <c r="BH389" s="1002">
        <f t="shared" si="173"/>
        <v>1</v>
      </c>
      <c r="BI389" s="1002">
        <f t="shared" si="174"/>
        <v>1</v>
      </c>
      <c r="BJ389" s="1002">
        <f t="shared" si="175"/>
        <v>1</v>
      </c>
      <c r="BK389" s="1002">
        <f t="shared" si="176"/>
        <v>0</v>
      </c>
      <c r="BL389" s="1002">
        <f t="shared" si="177"/>
        <v>0</v>
      </c>
    </row>
    <row r="390" spans="2:64" x14ac:dyDescent="0.3">
      <c r="B390" s="1280">
        <v>242</v>
      </c>
      <c r="C390" s="977" t="s">
        <v>1818</v>
      </c>
      <c r="D390" s="977" t="s">
        <v>1829</v>
      </c>
      <c r="E390" s="977" t="s">
        <v>1555</v>
      </c>
      <c r="F390" s="978" t="s">
        <v>1893</v>
      </c>
      <c r="G390" s="977" t="s">
        <v>1414</v>
      </c>
      <c r="H390" s="991" t="str">
        <f t="shared" si="180"/>
        <v>Voitto</v>
      </c>
      <c r="I390" s="991" t="s">
        <v>1514</v>
      </c>
      <c r="J390" s="991" t="s">
        <v>0</v>
      </c>
      <c r="K390" s="991" t="s">
        <v>1877</v>
      </c>
      <c r="L390" s="992">
        <f t="shared" si="181"/>
        <v>7</v>
      </c>
      <c r="M390" s="992">
        <f t="shared" si="182"/>
        <v>4</v>
      </c>
      <c r="N390" s="1262">
        <v>1</v>
      </c>
      <c r="O390" s="992">
        <v>4</v>
      </c>
      <c r="P390" s="1262">
        <v>3</v>
      </c>
      <c r="Q390" s="992">
        <v>0</v>
      </c>
      <c r="R390" s="1262">
        <v>3</v>
      </c>
      <c r="S390" s="992">
        <v>0</v>
      </c>
      <c r="T390" s="1262"/>
      <c r="U390" s="992"/>
      <c r="V390" s="985">
        <v>2</v>
      </c>
      <c r="W390" s="985">
        <v>4</v>
      </c>
      <c r="X390" s="985">
        <v>2</v>
      </c>
      <c r="Y390" s="985"/>
      <c r="Z390" s="985"/>
      <c r="AA390" s="985"/>
      <c r="AB390" s="985"/>
      <c r="AC390" s="985"/>
      <c r="AD390" s="985"/>
      <c r="AE390" s="985"/>
      <c r="AF390" s="985"/>
      <c r="AG390" s="985"/>
      <c r="AH390" s="985"/>
      <c r="AI390" s="985"/>
      <c r="AJ390" s="985"/>
      <c r="AK390" s="985">
        <v>13</v>
      </c>
      <c r="AL390" s="985">
        <v>14.48</v>
      </c>
      <c r="AM390" s="985"/>
      <c r="AN390" s="8"/>
      <c r="AO390" s="983">
        <v>2</v>
      </c>
      <c r="AP390" s="983">
        <v>4</v>
      </c>
      <c r="AQ390" s="983">
        <v>2</v>
      </c>
      <c r="AR390" s="983"/>
      <c r="AS390" s="983"/>
      <c r="AT390" s="983"/>
      <c r="AU390" s="983"/>
      <c r="AV390" s="983"/>
      <c r="AW390" s="983"/>
      <c r="AX390" s="983"/>
      <c r="AY390" s="983"/>
      <c r="AZ390" s="983"/>
      <c r="BA390" s="983"/>
      <c r="BB390" s="983"/>
      <c r="BC390" s="983"/>
      <c r="BD390" s="983"/>
      <c r="BE390" s="983">
        <v>0.56999999999999995</v>
      </c>
      <c r="BF390" s="983"/>
      <c r="BH390" s="1002">
        <f t="shared" si="173"/>
        <v>0</v>
      </c>
      <c r="BI390" s="1002">
        <f t="shared" si="174"/>
        <v>0</v>
      </c>
      <c r="BJ390" s="1002">
        <f t="shared" si="175"/>
        <v>0</v>
      </c>
      <c r="BK390" s="1002">
        <f t="shared" si="176"/>
        <v>0</v>
      </c>
      <c r="BL390" s="1002">
        <f t="shared" si="177"/>
        <v>0</v>
      </c>
    </row>
    <row r="391" spans="2:64" x14ac:dyDescent="0.3">
      <c r="B391" s="1280">
        <v>243</v>
      </c>
      <c r="C391" s="977" t="s">
        <v>1818</v>
      </c>
      <c r="D391" s="977" t="s">
        <v>1829</v>
      </c>
      <c r="E391" s="977" t="s">
        <v>1871</v>
      </c>
      <c r="F391" s="977" t="s">
        <v>1894</v>
      </c>
      <c r="G391" s="977" t="s">
        <v>1414</v>
      </c>
      <c r="H391" s="991" t="str">
        <f t="shared" si="180"/>
        <v>Voitto</v>
      </c>
      <c r="I391" s="991" t="s">
        <v>1515</v>
      </c>
      <c r="J391" s="991" t="s">
        <v>0</v>
      </c>
      <c r="K391" s="991" t="s">
        <v>1878</v>
      </c>
      <c r="L391" s="992">
        <f t="shared" si="181"/>
        <v>8</v>
      </c>
      <c r="M391" s="992">
        <f t="shared" si="182"/>
        <v>3</v>
      </c>
      <c r="N391" s="1262">
        <v>1</v>
      </c>
      <c r="O391" s="992">
        <v>2</v>
      </c>
      <c r="P391" s="1262">
        <v>3</v>
      </c>
      <c r="Q391" s="992">
        <v>1</v>
      </c>
      <c r="R391" s="1262">
        <v>4</v>
      </c>
      <c r="S391" s="992">
        <v>0</v>
      </c>
      <c r="T391" s="1262"/>
      <c r="U391" s="992"/>
      <c r="V391" s="985">
        <v>0</v>
      </c>
      <c r="W391" s="985">
        <v>0</v>
      </c>
      <c r="X391" s="985"/>
      <c r="Y391" s="985"/>
      <c r="Z391" s="985"/>
      <c r="AA391" s="985"/>
      <c r="AB391" s="985">
        <v>2</v>
      </c>
      <c r="AC391" s="985"/>
      <c r="AD391" s="985"/>
      <c r="AE391" s="985"/>
      <c r="AF391" s="985"/>
      <c r="AG391" s="985"/>
      <c r="AH391" s="985"/>
      <c r="AI391" s="985"/>
      <c r="AJ391" s="985"/>
      <c r="AK391" s="985">
        <v>9</v>
      </c>
      <c r="AL391" s="985">
        <v>11.53</v>
      </c>
      <c r="AM391" s="985"/>
      <c r="AN391" s="8"/>
      <c r="AO391" s="983">
        <v>2</v>
      </c>
      <c r="AP391" s="983">
        <v>4</v>
      </c>
      <c r="AQ391" s="983">
        <v>2</v>
      </c>
      <c r="AR391" s="983"/>
      <c r="AS391" s="983"/>
      <c r="AT391" s="983"/>
      <c r="AU391" s="983"/>
      <c r="AV391" s="983"/>
      <c r="AW391" s="983"/>
      <c r="AX391" s="983"/>
      <c r="AY391" s="983"/>
      <c r="AZ391" s="983"/>
      <c r="BA391" s="983"/>
      <c r="BB391" s="983"/>
      <c r="BC391" s="983"/>
      <c r="BD391" s="983"/>
      <c r="BE391" s="983">
        <v>6.04</v>
      </c>
      <c r="BF391" s="983"/>
      <c r="BH391" s="1002">
        <f t="shared" si="173"/>
        <v>1</v>
      </c>
      <c r="BI391" s="1002">
        <f t="shared" si="174"/>
        <v>0</v>
      </c>
      <c r="BJ391" s="1002">
        <f t="shared" si="175"/>
        <v>0</v>
      </c>
      <c r="BK391" s="1002">
        <f t="shared" si="176"/>
        <v>1</v>
      </c>
      <c r="BL391" s="1002">
        <f t="shared" si="177"/>
        <v>0</v>
      </c>
    </row>
    <row r="392" spans="2:64" x14ac:dyDescent="0.3">
      <c r="B392" s="1280">
        <v>244</v>
      </c>
      <c r="C392" s="1055" t="s">
        <v>1818</v>
      </c>
      <c r="D392" s="1055" t="s">
        <v>2378</v>
      </c>
      <c r="E392" s="1055" t="s">
        <v>1902</v>
      </c>
      <c r="F392" s="1055" t="s">
        <v>1905</v>
      </c>
      <c r="G392" s="1055" t="s">
        <v>1906</v>
      </c>
      <c r="H392" s="991" t="str">
        <f t="shared" si="180"/>
        <v>Häviö</v>
      </c>
      <c r="I392" s="1056" t="s">
        <v>1515</v>
      </c>
      <c r="J392" s="1056" t="s">
        <v>0</v>
      </c>
      <c r="K392" s="1056" t="s">
        <v>1907</v>
      </c>
      <c r="L392" s="992">
        <f>N392+P392+R392</f>
        <v>2</v>
      </c>
      <c r="M392" s="992">
        <f>O392+Q392+S392</f>
        <v>3</v>
      </c>
      <c r="N392" s="1262">
        <v>1</v>
      </c>
      <c r="O392" s="992">
        <v>0</v>
      </c>
      <c r="P392" s="1262">
        <v>1</v>
      </c>
      <c r="Q392" s="992">
        <v>1</v>
      </c>
      <c r="R392" s="1262">
        <v>0</v>
      </c>
      <c r="S392" s="992">
        <v>2</v>
      </c>
      <c r="T392" s="1262"/>
      <c r="U392" s="992"/>
      <c r="V392" s="985">
        <v>5</v>
      </c>
      <c r="W392" s="985">
        <v>18</v>
      </c>
      <c r="X392" s="985">
        <v>4</v>
      </c>
      <c r="Y392" s="985"/>
      <c r="Z392" s="985">
        <v>1</v>
      </c>
      <c r="AA392" s="985"/>
      <c r="AB392" s="985">
        <v>2</v>
      </c>
      <c r="AC392" s="985"/>
      <c r="AD392" s="985"/>
      <c r="AE392" s="985"/>
      <c r="AF392" s="985"/>
      <c r="AG392" s="985"/>
      <c r="AH392" s="985"/>
      <c r="AI392" s="985"/>
      <c r="AJ392" s="985"/>
      <c r="AK392" s="985">
        <v>12</v>
      </c>
      <c r="AL392" s="985">
        <v>10.25</v>
      </c>
      <c r="AM392" s="985"/>
      <c r="AN392" s="8"/>
      <c r="AO392" s="983">
        <v>2</v>
      </c>
      <c r="AP392" s="983">
        <v>4</v>
      </c>
      <c r="AQ392" s="983">
        <v>2</v>
      </c>
      <c r="AR392" s="983"/>
      <c r="AS392" s="983"/>
      <c r="AT392" s="983"/>
      <c r="AU392" s="983"/>
      <c r="AV392" s="983"/>
      <c r="AW392" s="983"/>
      <c r="AX392" s="983"/>
      <c r="AY392" s="983"/>
      <c r="AZ392" s="983"/>
      <c r="BA392" s="983"/>
      <c r="BB392" s="983"/>
      <c r="BC392" s="983"/>
      <c r="BD392" s="983"/>
      <c r="BE392" s="983">
        <v>27.24</v>
      </c>
      <c r="BF392" s="983"/>
      <c r="BH392" s="1002">
        <f t="shared" si="173"/>
        <v>0</v>
      </c>
      <c r="BI392" s="1002">
        <f t="shared" si="174"/>
        <v>0</v>
      </c>
      <c r="BJ392" s="1002">
        <f t="shared" si="175"/>
        <v>0</v>
      </c>
      <c r="BK392" s="1002">
        <f t="shared" si="176"/>
        <v>0</v>
      </c>
      <c r="BL392" s="1002">
        <f t="shared" si="177"/>
        <v>0</v>
      </c>
    </row>
    <row r="393" spans="2:64" x14ac:dyDescent="0.3">
      <c r="B393" s="1280">
        <v>245</v>
      </c>
      <c r="C393" s="1055" t="s">
        <v>1818</v>
      </c>
      <c r="D393" s="1055" t="s">
        <v>2378</v>
      </c>
      <c r="E393" s="1055" t="s">
        <v>1903</v>
      </c>
      <c r="F393" s="1054" t="s">
        <v>1908</v>
      </c>
      <c r="G393" s="1055" t="s">
        <v>1906</v>
      </c>
      <c r="H393" s="991" t="str">
        <f t="shared" si="180"/>
        <v>Voitto</v>
      </c>
      <c r="I393" s="1056" t="s">
        <v>1514</v>
      </c>
      <c r="J393" s="1056" t="s">
        <v>0</v>
      </c>
      <c r="K393" s="1056" t="s">
        <v>1396</v>
      </c>
      <c r="L393" s="992">
        <f t="shared" ref="L393" si="183">N393+P393+R393</f>
        <v>8</v>
      </c>
      <c r="M393" s="992">
        <f t="shared" ref="M393:M394" si="184">O393+Q393+S393</f>
        <v>3</v>
      </c>
      <c r="N393" s="1262">
        <v>1</v>
      </c>
      <c r="O393" s="992">
        <v>0</v>
      </c>
      <c r="P393" s="1262">
        <v>3</v>
      </c>
      <c r="Q393" s="992">
        <v>1</v>
      </c>
      <c r="R393" s="1262">
        <v>4</v>
      </c>
      <c r="S393" s="992">
        <v>2</v>
      </c>
      <c r="T393" s="1262"/>
      <c r="U393" s="992"/>
      <c r="V393" s="985">
        <v>0</v>
      </c>
      <c r="W393" s="985">
        <v>0</v>
      </c>
      <c r="X393" s="985"/>
      <c r="Y393" s="985"/>
      <c r="Z393" s="985"/>
      <c r="AA393" s="985"/>
      <c r="AB393" s="985">
        <v>1</v>
      </c>
      <c r="AC393" s="985"/>
      <c r="AD393" s="985"/>
      <c r="AE393" s="985"/>
      <c r="AF393" s="985"/>
      <c r="AG393" s="985"/>
      <c r="AH393" s="985"/>
      <c r="AI393" s="985"/>
      <c r="AJ393" s="985"/>
      <c r="AK393" s="985">
        <v>16</v>
      </c>
      <c r="AL393" s="985">
        <v>6.25</v>
      </c>
      <c r="AM393" s="985"/>
      <c r="AN393" s="8"/>
      <c r="AO393" s="983">
        <v>1</v>
      </c>
      <c r="AP393" s="983">
        <v>2</v>
      </c>
      <c r="AQ393" s="983">
        <v>1</v>
      </c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>
        <v>17.07</v>
      </c>
      <c r="BF393" s="983"/>
      <c r="BH393" s="1002">
        <f t="shared" si="173"/>
        <v>1</v>
      </c>
      <c r="BI393" s="1002">
        <f t="shared" si="174"/>
        <v>0</v>
      </c>
      <c r="BJ393" s="1002">
        <f t="shared" si="175"/>
        <v>0</v>
      </c>
      <c r="BK393" s="1002">
        <f t="shared" si="176"/>
        <v>1</v>
      </c>
      <c r="BL393" s="1002">
        <f t="shared" si="177"/>
        <v>0</v>
      </c>
    </row>
    <row r="394" spans="2:64" x14ac:dyDescent="0.3">
      <c r="B394" s="1280">
        <v>246</v>
      </c>
      <c r="C394" s="1055" t="s">
        <v>1818</v>
      </c>
      <c r="D394" s="1055" t="s">
        <v>2378</v>
      </c>
      <c r="E394" s="1055" t="s">
        <v>1904</v>
      </c>
      <c r="F394" s="1055" t="s">
        <v>1909</v>
      </c>
      <c r="G394" s="1055" t="s">
        <v>1398</v>
      </c>
      <c r="H394" s="1056" t="str">
        <f t="shared" si="180"/>
        <v>Häviö</v>
      </c>
      <c r="I394" s="1056" t="s">
        <v>1514</v>
      </c>
      <c r="J394" s="1056" t="s">
        <v>0</v>
      </c>
      <c r="K394" s="1056" t="s">
        <v>1910</v>
      </c>
      <c r="L394" s="992">
        <f>N394+P394+R394+T394</f>
        <v>2</v>
      </c>
      <c r="M394" s="992">
        <f t="shared" si="184"/>
        <v>5</v>
      </c>
      <c r="N394" s="1262">
        <v>0</v>
      </c>
      <c r="O394" s="992">
        <v>1</v>
      </c>
      <c r="P394" s="1262">
        <v>2</v>
      </c>
      <c r="Q394" s="992">
        <v>0</v>
      </c>
      <c r="R394" s="1262">
        <v>0</v>
      </c>
      <c r="S394" s="992">
        <v>4</v>
      </c>
      <c r="T394" s="1262"/>
      <c r="U394" s="992"/>
      <c r="V394" s="985">
        <v>2</v>
      </c>
      <c r="W394" s="985">
        <v>4</v>
      </c>
      <c r="X394" s="985">
        <v>2</v>
      </c>
      <c r="Y394" s="985"/>
      <c r="Z394" s="985"/>
      <c r="AA394" s="985"/>
      <c r="AB394" s="985">
        <v>1</v>
      </c>
      <c r="AC394" s="985"/>
      <c r="AD394" s="985"/>
      <c r="AE394" s="985"/>
      <c r="AF394" s="985"/>
      <c r="AG394" s="985"/>
      <c r="AH394" s="985"/>
      <c r="AI394" s="985"/>
      <c r="AJ394" s="985"/>
      <c r="AK394" s="985">
        <v>17</v>
      </c>
      <c r="AL394" s="985">
        <v>16.059999999999999</v>
      </c>
      <c r="AM394" s="985"/>
      <c r="AN394" s="8"/>
      <c r="AO394" s="983">
        <v>2</v>
      </c>
      <c r="AP394" s="983">
        <v>4</v>
      </c>
      <c r="AQ394" s="983">
        <v>2</v>
      </c>
      <c r="AR394" s="983"/>
      <c r="AS394" s="983"/>
      <c r="AT394" s="983"/>
      <c r="AU394" s="983"/>
      <c r="AV394" s="983"/>
      <c r="AW394" s="983"/>
      <c r="AX394" s="983"/>
      <c r="AY394" s="983"/>
      <c r="AZ394" s="983"/>
      <c r="BA394" s="983">
        <v>1</v>
      </c>
      <c r="BB394" s="983"/>
      <c r="BC394" s="983"/>
      <c r="BD394" s="983"/>
      <c r="BE394" s="983">
        <v>8.1</v>
      </c>
      <c r="BF394" s="983"/>
      <c r="BH394" s="1002">
        <f t="shared" si="173"/>
        <v>0</v>
      </c>
      <c r="BI394" s="1002">
        <f t="shared" si="174"/>
        <v>0</v>
      </c>
      <c r="BJ394" s="1002">
        <f t="shared" si="175"/>
        <v>0</v>
      </c>
      <c r="BK394" s="1002">
        <f t="shared" si="176"/>
        <v>0</v>
      </c>
      <c r="BL394" s="1002">
        <f t="shared" si="177"/>
        <v>0</v>
      </c>
    </row>
    <row r="396" spans="2:64" x14ac:dyDescent="0.3">
      <c r="F396" s="975"/>
      <c r="G396" s="975" t="s">
        <v>2036</v>
      </c>
      <c r="H396" s="975"/>
      <c r="I396" s="1003"/>
      <c r="J396" s="1003"/>
      <c r="K396" s="1003"/>
      <c r="L396" s="1003" t="s">
        <v>2037</v>
      </c>
      <c r="M396" s="1003" t="s">
        <v>2038</v>
      </c>
      <c r="O396" s="1003" t="s">
        <v>1409</v>
      </c>
      <c r="P396" s="1003" t="s">
        <v>1410</v>
      </c>
      <c r="Q396" s="1003" t="s">
        <v>1411</v>
      </c>
    </row>
    <row r="397" spans="2:64" x14ac:dyDescent="0.3">
      <c r="F397" s="977"/>
      <c r="G397" s="977" t="s">
        <v>1829</v>
      </c>
      <c r="H397" s="977"/>
      <c r="I397" s="1004"/>
      <c r="J397" s="1004"/>
      <c r="K397" s="1004"/>
      <c r="L397" s="1004">
        <f>SUM(L371:L391)</f>
        <v>125</v>
      </c>
      <c r="M397" s="1004">
        <f>SUM(M371:M391)</f>
        <v>59</v>
      </c>
      <c r="N397" s="8"/>
      <c r="O397" s="1004">
        <f>COUNTIF(H371:H391,"Voitto")</f>
        <v>18</v>
      </c>
      <c r="P397" s="1004">
        <f>COUNTIF(H371:H391,"Tasapeli")</f>
        <v>0</v>
      </c>
      <c r="Q397" s="1004">
        <f>COUNTIF(H371:H391,"Häviö")</f>
        <v>3</v>
      </c>
    </row>
    <row r="398" spans="2:64" x14ac:dyDescent="0.3">
      <c r="F398" s="977"/>
      <c r="G398" s="977" t="s">
        <v>2378</v>
      </c>
      <c r="H398" s="977"/>
      <c r="I398" s="1004"/>
      <c r="J398" s="1004"/>
      <c r="K398" s="1004"/>
      <c r="L398" s="1004">
        <f>SUM(L392:L394)</f>
        <v>12</v>
      </c>
      <c r="M398" s="1004">
        <f>SUM(M392:M394)</f>
        <v>11</v>
      </c>
      <c r="N398" s="8"/>
      <c r="O398" s="1004">
        <f>COUNTIF(H392:H394,"Voitto")</f>
        <v>1</v>
      </c>
      <c r="P398" s="1004">
        <f>COUNTIF(H392:H394,"Tasapeli")</f>
        <v>0</v>
      </c>
      <c r="Q398" s="1004">
        <f>COUNTIF(H392:H394,"Häviö")</f>
        <v>2</v>
      </c>
    </row>
    <row r="399" spans="2:64" x14ac:dyDescent="0.3">
      <c r="F399" s="977" t="str">
        <f>C376</f>
        <v>2018-2019</v>
      </c>
      <c r="G399" s="977" t="s">
        <v>2710</v>
      </c>
      <c r="H399" s="977"/>
      <c r="I399" s="1004"/>
      <c r="J399" s="1004"/>
      <c r="K399" s="1004"/>
      <c r="L399" s="1004">
        <f>SUM(L397:L398)</f>
        <v>137</v>
      </c>
      <c r="M399" s="1004">
        <f>SUM(M397:M398)</f>
        <v>70</v>
      </c>
      <c r="N399" s="8"/>
      <c r="O399" s="1004">
        <f>SUM(O397:O398)</f>
        <v>19</v>
      </c>
      <c r="P399" s="1004">
        <f>SUM(P397:P398)</f>
        <v>0</v>
      </c>
      <c r="Q399" s="1004">
        <f>SUM(Q397:Q398)</f>
        <v>5</v>
      </c>
    </row>
    <row r="404" spans="2:112" x14ac:dyDescent="0.3">
      <c r="D404" s="205" t="s">
        <v>2008</v>
      </c>
    </row>
    <row r="405" spans="2:112" x14ac:dyDescent="0.3">
      <c r="C405" s="205" t="s">
        <v>2006</v>
      </c>
      <c r="D405" s="205" t="s">
        <v>2009</v>
      </c>
      <c r="V405" s="205" t="s">
        <v>0</v>
      </c>
      <c r="AO405" s="265" t="s">
        <v>1895</v>
      </c>
    </row>
    <row r="406" spans="2:112" x14ac:dyDescent="0.3">
      <c r="B406" s="1003" t="s">
        <v>1393</v>
      </c>
      <c r="C406" s="975" t="s">
        <v>1831</v>
      </c>
      <c r="D406" s="975" t="s">
        <v>1830</v>
      </c>
      <c r="E406" s="975" t="s">
        <v>1832</v>
      </c>
      <c r="F406" s="975" t="s">
        <v>1836</v>
      </c>
      <c r="G406" s="975" t="s">
        <v>1835</v>
      </c>
      <c r="H406" s="989" t="s">
        <v>1407</v>
      </c>
      <c r="I406" s="990" t="s">
        <v>2019</v>
      </c>
      <c r="J406" s="990" t="s">
        <v>0</v>
      </c>
      <c r="K406" s="990" t="s">
        <v>1128</v>
      </c>
      <c r="L406" s="1324" t="s">
        <v>1407</v>
      </c>
      <c r="M406" s="1325"/>
      <c r="N406" s="1326" t="s">
        <v>1822</v>
      </c>
      <c r="O406" s="1325"/>
      <c r="P406" s="1326" t="s">
        <v>1823</v>
      </c>
      <c r="Q406" s="1325"/>
      <c r="R406" s="1326" t="s">
        <v>1824</v>
      </c>
      <c r="S406" s="1325"/>
      <c r="T406" s="1326" t="s">
        <v>2706</v>
      </c>
      <c r="U406" s="1324"/>
      <c r="V406" s="981" t="s">
        <v>1557</v>
      </c>
      <c r="W406" s="981" t="s">
        <v>1556</v>
      </c>
      <c r="X406" s="981" t="s">
        <v>501</v>
      </c>
      <c r="Y406" s="981" t="s">
        <v>708</v>
      </c>
      <c r="Z406" s="981" t="s">
        <v>82</v>
      </c>
      <c r="AA406" s="981" t="s">
        <v>709</v>
      </c>
      <c r="AB406" s="981" t="s">
        <v>1419</v>
      </c>
      <c r="AC406" s="981" t="s">
        <v>1420</v>
      </c>
      <c r="AD406" s="982" t="s">
        <v>1827</v>
      </c>
      <c r="AE406" s="981" t="s">
        <v>1828</v>
      </c>
      <c r="AF406" s="981" t="s">
        <v>1425</v>
      </c>
      <c r="AG406" s="981" t="s">
        <v>1535</v>
      </c>
      <c r="AH406" s="981" t="s">
        <v>1536</v>
      </c>
      <c r="AI406" s="981" t="s">
        <v>1559</v>
      </c>
      <c r="AJ406" s="981" t="s">
        <v>1896</v>
      </c>
      <c r="AK406" s="981" t="s">
        <v>1967</v>
      </c>
      <c r="AL406" s="981" t="s">
        <v>19</v>
      </c>
      <c r="AM406" s="981"/>
      <c r="AN406" s="265"/>
      <c r="AO406" s="979" t="s">
        <v>1557</v>
      </c>
      <c r="AP406" s="979" t="s">
        <v>1556</v>
      </c>
      <c r="AQ406" s="979" t="s">
        <v>501</v>
      </c>
      <c r="AR406" s="979" t="s">
        <v>708</v>
      </c>
      <c r="AS406" s="979" t="s">
        <v>82</v>
      </c>
      <c r="AT406" s="979" t="s">
        <v>709</v>
      </c>
      <c r="AU406" s="979" t="s">
        <v>1419</v>
      </c>
      <c r="AV406" s="979" t="s">
        <v>1420</v>
      </c>
      <c r="AW406" s="980" t="s">
        <v>1827</v>
      </c>
      <c r="AX406" s="979" t="s">
        <v>1828</v>
      </c>
      <c r="AY406" s="979" t="s">
        <v>1425</v>
      </c>
      <c r="AZ406" s="979" t="s">
        <v>1535</v>
      </c>
      <c r="BA406" s="979" t="s">
        <v>1536</v>
      </c>
      <c r="BB406" s="979" t="s">
        <v>1559</v>
      </c>
      <c r="BC406" s="979" t="s">
        <v>1896</v>
      </c>
      <c r="BD406" s="979" t="s">
        <v>1967</v>
      </c>
      <c r="BE406" s="979" t="s">
        <v>19</v>
      </c>
      <c r="BF406" s="979"/>
      <c r="BH406" s="1001" t="s">
        <v>1911</v>
      </c>
      <c r="BI406" s="1001" t="s">
        <v>1912</v>
      </c>
      <c r="BJ406" s="1001" t="s">
        <v>1913</v>
      </c>
      <c r="BK406" s="1001" t="s">
        <v>537</v>
      </c>
      <c r="BL406" s="1001" t="s">
        <v>1128</v>
      </c>
      <c r="BN406" s="994" t="s">
        <v>1393</v>
      </c>
      <c r="BO406" s="149"/>
      <c r="BP406" s="995" t="s">
        <v>989</v>
      </c>
      <c r="BQ406" s="149" t="s">
        <v>877</v>
      </c>
      <c r="BR406" s="149" t="s">
        <v>990</v>
      </c>
      <c r="BS406" s="149" t="s">
        <v>2039</v>
      </c>
      <c r="BT406" s="149" t="s">
        <v>991</v>
      </c>
      <c r="BU406" s="149" t="s">
        <v>2040</v>
      </c>
      <c r="BV406" s="149" t="s">
        <v>992</v>
      </c>
      <c r="BW406" s="149" t="s">
        <v>139</v>
      </c>
      <c r="BX406" s="149" t="s">
        <v>993</v>
      </c>
      <c r="BY406" s="149" t="s">
        <v>994</v>
      </c>
      <c r="BZ406" s="996" t="s">
        <v>610</v>
      </c>
      <c r="CC406" s="994" t="s">
        <v>1393</v>
      </c>
      <c r="CD406" s="995" t="s">
        <v>1796</v>
      </c>
      <c r="CE406" s="995" t="s">
        <v>989</v>
      </c>
      <c r="CF406" s="149" t="s">
        <v>516</v>
      </c>
      <c r="CG406" s="149" t="s">
        <v>741</v>
      </c>
      <c r="CH406" s="149" t="s">
        <v>742</v>
      </c>
      <c r="CI406" s="149" t="s">
        <v>743</v>
      </c>
      <c r="CJ406" s="996" t="s">
        <v>4</v>
      </c>
      <c r="CP406" s="994" t="s">
        <v>1393</v>
      </c>
      <c r="CQ406" s="995" t="s">
        <v>1796</v>
      </c>
      <c r="CR406" s="995" t="s">
        <v>989</v>
      </c>
      <c r="CS406" s="149" t="s">
        <v>877</v>
      </c>
      <c r="CT406" s="149" t="s">
        <v>2043</v>
      </c>
      <c r="CU406" s="149" t="s">
        <v>993</v>
      </c>
      <c r="CV406" s="149" t="s">
        <v>991</v>
      </c>
      <c r="CW406" s="149" t="s">
        <v>993</v>
      </c>
      <c r="CX406" s="149" t="s">
        <v>990</v>
      </c>
      <c r="CY406" s="996" t="s">
        <v>2044</v>
      </c>
      <c r="DA406" s="994" t="s">
        <v>1503</v>
      </c>
      <c r="DB406" s="149" t="s">
        <v>2075</v>
      </c>
      <c r="DC406" s="149" t="s">
        <v>2076</v>
      </c>
      <c r="DD406" s="149" t="s">
        <v>1501</v>
      </c>
      <c r="DE406" s="149" t="s">
        <v>1514</v>
      </c>
      <c r="DF406" s="149"/>
      <c r="DG406" s="149" t="s">
        <v>1515</v>
      </c>
      <c r="DH406" s="996" t="s">
        <v>1408</v>
      </c>
    </row>
    <row r="407" spans="2:112" x14ac:dyDescent="0.3">
      <c r="B407" s="1280">
        <v>247</v>
      </c>
      <c r="C407" s="1055" t="s">
        <v>2006</v>
      </c>
      <c r="D407" s="1055" t="s">
        <v>2007</v>
      </c>
      <c r="E407" s="1055" t="s">
        <v>1516</v>
      </c>
      <c r="F407" s="1054" t="s">
        <v>2010</v>
      </c>
      <c r="G407" s="1055" t="s">
        <v>796</v>
      </c>
      <c r="H407" s="1056" t="s">
        <v>1411</v>
      </c>
      <c r="I407" s="1056" t="s">
        <v>1514</v>
      </c>
      <c r="J407" s="1056" t="s">
        <v>0</v>
      </c>
      <c r="K407" s="1056" t="s">
        <v>1638</v>
      </c>
      <c r="L407" s="992">
        <v>3</v>
      </c>
      <c r="M407" s="992">
        <v>5</v>
      </c>
      <c r="N407" s="1262">
        <v>0</v>
      </c>
      <c r="O407" s="992">
        <v>4</v>
      </c>
      <c r="P407" s="1262">
        <v>2</v>
      </c>
      <c r="Q407" s="992">
        <v>1</v>
      </c>
      <c r="R407" s="1262">
        <v>1</v>
      </c>
      <c r="S407" s="992">
        <v>0</v>
      </c>
      <c r="T407" s="1262"/>
      <c r="U407" s="992"/>
      <c r="V407" s="985">
        <v>0</v>
      </c>
      <c r="W407" s="985">
        <v>0</v>
      </c>
      <c r="X407" s="985"/>
      <c r="Y407" s="985"/>
      <c r="Z407" s="985"/>
      <c r="AA407" s="985"/>
      <c r="AB407" s="985"/>
      <c r="AC407" s="985"/>
      <c r="AD407" s="985"/>
      <c r="AE407" s="985"/>
      <c r="AF407" s="985"/>
      <c r="AG407" s="985"/>
      <c r="AH407" s="985"/>
      <c r="AI407" s="985"/>
      <c r="AJ407" s="985">
        <v>1</v>
      </c>
      <c r="AK407" s="985">
        <v>14</v>
      </c>
      <c r="AL407" s="985">
        <v>28.31</v>
      </c>
      <c r="AM407" s="985"/>
      <c r="AN407" s="8"/>
      <c r="AO407" s="983">
        <v>0</v>
      </c>
      <c r="AP407" s="983">
        <v>0</v>
      </c>
      <c r="AQ407" s="983"/>
      <c r="AR407" s="983"/>
      <c r="AS407" s="983"/>
      <c r="AT407" s="983"/>
      <c r="AU407" s="983"/>
      <c r="AV407" s="983"/>
      <c r="AW407" s="983"/>
      <c r="AX407" s="983"/>
      <c r="AY407" s="983"/>
      <c r="AZ407" s="983"/>
      <c r="BA407" s="983"/>
      <c r="BB407" s="983"/>
      <c r="BC407" s="983"/>
      <c r="BD407" s="983">
        <v>18</v>
      </c>
      <c r="BE407" s="983">
        <v>4.16</v>
      </c>
      <c r="BF407" s="983"/>
      <c r="BH407" s="1002">
        <f>IF(V407=0,1,0)</f>
        <v>1</v>
      </c>
      <c r="BI407" s="1002">
        <f>IF(AO407=0,1,0)</f>
        <v>1</v>
      </c>
      <c r="BJ407" s="1002">
        <f>IF(V407+AO407=0,1,0)</f>
        <v>1</v>
      </c>
      <c r="BK407" s="1002">
        <f>IF(BH407&gt;BI407,1,0)</f>
        <v>0</v>
      </c>
      <c r="BL407" s="1002">
        <f>IF(BI407&gt;BH407,1,0)</f>
        <v>0</v>
      </c>
      <c r="BN407" s="997">
        <v>1</v>
      </c>
      <c r="BO407" s="430"/>
      <c r="BP407" s="332" t="s">
        <v>0</v>
      </c>
      <c r="BQ407" s="430">
        <v>16</v>
      </c>
      <c r="BR407" s="430">
        <v>12</v>
      </c>
      <c r="BS407" s="430">
        <v>0</v>
      </c>
      <c r="BT407" s="430">
        <v>0</v>
      </c>
      <c r="BU407" s="430">
        <v>0</v>
      </c>
      <c r="BV407" s="430">
        <v>4</v>
      </c>
      <c r="BW407" s="430">
        <v>96</v>
      </c>
      <c r="BX407" s="430">
        <v>56</v>
      </c>
      <c r="BY407" s="430">
        <v>40</v>
      </c>
      <c r="BZ407" s="663">
        <v>24</v>
      </c>
      <c r="CC407" s="997">
        <v>1</v>
      </c>
      <c r="CD407" s="332" t="s">
        <v>185</v>
      </c>
      <c r="CE407" s="332" t="s">
        <v>0</v>
      </c>
      <c r="CF407" s="430">
        <v>16</v>
      </c>
      <c r="CG407" s="430">
        <v>12</v>
      </c>
      <c r="CH407" s="430">
        <v>33</v>
      </c>
      <c r="CI407" s="430">
        <v>45</v>
      </c>
      <c r="CJ407" s="663">
        <v>1</v>
      </c>
      <c r="CP407" s="997">
        <v>1</v>
      </c>
      <c r="CQ407" s="332" t="s">
        <v>2041</v>
      </c>
      <c r="CR407" s="332" t="s">
        <v>0</v>
      </c>
      <c r="CS407" s="430">
        <v>2</v>
      </c>
      <c r="CT407" s="430">
        <v>92.31</v>
      </c>
      <c r="CU407" s="430">
        <v>1.33</v>
      </c>
      <c r="CV407" s="430">
        <v>24</v>
      </c>
      <c r="CW407" s="430">
        <v>2</v>
      </c>
      <c r="CX407" s="430">
        <v>2</v>
      </c>
      <c r="CY407" s="663">
        <v>0</v>
      </c>
      <c r="DA407" s="997">
        <v>1753</v>
      </c>
      <c r="DB407" s="1008">
        <v>43708</v>
      </c>
      <c r="DC407" s="1009">
        <v>0.45833333333333331</v>
      </c>
      <c r="DD407" s="332" t="s">
        <v>1398</v>
      </c>
      <c r="DE407" s="332" t="s">
        <v>2014</v>
      </c>
      <c r="DF407" s="332" t="s">
        <v>107</v>
      </c>
      <c r="DG407" s="332" t="s">
        <v>2012</v>
      </c>
      <c r="DH407" s="1010" t="s">
        <v>38</v>
      </c>
    </row>
    <row r="408" spans="2:112" x14ac:dyDescent="0.3">
      <c r="B408" s="1280">
        <v>248</v>
      </c>
      <c r="C408" s="1055" t="s">
        <v>2006</v>
      </c>
      <c r="D408" s="1055" t="s">
        <v>2007</v>
      </c>
      <c r="E408" s="1055" t="s">
        <v>1537</v>
      </c>
      <c r="F408" s="1054" t="s">
        <v>2011</v>
      </c>
      <c r="G408" s="1055" t="s">
        <v>796</v>
      </c>
      <c r="H408" s="1056" t="s">
        <v>1409</v>
      </c>
      <c r="I408" s="1056" t="s">
        <v>1515</v>
      </c>
      <c r="J408" s="1056" t="s">
        <v>0</v>
      </c>
      <c r="K408" s="1056" t="s">
        <v>2012</v>
      </c>
      <c r="L408" s="992">
        <v>13</v>
      </c>
      <c r="M408" s="992">
        <v>1</v>
      </c>
      <c r="N408" s="1262">
        <v>4</v>
      </c>
      <c r="O408" s="992">
        <v>1</v>
      </c>
      <c r="P408" s="1262">
        <v>4</v>
      </c>
      <c r="Q408" s="992">
        <v>0</v>
      </c>
      <c r="R408" s="1262">
        <v>5</v>
      </c>
      <c r="S408" s="992">
        <v>0</v>
      </c>
      <c r="T408" s="1262"/>
      <c r="U408" s="992"/>
      <c r="V408" s="985">
        <v>1</v>
      </c>
      <c r="W408" s="985">
        <v>5</v>
      </c>
      <c r="X408" s="985"/>
      <c r="Y408" s="985">
        <v>1</v>
      </c>
      <c r="Z408" s="985"/>
      <c r="AA408" s="985"/>
      <c r="AB408" s="985">
        <v>1</v>
      </c>
      <c r="AC408" s="985"/>
      <c r="AD408" s="985">
        <v>1</v>
      </c>
      <c r="AE408" s="985">
        <v>1</v>
      </c>
      <c r="AF408" s="985">
        <v>1</v>
      </c>
      <c r="AG408" s="985"/>
      <c r="AH408" s="985"/>
      <c r="AI408" s="985"/>
      <c r="AJ408" s="985"/>
      <c r="AK408" s="985">
        <v>15</v>
      </c>
      <c r="AL408" s="985">
        <v>5.26</v>
      </c>
      <c r="AM408" s="985"/>
      <c r="AN408" s="8"/>
      <c r="AO408" s="983">
        <v>1</v>
      </c>
      <c r="AP408" s="983">
        <v>2</v>
      </c>
      <c r="AQ408" s="983">
        <v>1</v>
      </c>
      <c r="AR408" s="983"/>
      <c r="AS408" s="983"/>
      <c r="AT408" s="983"/>
      <c r="AU408" s="983"/>
      <c r="AV408" s="983">
        <v>1</v>
      </c>
      <c r="AW408" s="983"/>
      <c r="AX408" s="983"/>
      <c r="AY408" s="983"/>
      <c r="AZ408" s="983"/>
      <c r="BA408" s="983"/>
      <c r="BB408" s="983"/>
      <c r="BC408" s="983"/>
      <c r="BD408" s="983">
        <v>17</v>
      </c>
      <c r="BE408" s="988">
        <v>8.2899999999999991</v>
      </c>
      <c r="BF408" s="988"/>
      <c r="BH408" s="1002">
        <f t="shared" ref="BH408:BH409" si="185">IF(V408=0,1,0)</f>
        <v>0</v>
      </c>
      <c r="BI408" s="1002">
        <f t="shared" ref="BI408:BI409" si="186">IF(AO408=0,1,0)</f>
        <v>0</v>
      </c>
      <c r="BJ408" s="1002">
        <f t="shared" ref="BJ408:BJ409" si="187">IF(V408+AO408=0,1,0)</f>
        <v>0</v>
      </c>
      <c r="BK408" s="1002">
        <f t="shared" ref="BK408:BK409" si="188">IF(BH408&gt;BI408,1,0)</f>
        <v>0</v>
      </c>
      <c r="BL408" s="1002">
        <f t="shared" ref="BL408:BL409" si="189">IF(BI408&gt;BH408,1,0)</f>
        <v>0</v>
      </c>
      <c r="BN408" s="999">
        <v>2</v>
      </c>
      <c r="BO408" s="312"/>
      <c r="BP408" s="319" t="s">
        <v>1394</v>
      </c>
      <c r="BQ408" s="312">
        <v>16</v>
      </c>
      <c r="BR408" s="312">
        <v>11</v>
      </c>
      <c r="BS408" s="312">
        <v>0</v>
      </c>
      <c r="BT408" s="312">
        <v>1</v>
      </c>
      <c r="BU408" s="312">
        <v>0</v>
      </c>
      <c r="BV408" s="312">
        <v>4</v>
      </c>
      <c r="BW408" s="312">
        <v>81</v>
      </c>
      <c r="BX408" s="312">
        <v>58</v>
      </c>
      <c r="BY408" s="312">
        <v>23</v>
      </c>
      <c r="BZ408" s="1000">
        <v>23</v>
      </c>
      <c r="CC408" s="999">
        <v>2</v>
      </c>
      <c r="CD408" s="319" t="s">
        <v>1075</v>
      </c>
      <c r="CE408" s="319" t="s">
        <v>0</v>
      </c>
      <c r="CF408" s="312">
        <v>16</v>
      </c>
      <c r="CG408" s="312">
        <v>13</v>
      </c>
      <c r="CH408" s="312">
        <v>15</v>
      </c>
      <c r="CI408" s="312">
        <v>28</v>
      </c>
      <c r="CJ408" s="1000">
        <v>0</v>
      </c>
      <c r="CP408" s="998">
        <v>2</v>
      </c>
      <c r="CQ408" s="335" t="s">
        <v>1660</v>
      </c>
      <c r="CR408" s="335" t="s">
        <v>0</v>
      </c>
      <c r="CS408" s="435">
        <v>14</v>
      </c>
      <c r="CT408" s="435">
        <v>76.959999999999994</v>
      </c>
      <c r="CU408" s="435">
        <v>4.82</v>
      </c>
      <c r="CV408" s="435">
        <v>177</v>
      </c>
      <c r="CW408" s="435">
        <v>53</v>
      </c>
      <c r="CX408" s="435">
        <v>10</v>
      </c>
      <c r="CY408" s="664">
        <v>0</v>
      </c>
      <c r="DA408" s="999">
        <v>1754</v>
      </c>
      <c r="DB408" s="1011">
        <v>43708</v>
      </c>
      <c r="DC408" s="1012">
        <v>0.51041666666666663</v>
      </c>
      <c r="DD408" s="319" t="s">
        <v>1398</v>
      </c>
      <c r="DE408" s="319" t="s">
        <v>0</v>
      </c>
      <c r="DF408" s="319" t="s">
        <v>107</v>
      </c>
      <c r="DG408" s="319" t="s">
        <v>2077</v>
      </c>
      <c r="DH408" s="1013" t="s">
        <v>254</v>
      </c>
    </row>
    <row r="409" spans="2:112" x14ac:dyDescent="0.3">
      <c r="B409" s="1280">
        <v>249</v>
      </c>
      <c r="C409" s="1055" t="s">
        <v>2006</v>
      </c>
      <c r="D409" s="1055" t="s">
        <v>2007</v>
      </c>
      <c r="E409" s="1055" t="s">
        <v>1538</v>
      </c>
      <c r="F409" s="1054" t="s">
        <v>2013</v>
      </c>
      <c r="G409" s="1055" t="s">
        <v>796</v>
      </c>
      <c r="H409" s="1056" t="s">
        <v>1411</v>
      </c>
      <c r="I409" s="1056" t="s">
        <v>1515</v>
      </c>
      <c r="J409" s="1056" t="s">
        <v>0</v>
      </c>
      <c r="K409" s="1056" t="s">
        <v>2014</v>
      </c>
      <c r="L409" s="992">
        <v>4</v>
      </c>
      <c r="M409" s="992">
        <v>10</v>
      </c>
      <c r="N409" s="1262">
        <v>2</v>
      </c>
      <c r="O409" s="992">
        <v>4</v>
      </c>
      <c r="P409" s="1262">
        <v>1</v>
      </c>
      <c r="Q409" s="992">
        <v>3</v>
      </c>
      <c r="R409" s="1262">
        <v>1</v>
      </c>
      <c r="S409" s="992">
        <v>3</v>
      </c>
      <c r="T409" s="1262"/>
      <c r="U409" s="992"/>
      <c r="V409" s="985">
        <v>0</v>
      </c>
      <c r="W409" s="985">
        <v>0</v>
      </c>
      <c r="X409" s="985"/>
      <c r="Y409" s="985"/>
      <c r="Z409" s="985"/>
      <c r="AA409" s="985"/>
      <c r="AB409" s="985"/>
      <c r="AC409" s="985"/>
      <c r="AD409" s="985"/>
      <c r="AE409" s="985"/>
      <c r="AF409" s="985"/>
      <c r="AG409" s="985"/>
      <c r="AH409" s="985"/>
      <c r="AI409" s="985"/>
      <c r="AJ409" s="985"/>
      <c r="AK409" s="985">
        <v>20</v>
      </c>
      <c r="AL409" s="986">
        <v>4</v>
      </c>
      <c r="AM409" s="986"/>
      <c r="AN409" s="8"/>
      <c r="AO409" s="983">
        <v>0</v>
      </c>
      <c r="AP409" s="983">
        <v>0</v>
      </c>
      <c r="AQ409" s="983"/>
      <c r="AR409" s="983"/>
      <c r="AS409" s="983"/>
      <c r="AT409" s="983"/>
      <c r="AU409" s="983"/>
      <c r="AV409" s="983"/>
      <c r="AW409" s="983"/>
      <c r="AX409" s="983"/>
      <c r="AY409" s="983"/>
      <c r="AZ409" s="983"/>
      <c r="BA409" s="983"/>
      <c r="BB409" s="983"/>
      <c r="BC409" s="983"/>
      <c r="BD409" s="983">
        <v>15</v>
      </c>
      <c r="BE409" s="988">
        <v>1.26</v>
      </c>
      <c r="BF409" s="988"/>
      <c r="BH409" s="1002">
        <f t="shared" si="185"/>
        <v>1</v>
      </c>
      <c r="BI409" s="1002">
        <f t="shared" si="186"/>
        <v>1</v>
      </c>
      <c r="BJ409" s="1002">
        <f t="shared" si="187"/>
        <v>1</v>
      </c>
      <c r="BK409" s="1002">
        <f t="shared" si="188"/>
        <v>0</v>
      </c>
      <c r="BL409" s="1002">
        <f t="shared" si="189"/>
        <v>0</v>
      </c>
      <c r="BN409" s="999">
        <v>3</v>
      </c>
      <c r="BO409" s="312"/>
      <c r="BP409" s="319" t="s">
        <v>1405</v>
      </c>
      <c r="BQ409" s="312">
        <v>16</v>
      </c>
      <c r="BR409" s="312">
        <v>9</v>
      </c>
      <c r="BS409" s="312">
        <v>0</v>
      </c>
      <c r="BT409" s="312">
        <v>3</v>
      </c>
      <c r="BU409" s="312">
        <v>0</v>
      </c>
      <c r="BV409" s="312">
        <v>4</v>
      </c>
      <c r="BW409" s="312">
        <v>75</v>
      </c>
      <c r="BX409" s="312">
        <v>63</v>
      </c>
      <c r="BY409" s="312">
        <v>12</v>
      </c>
      <c r="BZ409" s="1000">
        <v>21</v>
      </c>
      <c r="CC409" s="999">
        <v>3</v>
      </c>
      <c r="CD409" s="319" t="s">
        <v>50</v>
      </c>
      <c r="CE409" s="319" t="s">
        <v>0</v>
      </c>
      <c r="CF409" s="312">
        <v>16</v>
      </c>
      <c r="CG409" s="312">
        <v>23</v>
      </c>
      <c r="CH409" s="312">
        <v>4</v>
      </c>
      <c r="CI409" s="312">
        <v>27</v>
      </c>
      <c r="CJ409" s="1000">
        <v>0</v>
      </c>
      <c r="DA409" s="999">
        <v>1755</v>
      </c>
      <c r="DB409" s="1011">
        <v>43708</v>
      </c>
      <c r="DC409" s="1012">
        <v>0.60416666666666663</v>
      </c>
      <c r="DD409" s="319" t="s">
        <v>1398</v>
      </c>
      <c r="DE409" s="319" t="s">
        <v>2014</v>
      </c>
      <c r="DF409" s="319" t="s">
        <v>107</v>
      </c>
      <c r="DG409" s="319" t="s">
        <v>2077</v>
      </c>
      <c r="DH409" s="1013" t="s">
        <v>245</v>
      </c>
    </row>
    <row r="410" spans="2:112" x14ac:dyDescent="0.3">
      <c r="B410" s="1280">
        <v>250</v>
      </c>
      <c r="C410" s="977" t="s">
        <v>2006</v>
      </c>
      <c r="D410" s="977" t="s">
        <v>1829</v>
      </c>
      <c r="E410" s="977" t="s">
        <v>1539</v>
      </c>
      <c r="F410" s="978" t="s">
        <v>2015</v>
      </c>
      <c r="G410" s="977" t="s">
        <v>1414</v>
      </c>
      <c r="H410" s="991" t="s">
        <v>1409</v>
      </c>
      <c r="I410" s="991" t="s">
        <v>1514</v>
      </c>
      <c r="J410" s="991" t="s">
        <v>0</v>
      </c>
      <c r="K410" s="991" t="s">
        <v>1583</v>
      </c>
      <c r="L410" s="992">
        <v>4</v>
      </c>
      <c r="M410" s="992">
        <v>1</v>
      </c>
      <c r="N410" s="1262">
        <v>1</v>
      </c>
      <c r="O410" s="992">
        <v>1</v>
      </c>
      <c r="P410" s="1262">
        <v>3</v>
      </c>
      <c r="Q410" s="992">
        <v>0</v>
      </c>
      <c r="R410" s="1262">
        <v>0</v>
      </c>
      <c r="S410" s="992">
        <v>0</v>
      </c>
      <c r="T410" s="1262"/>
      <c r="U410" s="992"/>
      <c r="V410" s="985">
        <v>0</v>
      </c>
      <c r="W410" s="985">
        <v>0</v>
      </c>
      <c r="X410" s="987"/>
      <c r="Y410" s="987"/>
      <c r="Z410" s="987"/>
      <c r="AA410" s="987"/>
      <c r="AB410" s="987"/>
      <c r="AC410" s="987"/>
      <c r="AD410" s="987"/>
      <c r="AE410" s="987"/>
      <c r="AF410" s="987"/>
      <c r="AG410" s="987"/>
      <c r="AH410" s="987"/>
      <c r="AI410" s="987"/>
      <c r="AJ410" s="987"/>
      <c r="AK410" s="985">
        <v>12</v>
      </c>
      <c r="AL410" s="985">
        <v>5.41</v>
      </c>
      <c r="AM410" s="985"/>
      <c r="AO410" s="983">
        <v>1</v>
      </c>
      <c r="AP410" s="983">
        <v>2</v>
      </c>
      <c r="AQ410" s="983">
        <v>1</v>
      </c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6"/>
      <c r="BD410" s="983">
        <v>18</v>
      </c>
      <c r="BE410" s="984">
        <v>11.1</v>
      </c>
      <c r="BF410" s="984"/>
      <c r="BH410" s="1002">
        <f t="shared" ref="BH410:BH425" si="190">IF(V410=0,1,0)</f>
        <v>1</v>
      </c>
      <c r="BI410" s="1002">
        <f t="shared" ref="BI410:BI425" si="191">IF(AO410=0,1,0)</f>
        <v>0</v>
      </c>
      <c r="BJ410" s="1002">
        <f t="shared" ref="BJ410:BJ425" si="192">IF(V410+AO410=0,1,0)</f>
        <v>0</v>
      </c>
      <c r="BK410" s="1002">
        <f t="shared" ref="BK410:BK425" si="193">IF(BH410&gt;BI410,1,0)</f>
        <v>1</v>
      </c>
      <c r="BL410" s="1002">
        <f t="shared" ref="BL410:BL425" si="194">IF(BI410&gt;BH410,1,0)</f>
        <v>0</v>
      </c>
      <c r="BN410" s="999">
        <v>4</v>
      </c>
      <c r="BO410" s="312"/>
      <c r="BP410" s="319" t="s">
        <v>1396</v>
      </c>
      <c r="BQ410" s="312">
        <v>16</v>
      </c>
      <c r="BR410" s="312">
        <v>9</v>
      </c>
      <c r="BS410" s="312">
        <v>0</v>
      </c>
      <c r="BT410" s="312">
        <v>2</v>
      </c>
      <c r="BU410" s="312">
        <v>0</v>
      </c>
      <c r="BV410" s="312">
        <v>5</v>
      </c>
      <c r="BW410" s="312">
        <v>84</v>
      </c>
      <c r="BX410" s="312">
        <v>75</v>
      </c>
      <c r="BY410" s="312">
        <v>9</v>
      </c>
      <c r="BZ410" s="1000">
        <v>20</v>
      </c>
      <c r="CC410" s="999">
        <v>4</v>
      </c>
      <c r="CD410" s="319" t="s">
        <v>1944</v>
      </c>
      <c r="CE410" s="319" t="s">
        <v>0</v>
      </c>
      <c r="CF410" s="312">
        <v>15</v>
      </c>
      <c r="CG410" s="312">
        <v>19</v>
      </c>
      <c r="CH410" s="312">
        <v>7</v>
      </c>
      <c r="CI410" s="312">
        <v>26</v>
      </c>
      <c r="CJ410" s="1000">
        <v>1</v>
      </c>
      <c r="CP410" s="1022">
        <v>1</v>
      </c>
      <c r="CQ410" s="311" t="s">
        <v>1660</v>
      </c>
      <c r="CR410" s="311" t="s">
        <v>0</v>
      </c>
      <c r="CS410" s="426">
        <v>3</v>
      </c>
      <c r="CT410" s="426">
        <v>75.38</v>
      </c>
      <c r="CU410" s="426">
        <v>7.21</v>
      </c>
      <c r="CV410" s="426">
        <v>49</v>
      </c>
      <c r="CW410" s="426">
        <v>16</v>
      </c>
      <c r="CX410" s="426">
        <v>1</v>
      </c>
      <c r="CY410" s="352">
        <v>0</v>
      </c>
      <c r="DA410" s="999">
        <v>1756</v>
      </c>
      <c r="DB410" s="1011">
        <v>43708</v>
      </c>
      <c r="DC410" s="1012">
        <v>0.65625</v>
      </c>
      <c r="DD410" s="319" t="s">
        <v>1398</v>
      </c>
      <c r="DE410" s="319" t="s">
        <v>2012</v>
      </c>
      <c r="DF410" s="319" t="s">
        <v>107</v>
      </c>
      <c r="DG410" s="319" t="s">
        <v>0</v>
      </c>
      <c r="DH410" s="1014" t="s">
        <v>253</v>
      </c>
    </row>
    <row r="411" spans="2:112" x14ac:dyDescent="0.3">
      <c r="B411" s="1280">
        <v>251</v>
      </c>
      <c r="C411" s="977" t="s">
        <v>2006</v>
      </c>
      <c r="D411" s="977" t="s">
        <v>1829</v>
      </c>
      <c r="E411" s="977" t="s">
        <v>1540</v>
      </c>
      <c r="F411" s="978" t="s">
        <v>2016</v>
      </c>
      <c r="G411" s="977" t="s">
        <v>1414</v>
      </c>
      <c r="H411" s="991" t="s">
        <v>1409</v>
      </c>
      <c r="I411" s="991" t="s">
        <v>1515</v>
      </c>
      <c r="J411" s="991" t="s">
        <v>0</v>
      </c>
      <c r="K411" s="991" t="s">
        <v>1584</v>
      </c>
      <c r="L411" s="992">
        <v>2</v>
      </c>
      <c r="M411" s="992">
        <v>1</v>
      </c>
      <c r="N411" s="1262">
        <v>0</v>
      </c>
      <c r="O411" s="992">
        <v>0</v>
      </c>
      <c r="P411" s="1262">
        <v>1</v>
      </c>
      <c r="Q411" s="992">
        <v>1</v>
      </c>
      <c r="R411" s="1262">
        <v>1</v>
      </c>
      <c r="S411" s="992">
        <v>0</v>
      </c>
      <c r="T411" s="1262"/>
      <c r="U411" s="992"/>
      <c r="V411" s="985">
        <v>0</v>
      </c>
      <c r="W411" s="985">
        <v>0</v>
      </c>
      <c r="X411" s="987"/>
      <c r="Y411" s="987"/>
      <c r="Z411" s="987"/>
      <c r="AA411" s="987"/>
      <c r="AB411" s="987"/>
      <c r="AC411" s="987"/>
      <c r="AD411" s="987"/>
      <c r="AE411" s="987"/>
      <c r="AF411" s="987"/>
      <c r="AG411" s="987"/>
      <c r="AH411" s="987"/>
      <c r="AI411" s="987"/>
      <c r="AJ411" s="987"/>
      <c r="AK411" s="985">
        <v>14</v>
      </c>
      <c r="AL411" s="985">
        <v>27.13</v>
      </c>
      <c r="AM411" s="985"/>
      <c r="AO411" s="983">
        <v>0</v>
      </c>
      <c r="AP411" s="983">
        <v>0</v>
      </c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83">
        <v>15</v>
      </c>
      <c r="BE411" s="983">
        <v>17.149999999999999</v>
      </c>
      <c r="BF411" s="983"/>
      <c r="BH411" s="1002">
        <f t="shared" si="190"/>
        <v>1</v>
      </c>
      <c r="BI411" s="1002">
        <f t="shared" si="191"/>
        <v>1</v>
      </c>
      <c r="BJ411" s="1002">
        <f t="shared" si="192"/>
        <v>1</v>
      </c>
      <c r="BK411" s="1002">
        <f t="shared" si="193"/>
        <v>0</v>
      </c>
      <c r="BL411" s="1002">
        <f t="shared" si="194"/>
        <v>0</v>
      </c>
      <c r="BN411" s="999">
        <v>5</v>
      </c>
      <c r="BO411" s="312"/>
      <c r="BP411" s="319" t="s">
        <v>1404</v>
      </c>
      <c r="BQ411" s="312">
        <v>16</v>
      </c>
      <c r="BR411" s="312">
        <v>9</v>
      </c>
      <c r="BS411" s="312">
        <v>0</v>
      </c>
      <c r="BT411" s="312">
        <v>0</v>
      </c>
      <c r="BU411" s="312">
        <v>0</v>
      </c>
      <c r="BV411" s="312">
        <v>7</v>
      </c>
      <c r="BW411" s="312">
        <v>87</v>
      </c>
      <c r="BX411" s="312">
        <v>72</v>
      </c>
      <c r="BY411" s="312">
        <v>15</v>
      </c>
      <c r="BZ411" s="1000">
        <v>18</v>
      </c>
      <c r="CC411" s="999">
        <v>5</v>
      </c>
      <c r="CD411" s="319" t="s">
        <v>1124</v>
      </c>
      <c r="CE411" s="319" t="s">
        <v>0</v>
      </c>
      <c r="CF411" s="312">
        <v>14</v>
      </c>
      <c r="CG411" s="312">
        <v>14</v>
      </c>
      <c r="CH411" s="312">
        <v>6</v>
      </c>
      <c r="CI411" s="312">
        <v>20</v>
      </c>
      <c r="CJ411" s="1000">
        <v>0</v>
      </c>
      <c r="DA411" s="998">
        <v>1757</v>
      </c>
      <c r="DB411" s="1015">
        <v>43708</v>
      </c>
      <c r="DC411" s="1016">
        <v>0.75</v>
      </c>
      <c r="DD411" s="335" t="s">
        <v>1398</v>
      </c>
      <c r="DE411" s="335" t="s">
        <v>2014</v>
      </c>
      <c r="DF411" s="335" t="s">
        <v>107</v>
      </c>
      <c r="DG411" s="335" t="s">
        <v>0</v>
      </c>
      <c r="DH411" s="1017" t="s">
        <v>1268</v>
      </c>
    </row>
    <row r="412" spans="2:112" x14ac:dyDescent="0.3">
      <c r="B412" s="1280">
        <v>252</v>
      </c>
      <c r="C412" s="977" t="s">
        <v>2006</v>
      </c>
      <c r="D412" s="977" t="s">
        <v>1829</v>
      </c>
      <c r="E412" s="977" t="s">
        <v>1541</v>
      </c>
      <c r="F412" s="978" t="s">
        <v>2017</v>
      </c>
      <c r="G412" s="977" t="s">
        <v>796</v>
      </c>
      <c r="H412" s="991" t="s">
        <v>1409</v>
      </c>
      <c r="I412" s="991" t="s">
        <v>1514</v>
      </c>
      <c r="J412" s="991" t="s">
        <v>0</v>
      </c>
      <c r="K412" s="991" t="s">
        <v>2018</v>
      </c>
      <c r="L412" s="992">
        <v>4</v>
      </c>
      <c r="M412" s="992">
        <v>1</v>
      </c>
      <c r="N412" s="1262">
        <v>1</v>
      </c>
      <c r="O412" s="992">
        <v>0</v>
      </c>
      <c r="P412" s="1262">
        <v>2</v>
      </c>
      <c r="Q412" s="992">
        <v>0</v>
      </c>
      <c r="R412" s="1262">
        <v>1</v>
      </c>
      <c r="S412" s="992">
        <v>1</v>
      </c>
      <c r="T412" s="1262"/>
      <c r="U412" s="992"/>
      <c r="V412" s="985">
        <v>0</v>
      </c>
      <c r="W412" s="985">
        <v>0</v>
      </c>
      <c r="X412" s="987"/>
      <c r="Y412" s="987"/>
      <c r="Z412" s="987"/>
      <c r="AA412" s="987"/>
      <c r="AB412" s="987"/>
      <c r="AC412" s="987"/>
      <c r="AD412" s="987"/>
      <c r="AE412" s="987"/>
      <c r="AF412" s="987"/>
      <c r="AG412" s="987"/>
      <c r="AH412" s="987"/>
      <c r="AI412" s="987"/>
      <c r="AJ412" s="987"/>
      <c r="AK412" s="985">
        <v>13</v>
      </c>
      <c r="AL412" s="985">
        <v>8.23</v>
      </c>
      <c r="AM412" s="985"/>
      <c r="AO412" s="983">
        <v>1</v>
      </c>
      <c r="AP412" s="983">
        <v>2</v>
      </c>
      <c r="AQ412" s="983">
        <v>1</v>
      </c>
      <c r="AR412" s="976"/>
      <c r="AS412" s="976"/>
      <c r="AT412" s="976"/>
      <c r="AU412" s="976"/>
      <c r="AV412" s="976"/>
      <c r="AW412" s="976"/>
      <c r="AX412" s="976"/>
      <c r="AY412" s="976"/>
      <c r="AZ412" s="976"/>
      <c r="BA412" s="976"/>
      <c r="BB412" s="976"/>
      <c r="BC412" s="976"/>
      <c r="BD412" s="983">
        <v>15</v>
      </c>
      <c r="BE412" s="983">
        <v>43.13</v>
      </c>
      <c r="BF412" s="983"/>
      <c r="BH412" s="1002">
        <f t="shared" si="190"/>
        <v>1</v>
      </c>
      <c r="BI412" s="1002">
        <f t="shared" si="191"/>
        <v>0</v>
      </c>
      <c r="BJ412" s="1002">
        <f t="shared" si="192"/>
        <v>0</v>
      </c>
      <c r="BK412" s="1002">
        <f t="shared" si="193"/>
        <v>1</v>
      </c>
      <c r="BL412" s="1002">
        <f t="shared" si="194"/>
        <v>0</v>
      </c>
      <c r="BN412" s="999">
        <v>6</v>
      </c>
      <c r="BO412" s="312"/>
      <c r="BP412" s="319" t="s">
        <v>1584</v>
      </c>
      <c r="BQ412" s="312">
        <v>16</v>
      </c>
      <c r="BR412" s="312">
        <v>8</v>
      </c>
      <c r="BS412" s="312">
        <v>0</v>
      </c>
      <c r="BT412" s="312">
        <v>0</v>
      </c>
      <c r="BU412" s="312">
        <v>0</v>
      </c>
      <c r="BV412" s="312">
        <v>8</v>
      </c>
      <c r="BW412" s="312">
        <v>65</v>
      </c>
      <c r="BX412" s="312">
        <v>64</v>
      </c>
      <c r="BY412" s="312">
        <v>1</v>
      </c>
      <c r="BZ412" s="1000">
        <v>16</v>
      </c>
      <c r="CC412" s="999">
        <v>6</v>
      </c>
      <c r="CD412" s="319" t="s">
        <v>1076</v>
      </c>
      <c r="CE412" s="319" t="s">
        <v>0</v>
      </c>
      <c r="CF412" s="312">
        <v>14</v>
      </c>
      <c r="CG412" s="312">
        <v>6</v>
      </c>
      <c r="CH412" s="312">
        <v>4</v>
      </c>
      <c r="CI412" s="312">
        <v>10</v>
      </c>
      <c r="CJ412" s="1000">
        <v>0</v>
      </c>
    </row>
    <row r="413" spans="2:112" x14ac:dyDescent="0.3">
      <c r="B413" s="1280">
        <v>253</v>
      </c>
      <c r="C413" s="977" t="s">
        <v>2006</v>
      </c>
      <c r="D413" s="977" t="s">
        <v>1829</v>
      </c>
      <c r="E413" s="977" t="s">
        <v>1542</v>
      </c>
      <c r="F413" s="978" t="s">
        <v>2020</v>
      </c>
      <c r="G413" s="977" t="s">
        <v>796</v>
      </c>
      <c r="H413" s="991" t="s">
        <v>1409</v>
      </c>
      <c r="I413" s="991" t="s">
        <v>1515</v>
      </c>
      <c r="J413" s="991" t="s">
        <v>0</v>
      </c>
      <c r="K413" s="991" t="s">
        <v>2021</v>
      </c>
      <c r="L413" s="992">
        <v>12</v>
      </c>
      <c r="M413" s="992">
        <v>1</v>
      </c>
      <c r="N413" s="1262">
        <v>2</v>
      </c>
      <c r="O413" s="992">
        <v>1</v>
      </c>
      <c r="P413" s="1262">
        <v>6</v>
      </c>
      <c r="Q413" s="992">
        <v>0</v>
      </c>
      <c r="R413" s="1262">
        <v>4</v>
      </c>
      <c r="S413" s="992">
        <v>0</v>
      </c>
      <c r="T413" s="1262"/>
      <c r="U413" s="992"/>
      <c r="V413" s="985">
        <v>1</v>
      </c>
      <c r="W413" s="985">
        <v>2</v>
      </c>
      <c r="X413" s="985">
        <v>1</v>
      </c>
      <c r="Y413" s="987"/>
      <c r="Z413" s="987"/>
      <c r="AA413" s="987"/>
      <c r="AB413" s="985">
        <v>2</v>
      </c>
      <c r="AC413" s="987"/>
      <c r="AD413" s="987"/>
      <c r="AE413" s="987"/>
      <c r="AF413" s="987"/>
      <c r="AG413" s="987"/>
      <c r="AH413" s="987"/>
      <c r="AI413" s="987"/>
      <c r="AJ413" s="987"/>
      <c r="AK413" s="985">
        <v>6</v>
      </c>
      <c r="AL413" s="986">
        <v>1.2</v>
      </c>
      <c r="AM413" s="986"/>
      <c r="AO413" s="983">
        <v>3</v>
      </c>
      <c r="AP413" s="983">
        <v>6</v>
      </c>
      <c r="AQ413" s="983">
        <v>3</v>
      </c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6"/>
      <c r="BD413" s="983">
        <v>18</v>
      </c>
      <c r="BE413" s="983">
        <v>11.15</v>
      </c>
      <c r="BF413" s="983"/>
      <c r="BH413" s="1002">
        <f t="shared" si="190"/>
        <v>0</v>
      </c>
      <c r="BI413" s="1002">
        <f t="shared" si="191"/>
        <v>0</v>
      </c>
      <c r="BJ413" s="1002">
        <f t="shared" si="192"/>
        <v>0</v>
      </c>
      <c r="BK413" s="1002">
        <f t="shared" si="193"/>
        <v>0</v>
      </c>
      <c r="BL413" s="1002">
        <f t="shared" si="194"/>
        <v>0</v>
      </c>
      <c r="BN413" s="999">
        <v>7</v>
      </c>
      <c r="BO413" s="312"/>
      <c r="BP413" s="319" t="s">
        <v>2026</v>
      </c>
      <c r="BQ413" s="312">
        <v>16</v>
      </c>
      <c r="BR413" s="312">
        <v>6</v>
      </c>
      <c r="BS413" s="312">
        <v>0</v>
      </c>
      <c r="BT413" s="312">
        <v>1</v>
      </c>
      <c r="BU413" s="312">
        <v>0</v>
      </c>
      <c r="BV413" s="312">
        <v>9</v>
      </c>
      <c r="BW413" s="312">
        <v>65</v>
      </c>
      <c r="BX413" s="312">
        <v>76</v>
      </c>
      <c r="BY413" s="312">
        <v>-11</v>
      </c>
      <c r="BZ413" s="1000">
        <v>13</v>
      </c>
      <c r="CC413" s="999">
        <v>7</v>
      </c>
      <c r="CD413" s="319" t="s">
        <v>1172</v>
      </c>
      <c r="CE413" s="319" t="s">
        <v>0</v>
      </c>
      <c r="CF413" s="312">
        <v>10</v>
      </c>
      <c r="CG413" s="312">
        <v>1</v>
      </c>
      <c r="CH413" s="312">
        <v>6</v>
      </c>
      <c r="CI413" s="312">
        <v>7</v>
      </c>
      <c r="CJ413" s="1000">
        <v>0</v>
      </c>
    </row>
    <row r="414" spans="2:112" x14ac:dyDescent="0.3">
      <c r="B414" s="1280">
        <v>254</v>
      </c>
      <c r="C414" s="977" t="s">
        <v>2006</v>
      </c>
      <c r="D414" s="977" t="s">
        <v>1829</v>
      </c>
      <c r="E414" s="977" t="s">
        <v>1543</v>
      </c>
      <c r="F414" s="977" t="s">
        <v>2022</v>
      </c>
      <c r="G414" s="977" t="s">
        <v>796</v>
      </c>
      <c r="H414" s="991" t="s">
        <v>1409</v>
      </c>
      <c r="I414" s="991" t="s">
        <v>1515</v>
      </c>
      <c r="J414" s="991" t="s">
        <v>0</v>
      </c>
      <c r="K414" s="991" t="s">
        <v>1396</v>
      </c>
      <c r="L414" s="992">
        <v>12</v>
      </c>
      <c r="M414" s="992">
        <v>2</v>
      </c>
      <c r="N414" s="1262">
        <v>2</v>
      </c>
      <c r="O414" s="992">
        <v>1</v>
      </c>
      <c r="P414" s="1262">
        <v>2</v>
      </c>
      <c r="Q414" s="992">
        <v>1</v>
      </c>
      <c r="R414" s="1262">
        <v>8</v>
      </c>
      <c r="S414" s="992">
        <v>0</v>
      </c>
      <c r="T414" s="1262"/>
      <c r="U414" s="992"/>
      <c r="V414" s="985">
        <v>1</v>
      </c>
      <c r="W414" s="985">
        <v>2</v>
      </c>
      <c r="X414" s="985">
        <v>1</v>
      </c>
      <c r="Y414" s="985"/>
      <c r="Z414" s="985"/>
      <c r="AA414" s="985"/>
      <c r="AB414" s="985"/>
      <c r="AC414" s="985"/>
      <c r="AD414" s="985"/>
      <c r="AE414" s="985"/>
      <c r="AF414" s="985"/>
      <c r="AG414" s="985"/>
      <c r="AH414" s="985"/>
      <c r="AI414" s="985"/>
      <c r="AJ414" s="985"/>
      <c r="AK414" s="985">
        <v>12</v>
      </c>
      <c r="AL414" s="985">
        <v>7.04</v>
      </c>
      <c r="AM414" s="985"/>
      <c r="AN414" s="8"/>
      <c r="AO414" s="983">
        <v>0</v>
      </c>
      <c r="AP414" s="983">
        <v>0</v>
      </c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>
        <v>12</v>
      </c>
      <c r="BE414" s="983">
        <v>9.3699999999999992</v>
      </c>
      <c r="BF414" s="983"/>
      <c r="BH414" s="1002">
        <f t="shared" si="190"/>
        <v>0</v>
      </c>
      <c r="BI414" s="1002">
        <f t="shared" si="191"/>
        <v>1</v>
      </c>
      <c r="BJ414" s="1002">
        <f t="shared" si="192"/>
        <v>0</v>
      </c>
      <c r="BK414" s="1002">
        <f t="shared" si="193"/>
        <v>0</v>
      </c>
      <c r="BL414" s="1002">
        <f t="shared" si="194"/>
        <v>1</v>
      </c>
      <c r="BN414" s="999">
        <v>8</v>
      </c>
      <c r="BO414" s="312"/>
      <c r="BP414" s="319" t="s">
        <v>2018</v>
      </c>
      <c r="BQ414" s="312">
        <v>16</v>
      </c>
      <c r="BR414" s="312">
        <v>5</v>
      </c>
      <c r="BS414" s="312">
        <v>0</v>
      </c>
      <c r="BT414" s="312">
        <v>2</v>
      </c>
      <c r="BU414" s="312">
        <v>0</v>
      </c>
      <c r="BV414" s="312">
        <v>9</v>
      </c>
      <c r="BW414" s="312">
        <v>73</v>
      </c>
      <c r="BX414" s="312">
        <v>75</v>
      </c>
      <c r="BY414" s="312">
        <v>-2</v>
      </c>
      <c r="BZ414" s="1000">
        <v>12</v>
      </c>
      <c r="CC414" s="999">
        <v>8</v>
      </c>
      <c r="CD414" s="319" t="s">
        <v>1379</v>
      </c>
      <c r="CE414" s="319" t="s">
        <v>0</v>
      </c>
      <c r="CF414" s="312">
        <v>14</v>
      </c>
      <c r="CG414" s="312">
        <v>3</v>
      </c>
      <c r="CH414" s="312">
        <v>3</v>
      </c>
      <c r="CI414" s="312">
        <v>6</v>
      </c>
      <c r="CJ414" s="1000">
        <v>0</v>
      </c>
    </row>
    <row r="415" spans="2:112" x14ac:dyDescent="0.3">
      <c r="B415" s="1280">
        <v>255</v>
      </c>
      <c r="C415" s="977" t="s">
        <v>2006</v>
      </c>
      <c r="D415" s="977" t="s">
        <v>1829</v>
      </c>
      <c r="E415" s="977" t="s">
        <v>1544</v>
      </c>
      <c r="F415" s="977" t="s">
        <v>2023</v>
      </c>
      <c r="G415" s="977" t="s">
        <v>796</v>
      </c>
      <c r="H415" s="991" t="s">
        <v>1411</v>
      </c>
      <c r="I415" s="991" t="s">
        <v>1515</v>
      </c>
      <c r="J415" s="991" t="s">
        <v>0</v>
      </c>
      <c r="K415" s="991" t="s">
        <v>1405</v>
      </c>
      <c r="L415" s="992">
        <v>3</v>
      </c>
      <c r="M415" s="992">
        <v>5</v>
      </c>
      <c r="N415" s="1262">
        <v>0</v>
      </c>
      <c r="O415" s="992">
        <v>1</v>
      </c>
      <c r="P415" s="1262">
        <v>1</v>
      </c>
      <c r="Q415" s="992">
        <v>3</v>
      </c>
      <c r="R415" s="1262">
        <v>2</v>
      </c>
      <c r="S415" s="992">
        <v>1</v>
      </c>
      <c r="T415" s="1262"/>
      <c r="U415" s="992"/>
      <c r="V415" s="985">
        <v>0</v>
      </c>
      <c r="W415" s="985">
        <v>0</v>
      </c>
      <c r="X415" s="985"/>
      <c r="Y415" s="985"/>
      <c r="Z415" s="985"/>
      <c r="AA415" s="985"/>
      <c r="AB415" s="985"/>
      <c r="AC415" s="985"/>
      <c r="AD415" s="985"/>
      <c r="AE415" s="985"/>
      <c r="AF415" s="985"/>
      <c r="AG415" s="985"/>
      <c r="AH415" s="985"/>
      <c r="AI415" s="985"/>
      <c r="AJ415" s="985"/>
      <c r="AK415" s="985">
        <v>19</v>
      </c>
      <c r="AL415" s="985">
        <v>26.08</v>
      </c>
      <c r="AM415" s="985"/>
      <c r="AN415" s="8"/>
      <c r="AO415" s="983">
        <v>0</v>
      </c>
      <c r="AP415" s="983">
        <v>0</v>
      </c>
      <c r="AQ415" s="983"/>
      <c r="AR415" s="983"/>
      <c r="AS415" s="983"/>
      <c r="AT415" s="983"/>
      <c r="AU415" s="983"/>
      <c r="AV415" s="983"/>
      <c r="AW415" s="983"/>
      <c r="AX415" s="983"/>
      <c r="AY415" s="983"/>
      <c r="AZ415" s="983"/>
      <c r="BA415" s="983"/>
      <c r="BB415" s="983"/>
      <c r="BC415" s="983"/>
      <c r="BD415" s="983">
        <v>11</v>
      </c>
      <c r="BE415" s="983">
        <v>12.15</v>
      </c>
      <c r="BF415" s="983"/>
      <c r="BH415" s="1002">
        <f t="shared" si="190"/>
        <v>1</v>
      </c>
      <c r="BI415" s="1002">
        <f t="shared" si="191"/>
        <v>1</v>
      </c>
      <c r="BJ415" s="1002">
        <f t="shared" si="192"/>
        <v>1</v>
      </c>
      <c r="BK415" s="1002">
        <f t="shared" si="193"/>
        <v>0</v>
      </c>
      <c r="BL415" s="1002">
        <f t="shared" si="194"/>
        <v>0</v>
      </c>
      <c r="BN415" s="999">
        <v>9</v>
      </c>
      <c r="BO415" s="312"/>
      <c r="BP415" s="319" t="s">
        <v>1583</v>
      </c>
      <c r="BQ415" s="312">
        <v>16</v>
      </c>
      <c r="BR415" s="312">
        <v>3</v>
      </c>
      <c r="BS415" s="312">
        <v>0</v>
      </c>
      <c r="BT415" s="312">
        <v>3</v>
      </c>
      <c r="BU415" s="312">
        <v>0</v>
      </c>
      <c r="BV415" s="312">
        <v>10</v>
      </c>
      <c r="BW415" s="312">
        <v>49</v>
      </c>
      <c r="BX415" s="312">
        <v>73</v>
      </c>
      <c r="BY415" s="312">
        <v>-24</v>
      </c>
      <c r="BZ415" s="1000">
        <v>9</v>
      </c>
      <c r="CC415" s="999">
        <v>9</v>
      </c>
      <c r="CD415" s="319" t="s">
        <v>53</v>
      </c>
      <c r="CE415" s="319" t="s">
        <v>0</v>
      </c>
      <c r="CF415" s="312">
        <v>16</v>
      </c>
      <c r="CG415" s="312">
        <v>2</v>
      </c>
      <c r="CH415" s="312">
        <v>3</v>
      </c>
      <c r="CI415" s="312">
        <v>5</v>
      </c>
      <c r="CJ415" s="1000">
        <v>0</v>
      </c>
    </row>
    <row r="416" spans="2:112" x14ac:dyDescent="0.3">
      <c r="B416" s="1280">
        <v>256</v>
      </c>
      <c r="C416" s="977" t="s">
        <v>2006</v>
      </c>
      <c r="D416" s="977" t="s">
        <v>1829</v>
      </c>
      <c r="E416" s="977" t="s">
        <v>1545</v>
      </c>
      <c r="F416" s="977" t="s">
        <v>2024</v>
      </c>
      <c r="G416" s="977" t="s">
        <v>242</v>
      </c>
      <c r="H416" s="991" t="s">
        <v>1409</v>
      </c>
      <c r="I416" s="991" t="s">
        <v>1515</v>
      </c>
      <c r="J416" s="991" t="s">
        <v>0</v>
      </c>
      <c r="K416" s="991" t="s">
        <v>1394</v>
      </c>
      <c r="L416" s="992">
        <v>8</v>
      </c>
      <c r="M416" s="992">
        <v>4</v>
      </c>
      <c r="N416" s="1262">
        <v>4</v>
      </c>
      <c r="O416" s="992">
        <v>1</v>
      </c>
      <c r="P416" s="1262">
        <v>2</v>
      </c>
      <c r="Q416" s="992">
        <v>0</v>
      </c>
      <c r="R416" s="1262">
        <v>2</v>
      </c>
      <c r="S416" s="992">
        <v>3</v>
      </c>
      <c r="T416" s="1262"/>
      <c r="U416" s="992"/>
      <c r="V416" s="985">
        <v>0</v>
      </c>
      <c r="W416" s="985">
        <v>0</v>
      </c>
      <c r="X416" s="985"/>
      <c r="Y416" s="985"/>
      <c r="Z416" s="985"/>
      <c r="AA416" s="985"/>
      <c r="AB416" s="985">
        <v>2</v>
      </c>
      <c r="AC416" s="985"/>
      <c r="AD416" s="985"/>
      <c r="AE416" s="985"/>
      <c r="AF416" s="985"/>
      <c r="AG416" s="985"/>
      <c r="AH416" s="985"/>
      <c r="AI416" s="985"/>
      <c r="AJ416" s="985"/>
      <c r="AK416" s="985">
        <v>13</v>
      </c>
      <c r="AL416" s="985">
        <v>2.1800000000000002</v>
      </c>
      <c r="AM416" s="985"/>
      <c r="AN416" s="8"/>
      <c r="AO416" s="983">
        <v>5</v>
      </c>
      <c r="AP416" s="983">
        <v>18</v>
      </c>
      <c r="AQ416" s="983">
        <v>4</v>
      </c>
      <c r="AR416" s="983"/>
      <c r="AS416" s="983">
        <v>1</v>
      </c>
      <c r="AT416" s="983"/>
      <c r="AU416" s="983"/>
      <c r="AV416" s="983"/>
      <c r="AW416" s="983"/>
      <c r="AX416" s="983"/>
      <c r="AY416" s="983"/>
      <c r="AZ416" s="983"/>
      <c r="BA416" s="983"/>
      <c r="BB416" s="983"/>
      <c r="BC416" s="983"/>
      <c r="BD416" s="983">
        <v>25</v>
      </c>
      <c r="BE416" s="983">
        <v>7.54</v>
      </c>
      <c r="BF416" s="983"/>
      <c r="BH416" s="1002">
        <f t="shared" si="190"/>
        <v>1</v>
      </c>
      <c r="BI416" s="1002">
        <f t="shared" si="191"/>
        <v>0</v>
      </c>
      <c r="BJ416" s="1002">
        <f t="shared" si="192"/>
        <v>0</v>
      </c>
      <c r="BK416" s="1002">
        <f t="shared" si="193"/>
        <v>1</v>
      </c>
      <c r="BL416" s="1002">
        <f t="shared" si="194"/>
        <v>0</v>
      </c>
      <c r="BN416" s="998">
        <v>10</v>
      </c>
      <c r="BO416" s="435"/>
      <c r="BP416" s="335" t="s">
        <v>2021</v>
      </c>
      <c r="BQ416" s="435">
        <v>16</v>
      </c>
      <c r="BR416" s="435">
        <v>2</v>
      </c>
      <c r="BS416" s="435">
        <v>0</v>
      </c>
      <c r="BT416" s="435">
        <v>0</v>
      </c>
      <c r="BU416" s="435">
        <v>0</v>
      </c>
      <c r="BV416" s="435">
        <v>14</v>
      </c>
      <c r="BW416" s="435">
        <v>42</v>
      </c>
      <c r="BX416" s="435">
        <v>105</v>
      </c>
      <c r="BY416" s="435">
        <v>-63</v>
      </c>
      <c r="BZ416" s="664">
        <v>4</v>
      </c>
      <c r="CC416" s="999">
        <v>10</v>
      </c>
      <c r="CD416" s="319" t="s">
        <v>1459</v>
      </c>
      <c r="CE416" s="319" t="s">
        <v>0</v>
      </c>
      <c r="CF416" s="312">
        <v>6</v>
      </c>
      <c r="CG416" s="312">
        <v>2</v>
      </c>
      <c r="CH416" s="312">
        <v>1</v>
      </c>
      <c r="CI416" s="312">
        <v>3</v>
      </c>
      <c r="CJ416" s="1000">
        <v>0</v>
      </c>
    </row>
    <row r="417" spans="2:88" x14ac:dyDescent="0.3">
      <c r="B417" s="1280">
        <v>257</v>
      </c>
      <c r="C417" s="977" t="s">
        <v>2006</v>
      </c>
      <c r="D417" s="977" t="s">
        <v>1829</v>
      </c>
      <c r="E417" s="977" t="s">
        <v>1546</v>
      </c>
      <c r="F417" s="977" t="s">
        <v>2025</v>
      </c>
      <c r="G417" s="977" t="s">
        <v>242</v>
      </c>
      <c r="H417" s="991" t="s">
        <v>1409</v>
      </c>
      <c r="I417" s="991" t="s">
        <v>1514</v>
      </c>
      <c r="J417" s="991" t="s">
        <v>0</v>
      </c>
      <c r="K417" s="991" t="s">
        <v>2026</v>
      </c>
      <c r="L417" s="992">
        <v>13</v>
      </c>
      <c r="M417" s="992">
        <v>5</v>
      </c>
      <c r="N417" s="1262">
        <v>5</v>
      </c>
      <c r="O417" s="992">
        <v>0</v>
      </c>
      <c r="P417" s="1262">
        <v>4</v>
      </c>
      <c r="Q417" s="992">
        <v>2</v>
      </c>
      <c r="R417" s="1262">
        <v>4</v>
      </c>
      <c r="S417" s="992">
        <v>3</v>
      </c>
      <c r="T417" s="1262"/>
      <c r="U417" s="992"/>
      <c r="V417" s="985">
        <v>0</v>
      </c>
      <c r="W417" s="985">
        <v>0</v>
      </c>
      <c r="X417" s="985"/>
      <c r="Y417" s="985"/>
      <c r="Z417" s="985"/>
      <c r="AA417" s="985"/>
      <c r="AB417" s="985">
        <v>1</v>
      </c>
      <c r="AC417" s="985"/>
      <c r="AD417" s="985">
        <v>1</v>
      </c>
      <c r="AE417" s="985">
        <v>1</v>
      </c>
      <c r="AF417" s="985"/>
      <c r="AG417" s="985"/>
      <c r="AH417" s="985"/>
      <c r="AI417" s="985"/>
      <c r="AJ417" s="985"/>
      <c r="AK417" s="985">
        <v>14</v>
      </c>
      <c r="AL417" s="985">
        <v>7.13</v>
      </c>
      <c r="AM417" s="985"/>
      <c r="AN417" s="8"/>
      <c r="AO417" s="983">
        <v>1</v>
      </c>
      <c r="AP417" s="983">
        <v>2</v>
      </c>
      <c r="AQ417" s="983">
        <v>1</v>
      </c>
      <c r="AR417" s="983"/>
      <c r="AS417" s="983"/>
      <c r="AT417" s="983"/>
      <c r="AU417" s="983"/>
      <c r="AV417" s="983"/>
      <c r="AW417" s="983"/>
      <c r="AX417" s="983"/>
      <c r="AY417" s="983"/>
      <c r="AZ417" s="983"/>
      <c r="BA417" s="983"/>
      <c r="BB417" s="983"/>
      <c r="BC417" s="983"/>
      <c r="BD417" s="983">
        <v>24</v>
      </c>
      <c r="BE417" s="983">
        <v>23.54</v>
      </c>
      <c r="BF417" s="983"/>
      <c r="BH417" s="1002">
        <f t="shared" si="190"/>
        <v>1</v>
      </c>
      <c r="BI417" s="1002">
        <f t="shared" si="191"/>
        <v>0</v>
      </c>
      <c r="BJ417" s="1002">
        <f t="shared" si="192"/>
        <v>0</v>
      </c>
      <c r="BK417" s="1002">
        <f t="shared" si="193"/>
        <v>1</v>
      </c>
      <c r="BL417" s="1002">
        <f t="shared" si="194"/>
        <v>0</v>
      </c>
      <c r="CC417" s="999">
        <v>11</v>
      </c>
      <c r="CD417" s="319" t="s">
        <v>2041</v>
      </c>
      <c r="CE417" s="319" t="s">
        <v>0</v>
      </c>
      <c r="CF417" s="312">
        <v>14</v>
      </c>
      <c r="CG417" s="312">
        <v>0</v>
      </c>
      <c r="CH417" s="312">
        <v>2</v>
      </c>
      <c r="CI417" s="312">
        <v>2</v>
      </c>
      <c r="CJ417" s="1000">
        <v>0</v>
      </c>
    </row>
    <row r="418" spans="2:88" x14ac:dyDescent="0.3">
      <c r="B418" s="1280">
        <v>258</v>
      </c>
      <c r="C418" s="977" t="s">
        <v>2006</v>
      </c>
      <c r="D418" s="977" t="s">
        <v>1829</v>
      </c>
      <c r="E418" s="977" t="s">
        <v>1547</v>
      </c>
      <c r="F418" s="977" t="s">
        <v>2027</v>
      </c>
      <c r="G418" s="977" t="s">
        <v>2029</v>
      </c>
      <c r="H418" s="991" t="s">
        <v>1411</v>
      </c>
      <c r="I418" s="991" t="s">
        <v>1514</v>
      </c>
      <c r="J418" s="991" t="s">
        <v>0</v>
      </c>
      <c r="K418" s="991" t="s">
        <v>1584</v>
      </c>
      <c r="L418" s="992">
        <v>4</v>
      </c>
      <c r="M418" s="992">
        <v>6</v>
      </c>
      <c r="N418" s="1262">
        <v>1</v>
      </c>
      <c r="O418" s="992">
        <v>3</v>
      </c>
      <c r="P418" s="1262">
        <v>0</v>
      </c>
      <c r="Q418" s="992">
        <v>0</v>
      </c>
      <c r="R418" s="1262">
        <v>3</v>
      </c>
      <c r="S418" s="992">
        <v>3</v>
      </c>
      <c r="T418" s="1262"/>
      <c r="U418" s="992"/>
      <c r="V418" s="985">
        <v>0</v>
      </c>
      <c r="W418" s="985">
        <v>0</v>
      </c>
      <c r="X418" s="985"/>
      <c r="Y418" s="985"/>
      <c r="Z418" s="985"/>
      <c r="AA418" s="985"/>
      <c r="AB418" s="985"/>
      <c r="AC418" s="985"/>
      <c r="AD418" s="985"/>
      <c r="AE418" s="985"/>
      <c r="AF418" s="985"/>
      <c r="AG418" s="985"/>
      <c r="AH418" s="985"/>
      <c r="AI418" s="985"/>
      <c r="AJ418" s="985"/>
      <c r="AK418" s="985" t="s">
        <v>107</v>
      </c>
      <c r="AL418" s="985">
        <v>4.0999999999999996</v>
      </c>
      <c r="AM418" s="985"/>
      <c r="AN418" s="8"/>
      <c r="AO418" s="983">
        <v>2</v>
      </c>
      <c r="AP418" s="983">
        <v>4</v>
      </c>
      <c r="AQ418" s="983">
        <v>2</v>
      </c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 t="s">
        <v>107</v>
      </c>
      <c r="BE418" s="983">
        <v>4.51</v>
      </c>
      <c r="BF418" s="983"/>
      <c r="BH418" s="1002">
        <f t="shared" si="190"/>
        <v>1</v>
      </c>
      <c r="BI418" s="1002">
        <f t="shared" si="191"/>
        <v>0</v>
      </c>
      <c r="BJ418" s="1002">
        <f t="shared" si="192"/>
        <v>0</v>
      </c>
      <c r="BK418" s="1002">
        <f t="shared" si="193"/>
        <v>1</v>
      </c>
      <c r="BL418" s="1002">
        <f t="shared" si="194"/>
        <v>0</v>
      </c>
      <c r="BN418" s="997">
        <v>1</v>
      </c>
      <c r="BO418" s="430"/>
      <c r="BP418" s="332" t="s">
        <v>2077</v>
      </c>
      <c r="BQ418" s="430">
        <v>2</v>
      </c>
      <c r="BR418" s="430">
        <v>2</v>
      </c>
      <c r="BS418" s="430">
        <v>0</v>
      </c>
      <c r="BT418" s="430">
        <v>0</v>
      </c>
      <c r="BU418" s="430">
        <v>0</v>
      </c>
      <c r="BV418" s="430">
        <v>0</v>
      </c>
      <c r="BW418" s="430">
        <v>10</v>
      </c>
      <c r="BX418" s="430">
        <v>7</v>
      </c>
      <c r="BY418" s="430">
        <v>3</v>
      </c>
      <c r="BZ418" s="663">
        <v>4</v>
      </c>
      <c r="CC418" s="999">
        <v>12</v>
      </c>
      <c r="CD418" s="319" t="s">
        <v>2042</v>
      </c>
      <c r="CE418" s="319" t="s">
        <v>0</v>
      </c>
      <c r="CF418" s="312">
        <v>6</v>
      </c>
      <c r="CG418" s="312">
        <v>1</v>
      </c>
      <c r="CH418" s="312">
        <v>0</v>
      </c>
      <c r="CI418" s="312">
        <v>1</v>
      </c>
      <c r="CJ418" s="1000">
        <v>0</v>
      </c>
    </row>
    <row r="419" spans="2:88" x14ac:dyDescent="0.3">
      <c r="B419" s="1280">
        <v>259</v>
      </c>
      <c r="C419" s="977" t="s">
        <v>2006</v>
      </c>
      <c r="D419" s="977" t="s">
        <v>1829</v>
      </c>
      <c r="E419" s="977" t="s">
        <v>1548</v>
      </c>
      <c r="F419" s="977" t="s">
        <v>2028</v>
      </c>
      <c r="G419" s="977" t="s">
        <v>2029</v>
      </c>
      <c r="H419" s="991" t="s">
        <v>1411</v>
      </c>
      <c r="I419" s="991" t="s">
        <v>1514</v>
      </c>
      <c r="J419" s="991" t="s">
        <v>0</v>
      </c>
      <c r="K419" s="991" t="s">
        <v>1404</v>
      </c>
      <c r="L419" s="992">
        <v>5</v>
      </c>
      <c r="M419" s="992">
        <v>8</v>
      </c>
      <c r="N419" s="1262">
        <v>0</v>
      </c>
      <c r="O419" s="992">
        <v>3</v>
      </c>
      <c r="P419" s="1262">
        <v>3</v>
      </c>
      <c r="Q419" s="992">
        <v>0</v>
      </c>
      <c r="R419" s="1262">
        <v>2</v>
      </c>
      <c r="S419" s="992">
        <v>5</v>
      </c>
      <c r="T419" s="1262"/>
      <c r="U419" s="992"/>
      <c r="V419" s="985">
        <v>0</v>
      </c>
      <c r="W419" s="985">
        <v>0</v>
      </c>
      <c r="X419" s="985"/>
      <c r="Y419" s="985"/>
      <c r="Z419" s="985"/>
      <c r="AA419" s="985"/>
      <c r="AB419" s="985">
        <v>1</v>
      </c>
      <c r="AC419" s="985"/>
      <c r="AD419" s="985"/>
      <c r="AE419" s="985"/>
      <c r="AF419" s="985"/>
      <c r="AG419" s="985"/>
      <c r="AH419" s="985"/>
      <c r="AI419" s="985"/>
      <c r="AJ419" s="985"/>
      <c r="AK419" s="985" t="s">
        <v>107</v>
      </c>
      <c r="AL419" s="985">
        <v>23.1</v>
      </c>
      <c r="AM419" s="985"/>
      <c r="AN419" s="8"/>
      <c r="AO419" s="983">
        <v>2</v>
      </c>
      <c r="AP419" s="983">
        <v>4</v>
      </c>
      <c r="AQ419" s="983">
        <v>2</v>
      </c>
      <c r="AR419" s="983"/>
      <c r="AS419" s="983"/>
      <c r="AT419" s="983"/>
      <c r="AU419" s="983"/>
      <c r="AV419" s="983"/>
      <c r="AW419" s="983"/>
      <c r="AX419" s="983"/>
      <c r="AY419" s="983">
        <v>1</v>
      </c>
      <c r="AZ419" s="983"/>
      <c r="BA419" s="983"/>
      <c r="BB419" s="983"/>
      <c r="BC419" s="983"/>
      <c r="BD419" s="983" t="s">
        <v>107</v>
      </c>
      <c r="BE419" s="983">
        <v>10</v>
      </c>
      <c r="BF419" s="983"/>
      <c r="BH419" s="1002">
        <f t="shared" si="190"/>
        <v>1</v>
      </c>
      <c r="BI419" s="1002">
        <f t="shared" si="191"/>
        <v>0</v>
      </c>
      <c r="BJ419" s="1002">
        <f t="shared" si="192"/>
        <v>0</v>
      </c>
      <c r="BK419" s="1002">
        <f t="shared" si="193"/>
        <v>1</v>
      </c>
      <c r="BL419" s="1002">
        <f t="shared" si="194"/>
        <v>0</v>
      </c>
      <c r="BN419" s="999">
        <v>2</v>
      </c>
      <c r="BO419" s="312"/>
      <c r="BP419" s="319" t="s">
        <v>2014</v>
      </c>
      <c r="BQ419" s="312">
        <v>3</v>
      </c>
      <c r="BR419" s="312">
        <v>2</v>
      </c>
      <c r="BS419" s="312">
        <v>0</v>
      </c>
      <c r="BT419" s="312">
        <v>0</v>
      </c>
      <c r="BU419" s="312">
        <v>0</v>
      </c>
      <c r="BV419" s="312">
        <v>1</v>
      </c>
      <c r="BW419" s="312">
        <v>23</v>
      </c>
      <c r="BX419" s="312">
        <v>10</v>
      </c>
      <c r="BY419" s="312">
        <v>13</v>
      </c>
      <c r="BZ419" s="1000">
        <v>4</v>
      </c>
      <c r="CC419" s="999">
        <v>13</v>
      </c>
      <c r="CD419" s="319" t="s">
        <v>680</v>
      </c>
      <c r="CE419" s="319" t="s">
        <v>0</v>
      </c>
      <c r="CF419" s="312">
        <v>6</v>
      </c>
      <c r="CG419" s="312">
        <v>0</v>
      </c>
      <c r="CH419" s="312">
        <v>1</v>
      </c>
      <c r="CI419" s="312">
        <v>1</v>
      </c>
      <c r="CJ419" s="1000">
        <v>0</v>
      </c>
    </row>
    <row r="420" spans="2:88" x14ac:dyDescent="0.3">
      <c r="B420" s="1280">
        <v>260</v>
      </c>
      <c r="C420" s="977" t="s">
        <v>2006</v>
      </c>
      <c r="D420" s="977" t="s">
        <v>1829</v>
      </c>
      <c r="E420" s="977" t="s">
        <v>1549</v>
      </c>
      <c r="F420" s="977" t="s">
        <v>2030</v>
      </c>
      <c r="G420" s="977" t="s">
        <v>796</v>
      </c>
      <c r="H420" s="991" t="s">
        <v>1409</v>
      </c>
      <c r="I420" s="991" t="s">
        <v>1514</v>
      </c>
      <c r="J420" s="991" t="s">
        <v>0</v>
      </c>
      <c r="K420" s="991" t="s">
        <v>2021</v>
      </c>
      <c r="L420" s="992">
        <v>6</v>
      </c>
      <c r="M420" s="992">
        <v>4</v>
      </c>
      <c r="N420" s="1262">
        <v>1</v>
      </c>
      <c r="O420" s="992">
        <v>1</v>
      </c>
      <c r="P420" s="1262">
        <v>2</v>
      </c>
      <c r="Q420" s="992">
        <v>3</v>
      </c>
      <c r="R420" s="1262">
        <v>3</v>
      </c>
      <c r="S420" s="992">
        <v>0</v>
      </c>
      <c r="T420" s="1262"/>
      <c r="U420" s="992"/>
      <c r="V420" s="985">
        <v>0</v>
      </c>
      <c r="W420" s="985">
        <v>0</v>
      </c>
      <c r="X420" s="985"/>
      <c r="Y420" s="985"/>
      <c r="Z420" s="985"/>
      <c r="AA420" s="985"/>
      <c r="AB420" s="985">
        <v>1</v>
      </c>
      <c r="AC420" s="985"/>
      <c r="AD420" s="985"/>
      <c r="AE420" s="985"/>
      <c r="AF420" s="985"/>
      <c r="AG420" s="985"/>
      <c r="AH420" s="985"/>
      <c r="AI420" s="985"/>
      <c r="AJ420" s="985"/>
      <c r="AK420" s="985">
        <v>21</v>
      </c>
      <c r="AL420" s="985">
        <v>9.19</v>
      </c>
      <c r="AM420" s="985"/>
      <c r="AN420" s="8"/>
      <c r="AO420" s="983">
        <v>1</v>
      </c>
      <c r="AP420" s="983">
        <v>2</v>
      </c>
      <c r="AQ420" s="983">
        <v>1</v>
      </c>
      <c r="AR420" s="983"/>
      <c r="AS420" s="983"/>
      <c r="AT420" s="983"/>
      <c r="AU420" s="983"/>
      <c r="AV420" s="983">
        <v>1</v>
      </c>
      <c r="AW420" s="983"/>
      <c r="AX420" s="983"/>
      <c r="AY420" s="983"/>
      <c r="AZ420" s="983"/>
      <c r="BA420" s="983"/>
      <c r="BB420" s="983"/>
      <c r="BC420" s="983"/>
      <c r="BD420" s="983">
        <v>35</v>
      </c>
      <c r="BE420" s="983">
        <v>4.18</v>
      </c>
      <c r="BF420" s="983"/>
      <c r="BH420" s="1002">
        <f t="shared" si="190"/>
        <v>1</v>
      </c>
      <c r="BI420" s="1002">
        <f t="shared" si="191"/>
        <v>0</v>
      </c>
      <c r="BJ420" s="1002">
        <f t="shared" si="192"/>
        <v>0</v>
      </c>
      <c r="BK420" s="1002">
        <f t="shared" si="193"/>
        <v>1</v>
      </c>
      <c r="BL420" s="1002">
        <f t="shared" si="194"/>
        <v>0</v>
      </c>
      <c r="BN420" s="998">
        <v>3</v>
      </c>
      <c r="BO420" s="435"/>
      <c r="BP420" s="335" t="s">
        <v>0</v>
      </c>
      <c r="BQ420" s="435">
        <v>3</v>
      </c>
      <c r="BR420" s="435">
        <v>1</v>
      </c>
      <c r="BS420" s="435">
        <v>0</v>
      </c>
      <c r="BT420" s="435">
        <v>0</v>
      </c>
      <c r="BU420" s="435">
        <v>0</v>
      </c>
      <c r="BV420" s="435">
        <v>2</v>
      </c>
      <c r="BW420" s="435">
        <v>20</v>
      </c>
      <c r="BX420" s="435">
        <v>16</v>
      </c>
      <c r="BY420" s="435">
        <v>4</v>
      </c>
      <c r="BZ420" s="664">
        <v>2</v>
      </c>
      <c r="CC420" s="999">
        <v>14</v>
      </c>
      <c r="CD420" s="319" t="s">
        <v>55</v>
      </c>
      <c r="CE420" s="319" t="s">
        <v>0</v>
      </c>
      <c r="CF420" s="312">
        <v>6</v>
      </c>
      <c r="CG420" s="312">
        <v>0</v>
      </c>
      <c r="CH420" s="312">
        <v>1</v>
      </c>
      <c r="CI420" s="312">
        <v>1</v>
      </c>
      <c r="CJ420" s="1000">
        <v>0</v>
      </c>
    </row>
    <row r="421" spans="2:88" x14ac:dyDescent="0.3">
      <c r="B421" s="1280">
        <v>261</v>
      </c>
      <c r="C421" s="977" t="s">
        <v>2006</v>
      </c>
      <c r="D421" s="977" t="s">
        <v>1829</v>
      </c>
      <c r="E421" s="977" t="s">
        <v>1550</v>
      </c>
      <c r="F421" s="977" t="s">
        <v>2031</v>
      </c>
      <c r="G421" s="977" t="s">
        <v>796</v>
      </c>
      <c r="H421" s="991" t="s">
        <v>1409</v>
      </c>
      <c r="I421" s="991" t="s">
        <v>1515</v>
      </c>
      <c r="J421" s="991" t="s">
        <v>0</v>
      </c>
      <c r="K421" s="991" t="s">
        <v>1583</v>
      </c>
      <c r="L421" s="992">
        <v>7</v>
      </c>
      <c r="M421" s="992">
        <v>6</v>
      </c>
      <c r="N421" s="1262">
        <v>2</v>
      </c>
      <c r="O421" s="992">
        <v>2</v>
      </c>
      <c r="P421" s="1262">
        <v>1</v>
      </c>
      <c r="Q421" s="992">
        <v>3</v>
      </c>
      <c r="R421" s="1262">
        <v>4</v>
      </c>
      <c r="S421" s="992">
        <v>1</v>
      </c>
      <c r="T421" s="1262"/>
      <c r="U421" s="992"/>
      <c r="V421" s="985">
        <v>0</v>
      </c>
      <c r="W421" s="985">
        <v>0</v>
      </c>
      <c r="X421" s="985"/>
      <c r="Y421" s="985"/>
      <c r="Z421" s="985"/>
      <c r="AA421" s="985"/>
      <c r="AB421" s="985"/>
      <c r="AC421" s="985"/>
      <c r="AD421" s="985"/>
      <c r="AE421" s="985"/>
      <c r="AF421" s="985"/>
      <c r="AG421" s="985"/>
      <c r="AH421" s="985"/>
      <c r="AI421" s="985"/>
      <c r="AJ421" s="985"/>
      <c r="AK421" s="985">
        <v>24</v>
      </c>
      <c r="AL421" s="985">
        <v>6.25</v>
      </c>
      <c r="AM421" s="985"/>
      <c r="AN421" s="8"/>
      <c r="AO421" s="983">
        <v>0</v>
      </c>
      <c r="AP421" s="983">
        <v>0</v>
      </c>
      <c r="AQ421" s="983"/>
      <c r="AR421" s="983"/>
      <c r="AS421" s="983"/>
      <c r="AT421" s="983"/>
      <c r="AU421" s="983"/>
      <c r="AV421" s="983"/>
      <c r="AW421" s="983"/>
      <c r="AX421" s="983"/>
      <c r="AY421" s="983"/>
      <c r="AZ421" s="983"/>
      <c r="BA421" s="983"/>
      <c r="BB421" s="983"/>
      <c r="BC421" s="983"/>
      <c r="BD421" s="983">
        <v>24</v>
      </c>
      <c r="BE421" s="983">
        <v>1.08</v>
      </c>
      <c r="BF421" s="983"/>
      <c r="BH421" s="1002">
        <f t="shared" si="190"/>
        <v>1</v>
      </c>
      <c r="BI421" s="1002">
        <f t="shared" si="191"/>
        <v>1</v>
      </c>
      <c r="BJ421" s="1002">
        <f t="shared" si="192"/>
        <v>1</v>
      </c>
      <c r="BK421" s="1002">
        <f t="shared" si="193"/>
        <v>0</v>
      </c>
      <c r="BL421" s="1002">
        <f t="shared" si="194"/>
        <v>0</v>
      </c>
      <c r="CC421" s="999">
        <v>15</v>
      </c>
      <c r="CD421" s="319" t="s">
        <v>1943</v>
      </c>
      <c r="CE421" s="319" t="s">
        <v>0</v>
      </c>
      <c r="CF421" s="312">
        <v>2</v>
      </c>
      <c r="CG421" s="312">
        <v>0</v>
      </c>
      <c r="CH421" s="312">
        <v>0</v>
      </c>
      <c r="CI421" s="312">
        <v>0</v>
      </c>
      <c r="CJ421" s="1000">
        <v>0</v>
      </c>
    </row>
    <row r="422" spans="2:88" x14ac:dyDescent="0.3">
      <c r="B422" s="1280">
        <v>262</v>
      </c>
      <c r="C422" s="977" t="s">
        <v>2006</v>
      </c>
      <c r="D422" s="977" t="s">
        <v>1829</v>
      </c>
      <c r="E422" s="977" t="s">
        <v>1551</v>
      </c>
      <c r="F422" s="977" t="s">
        <v>2032</v>
      </c>
      <c r="G422" s="977" t="s">
        <v>1643</v>
      </c>
      <c r="H422" s="991" t="s">
        <v>1409</v>
      </c>
      <c r="I422" s="991" t="s">
        <v>1515</v>
      </c>
      <c r="J422" s="991" t="s">
        <v>0</v>
      </c>
      <c r="K422" s="991" t="s">
        <v>2018</v>
      </c>
      <c r="L422" s="992">
        <v>5</v>
      </c>
      <c r="M422" s="992">
        <v>4</v>
      </c>
      <c r="N422" s="1262">
        <v>3</v>
      </c>
      <c r="O422" s="992">
        <v>3</v>
      </c>
      <c r="P422" s="1262">
        <v>1</v>
      </c>
      <c r="Q422" s="992">
        <v>0</v>
      </c>
      <c r="R422" s="1262">
        <v>1</v>
      </c>
      <c r="S422" s="992">
        <v>1</v>
      </c>
      <c r="T422" s="1262"/>
      <c r="U422" s="992"/>
      <c r="V422" s="985">
        <v>1</v>
      </c>
      <c r="W422" s="985">
        <v>2</v>
      </c>
      <c r="X422" s="985">
        <v>1</v>
      </c>
      <c r="Y422" s="985"/>
      <c r="Z422" s="985"/>
      <c r="AA422" s="985"/>
      <c r="AB422" s="985"/>
      <c r="AC422" s="985"/>
      <c r="AD422" s="985"/>
      <c r="AE422" s="985"/>
      <c r="AF422" s="985"/>
      <c r="AG422" s="985"/>
      <c r="AH422" s="985"/>
      <c r="AI422" s="985"/>
      <c r="AJ422" s="985"/>
      <c r="AK422" s="985">
        <v>13</v>
      </c>
      <c r="AL422" s="985">
        <v>3.41</v>
      </c>
      <c r="AM422" s="985"/>
      <c r="AN422" s="8"/>
      <c r="AO422" s="983">
        <v>0</v>
      </c>
      <c r="AP422" s="983">
        <v>0</v>
      </c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>
        <v>12</v>
      </c>
      <c r="BE422" s="983">
        <v>5.13</v>
      </c>
      <c r="BF422" s="983"/>
      <c r="BH422" s="1002">
        <f t="shared" si="190"/>
        <v>0</v>
      </c>
      <c r="BI422" s="1002">
        <f t="shared" si="191"/>
        <v>1</v>
      </c>
      <c r="BJ422" s="1002">
        <f t="shared" si="192"/>
        <v>0</v>
      </c>
      <c r="BK422" s="1002">
        <f t="shared" si="193"/>
        <v>0</v>
      </c>
      <c r="BL422" s="1002">
        <f t="shared" si="194"/>
        <v>1</v>
      </c>
      <c r="CC422" s="999">
        <v>16</v>
      </c>
      <c r="CD422" s="319" t="s">
        <v>1660</v>
      </c>
      <c r="CE422" s="319" t="s">
        <v>0</v>
      </c>
      <c r="CF422" s="312">
        <v>16</v>
      </c>
      <c r="CG422" s="312">
        <v>0</v>
      </c>
      <c r="CH422" s="312">
        <v>0</v>
      </c>
      <c r="CI422" s="312">
        <v>0</v>
      </c>
      <c r="CJ422" s="1000">
        <v>0</v>
      </c>
    </row>
    <row r="423" spans="2:88" x14ac:dyDescent="0.3">
      <c r="B423" s="1280">
        <v>263</v>
      </c>
      <c r="C423" s="977" t="s">
        <v>2006</v>
      </c>
      <c r="D423" s="977" t="s">
        <v>1829</v>
      </c>
      <c r="E423" s="977" t="s">
        <v>1552</v>
      </c>
      <c r="F423" s="977" t="s">
        <v>2033</v>
      </c>
      <c r="G423" s="977" t="s">
        <v>1643</v>
      </c>
      <c r="H423" s="991" t="s">
        <v>1411</v>
      </c>
      <c r="I423" s="991" t="s">
        <v>1514</v>
      </c>
      <c r="J423" s="991" t="s">
        <v>0</v>
      </c>
      <c r="K423" s="991" t="s">
        <v>1396</v>
      </c>
      <c r="L423" s="992">
        <v>2</v>
      </c>
      <c r="M423" s="992">
        <v>5</v>
      </c>
      <c r="N423" s="1262">
        <v>0</v>
      </c>
      <c r="O423" s="992">
        <v>2</v>
      </c>
      <c r="P423" s="1262">
        <v>0</v>
      </c>
      <c r="Q423" s="992">
        <v>1</v>
      </c>
      <c r="R423" s="1262">
        <v>2</v>
      </c>
      <c r="S423" s="992">
        <v>2</v>
      </c>
      <c r="T423" s="1262"/>
      <c r="U423" s="992"/>
      <c r="V423" s="985">
        <v>0</v>
      </c>
      <c r="W423" s="985">
        <v>0</v>
      </c>
      <c r="X423" s="985"/>
      <c r="Y423" s="985"/>
      <c r="Z423" s="985"/>
      <c r="AA423" s="985"/>
      <c r="AB423" s="985"/>
      <c r="AC423" s="985"/>
      <c r="AD423" s="985"/>
      <c r="AE423" s="985"/>
      <c r="AF423" s="985"/>
      <c r="AG423" s="985"/>
      <c r="AH423" s="985"/>
      <c r="AI423" s="985"/>
      <c r="AJ423" s="985"/>
      <c r="AK423" s="985">
        <v>22</v>
      </c>
      <c r="AL423" s="985">
        <v>30.08</v>
      </c>
      <c r="AM423" s="985"/>
      <c r="AN423" s="8"/>
      <c r="AO423" s="983">
        <v>1</v>
      </c>
      <c r="AP423" s="983">
        <v>2</v>
      </c>
      <c r="AQ423" s="983">
        <v>1</v>
      </c>
      <c r="AR423" s="983"/>
      <c r="AS423" s="983"/>
      <c r="AT423" s="983"/>
      <c r="AU423" s="983"/>
      <c r="AV423" s="983"/>
      <c r="AW423" s="983"/>
      <c r="AX423" s="983"/>
      <c r="AY423" s="983"/>
      <c r="AZ423" s="983"/>
      <c r="BA423" s="983"/>
      <c r="BB423" s="983"/>
      <c r="BC423" s="983"/>
      <c r="BD423" s="983">
        <v>20</v>
      </c>
      <c r="BE423" s="983">
        <v>2.36</v>
      </c>
      <c r="BF423" s="983"/>
      <c r="BH423" s="1002">
        <f t="shared" si="190"/>
        <v>1</v>
      </c>
      <c r="BI423" s="1002">
        <f t="shared" si="191"/>
        <v>0</v>
      </c>
      <c r="BJ423" s="1002">
        <f t="shared" si="192"/>
        <v>0</v>
      </c>
      <c r="BK423" s="1002">
        <f t="shared" si="193"/>
        <v>1</v>
      </c>
      <c r="BL423" s="1002">
        <f t="shared" si="194"/>
        <v>0</v>
      </c>
      <c r="CC423" s="998">
        <v>17</v>
      </c>
      <c r="CD423" s="335" t="s">
        <v>47</v>
      </c>
      <c r="CE423" s="335" t="s">
        <v>0</v>
      </c>
      <c r="CF423" s="435">
        <v>3</v>
      </c>
      <c r="CG423" s="435">
        <v>0</v>
      </c>
      <c r="CH423" s="435">
        <v>0</v>
      </c>
      <c r="CI423" s="435">
        <v>0</v>
      </c>
      <c r="CJ423" s="664">
        <v>0</v>
      </c>
    </row>
    <row r="424" spans="2:88" x14ac:dyDescent="0.3">
      <c r="B424" s="1280">
        <v>264</v>
      </c>
      <c r="C424" s="977" t="s">
        <v>2006</v>
      </c>
      <c r="D424" s="977" t="s">
        <v>1829</v>
      </c>
      <c r="E424" s="977" t="s">
        <v>1553</v>
      </c>
      <c r="F424" s="977" t="s">
        <v>2034</v>
      </c>
      <c r="G424" s="977" t="s">
        <v>150</v>
      </c>
      <c r="H424" s="991" t="s">
        <v>1409</v>
      </c>
      <c r="I424" s="991" t="s">
        <v>1514</v>
      </c>
      <c r="J424" s="991" t="s">
        <v>0</v>
      </c>
      <c r="K424" s="991" t="s">
        <v>1405</v>
      </c>
      <c r="L424" s="992">
        <v>7</v>
      </c>
      <c r="M424" s="992">
        <v>2</v>
      </c>
      <c r="N424" s="1262">
        <v>0</v>
      </c>
      <c r="O424" s="992">
        <v>1</v>
      </c>
      <c r="P424" s="1262">
        <v>3</v>
      </c>
      <c r="Q424" s="992">
        <v>0</v>
      </c>
      <c r="R424" s="1262">
        <v>4</v>
      </c>
      <c r="S424" s="992">
        <v>1</v>
      </c>
      <c r="T424" s="1262"/>
      <c r="U424" s="992"/>
      <c r="V424" s="985">
        <v>0</v>
      </c>
      <c r="W424" s="985">
        <v>0</v>
      </c>
      <c r="X424" s="985"/>
      <c r="Y424" s="985"/>
      <c r="Z424" s="985"/>
      <c r="AA424" s="985"/>
      <c r="AB424" s="985"/>
      <c r="AC424" s="985"/>
      <c r="AD424" s="985">
        <v>1</v>
      </c>
      <c r="AE424" s="985">
        <v>1</v>
      </c>
      <c r="AF424" s="985"/>
      <c r="AG424" s="985"/>
      <c r="AH424" s="985"/>
      <c r="AI424" s="985">
        <v>1</v>
      </c>
      <c r="AJ424" s="985"/>
      <c r="AK424" s="985" t="s">
        <v>107</v>
      </c>
      <c r="AL424" s="985">
        <v>16.41</v>
      </c>
      <c r="AM424" s="985"/>
      <c r="AN424" s="8"/>
      <c r="AO424" s="983">
        <v>0</v>
      </c>
      <c r="AP424" s="983">
        <v>0</v>
      </c>
      <c r="AQ424" s="983"/>
      <c r="AR424" s="983"/>
      <c r="AS424" s="983"/>
      <c r="AT424" s="983"/>
      <c r="AU424" s="983"/>
      <c r="AV424" s="983"/>
      <c r="AW424" s="983"/>
      <c r="AX424" s="983"/>
      <c r="AY424" s="983"/>
      <c r="AZ424" s="983"/>
      <c r="BA424" s="983"/>
      <c r="BB424" s="983"/>
      <c r="BC424" s="983"/>
      <c r="BD424" s="983" t="s">
        <v>107</v>
      </c>
      <c r="BE424" s="983">
        <v>13.25</v>
      </c>
      <c r="BF424" s="983"/>
      <c r="BH424" s="1002">
        <f t="shared" si="190"/>
        <v>1</v>
      </c>
      <c r="BI424" s="1002">
        <f t="shared" si="191"/>
        <v>1</v>
      </c>
      <c r="BJ424" s="1002">
        <f t="shared" si="192"/>
        <v>1</v>
      </c>
      <c r="BK424" s="1002">
        <f t="shared" si="193"/>
        <v>0</v>
      </c>
      <c r="BL424" s="1002">
        <f t="shared" si="194"/>
        <v>0</v>
      </c>
    </row>
    <row r="425" spans="2:88" x14ac:dyDescent="0.3">
      <c r="B425" s="1280">
        <v>265</v>
      </c>
      <c r="C425" s="977" t="s">
        <v>2006</v>
      </c>
      <c r="D425" s="977" t="s">
        <v>1829</v>
      </c>
      <c r="E425" s="977" t="s">
        <v>1554</v>
      </c>
      <c r="F425" s="977" t="s">
        <v>2035</v>
      </c>
      <c r="G425" s="977" t="s">
        <v>150</v>
      </c>
      <c r="H425" s="991" t="s">
        <v>1409</v>
      </c>
      <c r="I425" s="991" t="s">
        <v>1515</v>
      </c>
      <c r="J425" s="991" t="s">
        <v>0</v>
      </c>
      <c r="K425" s="991" t="s">
        <v>2026</v>
      </c>
      <c r="L425" s="992">
        <v>2</v>
      </c>
      <c r="M425" s="992">
        <v>1</v>
      </c>
      <c r="N425" s="1262">
        <v>1</v>
      </c>
      <c r="O425" s="992">
        <v>0</v>
      </c>
      <c r="P425" s="1262">
        <v>1</v>
      </c>
      <c r="Q425" s="992">
        <v>1</v>
      </c>
      <c r="R425" s="1262">
        <v>0</v>
      </c>
      <c r="S425" s="992">
        <v>0</v>
      </c>
      <c r="T425" s="1262"/>
      <c r="U425" s="992"/>
      <c r="V425" s="985">
        <v>0</v>
      </c>
      <c r="W425" s="985">
        <v>0</v>
      </c>
      <c r="X425" s="985"/>
      <c r="Y425" s="985"/>
      <c r="Z425" s="985"/>
      <c r="AA425" s="985"/>
      <c r="AB425" s="985"/>
      <c r="AC425" s="985"/>
      <c r="AD425" s="985"/>
      <c r="AE425" s="985"/>
      <c r="AF425" s="985"/>
      <c r="AG425" s="985"/>
      <c r="AH425" s="985"/>
      <c r="AI425" s="985"/>
      <c r="AJ425" s="985"/>
      <c r="AK425" s="985">
        <v>18</v>
      </c>
      <c r="AL425" s="985">
        <v>5.24</v>
      </c>
      <c r="AM425" s="985"/>
      <c r="AN425" s="8"/>
      <c r="AO425" s="983">
        <v>0</v>
      </c>
      <c r="AP425" s="983">
        <v>0</v>
      </c>
      <c r="AQ425" s="983"/>
      <c r="AR425" s="983"/>
      <c r="AS425" s="983"/>
      <c r="AT425" s="983"/>
      <c r="AU425" s="983"/>
      <c r="AV425" s="983"/>
      <c r="AW425" s="983"/>
      <c r="AX425" s="983"/>
      <c r="AY425" s="983"/>
      <c r="AZ425" s="983"/>
      <c r="BA425" s="983"/>
      <c r="BB425" s="983"/>
      <c r="BC425" s="983"/>
      <c r="BD425" s="983">
        <v>18</v>
      </c>
      <c r="BE425" s="983">
        <v>17.440000000000001</v>
      </c>
      <c r="BF425" s="983"/>
      <c r="BH425" s="1002">
        <f t="shared" si="190"/>
        <v>1</v>
      </c>
      <c r="BI425" s="1002">
        <f t="shared" si="191"/>
        <v>1</v>
      </c>
      <c r="BJ425" s="1002">
        <f t="shared" si="192"/>
        <v>1</v>
      </c>
      <c r="BK425" s="1002">
        <f t="shared" si="193"/>
        <v>0</v>
      </c>
      <c r="BL425" s="1002">
        <f t="shared" si="194"/>
        <v>0</v>
      </c>
      <c r="CC425" s="997">
        <v>1</v>
      </c>
      <c r="CD425" s="332" t="s">
        <v>185</v>
      </c>
      <c r="CE425" s="332" t="s">
        <v>0</v>
      </c>
      <c r="CF425" s="430">
        <v>3</v>
      </c>
      <c r="CG425" s="430">
        <v>4</v>
      </c>
      <c r="CH425" s="430">
        <v>3</v>
      </c>
      <c r="CI425" s="430">
        <v>7</v>
      </c>
      <c r="CJ425" s="663">
        <v>0</v>
      </c>
    </row>
    <row r="426" spans="2:88" x14ac:dyDescent="0.3">
      <c r="B426" s="1004"/>
      <c r="C426" s="1291" t="s">
        <v>2006</v>
      </c>
      <c r="D426" s="1291" t="s">
        <v>1829</v>
      </c>
      <c r="E426" s="1291" t="s">
        <v>1555</v>
      </c>
      <c r="F426" s="1292" t="s">
        <v>2150</v>
      </c>
      <c r="G426" s="1291" t="s">
        <v>1593</v>
      </c>
      <c r="H426" s="1293"/>
      <c r="I426" s="1293" t="s">
        <v>1514</v>
      </c>
      <c r="J426" s="1293" t="s">
        <v>0</v>
      </c>
      <c r="K426" s="1293" t="s">
        <v>1394</v>
      </c>
      <c r="L426" s="992"/>
      <c r="M426" s="992"/>
      <c r="N426" s="1262"/>
      <c r="O426" s="992"/>
      <c r="P426" s="1262"/>
      <c r="Q426" s="992"/>
      <c r="R426" s="1262"/>
      <c r="S426" s="992"/>
      <c r="T426" s="1262"/>
      <c r="U426" s="992"/>
      <c r="V426" s="985"/>
      <c r="W426" s="985"/>
      <c r="X426" s="985"/>
      <c r="Y426" s="985"/>
      <c r="Z426" s="985"/>
      <c r="AA426" s="985"/>
      <c r="AB426" s="985"/>
      <c r="AC426" s="985"/>
      <c r="AD426" s="985"/>
      <c r="AE426" s="985"/>
      <c r="AF426" s="985"/>
      <c r="AG426" s="985"/>
      <c r="AH426" s="985"/>
      <c r="AI426" s="985"/>
      <c r="AJ426" s="985"/>
      <c r="AK426" s="985"/>
      <c r="AL426" s="985"/>
      <c r="AM426" s="985"/>
      <c r="AN426" s="8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H426" s="1002"/>
      <c r="BI426" s="1002"/>
      <c r="BJ426" s="1002"/>
      <c r="BK426" s="1002"/>
      <c r="BL426" s="1002"/>
      <c r="CC426" s="999">
        <v>2</v>
      </c>
      <c r="CD426" s="319" t="s">
        <v>1075</v>
      </c>
      <c r="CE426" s="319" t="s">
        <v>0</v>
      </c>
      <c r="CF426" s="312">
        <v>3</v>
      </c>
      <c r="CG426" s="312">
        <v>1</v>
      </c>
      <c r="CH426" s="312">
        <v>6</v>
      </c>
      <c r="CI426" s="312">
        <v>7</v>
      </c>
      <c r="CJ426" s="1000">
        <v>0</v>
      </c>
    </row>
    <row r="427" spans="2:88" x14ac:dyDescent="0.3">
      <c r="B427" s="1004"/>
      <c r="C427" s="1291" t="s">
        <v>2006</v>
      </c>
      <c r="D427" s="1291" t="s">
        <v>1829</v>
      </c>
      <c r="E427" s="1291" t="s">
        <v>1871</v>
      </c>
      <c r="F427" s="1291" t="s">
        <v>2151</v>
      </c>
      <c r="G427" s="1291" t="s">
        <v>1593</v>
      </c>
      <c r="H427" s="1293"/>
      <c r="I427" s="1293" t="s">
        <v>1515</v>
      </c>
      <c r="J427" s="1293" t="s">
        <v>0</v>
      </c>
      <c r="K427" s="1293" t="s">
        <v>1404</v>
      </c>
      <c r="L427" s="992"/>
      <c r="M427" s="992"/>
      <c r="N427" s="1262"/>
      <c r="O427" s="992"/>
      <c r="P427" s="1262"/>
      <c r="Q427" s="992"/>
      <c r="R427" s="1262"/>
      <c r="S427" s="992"/>
      <c r="T427" s="1262"/>
      <c r="U427" s="992"/>
      <c r="V427" s="985"/>
      <c r="W427" s="985"/>
      <c r="X427" s="985"/>
      <c r="Y427" s="985"/>
      <c r="Z427" s="985"/>
      <c r="AA427" s="985"/>
      <c r="AB427" s="985"/>
      <c r="AC427" s="985"/>
      <c r="AD427" s="985"/>
      <c r="AE427" s="985"/>
      <c r="AF427" s="985"/>
      <c r="AG427" s="985"/>
      <c r="AH427" s="985"/>
      <c r="AI427" s="985"/>
      <c r="AJ427" s="985"/>
      <c r="AK427" s="985"/>
      <c r="AL427" s="985"/>
      <c r="AM427" s="985"/>
      <c r="AN427" s="8"/>
      <c r="AO427" s="983"/>
      <c r="AP427" s="983"/>
      <c r="AQ427" s="983"/>
      <c r="AR427" s="983"/>
      <c r="AS427" s="983"/>
      <c r="AT427" s="983"/>
      <c r="AU427" s="983"/>
      <c r="AV427" s="983"/>
      <c r="AW427" s="983"/>
      <c r="AX427" s="983"/>
      <c r="AY427" s="983"/>
      <c r="AZ427" s="983"/>
      <c r="BA427" s="983"/>
      <c r="BB427" s="983"/>
      <c r="BC427" s="983"/>
      <c r="BD427" s="983"/>
      <c r="BE427" s="983"/>
      <c r="BF427" s="983"/>
      <c r="BH427" s="1002"/>
      <c r="BI427" s="1002"/>
      <c r="BJ427" s="1002"/>
      <c r="BK427" s="1002"/>
      <c r="BL427" s="1002"/>
      <c r="CC427" s="999">
        <v>3</v>
      </c>
      <c r="CD427" s="319" t="s">
        <v>1944</v>
      </c>
      <c r="CE427" s="319" t="s">
        <v>0</v>
      </c>
      <c r="CF427" s="312">
        <v>3</v>
      </c>
      <c r="CG427" s="312">
        <v>5</v>
      </c>
      <c r="CH427" s="312">
        <v>0</v>
      </c>
      <c r="CI427" s="312">
        <v>5</v>
      </c>
      <c r="CJ427" s="1000">
        <v>1</v>
      </c>
    </row>
    <row r="428" spans="2:88" x14ac:dyDescent="0.3">
      <c r="CC428" s="999">
        <v>4</v>
      </c>
      <c r="CD428" s="319" t="s">
        <v>47</v>
      </c>
      <c r="CE428" s="319" t="s">
        <v>0</v>
      </c>
      <c r="CF428" s="312">
        <v>3</v>
      </c>
      <c r="CG428" s="312">
        <v>3</v>
      </c>
      <c r="CH428" s="312">
        <v>2</v>
      </c>
      <c r="CI428" s="312">
        <v>5</v>
      </c>
      <c r="CJ428" s="1000">
        <v>0</v>
      </c>
    </row>
    <row r="429" spans="2:88" x14ac:dyDescent="0.3">
      <c r="F429" s="975"/>
      <c r="G429" s="975" t="s">
        <v>2036</v>
      </c>
      <c r="H429" s="975"/>
      <c r="I429" s="1003"/>
      <c r="J429" s="1003"/>
      <c r="K429" s="1003"/>
      <c r="L429" s="1003" t="s">
        <v>2037</v>
      </c>
      <c r="M429" s="1003" t="s">
        <v>2038</v>
      </c>
      <c r="O429" s="1003" t="s">
        <v>1409</v>
      </c>
      <c r="P429" s="1003" t="s">
        <v>1410</v>
      </c>
      <c r="Q429" s="1003" t="s">
        <v>1411</v>
      </c>
      <c r="V429" s="981" t="s">
        <v>1557</v>
      </c>
      <c r="W429" s="981" t="s">
        <v>1556</v>
      </c>
      <c r="X429" s="981" t="s">
        <v>501</v>
      </c>
      <c r="Y429" s="981" t="s">
        <v>708</v>
      </c>
      <c r="Z429" s="981" t="s">
        <v>82</v>
      </c>
      <c r="AA429" s="981" t="s">
        <v>709</v>
      </c>
      <c r="AB429" s="981" t="s">
        <v>1419</v>
      </c>
      <c r="AC429" s="981" t="s">
        <v>1420</v>
      </c>
      <c r="AD429" s="982" t="s">
        <v>1827</v>
      </c>
      <c r="AE429" s="981" t="s">
        <v>1828</v>
      </c>
      <c r="AF429" s="981" t="s">
        <v>1425</v>
      </c>
      <c r="AG429" s="981" t="s">
        <v>1535</v>
      </c>
      <c r="AH429" s="981" t="s">
        <v>1536</v>
      </c>
      <c r="AI429" s="981" t="s">
        <v>1559</v>
      </c>
      <c r="AJ429" s="981" t="s">
        <v>1896</v>
      </c>
      <c r="AK429" s="981" t="s">
        <v>1967</v>
      </c>
      <c r="AL429" s="981" t="s">
        <v>19</v>
      </c>
      <c r="AM429" s="981"/>
      <c r="AO429" s="979" t="s">
        <v>1557</v>
      </c>
      <c r="AP429" s="979" t="s">
        <v>1556</v>
      </c>
      <c r="AQ429" s="979" t="s">
        <v>501</v>
      </c>
      <c r="AR429" s="979" t="s">
        <v>708</v>
      </c>
      <c r="AS429" s="979" t="s">
        <v>82</v>
      </c>
      <c r="AT429" s="979" t="s">
        <v>709</v>
      </c>
      <c r="AU429" s="979" t="s">
        <v>1419</v>
      </c>
      <c r="AV429" s="979" t="s">
        <v>1420</v>
      </c>
      <c r="AW429" s="980" t="s">
        <v>1827</v>
      </c>
      <c r="AX429" s="979" t="s">
        <v>1828</v>
      </c>
      <c r="AY429" s="979" t="s">
        <v>1425</v>
      </c>
      <c r="AZ429" s="979" t="s">
        <v>1535</v>
      </c>
      <c r="BA429" s="979" t="s">
        <v>1536</v>
      </c>
      <c r="BB429" s="979" t="s">
        <v>1559</v>
      </c>
      <c r="BC429" s="979" t="s">
        <v>1896</v>
      </c>
      <c r="BD429" s="979" t="s">
        <v>1967</v>
      </c>
      <c r="BE429" s="979" t="s">
        <v>19</v>
      </c>
      <c r="BF429" s="979"/>
      <c r="BH429" s="1001" t="s">
        <v>2045</v>
      </c>
      <c r="BI429" s="1001"/>
      <c r="BJ429" s="1001" t="s">
        <v>1913</v>
      </c>
      <c r="BK429" s="1001" t="s">
        <v>537</v>
      </c>
      <c r="BL429" s="1001" t="s">
        <v>1128</v>
      </c>
      <c r="CC429" s="999">
        <v>5</v>
      </c>
      <c r="CD429" s="319" t="s">
        <v>2041</v>
      </c>
      <c r="CE429" s="319" t="s">
        <v>0</v>
      </c>
      <c r="CF429" s="312">
        <v>3</v>
      </c>
      <c r="CG429" s="312">
        <v>3</v>
      </c>
      <c r="CH429" s="312">
        <v>1</v>
      </c>
      <c r="CI429" s="312">
        <v>4</v>
      </c>
      <c r="CJ429" s="1000">
        <v>0</v>
      </c>
    </row>
    <row r="430" spans="2:88" x14ac:dyDescent="0.3">
      <c r="F430" s="977"/>
      <c r="G430" s="977" t="s">
        <v>2007</v>
      </c>
      <c r="H430" s="977"/>
      <c r="I430" s="1004"/>
      <c r="J430" s="1004"/>
      <c r="K430" s="1004"/>
      <c r="L430" s="1004">
        <f>SUM(L407:L409)</f>
        <v>20</v>
      </c>
      <c r="M430" s="1004">
        <f>SUM(M407:M409)</f>
        <v>16</v>
      </c>
      <c r="N430" s="8"/>
      <c r="O430" s="1004">
        <f>COUNTIF($H$407:$H$409,"Voitto")</f>
        <v>1</v>
      </c>
      <c r="P430" s="1004">
        <f>COUNTIF(H407:H409,"Tasapeli")</f>
        <v>0</v>
      </c>
      <c r="Q430" s="1004">
        <f>COUNTIF($H$407:$H$409,"Häviö")</f>
        <v>2</v>
      </c>
      <c r="V430" s="8">
        <f>SUM(V407:V409)</f>
        <v>1</v>
      </c>
      <c r="W430" s="8">
        <f t="shared" ref="W430:AK430" si="195">SUM(W407:W409)</f>
        <v>5</v>
      </c>
      <c r="X430" s="8">
        <f t="shared" si="195"/>
        <v>0</v>
      </c>
      <c r="Y430" s="8">
        <f t="shared" si="195"/>
        <v>1</v>
      </c>
      <c r="Z430" s="8">
        <f t="shared" si="195"/>
        <v>0</v>
      </c>
      <c r="AA430" s="8">
        <f t="shared" si="195"/>
        <v>0</v>
      </c>
      <c r="AB430" s="8">
        <f t="shared" si="195"/>
        <v>1</v>
      </c>
      <c r="AC430" s="8">
        <f t="shared" si="195"/>
        <v>0</v>
      </c>
      <c r="AD430" s="8">
        <f t="shared" si="195"/>
        <v>1</v>
      </c>
      <c r="AE430" s="8">
        <f t="shared" si="195"/>
        <v>1</v>
      </c>
      <c r="AF430" s="8">
        <f t="shared" si="195"/>
        <v>1</v>
      </c>
      <c r="AG430" s="8">
        <f t="shared" si="195"/>
        <v>0</v>
      </c>
      <c r="AH430" s="8">
        <f t="shared" si="195"/>
        <v>0</v>
      </c>
      <c r="AI430" s="8">
        <f t="shared" si="195"/>
        <v>0</v>
      </c>
      <c r="AJ430" s="8">
        <f t="shared" si="195"/>
        <v>1</v>
      </c>
      <c r="AK430" s="8">
        <f t="shared" si="195"/>
        <v>49</v>
      </c>
      <c r="AL430" s="8">
        <f>MIN(AL407:AL409)</f>
        <v>4</v>
      </c>
      <c r="AM430" s="8">
        <f>MAX(AL407:AL409)</f>
        <v>28.31</v>
      </c>
      <c r="AO430" s="8">
        <f>SUM(AO407:AO409)</f>
        <v>1</v>
      </c>
      <c r="AP430" s="8">
        <f t="shared" ref="AP430:BD430" si="196">SUM(AP407:AP409)</f>
        <v>2</v>
      </c>
      <c r="AQ430" s="8">
        <f t="shared" si="196"/>
        <v>1</v>
      </c>
      <c r="AR430" s="8">
        <f t="shared" si="196"/>
        <v>0</v>
      </c>
      <c r="AS430" s="8">
        <f t="shared" si="196"/>
        <v>0</v>
      </c>
      <c r="AT430" s="8">
        <f t="shared" si="196"/>
        <v>0</v>
      </c>
      <c r="AU430" s="8">
        <f t="shared" si="196"/>
        <v>0</v>
      </c>
      <c r="AV430" s="8">
        <f t="shared" si="196"/>
        <v>1</v>
      </c>
      <c r="AW430" s="8">
        <f t="shared" si="196"/>
        <v>0</v>
      </c>
      <c r="AX430" s="8">
        <f t="shared" si="196"/>
        <v>0</v>
      </c>
      <c r="AY430" s="8">
        <f t="shared" si="196"/>
        <v>0</v>
      </c>
      <c r="AZ430" s="8">
        <f t="shared" si="196"/>
        <v>0</v>
      </c>
      <c r="BA430" s="8">
        <f t="shared" si="196"/>
        <v>0</v>
      </c>
      <c r="BB430" s="8">
        <f t="shared" si="196"/>
        <v>0</v>
      </c>
      <c r="BC430" s="8">
        <f t="shared" si="196"/>
        <v>0</v>
      </c>
      <c r="BD430" s="8">
        <f t="shared" si="196"/>
        <v>50</v>
      </c>
      <c r="BE430">
        <f>MIN(BE407:BE409)</f>
        <v>1.26</v>
      </c>
      <c r="BF430">
        <f>MAX(BE407:BE409)</f>
        <v>8.2899999999999991</v>
      </c>
      <c r="BJ430" s="8">
        <f t="shared" ref="BJ430:BL430" si="197">SUM(BJ407:BJ409)</f>
        <v>2</v>
      </c>
      <c r="BK430" s="8">
        <f t="shared" si="197"/>
        <v>0</v>
      </c>
      <c r="BL430" s="8">
        <f t="shared" si="197"/>
        <v>0</v>
      </c>
      <c r="CC430" s="999">
        <v>6</v>
      </c>
      <c r="CD430" s="319" t="s">
        <v>50</v>
      </c>
      <c r="CE430" s="319" t="s">
        <v>0</v>
      </c>
      <c r="CF430" s="312">
        <v>3</v>
      </c>
      <c r="CG430" s="312">
        <v>2</v>
      </c>
      <c r="CH430" s="312">
        <v>2</v>
      </c>
      <c r="CI430" s="312">
        <v>4</v>
      </c>
      <c r="CJ430" s="1000">
        <v>0</v>
      </c>
    </row>
    <row r="431" spans="2:88" x14ac:dyDescent="0.3">
      <c r="F431" s="977"/>
      <c r="G431" s="977" t="s">
        <v>1829</v>
      </c>
      <c r="H431" s="977"/>
      <c r="I431" s="1004"/>
      <c r="J431" s="1004"/>
      <c r="K431" s="1004"/>
      <c r="L431" s="1004">
        <f>SUM(L410:L427)</f>
        <v>96</v>
      </c>
      <c r="M431" s="1004">
        <f>SUM(M410:M427)</f>
        <v>56</v>
      </c>
      <c r="O431" s="1004">
        <f>COUNTIF($H$410:$H$427,"Voitto")</f>
        <v>12</v>
      </c>
      <c r="P431" s="1004">
        <f>COUNTIF(H410:H427,"Tasapeli")</f>
        <v>0</v>
      </c>
      <c r="Q431" s="1004">
        <f>COUNTIF($H$410:$H$427,"Häviö")</f>
        <v>4</v>
      </c>
      <c r="V431" s="8">
        <f>SUM(V410:V427)</f>
        <v>3</v>
      </c>
      <c r="W431" s="8">
        <f t="shared" ref="W431:AK431" si="198">SUM(W410:W427)</f>
        <v>6</v>
      </c>
      <c r="X431" s="8">
        <f t="shared" si="198"/>
        <v>3</v>
      </c>
      <c r="Y431" s="8">
        <f t="shared" si="198"/>
        <v>0</v>
      </c>
      <c r="Z431" s="8">
        <f t="shared" si="198"/>
        <v>0</v>
      </c>
      <c r="AA431" s="8">
        <f t="shared" si="198"/>
        <v>0</v>
      </c>
      <c r="AB431" s="8">
        <f t="shared" si="198"/>
        <v>7</v>
      </c>
      <c r="AC431" s="8">
        <f t="shared" si="198"/>
        <v>0</v>
      </c>
      <c r="AD431" s="8">
        <f t="shared" si="198"/>
        <v>2</v>
      </c>
      <c r="AE431" s="8">
        <f t="shared" si="198"/>
        <v>2</v>
      </c>
      <c r="AF431" s="8">
        <f t="shared" si="198"/>
        <v>0</v>
      </c>
      <c r="AG431" s="8">
        <f t="shared" si="198"/>
        <v>0</v>
      </c>
      <c r="AH431" s="8">
        <f t="shared" si="198"/>
        <v>0</v>
      </c>
      <c r="AI431" s="8">
        <f t="shared" si="198"/>
        <v>1</v>
      </c>
      <c r="AJ431" s="8">
        <f t="shared" si="198"/>
        <v>0</v>
      </c>
      <c r="AK431" s="8">
        <f t="shared" si="198"/>
        <v>201</v>
      </c>
      <c r="AL431" s="8">
        <f>MIN(AL410:AL427)</f>
        <v>1.2</v>
      </c>
      <c r="AM431" s="8">
        <f>MAX(AL410:AL427)</f>
        <v>30.08</v>
      </c>
      <c r="AO431" s="8">
        <f>SUM(AO410:AO427)</f>
        <v>17</v>
      </c>
      <c r="AP431" s="8">
        <f>SUM(AP410:AP427)</f>
        <v>42</v>
      </c>
      <c r="AQ431" s="8">
        <f t="shared" ref="AQ431:BD431" si="199">SUM(AQ410:AQ427)</f>
        <v>16</v>
      </c>
      <c r="AR431" s="8">
        <f t="shared" si="199"/>
        <v>0</v>
      </c>
      <c r="AS431" s="8">
        <f t="shared" si="199"/>
        <v>1</v>
      </c>
      <c r="AT431" s="8">
        <f t="shared" si="199"/>
        <v>0</v>
      </c>
      <c r="AU431" s="8">
        <f t="shared" si="199"/>
        <v>0</v>
      </c>
      <c r="AV431" s="8">
        <f t="shared" si="199"/>
        <v>1</v>
      </c>
      <c r="AW431" s="8">
        <f t="shared" si="199"/>
        <v>0</v>
      </c>
      <c r="AX431" s="8">
        <f t="shared" si="199"/>
        <v>0</v>
      </c>
      <c r="AY431" s="8">
        <f t="shared" si="199"/>
        <v>1</v>
      </c>
      <c r="AZ431" s="8">
        <f t="shared" si="199"/>
        <v>0</v>
      </c>
      <c r="BA431" s="8">
        <f t="shared" si="199"/>
        <v>0</v>
      </c>
      <c r="BB431" s="8">
        <f t="shared" si="199"/>
        <v>0</v>
      </c>
      <c r="BC431" s="8">
        <f t="shared" si="199"/>
        <v>0</v>
      </c>
      <c r="BD431" s="8">
        <f t="shared" si="199"/>
        <v>247</v>
      </c>
      <c r="BE431" s="993">
        <f>MIN(BE410:BE427)</f>
        <v>1.08</v>
      </c>
      <c r="BF431">
        <f>MAX(BE410:BE427)</f>
        <v>43.13</v>
      </c>
      <c r="BJ431" s="8">
        <f t="shared" ref="BJ431:BL431" si="200">SUM(BJ410:BJ427)</f>
        <v>5</v>
      </c>
      <c r="BK431" s="8">
        <f t="shared" si="200"/>
        <v>8</v>
      </c>
      <c r="BL431" s="8">
        <f t="shared" si="200"/>
        <v>2</v>
      </c>
      <c r="CC431" s="999">
        <v>7</v>
      </c>
      <c r="CD431" s="319" t="s">
        <v>1076</v>
      </c>
      <c r="CE431" s="319" t="s">
        <v>0</v>
      </c>
      <c r="CF431" s="312">
        <v>3</v>
      </c>
      <c r="CG431" s="312">
        <v>1</v>
      </c>
      <c r="CH431" s="312">
        <v>1</v>
      </c>
      <c r="CI431" s="312">
        <v>2</v>
      </c>
      <c r="CJ431" s="1000">
        <v>0</v>
      </c>
    </row>
    <row r="432" spans="2:88" x14ac:dyDescent="0.3">
      <c r="F432" s="977" t="str">
        <f>C405</f>
        <v>2019-2020</v>
      </c>
      <c r="G432" s="977" t="s">
        <v>2712</v>
      </c>
      <c r="H432" s="977"/>
      <c r="I432" s="1004"/>
      <c r="J432" s="1004"/>
      <c r="K432" s="1004"/>
      <c r="L432" s="1004">
        <f>SUM(L430:L431)</f>
        <v>116</v>
      </c>
      <c r="M432" s="1004">
        <f>SUM(M430:M431)</f>
        <v>72</v>
      </c>
      <c r="O432" s="1004">
        <f>SUM(O430:O431)</f>
        <v>13</v>
      </c>
      <c r="P432" s="1004">
        <f>SUM(P430:P431)</f>
        <v>0</v>
      </c>
      <c r="Q432" s="1004">
        <f>SUM(Q430:Q431)</f>
        <v>6</v>
      </c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93"/>
      <c r="BJ432" s="8"/>
      <c r="BK432" s="8"/>
      <c r="BL432" s="8"/>
      <c r="CC432" s="999"/>
      <c r="CD432" s="319"/>
      <c r="CE432" s="319"/>
      <c r="CF432" s="312"/>
      <c r="CG432" s="312"/>
      <c r="CH432" s="312"/>
      <c r="CI432" s="312"/>
      <c r="CJ432" s="1000"/>
    </row>
    <row r="433" spans="2:103" x14ac:dyDescent="0.3">
      <c r="CC433" s="999">
        <v>8</v>
      </c>
      <c r="CD433" s="319" t="s">
        <v>2042</v>
      </c>
      <c r="CE433" s="319" t="s">
        <v>0</v>
      </c>
      <c r="CF433" s="312">
        <v>3</v>
      </c>
      <c r="CG433" s="312">
        <v>0</v>
      </c>
      <c r="CH433" s="312">
        <v>1</v>
      </c>
      <c r="CI433" s="312">
        <v>1</v>
      </c>
      <c r="CJ433" s="1000">
        <v>0</v>
      </c>
    </row>
    <row r="434" spans="2:103" x14ac:dyDescent="0.3">
      <c r="CC434" s="999">
        <v>9</v>
      </c>
      <c r="CD434" s="319" t="s">
        <v>53</v>
      </c>
      <c r="CE434" s="319" t="s">
        <v>0</v>
      </c>
      <c r="CF434" s="312">
        <v>3</v>
      </c>
      <c r="CG434" s="312">
        <v>0</v>
      </c>
      <c r="CH434" s="312">
        <v>0</v>
      </c>
      <c r="CI434" s="312">
        <v>0</v>
      </c>
      <c r="CJ434" s="1000">
        <v>0</v>
      </c>
    </row>
    <row r="435" spans="2:103" x14ac:dyDescent="0.3">
      <c r="CC435" s="998">
        <v>10</v>
      </c>
      <c r="CD435" s="335" t="s">
        <v>1660</v>
      </c>
      <c r="CE435" s="335" t="s">
        <v>0</v>
      </c>
      <c r="CF435" s="435">
        <v>3</v>
      </c>
      <c r="CG435" s="435">
        <v>0</v>
      </c>
      <c r="CH435" s="435">
        <v>0</v>
      </c>
      <c r="CI435" s="435">
        <v>0</v>
      </c>
      <c r="CJ435" s="664">
        <v>0</v>
      </c>
    </row>
    <row r="437" spans="2:103" x14ac:dyDescent="0.3">
      <c r="C437" s="265" t="s">
        <v>2115</v>
      </c>
      <c r="D437" s="205" t="s">
        <v>2114</v>
      </c>
      <c r="V437" s="205" t="s">
        <v>0</v>
      </c>
      <c r="AO437" s="265" t="s">
        <v>1895</v>
      </c>
    </row>
    <row r="438" spans="2:103" x14ac:dyDescent="0.3">
      <c r="B438" s="1003" t="s">
        <v>1393</v>
      </c>
      <c r="C438" s="975" t="s">
        <v>1831</v>
      </c>
      <c r="D438" s="975" t="s">
        <v>1830</v>
      </c>
      <c r="E438" s="975" t="s">
        <v>1832</v>
      </c>
      <c r="F438" s="975" t="s">
        <v>1836</v>
      </c>
      <c r="G438" s="975" t="s">
        <v>1835</v>
      </c>
      <c r="H438" s="989" t="s">
        <v>1407</v>
      </c>
      <c r="I438" s="990" t="s">
        <v>2019</v>
      </c>
      <c r="J438" s="990" t="s">
        <v>0</v>
      </c>
      <c r="K438" s="990" t="s">
        <v>1128</v>
      </c>
      <c r="L438" s="1324" t="s">
        <v>1407</v>
      </c>
      <c r="M438" s="1325"/>
      <c r="N438" s="1326" t="s">
        <v>1822</v>
      </c>
      <c r="O438" s="1325"/>
      <c r="P438" s="1326" t="s">
        <v>1823</v>
      </c>
      <c r="Q438" s="1325"/>
      <c r="R438" s="1326" t="s">
        <v>1824</v>
      </c>
      <c r="S438" s="1325"/>
      <c r="T438" s="1326" t="s">
        <v>2706</v>
      </c>
      <c r="U438" s="1324"/>
      <c r="V438" s="981" t="s">
        <v>1557</v>
      </c>
      <c r="W438" s="981" t="s">
        <v>1556</v>
      </c>
      <c r="X438" s="981" t="s">
        <v>501</v>
      </c>
      <c r="Y438" s="981" t="s">
        <v>708</v>
      </c>
      <c r="Z438" s="981" t="s">
        <v>82</v>
      </c>
      <c r="AA438" s="981" t="s">
        <v>709</v>
      </c>
      <c r="AB438" s="981" t="s">
        <v>1419</v>
      </c>
      <c r="AC438" s="981" t="s">
        <v>1420</v>
      </c>
      <c r="AD438" s="982" t="s">
        <v>1827</v>
      </c>
      <c r="AE438" s="981" t="s">
        <v>1828</v>
      </c>
      <c r="AF438" s="981" t="s">
        <v>1425</v>
      </c>
      <c r="AG438" s="981" t="s">
        <v>1535</v>
      </c>
      <c r="AH438" s="981" t="s">
        <v>1536</v>
      </c>
      <c r="AI438" s="981" t="s">
        <v>1559</v>
      </c>
      <c r="AJ438" s="981" t="s">
        <v>1896</v>
      </c>
      <c r="AK438" s="981" t="s">
        <v>1967</v>
      </c>
      <c r="AL438" s="981" t="s">
        <v>19</v>
      </c>
      <c r="AM438" s="981"/>
      <c r="AN438" s="265"/>
      <c r="AO438" s="979" t="s">
        <v>1557</v>
      </c>
      <c r="AP438" s="979" t="s">
        <v>1556</v>
      </c>
      <c r="AQ438" s="979" t="s">
        <v>501</v>
      </c>
      <c r="AR438" s="979" t="s">
        <v>708</v>
      </c>
      <c r="AS438" s="979" t="s">
        <v>82</v>
      </c>
      <c r="AT438" s="979" t="s">
        <v>709</v>
      </c>
      <c r="AU438" s="979" t="s">
        <v>1419</v>
      </c>
      <c r="AV438" s="979" t="s">
        <v>1420</v>
      </c>
      <c r="AW438" s="980" t="s">
        <v>1827</v>
      </c>
      <c r="AX438" s="979" t="s">
        <v>1828</v>
      </c>
      <c r="AY438" s="979" t="s">
        <v>1425</v>
      </c>
      <c r="AZ438" s="979" t="s">
        <v>1535</v>
      </c>
      <c r="BA438" s="979" t="s">
        <v>1536</v>
      </c>
      <c r="BB438" s="979" t="s">
        <v>1559</v>
      </c>
      <c r="BC438" s="979" t="s">
        <v>1896</v>
      </c>
      <c r="BD438" s="979" t="s">
        <v>1967</v>
      </c>
      <c r="BE438" s="979" t="s">
        <v>19</v>
      </c>
      <c r="BF438" s="979"/>
      <c r="BH438" s="1001" t="s">
        <v>1911</v>
      </c>
      <c r="BI438" s="1001" t="s">
        <v>1912</v>
      </c>
      <c r="BJ438" s="1001" t="s">
        <v>1913</v>
      </c>
      <c r="BK438" s="1001" t="s">
        <v>537</v>
      </c>
      <c r="BL438" s="1001" t="s">
        <v>1128</v>
      </c>
      <c r="BN438" s="994" t="s">
        <v>1393</v>
      </c>
      <c r="BO438" s="149"/>
      <c r="BP438" s="995" t="s">
        <v>989</v>
      </c>
      <c r="BQ438" s="149" t="s">
        <v>877</v>
      </c>
      <c r="BR438" s="149" t="s">
        <v>990</v>
      </c>
      <c r="BS438" s="149" t="s">
        <v>2039</v>
      </c>
      <c r="BT438" s="149" t="s">
        <v>991</v>
      </c>
      <c r="BU438" s="149" t="s">
        <v>2040</v>
      </c>
      <c r="BV438" s="149" t="s">
        <v>992</v>
      </c>
      <c r="BW438" s="149" t="s">
        <v>139</v>
      </c>
      <c r="BX438" s="149" t="s">
        <v>993</v>
      </c>
      <c r="BY438" s="149" t="s">
        <v>994</v>
      </c>
      <c r="BZ438" s="149" t="s">
        <v>610</v>
      </c>
      <c r="CA438" s="996" t="s">
        <v>2139</v>
      </c>
      <c r="CC438" s="994" t="s">
        <v>1393</v>
      </c>
      <c r="CD438" s="995" t="s">
        <v>1796</v>
      </c>
      <c r="CE438" s="995" t="s">
        <v>989</v>
      </c>
      <c r="CF438" s="149" t="s">
        <v>877</v>
      </c>
      <c r="CG438" s="149" t="s">
        <v>533</v>
      </c>
      <c r="CH438" s="149" t="s">
        <v>534</v>
      </c>
      <c r="CI438" s="149" t="s">
        <v>610</v>
      </c>
      <c r="CJ438" s="149" t="s">
        <v>106</v>
      </c>
      <c r="CK438" s="149" t="s">
        <v>107</v>
      </c>
      <c r="CL438" s="149" t="s">
        <v>4</v>
      </c>
      <c r="CM438" s="149" t="s">
        <v>2144</v>
      </c>
      <c r="CN438" s="996" t="s">
        <v>2145</v>
      </c>
      <c r="CP438" s="994" t="s">
        <v>1393</v>
      </c>
      <c r="CQ438" s="995" t="s">
        <v>2227</v>
      </c>
      <c r="CR438" s="995" t="s">
        <v>1504</v>
      </c>
      <c r="CS438" s="149" t="s">
        <v>877</v>
      </c>
      <c r="CT438" s="149" t="s">
        <v>2043</v>
      </c>
      <c r="CU438" s="149" t="s">
        <v>2186</v>
      </c>
      <c r="CV438" s="149" t="s">
        <v>991</v>
      </c>
      <c r="CW438" s="149" t="s">
        <v>993</v>
      </c>
      <c r="CX438" s="149" t="s">
        <v>990</v>
      </c>
      <c r="CY438" s="996" t="s">
        <v>2044</v>
      </c>
    </row>
    <row r="439" spans="2:103" x14ac:dyDescent="0.3">
      <c r="B439" s="1280">
        <v>266</v>
      </c>
      <c r="C439" s="977" t="s">
        <v>2115</v>
      </c>
      <c r="D439" s="977" t="s">
        <v>2116</v>
      </c>
      <c r="E439" s="977" t="s">
        <v>1516</v>
      </c>
      <c r="F439" s="978" t="s">
        <v>2117</v>
      </c>
      <c r="G439" s="977" t="s">
        <v>2118</v>
      </c>
      <c r="H439" s="991" t="str">
        <f>IF(L439=M439,"Tasapeli",IF(L439&lt;M439,"Häviö","Voitto"))</f>
        <v>Häviö</v>
      </c>
      <c r="I439" s="991" t="s">
        <v>1515</v>
      </c>
      <c r="J439" s="991" t="s">
        <v>0</v>
      </c>
      <c r="K439" s="991" t="s">
        <v>2120</v>
      </c>
      <c r="L439" s="992">
        <v>2</v>
      </c>
      <c r="M439" s="992">
        <v>7</v>
      </c>
      <c r="N439" s="1262">
        <v>1</v>
      </c>
      <c r="O439" s="992">
        <v>0</v>
      </c>
      <c r="P439" s="1262">
        <v>0</v>
      </c>
      <c r="Q439" s="992">
        <v>6</v>
      </c>
      <c r="R439" s="1262">
        <v>1</v>
      </c>
      <c r="S439" s="992">
        <v>1</v>
      </c>
      <c r="T439" s="1262"/>
      <c r="U439" s="992"/>
      <c r="V439" s="985">
        <v>3</v>
      </c>
      <c r="W439" s="985">
        <v>6</v>
      </c>
      <c r="X439" s="985">
        <v>3</v>
      </c>
      <c r="Y439" s="985"/>
      <c r="Z439" s="985"/>
      <c r="AA439" s="985"/>
      <c r="AB439" s="985"/>
      <c r="AC439" s="985"/>
      <c r="AD439" s="985"/>
      <c r="AE439" s="985"/>
      <c r="AF439" s="985"/>
      <c r="AG439" s="985"/>
      <c r="AH439" s="985"/>
      <c r="AI439" s="985"/>
      <c r="AJ439" s="985"/>
      <c r="AK439" s="985" t="s">
        <v>1019</v>
      </c>
      <c r="AL439" s="985">
        <v>7.07</v>
      </c>
      <c r="AM439" s="985"/>
      <c r="AN439" s="8"/>
      <c r="AO439" s="983">
        <v>0</v>
      </c>
      <c r="AP439" s="983">
        <v>0</v>
      </c>
      <c r="AQ439" s="983"/>
      <c r="AR439" s="983"/>
      <c r="AS439" s="983"/>
      <c r="AT439" s="983"/>
      <c r="AU439" s="983">
        <v>1</v>
      </c>
      <c r="AV439" s="983"/>
      <c r="AW439" s="983"/>
      <c r="AX439" s="983"/>
      <c r="AY439" s="983"/>
      <c r="AZ439" s="983"/>
      <c r="BA439" s="983"/>
      <c r="BB439" s="983"/>
      <c r="BC439" s="983"/>
      <c r="BD439" s="983" t="s">
        <v>1019</v>
      </c>
      <c r="BE439" s="983">
        <v>19.100000000000001</v>
      </c>
      <c r="BF439" s="983"/>
      <c r="BH439" s="1002">
        <f>IF(V439=0,1,0)</f>
        <v>0</v>
      </c>
      <c r="BI439" s="1002">
        <f>IF(AO439=0,1,0)</f>
        <v>1</v>
      </c>
      <c r="BJ439" s="1002">
        <f>IF(V439+AO439=0,1,0)</f>
        <v>0</v>
      </c>
      <c r="BK439" s="1002">
        <f>IF(BH439&gt;BI439,1,0)</f>
        <v>0</v>
      </c>
      <c r="BL439" s="1002">
        <f>IF(BI439&gt;BH439,1,0)</f>
        <v>1</v>
      </c>
      <c r="BN439" s="997">
        <v>1</v>
      </c>
      <c r="BO439" s="430"/>
      <c r="BP439" s="332" t="s">
        <v>2120</v>
      </c>
      <c r="BQ439" s="430">
        <v>2</v>
      </c>
      <c r="BR439" s="430">
        <v>2</v>
      </c>
      <c r="BS439" s="430">
        <v>0</v>
      </c>
      <c r="BT439" s="430">
        <v>0</v>
      </c>
      <c r="BU439" s="430">
        <v>0</v>
      </c>
      <c r="BV439" s="430">
        <v>0</v>
      </c>
      <c r="BW439" s="430">
        <v>11</v>
      </c>
      <c r="BX439" s="430">
        <v>5</v>
      </c>
      <c r="BY439" s="430">
        <v>6</v>
      </c>
      <c r="BZ439" s="430">
        <v>4</v>
      </c>
      <c r="CA439" s="663" t="s">
        <v>601</v>
      </c>
      <c r="CC439" s="997">
        <v>1</v>
      </c>
      <c r="CD439" s="332" t="s">
        <v>2146</v>
      </c>
      <c r="CE439" s="332" t="s">
        <v>0</v>
      </c>
      <c r="CF439" s="430">
        <v>2</v>
      </c>
      <c r="CG439" s="430">
        <v>2</v>
      </c>
      <c r="CH439" s="430">
        <v>1</v>
      </c>
      <c r="CI439" s="430">
        <v>3</v>
      </c>
      <c r="CJ439" s="430">
        <v>0</v>
      </c>
      <c r="CK439" s="430">
        <v>0</v>
      </c>
      <c r="CL439" s="430">
        <v>0</v>
      </c>
      <c r="CM439" s="430">
        <v>0</v>
      </c>
      <c r="CN439" s="663">
        <v>0</v>
      </c>
      <c r="CP439" s="1022">
        <v>1</v>
      </c>
      <c r="CQ439" s="311" t="s">
        <v>1660</v>
      </c>
      <c r="CR439" s="311" t="s">
        <v>0</v>
      </c>
      <c r="CS439" s="426">
        <v>2</v>
      </c>
      <c r="CT439" s="426">
        <v>63.33</v>
      </c>
      <c r="CU439" s="426">
        <v>14.67</v>
      </c>
      <c r="CV439" s="426">
        <v>38</v>
      </c>
      <c r="CW439" s="426">
        <v>22</v>
      </c>
      <c r="CX439" s="426">
        <v>0</v>
      </c>
      <c r="CY439" s="352">
        <v>0</v>
      </c>
    </row>
    <row r="440" spans="2:103" x14ac:dyDescent="0.3">
      <c r="B440" s="1280">
        <v>267</v>
      </c>
      <c r="C440" s="977" t="s">
        <v>2115</v>
      </c>
      <c r="D440" s="977" t="s">
        <v>2116</v>
      </c>
      <c r="E440" s="977" t="s">
        <v>1537</v>
      </c>
      <c r="F440" s="978" t="s">
        <v>2119</v>
      </c>
      <c r="G440" s="977" t="s">
        <v>2118</v>
      </c>
      <c r="H440" s="991" t="str">
        <f t="shared" ref="H440" si="201">IF(L440=M440,"Tasapeli",IF(L440&lt;M440,"Häviö","Voitto"))</f>
        <v>Häviö</v>
      </c>
      <c r="I440" s="991" t="s">
        <v>1514</v>
      </c>
      <c r="J440" s="991" t="s">
        <v>0</v>
      </c>
      <c r="K440" s="991" t="s">
        <v>2121</v>
      </c>
      <c r="L440" s="992">
        <v>3</v>
      </c>
      <c r="M440" s="992">
        <v>15</v>
      </c>
      <c r="N440" s="1262">
        <v>0</v>
      </c>
      <c r="O440" s="992">
        <v>7</v>
      </c>
      <c r="P440" s="1262">
        <v>2</v>
      </c>
      <c r="Q440" s="992">
        <v>4</v>
      </c>
      <c r="R440" s="1262">
        <v>1</v>
      </c>
      <c r="S440" s="992">
        <v>4</v>
      </c>
      <c r="T440" s="1262"/>
      <c r="U440" s="992"/>
      <c r="V440" s="985">
        <v>2</v>
      </c>
      <c r="W440" s="985">
        <v>4</v>
      </c>
      <c r="X440" s="985">
        <v>2</v>
      </c>
      <c r="Y440" s="985"/>
      <c r="Z440" s="985"/>
      <c r="AA440" s="985"/>
      <c r="AB440" s="985"/>
      <c r="AC440" s="985"/>
      <c r="AD440" s="985"/>
      <c r="AE440" s="985"/>
      <c r="AF440" s="985"/>
      <c r="AG440" s="985"/>
      <c r="AH440" s="985"/>
      <c r="AI440" s="985"/>
      <c r="AJ440" s="985"/>
      <c r="AK440" s="985" t="s">
        <v>1019</v>
      </c>
      <c r="AL440" s="985">
        <v>15.45</v>
      </c>
      <c r="AM440" s="985"/>
      <c r="AN440" s="8"/>
      <c r="AO440" s="983">
        <v>0</v>
      </c>
      <c r="AP440" s="983">
        <v>0</v>
      </c>
      <c r="AQ440" s="983"/>
      <c r="AR440" s="983"/>
      <c r="AS440" s="983"/>
      <c r="AT440" s="983"/>
      <c r="AU440" s="983">
        <v>1</v>
      </c>
      <c r="AV440" s="983"/>
      <c r="AW440" s="983"/>
      <c r="AX440" s="983"/>
      <c r="AY440" s="983"/>
      <c r="AZ440" s="983"/>
      <c r="BA440" s="983"/>
      <c r="BB440" s="983"/>
      <c r="BC440" s="983"/>
      <c r="BD440" s="983" t="s">
        <v>1019</v>
      </c>
      <c r="BE440" s="988">
        <v>2.0699999999999998</v>
      </c>
      <c r="BF440" s="988"/>
      <c r="BH440" s="1002">
        <f t="shared" ref="BH440:BH457" si="202">IF(V440=0,1,0)</f>
        <v>0</v>
      </c>
      <c r="BI440" s="1002">
        <f t="shared" ref="BI440:BI457" si="203">IF(AO440=0,1,0)</f>
        <v>1</v>
      </c>
      <c r="BJ440" s="1002">
        <f t="shared" ref="BJ440:BJ457" si="204">IF(V440+AO440=0,1,0)</f>
        <v>0</v>
      </c>
      <c r="BK440" s="1002">
        <f t="shared" ref="BK440:BK457" si="205">IF(BH440&gt;BI440,1,0)</f>
        <v>0</v>
      </c>
      <c r="BL440" s="1002">
        <f t="shared" ref="BL440:BL457" si="206">IF(BI440&gt;BH440,1,0)</f>
        <v>1</v>
      </c>
      <c r="BN440" s="999">
        <v>2</v>
      </c>
      <c r="BO440" s="312"/>
      <c r="BP440" s="319" t="s">
        <v>2121</v>
      </c>
      <c r="BQ440" s="312">
        <v>2</v>
      </c>
      <c r="BR440" s="312">
        <v>2</v>
      </c>
      <c r="BS440" s="312">
        <v>0</v>
      </c>
      <c r="BT440" s="312">
        <v>0</v>
      </c>
      <c r="BU440" s="312">
        <v>0</v>
      </c>
      <c r="BV440" s="312">
        <v>0</v>
      </c>
      <c r="BW440" s="312">
        <v>23</v>
      </c>
      <c r="BX440" s="312">
        <v>6</v>
      </c>
      <c r="BY440" s="312">
        <v>17</v>
      </c>
      <c r="BZ440" s="312">
        <v>4</v>
      </c>
      <c r="CA440" s="1000" t="s">
        <v>601</v>
      </c>
      <c r="CC440" s="999">
        <v>2</v>
      </c>
      <c r="CD440" s="319" t="s">
        <v>50</v>
      </c>
      <c r="CE440" s="319" t="s">
        <v>0</v>
      </c>
      <c r="CF440" s="312">
        <v>2</v>
      </c>
      <c r="CG440" s="312">
        <v>1</v>
      </c>
      <c r="CH440" s="312">
        <v>1</v>
      </c>
      <c r="CI440" s="312">
        <v>2</v>
      </c>
      <c r="CJ440" s="312">
        <v>0</v>
      </c>
      <c r="CK440" s="312">
        <v>0</v>
      </c>
      <c r="CL440" s="312">
        <v>0</v>
      </c>
      <c r="CM440" s="312">
        <v>0</v>
      </c>
      <c r="CN440" s="1000">
        <v>0</v>
      </c>
    </row>
    <row r="441" spans="2:103" x14ac:dyDescent="0.3">
      <c r="B441" s="1004"/>
      <c r="C441" s="1291" t="s">
        <v>2115</v>
      </c>
      <c r="D441" s="1291" t="s">
        <v>2116</v>
      </c>
      <c r="E441" s="1291" t="s">
        <v>1538</v>
      </c>
      <c r="F441" s="1292" t="s">
        <v>2122</v>
      </c>
      <c r="G441" s="1291" t="s">
        <v>2124</v>
      </c>
      <c r="H441" s="1293"/>
      <c r="I441" s="1293" t="s">
        <v>1515</v>
      </c>
      <c r="J441" s="1293" t="s">
        <v>0</v>
      </c>
      <c r="K441" s="1293" t="s">
        <v>2125</v>
      </c>
      <c r="L441" s="992"/>
      <c r="M441" s="992"/>
      <c r="N441" s="1262"/>
      <c r="O441" s="992"/>
      <c r="P441" s="1262"/>
      <c r="Q441" s="992"/>
      <c r="R441" s="1262"/>
      <c r="S441" s="992"/>
      <c r="T441" s="1262"/>
      <c r="U441" s="992"/>
      <c r="V441" s="985">
        <v>0</v>
      </c>
      <c r="W441" s="985">
        <v>0</v>
      </c>
      <c r="X441" s="985"/>
      <c r="Y441" s="985"/>
      <c r="Z441" s="985"/>
      <c r="AA441" s="985"/>
      <c r="AB441" s="985"/>
      <c r="AC441" s="985"/>
      <c r="AD441" s="985"/>
      <c r="AE441" s="985"/>
      <c r="AF441" s="985"/>
      <c r="AG441" s="985"/>
      <c r="AH441" s="985"/>
      <c r="AI441" s="985"/>
      <c r="AJ441" s="985"/>
      <c r="AK441" s="985"/>
      <c r="AL441" s="986"/>
      <c r="AM441" s="986"/>
      <c r="AN441" s="8"/>
      <c r="AO441" s="983"/>
      <c r="AP441" s="983"/>
      <c r="AQ441" s="983"/>
      <c r="AR441" s="983"/>
      <c r="AS441" s="983"/>
      <c r="AT441" s="983"/>
      <c r="AU441" s="983"/>
      <c r="AV441" s="983"/>
      <c r="AW441" s="983"/>
      <c r="AX441" s="983"/>
      <c r="AY441" s="983"/>
      <c r="AZ441" s="983"/>
      <c r="BA441" s="983"/>
      <c r="BB441" s="983"/>
      <c r="BC441" s="983"/>
      <c r="BD441" s="983"/>
      <c r="BE441" s="988"/>
      <c r="BF441" s="988"/>
      <c r="BH441" s="1002">
        <f t="shared" si="202"/>
        <v>1</v>
      </c>
      <c r="BI441" s="1002">
        <f t="shared" si="203"/>
        <v>1</v>
      </c>
      <c r="BJ441" s="1002">
        <f t="shared" si="204"/>
        <v>1</v>
      </c>
      <c r="BK441" s="1002">
        <f t="shared" si="205"/>
        <v>0</v>
      </c>
      <c r="BL441" s="1002">
        <f t="shared" si="206"/>
        <v>0</v>
      </c>
      <c r="BN441" s="999">
        <v>3</v>
      </c>
      <c r="BO441" s="312"/>
      <c r="BP441" s="319" t="s">
        <v>2125</v>
      </c>
      <c r="BQ441" s="312">
        <v>2</v>
      </c>
      <c r="BR441" s="312">
        <v>2</v>
      </c>
      <c r="BS441" s="312">
        <v>0</v>
      </c>
      <c r="BT441" s="312">
        <v>0</v>
      </c>
      <c r="BU441" s="312">
        <v>0</v>
      </c>
      <c r="BV441" s="312">
        <v>0</v>
      </c>
      <c r="BW441" s="312">
        <v>11</v>
      </c>
      <c r="BX441" s="312">
        <v>9</v>
      </c>
      <c r="BY441" s="312">
        <v>2</v>
      </c>
      <c r="BZ441" s="312">
        <v>4</v>
      </c>
      <c r="CA441" s="1000" t="s">
        <v>601</v>
      </c>
      <c r="CC441" s="999">
        <v>3</v>
      </c>
      <c r="CD441" s="319" t="s">
        <v>1075</v>
      </c>
      <c r="CE441" s="319" t="s">
        <v>0</v>
      </c>
      <c r="CF441" s="312">
        <v>2</v>
      </c>
      <c r="CG441" s="312">
        <v>0</v>
      </c>
      <c r="CH441" s="312">
        <v>2</v>
      </c>
      <c r="CI441" s="312">
        <v>2</v>
      </c>
      <c r="CJ441" s="312">
        <v>0</v>
      </c>
      <c r="CK441" s="312">
        <v>0</v>
      </c>
      <c r="CL441" s="312">
        <v>0</v>
      </c>
      <c r="CM441" s="312">
        <v>0</v>
      </c>
      <c r="CN441" s="1000">
        <v>0</v>
      </c>
    </row>
    <row r="442" spans="2:103" x14ac:dyDescent="0.3">
      <c r="B442" s="1004"/>
      <c r="C442" s="1291" t="s">
        <v>2115</v>
      </c>
      <c r="D442" s="1291" t="s">
        <v>2116</v>
      </c>
      <c r="E442" s="1291" t="s">
        <v>1539</v>
      </c>
      <c r="F442" s="1292" t="s">
        <v>2123</v>
      </c>
      <c r="G442" s="1291" t="s">
        <v>2124</v>
      </c>
      <c r="H442" s="1293"/>
      <c r="I442" s="1293" t="s">
        <v>1514</v>
      </c>
      <c r="J442" s="1293" t="s">
        <v>0</v>
      </c>
      <c r="K442" s="1293" t="s">
        <v>2126</v>
      </c>
      <c r="L442" s="992"/>
      <c r="M442" s="992"/>
      <c r="N442" s="1262"/>
      <c r="O442" s="992"/>
      <c r="P442" s="1262"/>
      <c r="Q442" s="992"/>
      <c r="R442" s="1262"/>
      <c r="S442" s="992"/>
      <c r="T442" s="1262"/>
      <c r="U442" s="992"/>
      <c r="V442" s="985">
        <v>0</v>
      </c>
      <c r="W442" s="985">
        <v>0</v>
      </c>
      <c r="X442" s="987"/>
      <c r="Y442" s="987"/>
      <c r="Z442" s="987"/>
      <c r="AA442" s="987"/>
      <c r="AB442" s="987"/>
      <c r="AC442" s="987"/>
      <c r="AD442" s="987"/>
      <c r="AE442" s="987"/>
      <c r="AF442" s="987"/>
      <c r="AG442" s="987"/>
      <c r="AH442" s="987"/>
      <c r="AI442" s="987"/>
      <c r="AJ442" s="987"/>
      <c r="AK442" s="985"/>
      <c r="AL442" s="985"/>
      <c r="AM442" s="985"/>
      <c r="AO442" s="983"/>
      <c r="AP442" s="983"/>
      <c r="AQ442" s="983"/>
      <c r="AR442" s="976"/>
      <c r="AS442" s="976"/>
      <c r="AT442" s="976"/>
      <c r="AU442" s="976"/>
      <c r="AV442" s="976"/>
      <c r="AW442" s="976"/>
      <c r="AX442" s="976"/>
      <c r="AY442" s="976"/>
      <c r="AZ442" s="976"/>
      <c r="BA442" s="976"/>
      <c r="BB442" s="976"/>
      <c r="BC442" s="976"/>
      <c r="BD442" s="983"/>
      <c r="BE442" s="984"/>
      <c r="BF442" s="984"/>
      <c r="BH442" s="1002">
        <f t="shared" si="202"/>
        <v>1</v>
      </c>
      <c r="BI442" s="1002">
        <f t="shared" si="203"/>
        <v>1</v>
      </c>
      <c r="BJ442" s="1002">
        <f t="shared" si="204"/>
        <v>1</v>
      </c>
      <c r="BK442" s="1002">
        <f t="shared" si="205"/>
        <v>0</v>
      </c>
      <c r="BL442" s="1002">
        <f t="shared" si="206"/>
        <v>0</v>
      </c>
      <c r="BN442" s="999">
        <v>4</v>
      </c>
      <c r="BO442" s="312"/>
      <c r="BP442" s="319" t="s">
        <v>2140</v>
      </c>
      <c r="BQ442" s="312">
        <v>4</v>
      </c>
      <c r="BR442" s="312">
        <v>2</v>
      </c>
      <c r="BS442" s="312">
        <v>0</v>
      </c>
      <c r="BT442" s="312">
        <v>0</v>
      </c>
      <c r="BU442" s="312">
        <v>0</v>
      </c>
      <c r="BV442" s="312">
        <v>2</v>
      </c>
      <c r="BW442" s="312">
        <v>18</v>
      </c>
      <c r="BX442" s="312">
        <v>14</v>
      </c>
      <c r="BY442" s="312">
        <v>4</v>
      </c>
      <c r="BZ442" s="312">
        <v>4</v>
      </c>
      <c r="CA442" s="1000" t="s">
        <v>561</v>
      </c>
      <c r="CC442" s="999">
        <v>4</v>
      </c>
      <c r="CD442" s="319" t="s">
        <v>2147</v>
      </c>
      <c r="CE442" s="319" t="s">
        <v>0</v>
      </c>
      <c r="CF442" s="312">
        <v>2</v>
      </c>
      <c r="CG442" s="312">
        <v>1</v>
      </c>
      <c r="CH442" s="312">
        <v>0</v>
      </c>
      <c r="CI442" s="312">
        <v>1</v>
      </c>
      <c r="CJ442" s="312">
        <v>0</v>
      </c>
      <c r="CK442" s="312">
        <v>0</v>
      </c>
      <c r="CL442" s="312">
        <v>0</v>
      </c>
      <c r="CM442" s="312">
        <v>0</v>
      </c>
      <c r="CN442" s="1000">
        <v>0</v>
      </c>
    </row>
    <row r="443" spans="2:103" x14ac:dyDescent="0.3">
      <c r="B443" s="1004"/>
      <c r="C443" s="1291" t="s">
        <v>2115</v>
      </c>
      <c r="D443" s="1291" t="s">
        <v>2116</v>
      </c>
      <c r="E443" s="1291" t="s">
        <v>1540</v>
      </c>
      <c r="F443" s="1292" t="s">
        <v>2127</v>
      </c>
      <c r="G443" s="1291" t="s">
        <v>150</v>
      </c>
      <c r="H443" s="1293"/>
      <c r="I443" s="1293" t="s">
        <v>1514</v>
      </c>
      <c r="J443" s="1293" t="s">
        <v>0</v>
      </c>
      <c r="K443" s="1293" t="s">
        <v>2129</v>
      </c>
      <c r="L443" s="992"/>
      <c r="M443" s="992"/>
      <c r="N443" s="1262"/>
      <c r="O443" s="992"/>
      <c r="P443" s="1262"/>
      <c r="Q443" s="992"/>
      <c r="R443" s="1262"/>
      <c r="S443" s="992"/>
      <c r="T443" s="1262"/>
      <c r="U443" s="992"/>
      <c r="V443" s="985">
        <v>0</v>
      </c>
      <c r="W443" s="985">
        <v>0</v>
      </c>
      <c r="X443" s="987"/>
      <c r="Y443" s="987"/>
      <c r="Z443" s="987"/>
      <c r="AA443" s="987"/>
      <c r="AB443" s="987"/>
      <c r="AC443" s="987"/>
      <c r="AD443" s="987"/>
      <c r="AE443" s="987"/>
      <c r="AF443" s="987"/>
      <c r="AG443" s="987"/>
      <c r="AH443" s="987"/>
      <c r="AI443" s="987"/>
      <c r="AJ443" s="987"/>
      <c r="AK443" s="985"/>
      <c r="AL443" s="985"/>
      <c r="AM443" s="985"/>
      <c r="AO443" s="983"/>
      <c r="AP443" s="983"/>
      <c r="AQ443" s="976"/>
      <c r="AR443" s="976"/>
      <c r="AS443" s="976"/>
      <c r="AT443" s="976"/>
      <c r="AU443" s="976"/>
      <c r="AV443" s="976"/>
      <c r="AW443" s="976"/>
      <c r="AX443" s="976"/>
      <c r="AY443" s="976"/>
      <c r="AZ443" s="976"/>
      <c r="BA443" s="976"/>
      <c r="BB443" s="976"/>
      <c r="BC443" s="976"/>
      <c r="BD443" s="983"/>
      <c r="BE443" s="983"/>
      <c r="BF443" s="983"/>
      <c r="BH443" s="1002">
        <f t="shared" si="202"/>
        <v>1</v>
      </c>
      <c r="BI443" s="1002">
        <f t="shared" si="203"/>
        <v>1</v>
      </c>
      <c r="BJ443" s="1002">
        <f t="shared" si="204"/>
        <v>1</v>
      </c>
      <c r="BK443" s="1002">
        <f t="shared" si="205"/>
        <v>0</v>
      </c>
      <c r="BL443" s="1002">
        <f t="shared" si="206"/>
        <v>0</v>
      </c>
      <c r="BN443" s="999">
        <v>5</v>
      </c>
      <c r="BO443" s="312"/>
      <c r="BP443" s="319" t="s">
        <v>2141</v>
      </c>
      <c r="BQ443" s="312">
        <v>2</v>
      </c>
      <c r="BR443" s="312">
        <v>1</v>
      </c>
      <c r="BS443" s="312">
        <v>0</v>
      </c>
      <c r="BT443" s="312">
        <v>0</v>
      </c>
      <c r="BU443" s="312">
        <v>0</v>
      </c>
      <c r="BV443" s="312">
        <v>1</v>
      </c>
      <c r="BW443" s="312">
        <v>14</v>
      </c>
      <c r="BX443" s="312">
        <v>11</v>
      </c>
      <c r="BY443" s="312">
        <v>3</v>
      </c>
      <c r="BZ443" s="312">
        <v>2</v>
      </c>
      <c r="CA443" s="1000" t="s">
        <v>561</v>
      </c>
      <c r="CC443" s="999">
        <v>5</v>
      </c>
      <c r="CD443" s="319" t="s">
        <v>1379</v>
      </c>
      <c r="CE443" s="319" t="s">
        <v>0</v>
      </c>
      <c r="CF443" s="312">
        <v>2</v>
      </c>
      <c r="CG443" s="312">
        <v>1</v>
      </c>
      <c r="CH443" s="312">
        <v>0</v>
      </c>
      <c r="CI443" s="312">
        <v>1</v>
      </c>
      <c r="CJ443" s="312">
        <v>0</v>
      </c>
      <c r="CK443" s="312">
        <v>0</v>
      </c>
      <c r="CL443" s="312">
        <v>0</v>
      </c>
      <c r="CM443" s="312">
        <v>0</v>
      </c>
      <c r="CN443" s="1000">
        <v>0</v>
      </c>
    </row>
    <row r="444" spans="2:103" x14ac:dyDescent="0.3">
      <c r="B444" s="1004"/>
      <c r="C444" s="1291" t="s">
        <v>2115</v>
      </c>
      <c r="D444" s="1291" t="s">
        <v>2116</v>
      </c>
      <c r="E444" s="1291" t="s">
        <v>1541</v>
      </c>
      <c r="F444" s="1292" t="s">
        <v>2128</v>
      </c>
      <c r="G444" s="1291" t="s">
        <v>150</v>
      </c>
      <c r="H444" s="1293"/>
      <c r="I444" s="1293" t="s">
        <v>1515</v>
      </c>
      <c r="J444" s="1293" t="s">
        <v>0</v>
      </c>
      <c r="K444" s="1293" t="s">
        <v>2130</v>
      </c>
      <c r="L444" s="992"/>
      <c r="M444" s="992"/>
      <c r="N444" s="1262"/>
      <c r="O444" s="992"/>
      <c r="P444" s="1262"/>
      <c r="Q444" s="992"/>
      <c r="R444" s="1262"/>
      <c r="S444" s="992"/>
      <c r="T444" s="1262"/>
      <c r="U444" s="992"/>
      <c r="V444" s="985">
        <v>0</v>
      </c>
      <c r="W444" s="985">
        <v>0</v>
      </c>
      <c r="X444" s="987"/>
      <c r="Y444" s="987"/>
      <c r="Z444" s="987"/>
      <c r="AA444" s="987"/>
      <c r="AB444" s="987"/>
      <c r="AC444" s="987"/>
      <c r="AD444" s="987"/>
      <c r="AE444" s="987"/>
      <c r="AF444" s="987"/>
      <c r="AG444" s="987"/>
      <c r="AH444" s="987"/>
      <c r="AI444" s="987"/>
      <c r="AJ444" s="987"/>
      <c r="AK444" s="985"/>
      <c r="AL444" s="985"/>
      <c r="AM444" s="985"/>
      <c r="AO444" s="983"/>
      <c r="AP444" s="983"/>
      <c r="AQ444" s="983"/>
      <c r="AR444" s="976"/>
      <c r="AS444" s="976"/>
      <c r="AT444" s="976"/>
      <c r="AU444" s="976"/>
      <c r="AV444" s="976"/>
      <c r="AW444" s="976"/>
      <c r="AX444" s="976"/>
      <c r="AY444" s="976"/>
      <c r="AZ444" s="976"/>
      <c r="BA444" s="976"/>
      <c r="BB444" s="976"/>
      <c r="BC444" s="976"/>
      <c r="BD444" s="983"/>
      <c r="BE444" s="983"/>
      <c r="BF444" s="983"/>
      <c r="BH444" s="1002">
        <f t="shared" si="202"/>
        <v>1</v>
      </c>
      <c r="BI444" s="1002">
        <f t="shared" si="203"/>
        <v>1</v>
      </c>
      <c r="BJ444" s="1002">
        <f t="shared" si="204"/>
        <v>1</v>
      </c>
      <c r="BK444" s="1002">
        <f t="shared" si="205"/>
        <v>0</v>
      </c>
      <c r="BL444" s="1002">
        <f t="shared" si="206"/>
        <v>0</v>
      </c>
      <c r="BN444" s="999">
        <v>6</v>
      </c>
      <c r="BO444" s="312"/>
      <c r="BP444" s="319" t="s">
        <v>2126</v>
      </c>
      <c r="BQ444" s="312">
        <v>2</v>
      </c>
      <c r="BR444" s="312">
        <v>1</v>
      </c>
      <c r="BS444" s="312">
        <v>0</v>
      </c>
      <c r="BT444" s="312">
        <v>0</v>
      </c>
      <c r="BU444" s="312">
        <v>0</v>
      </c>
      <c r="BV444" s="312">
        <v>1</v>
      </c>
      <c r="BW444" s="312">
        <v>8</v>
      </c>
      <c r="BX444" s="312">
        <v>6</v>
      </c>
      <c r="BY444" s="312">
        <v>2</v>
      </c>
      <c r="BZ444" s="312">
        <v>2</v>
      </c>
      <c r="CA444" s="1000" t="s">
        <v>561</v>
      </c>
      <c r="CC444" s="999">
        <v>6</v>
      </c>
      <c r="CD444" s="319" t="s">
        <v>2148</v>
      </c>
      <c r="CE444" s="319" t="s">
        <v>0</v>
      </c>
      <c r="CF444" s="312">
        <v>2</v>
      </c>
      <c r="CG444" s="312">
        <v>0</v>
      </c>
      <c r="CH444" s="312">
        <v>1</v>
      </c>
      <c r="CI444" s="312">
        <v>1</v>
      </c>
      <c r="CJ444" s="312">
        <v>0</v>
      </c>
      <c r="CK444" s="312">
        <v>0</v>
      </c>
      <c r="CL444" s="312">
        <v>0</v>
      </c>
      <c r="CM444" s="312">
        <v>0</v>
      </c>
      <c r="CN444" s="1000">
        <v>0</v>
      </c>
    </row>
    <row r="445" spans="2:103" x14ac:dyDescent="0.3">
      <c r="B445" s="1004"/>
      <c r="C445" s="1291" t="s">
        <v>2115</v>
      </c>
      <c r="D445" s="1291" t="s">
        <v>2116</v>
      </c>
      <c r="E445" s="1291" t="s">
        <v>1542</v>
      </c>
      <c r="F445" s="1292" t="s">
        <v>2131</v>
      </c>
      <c r="G445" s="1291" t="s">
        <v>2132</v>
      </c>
      <c r="H445" s="1293"/>
      <c r="I445" s="1293" t="s">
        <v>1514</v>
      </c>
      <c r="J445" s="1293" t="s">
        <v>0</v>
      </c>
      <c r="K445" s="1293" t="s">
        <v>2134</v>
      </c>
      <c r="L445" s="992"/>
      <c r="M445" s="992"/>
      <c r="N445" s="1262"/>
      <c r="O445" s="992"/>
      <c r="P445" s="1262"/>
      <c r="Q445" s="992"/>
      <c r="R445" s="1262"/>
      <c r="S445" s="992"/>
      <c r="T445" s="1262"/>
      <c r="U445" s="992"/>
      <c r="V445" s="985">
        <v>0</v>
      </c>
      <c r="W445" s="985">
        <v>0</v>
      </c>
      <c r="X445" s="985"/>
      <c r="Y445" s="987"/>
      <c r="Z445" s="987"/>
      <c r="AA445" s="987"/>
      <c r="AB445" s="985"/>
      <c r="AC445" s="987"/>
      <c r="AD445" s="987"/>
      <c r="AE445" s="987"/>
      <c r="AF445" s="987"/>
      <c r="AG445" s="987"/>
      <c r="AH445" s="987"/>
      <c r="AI445" s="987"/>
      <c r="AJ445" s="987"/>
      <c r="AK445" s="985"/>
      <c r="AL445" s="986"/>
      <c r="AM445" s="986"/>
      <c r="AO445" s="983"/>
      <c r="AP445" s="983"/>
      <c r="AQ445" s="983"/>
      <c r="AR445" s="976"/>
      <c r="AS445" s="976"/>
      <c r="AT445" s="976"/>
      <c r="AU445" s="976"/>
      <c r="AV445" s="976"/>
      <c r="AW445" s="976"/>
      <c r="AX445" s="976"/>
      <c r="AY445" s="976"/>
      <c r="AZ445" s="976"/>
      <c r="BA445" s="976"/>
      <c r="BB445" s="976"/>
      <c r="BC445" s="976"/>
      <c r="BD445" s="983"/>
      <c r="BE445" s="983"/>
      <c r="BF445" s="983"/>
      <c r="BH445" s="1002">
        <f t="shared" si="202"/>
        <v>1</v>
      </c>
      <c r="BI445" s="1002">
        <f t="shared" si="203"/>
        <v>1</v>
      </c>
      <c r="BJ445" s="1002">
        <f t="shared" si="204"/>
        <v>1</v>
      </c>
      <c r="BK445" s="1002">
        <f t="shared" si="205"/>
        <v>0</v>
      </c>
      <c r="BL445" s="1002">
        <f t="shared" si="206"/>
        <v>0</v>
      </c>
      <c r="BN445" s="999">
        <v>7</v>
      </c>
      <c r="BO445" s="312"/>
      <c r="BP445" s="319" t="s">
        <v>2129</v>
      </c>
      <c r="BQ445" s="312">
        <v>2</v>
      </c>
      <c r="BR445" s="312">
        <v>0</v>
      </c>
      <c r="BS445" s="312">
        <v>0</v>
      </c>
      <c r="BT445" s="312">
        <v>0</v>
      </c>
      <c r="BU445" s="312">
        <v>0</v>
      </c>
      <c r="BV445" s="312">
        <v>2</v>
      </c>
      <c r="BW445" s="312">
        <v>5</v>
      </c>
      <c r="BX445" s="312">
        <v>13</v>
      </c>
      <c r="BY445" s="312">
        <v>-8</v>
      </c>
      <c r="BZ445" s="312">
        <v>0</v>
      </c>
      <c r="CA445" s="1000" t="s">
        <v>2142</v>
      </c>
      <c r="CC445" s="999">
        <v>7</v>
      </c>
      <c r="CD445" s="319" t="s">
        <v>1944</v>
      </c>
      <c r="CE445" s="319" t="s">
        <v>0</v>
      </c>
      <c r="CF445" s="312">
        <v>2</v>
      </c>
      <c r="CG445" s="312">
        <v>0</v>
      </c>
      <c r="CH445" s="312">
        <v>0</v>
      </c>
      <c r="CI445" s="312">
        <v>0</v>
      </c>
      <c r="CJ445" s="312">
        <v>0</v>
      </c>
      <c r="CK445" s="312">
        <v>0</v>
      </c>
      <c r="CL445" s="312">
        <v>0</v>
      </c>
      <c r="CM445" s="312">
        <v>0</v>
      </c>
      <c r="CN445" s="1000">
        <v>0</v>
      </c>
    </row>
    <row r="446" spans="2:103" x14ac:dyDescent="0.3">
      <c r="B446" s="1004"/>
      <c r="C446" s="1291" t="s">
        <v>2115</v>
      </c>
      <c r="D446" s="1291" t="s">
        <v>2116</v>
      </c>
      <c r="E446" s="1291" t="s">
        <v>1543</v>
      </c>
      <c r="F446" s="1291" t="s">
        <v>2133</v>
      </c>
      <c r="G446" s="1291" t="s">
        <v>2132</v>
      </c>
      <c r="H446" s="1293"/>
      <c r="I446" s="1293" t="s">
        <v>1515</v>
      </c>
      <c r="J446" s="1293" t="s">
        <v>0</v>
      </c>
      <c r="K446" s="1293" t="s">
        <v>2135</v>
      </c>
      <c r="L446" s="992"/>
      <c r="M446" s="992"/>
      <c r="N446" s="1262"/>
      <c r="O446" s="992"/>
      <c r="P446" s="1262"/>
      <c r="Q446" s="992"/>
      <c r="R446" s="1262"/>
      <c r="S446" s="992"/>
      <c r="T446" s="1262"/>
      <c r="U446" s="992"/>
      <c r="V446" s="985">
        <v>0</v>
      </c>
      <c r="W446" s="985">
        <v>0</v>
      </c>
      <c r="X446" s="985"/>
      <c r="Y446" s="985"/>
      <c r="Z446" s="985"/>
      <c r="AA446" s="985"/>
      <c r="AB446" s="985"/>
      <c r="AC446" s="985"/>
      <c r="AD446" s="985"/>
      <c r="AE446" s="985"/>
      <c r="AF446" s="985"/>
      <c r="AG446" s="985"/>
      <c r="AH446" s="985"/>
      <c r="AI446" s="985"/>
      <c r="AJ446" s="985"/>
      <c r="AK446" s="985"/>
      <c r="AL446" s="985"/>
      <c r="AM446" s="985"/>
      <c r="AN446" s="8"/>
      <c r="AO446" s="983"/>
      <c r="AP446" s="983"/>
      <c r="AQ446" s="983"/>
      <c r="AR446" s="983"/>
      <c r="AS446" s="983"/>
      <c r="AT446" s="983"/>
      <c r="AU446" s="983"/>
      <c r="AV446" s="983"/>
      <c r="AW446" s="983"/>
      <c r="AX446" s="983"/>
      <c r="AY446" s="983"/>
      <c r="AZ446" s="983"/>
      <c r="BA446" s="983"/>
      <c r="BB446" s="983"/>
      <c r="BC446" s="983"/>
      <c r="BD446" s="983"/>
      <c r="BE446" s="983"/>
      <c r="BF446" s="983"/>
      <c r="BH446" s="1002">
        <f t="shared" si="202"/>
        <v>1</v>
      </c>
      <c r="BI446" s="1002">
        <f t="shared" si="203"/>
        <v>1</v>
      </c>
      <c r="BJ446" s="1002">
        <f t="shared" si="204"/>
        <v>1</v>
      </c>
      <c r="BK446" s="1002">
        <f t="shared" si="205"/>
        <v>0</v>
      </c>
      <c r="BL446" s="1002">
        <f t="shared" si="206"/>
        <v>0</v>
      </c>
      <c r="BN446" s="999">
        <v>8</v>
      </c>
      <c r="BO446" s="312"/>
      <c r="BP446" s="319" t="s">
        <v>2143</v>
      </c>
      <c r="BQ446" s="312">
        <v>2</v>
      </c>
      <c r="BR446" s="312">
        <v>0</v>
      </c>
      <c r="BS446" s="312">
        <v>0</v>
      </c>
      <c r="BT446" s="312">
        <v>0</v>
      </c>
      <c r="BU446" s="312">
        <v>0</v>
      </c>
      <c r="BV446" s="312">
        <v>2</v>
      </c>
      <c r="BW446" s="312">
        <v>5</v>
      </c>
      <c r="BX446" s="312">
        <v>14</v>
      </c>
      <c r="BY446" s="312">
        <v>-9</v>
      </c>
      <c r="BZ446" s="312">
        <v>0</v>
      </c>
      <c r="CA446" s="1000" t="s">
        <v>2142</v>
      </c>
      <c r="CC446" s="999">
        <v>8</v>
      </c>
      <c r="CD446" s="319" t="s">
        <v>1124</v>
      </c>
      <c r="CE446" s="319" t="s">
        <v>0</v>
      </c>
      <c r="CF446" s="312">
        <v>2</v>
      </c>
      <c r="CG446" s="312">
        <v>0</v>
      </c>
      <c r="CH446" s="312">
        <v>0</v>
      </c>
      <c r="CI446" s="312">
        <v>0</v>
      </c>
      <c r="CJ446" s="312">
        <v>0</v>
      </c>
      <c r="CK446" s="312">
        <v>0</v>
      </c>
      <c r="CL446" s="312">
        <v>0</v>
      </c>
      <c r="CM446" s="312">
        <v>0</v>
      </c>
      <c r="CN446" s="1000">
        <v>0</v>
      </c>
    </row>
    <row r="447" spans="2:103" x14ac:dyDescent="0.3">
      <c r="B447" s="1004"/>
      <c r="C447" s="1291" t="s">
        <v>2115</v>
      </c>
      <c r="D447" s="1291" t="s">
        <v>2116</v>
      </c>
      <c r="E447" s="1291" t="s">
        <v>1544</v>
      </c>
      <c r="F447" s="1291" t="s">
        <v>2136</v>
      </c>
      <c r="G447" s="1291" t="s">
        <v>150</v>
      </c>
      <c r="H447" s="1293"/>
      <c r="I447" s="1293" t="s">
        <v>1514</v>
      </c>
      <c r="J447" s="1293" t="s">
        <v>0</v>
      </c>
      <c r="K447" s="1293" t="s">
        <v>2120</v>
      </c>
      <c r="L447" s="992"/>
      <c r="M447" s="992"/>
      <c r="N447" s="1262"/>
      <c r="O447" s="992"/>
      <c r="P447" s="1262"/>
      <c r="Q447" s="992"/>
      <c r="R447" s="1262"/>
      <c r="S447" s="992"/>
      <c r="T447" s="1262"/>
      <c r="U447" s="992"/>
      <c r="V447" s="985">
        <v>0</v>
      </c>
      <c r="W447" s="985">
        <v>0</v>
      </c>
      <c r="X447" s="985"/>
      <c r="Y447" s="985"/>
      <c r="Z447" s="985"/>
      <c r="AA447" s="985"/>
      <c r="AB447" s="985"/>
      <c r="AC447" s="985"/>
      <c r="AD447" s="985"/>
      <c r="AE447" s="985"/>
      <c r="AF447" s="985"/>
      <c r="AG447" s="985"/>
      <c r="AH447" s="985"/>
      <c r="AI447" s="985"/>
      <c r="AJ447" s="985"/>
      <c r="AK447" s="985"/>
      <c r="AL447" s="985"/>
      <c r="AM447" s="985"/>
      <c r="AN447" s="8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H447" s="1002">
        <f t="shared" si="202"/>
        <v>1</v>
      </c>
      <c r="BI447" s="1002">
        <f t="shared" si="203"/>
        <v>1</v>
      </c>
      <c r="BJ447" s="1002">
        <f t="shared" si="204"/>
        <v>1</v>
      </c>
      <c r="BK447" s="1002">
        <f t="shared" si="205"/>
        <v>0</v>
      </c>
      <c r="BL447" s="1002">
        <f t="shared" si="206"/>
        <v>0</v>
      </c>
      <c r="BN447" s="998">
        <v>9</v>
      </c>
      <c r="BO447" s="435"/>
      <c r="BP447" s="335" t="s">
        <v>0</v>
      </c>
      <c r="BQ447" s="435">
        <v>2</v>
      </c>
      <c r="BR447" s="435">
        <v>0</v>
      </c>
      <c r="BS447" s="435">
        <v>0</v>
      </c>
      <c r="BT447" s="435">
        <v>0</v>
      </c>
      <c r="BU447" s="435">
        <v>0</v>
      </c>
      <c r="BV447" s="435">
        <v>2</v>
      </c>
      <c r="BW447" s="435">
        <v>5</v>
      </c>
      <c r="BX447" s="435">
        <v>22</v>
      </c>
      <c r="BY447" s="435">
        <v>-17</v>
      </c>
      <c r="BZ447" s="435">
        <v>0</v>
      </c>
      <c r="CA447" s="664" t="s">
        <v>2142</v>
      </c>
      <c r="CC447" s="999">
        <v>9</v>
      </c>
      <c r="CD447" s="319" t="s">
        <v>1076</v>
      </c>
      <c r="CE447" s="319" t="s">
        <v>0</v>
      </c>
      <c r="CF447" s="312">
        <v>2</v>
      </c>
      <c r="CG447" s="312">
        <v>0</v>
      </c>
      <c r="CH447" s="312">
        <v>0</v>
      </c>
      <c r="CI447" s="312">
        <v>0</v>
      </c>
      <c r="CJ447" s="312">
        <v>0</v>
      </c>
      <c r="CK447" s="312">
        <v>0</v>
      </c>
      <c r="CL447" s="312">
        <v>0</v>
      </c>
      <c r="CM447" s="312">
        <v>0</v>
      </c>
      <c r="CN447" s="1000">
        <v>0</v>
      </c>
    </row>
    <row r="448" spans="2:103" x14ac:dyDescent="0.3">
      <c r="B448" s="1004"/>
      <c r="C448" s="1291" t="s">
        <v>2115</v>
      </c>
      <c r="D448" s="1291" t="s">
        <v>2116</v>
      </c>
      <c r="E448" s="1291" t="s">
        <v>1545</v>
      </c>
      <c r="F448" s="1291" t="s">
        <v>2137</v>
      </c>
      <c r="G448" s="1291" t="s">
        <v>150</v>
      </c>
      <c r="H448" s="1293"/>
      <c r="I448" s="1293" t="s">
        <v>1515</v>
      </c>
      <c r="J448" s="1293" t="s">
        <v>0</v>
      </c>
      <c r="K448" s="1293" t="s">
        <v>2121</v>
      </c>
      <c r="L448" s="992"/>
      <c r="M448" s="992"/>
      <c r="N448" s="1262"/>
      <c r="O448" s="992"/>
      <c r="P448" s="1262"/>
      <c r="Q448" s="992"/>
      <c r="R448" s="1262"/>
      <c r="S448" s="992"/>
      <c r="T448" s="1262"/>
      <c r="U448" s="992"/>
      <c r="V448" s="985">
        <v>0</v>
      </c>
      <c r="W448" s="985">
        <v>0</v>
      </c>
      <c r="X448" s="985"/>
      <c r="Y448" s="985"/>
      <c r="Z448" s="985"/>
      <c r="AA448" s="985"/>
      <c r="AB448" s="985"/>
      <c r="AC448" s="985"/>
      <c r="AD448" s="985"/>
      <c r="AE448" s="985"/>
      <c r="AF448" s="985"/>
      <c r="AG448" s="985"/>
      <c r="AH448" s="985"/>
      <c r="AI448" s="985"/>
      <c r="AJ448" s="985"/>
      <c r="AK448" s="985"/>
      <c r="AL448" s="985"/>
      <c r="AM448" s="985"/>
      <c r="AN448" s="8"/>
      <c r="AO448" s="983"/>
      <c r="AP448" s="983"/>
      <c r="AQ448" s="983"/>
      <c r="AR448" s="983"/>
      <c r="AS448" s="983"/>
      <c r="AT448" s="983"/>
      <c r="AU448" s="983"/>
      <c r="AV448" s="983"/>
      <c r="AW448" s="983"/>
      <c r="AX448" s="983"/>
      <c r="AY448" s="983"/>
      <c r="AZ448" s="983"/>
      <c r="BA448" s="983"/>
      <c r="BB448" s="983"/>
      <c r="BC448" s="983"/>
      <c r="BD448" s="983"/>
      <c r="BE448" s="983"/>
      <c r="BF448" s="983"/>
      <c r="BH448" s="1002">
        <f t="shared" si="202"/>
        <v>1</v>
      </c>
      <c r="BI448" s="1002">
        <f t="shared" si="203"/>
        <v>1</v>
      </c>
      <c r="BJ448" s="1002">
        <f t="shared" si="204"/>
        <v>1</v>
      </c>
      <c r="BK448" s="1002">
        <f t="shared" si="205"/>
        <v>0</v>
      </c>
      <c r="BL448" s="1002">
        <f t="shared" si="206"/>
        <v>0</v>
      </c>
      <c r="CC448" s="999">
        <v>10</v>
      </c>
      <c r="CD448" s="319" t="s">
        <v>1660</v>
      </c>
      <c r="CE448" s="319" t="s">
        <v>0</v>
      </c>
      <c r="CF448" s="312">
        <v>2</v>
      </c>
      <c r="CG448" s="312">
        <v>0</v>
      </c>
      <c r="CH448" s="312">
        <v>0</v>
      </c>
      <c r="CI448" s="312">
        <v>0</v>
      </c>
      <c r="CJ448" s="312">
        <v>0</v>
      </c>
      <c r="CK448" s="312">
        <v>0</v>
      </c>
      <c r="CL448" s="312">
        <v>0</v>
      </c>
      <c r="CM448" s="312">
        <v>0</v>
      </c>
      <c r="CN448" s="1000">
        <v>0</v>
      </c>
    </row>
    <row r="449" spans="2:92" x14ac:dyDescent="0.3">
      <c r="B449" s="1004"/>
      <c r="C449" s="1291" t="s">
        <v>2115</v>
      </c>
      <c r="D449" s="1291" t="s">
        <v>2116</v>
      </c>
      <c r="E449" s="1291" t="s">
        <v>1546</v>
      </c>
      <c r="F449" s="1291"/>
      <c r="G449" s="1291"/>
      <c r="H449" s="1293"/>
      <c r="I449" s="1293"/>
      <c r="J449" s="1293" t="s">
        <v>0</v>
      </c>
      <c r="K449" s="1293"/>
      <c r="L449" s="992"/>
      <c r="M449" s="992"/>
      <c r="N449" s="1262"/>
      <c r="O449" s="992"/>
      <c r="P449" s="1262"/>
      <c r="Q449" s="992"/>
      <c r="R449" s="1262"/>
      <c r="S449" s="992"/>
      <c r="T449" s="1262"/>
      <c r="U449" s="992"/>
      <c r="V449" s="985">
        <v>0</v>
      </c>
      <c r="W449" s="985">
        <v>0</v>
      </c>
      <c r="X449" s="985"/>
      <c r="Y449" s="985"/>
      <c r="Z449" s="985"/>
      <c r="AA449" s="985"/>
      <c r="AB449" s="985"/>
      <c r="AC449" s="985"/>
      <c r="AD449" s="985"/>
      <c r="AE449" s="985"/>
      <c r="AF449" s="985"/>
      <c r="AG449" s="985"/>
      <c r="AH449" s="985"/>
      <c r="AI449" s="985"/>
      <c r="AJ449" s="985"/>
      <c r="AK449" s="985"/>
      <c r="AL449" s="985"/>
      <c r="AM449" s="985"/>
      <c r="AN449" s="8"/>
      <c r="AO449" s="983"/>
      <c r="AP449" s="983"/>
      <c r="AQ449" s="983"/>
      <c r="AR449" s="983"/>
      <c r="AS449" s="983"/>
      <c r="AT449" s="983"/>
      <c r="AU449" s="983"/>
      <c r="AV449" s="983"/>
      <c r="AW449" s="983"/>
      <c r="AX449" s="983"/>
      <c r="AY449" s="983"/>
      <c r="AZ449" s="983"/>
      <c r="BA449" s="983"/>
      <c r="BB449" s="983"/>
      <c r="BC449" s="983"/>
      <c r="BD449" s="983"/>
      <c r="BE449" s="983"/>
      <c r="BF449" s="983"/>
      <c r="BH449" s="1002">
        <f t="shared" si="202"/>
        <v>1</v>
      </c>
      <c r="BI449" s="1002">
        <f t="shared" si="203"/>
        <v>1</v>
      </c>
      <c r="BJ449" s="1002">
        <f t="shared" si="204"/>
        <v>1</v>
      </c>
      <c r="BK449" s="1002">
        <f t="shared" si="205"/>
        <v>0</v>
      </c>
      <c r="BL449" s="1002">
        <f t="shared" si="206"/>
        <v>0</v>
      </c>
      <c r="CC449" s="999">
        <v>11</v>
      </c>
      <c r="CD449" s="319" t="s">
        <v>2149</v>
      </c>
      <c r="CE449" s="319" t="s">
        <v>0</v>
      </c>
      <c r="CF449" s="312">
        <v>2</v>
      </c>
      <c r="CG449" s="312">
        <v>0</v>
      </c>
      <c r="CH449" s="312">
        <v>0</v>
      </c>
      <c r="CI449" s="312">
        <v>0</v>
      </c>
      <c r="CJ449" s="312">
        <v>0</v>
      </c>
      <c r="CK449" s="312">
        <v>0</v>
      </c>
      <c r="CL449" s="312">
        <v>0</v>
      </c>
      <c r="CM449" s="312">
        <v>0</v>
      </c>
      <c r="CN449" s="1000">
        <v>0</v>
      </c>
    </row>
    <row r="450" spans="2:92" x14ac:dyDescent="0.3">
      <c r="B450" s="1004"/>
      <c r="C450" s="1291" t="s">
        <v>2115</v>
      </c>
      <c r="D450" s="1291" t="s">
        <v>2116</v>
      </c>
      <c r="E450" s="1291" t="s">
        <v>1547</v>
      </c>
      <c r="F450" s="1291"/>
      <c r="G450" s="1291"/>
      <c r="H450" s="1293"/>
      <c r="I450" s="1293"/>
      <c r="J450" s="1293" t="s">
        <v>0</v>
      </c>
      <c r="K450" s="1293"/>
      <c r="L450" s="992"/>
      <c r="M450" s="992"/>
      <c r="N450" s="1262"/>
      <c r="O450" s="992"/>
      <c r="P450" s="1262"/>
      <c r="Q450" s="992"/>
      <c r="R450" s="1262"/>
      <c r="S450" s="992"/>
      <c r="T450" s="1262"/>
      <c r="U450" s="992"/>
      <c r="V450" s="985">
        <v>0</v>
      </c>
      <c r="W450" s="985">
        <v>0</v>
      </c>
      <c r="X450" s="985"/>
      <c r="Y450" s="985"/>
      <c r="Z450" s="985"/>
      <c r="AA450" s="985"/>
      <c r="AB450" s="985"/>
      <c r="AC450" s="985"/>
      <c r="AD450" s="985"/>
      <c r="AE450" s="985"/>
      <c r="AF450" s="985"/>
      <c r="AG450" s="985"/>
      <c r="AH450" s="985"/>
      <c r="AI450" s="985"/>
      <c r="AJ450" s="985"/>
      <c r="AK450" s="985"/>
      <c r="AL450" s="985"/>
      <c r="AM450" s="985"/>
      <c r="AN450" s="8"/>
      <c r="AO450" s="983"/>
      <c r="AP450" s="983"/>
      <c r="AQ450" s="983"/>
      <c r="AR450" s="983"/>
      <c r="AS450" s="983"/>
      <c r="AT450" s="983"/>
      <c r="AU450" s="983"/>
      <c r="AV450" s="983"/>
      <c r="AW450" s="983"/>
      <c r="AX450" s="983"/>
      <c r="AY450" s="983"/>
      <c r="AZ450" s="983"/>
      <c r="BA450" s="983"/>
      <c r="BB450" s="983"/>
      <c r="BC450" s="983"/>
      <c r="BD450" s="983"/>
      <c r="BE450" s="983"/>
      <c r="BF450" s="983"/>
      <c r="BH450" s="1002">
        <f t="shared" si="202"/>
        <v>1</v>
      </c>
      <c r="BI450" s="1002">
        <f t="shared" si="203"/>
        <v>1</v>
      </c>
      <c r="BJ450" s="1002">
        <f t="shared" si="204"/>
        <v>1</v>
      </c>
      <c r="BK450" s="1002">
        <f t="shared" si="205"/>
        <v>0</v>
      </c>
      <c r="BL450" s="1002">
        <f t="shared" si="206"/>
        <v>0</v>
      </c>
      <c r="CC450" s="999">
        <v>12</v>
      </c>
      <c r="CD450" s="319" t="s">
        <v>1459</v>
      </c>
      <c r="CE450" s="319" t="s">
        <v>0</v>
      </c>
      <c r="CF450" s="312">
        <v>2</v>
      </c>
      <c r="CG450" s="312">
        <v>0</v>
      </c>
      <c r="CH450" s="312">
        <v>0</v>
      </c>
      <c r="CI450" s="312">
        <v>0</v>
      </c>
      <c r="CJ450" s="312">
        <v>0</v>
      </c>
      <c r="CK450" s="312">
        <v>0</v>
      </c>
      <c r="CL450" s="312">
        <v>0</v>
      </c>
      <c r="CM450" s="312">
        <v>0</v>
      </c>
      <c r="CN450" s="1000">
        <v>0</v>
      </c>
    </row>
    <row r="451" spans="2:92" x14ac:dyDescent="0.3">
      <c r="B451" s="1004"/>
      <c r="C451" s="1291" t="s">
        <v>2115</v>
      </c>
      <c r="D451" s="1291" t="s">
        <v>2116</v>
      </c>
      <c r="E451" s="1291" t="s">
        <v>1548</v>
      </c>
      <c r="F451" s="1291"/>
      <c r="G451" s="1291"/>
      <c r="H451" s="1293"/>
      <c r="I451" s="1293"/>
      <c r="J451" s="1293" t="s">
        <v>0</v>
      </c>
      <c r="K451" s="1293"/>
      <c r="L451" s="992"/>
      <c r="M451" s="992"/>
      <c r="N451" s="1262"/>
      <c r="O451" s="992"/>
      <c r="P451" s="1262"/>
      <c r="Q451" s="992"/>
      <c r="R451" s="1262"/>
      <c r="S451" s="992"/>
      <c r="T451" s="1262"/>
      <c r="U451" s="992"/>
      <c r="V451" s="985">
        <v>0</v>
      </c>
      <c r="W451" s="985">
        <v>0</v>
      </c>
      <c r="X451" s="985"/>
      <c r="Y451" s="985"/>
      <c r="Z451" s="985"/>
      <c r="AA451" s="985"/>
      <c r="AB451" s="985"/>
      <c r="AC451" s="985"/>
      <c r="AD451" s="985"/>
      <c r="AE451" s="985"/>
      <c r="AF451" s="985"/>
      <c r="AG451" s="985"/>
      <c r="AH451" s="985"/>
      <c r="AI451" s="985"/>
      <c r="AJ451" s="985"/>
      <c r="AK451" s="985"/>
      <c r="AL451" s="985"/>
      <c r="AM451" s="985"/>
      <c r="AN451" s="8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H451" s="1002">
        <f t="shared" si="202"/>
        <v>1</v>
      </c>
      <c r="BI451" s="1002">
        <f t="shared" si="203"/>
        <v>1</v>
      </c>
      <c r="BJ451" s="1002">
        <f t="shared" si="204"/>
        <v>1</v>
      </c>
      <c r="BK451" s="1002">
        <f t="shared" si="205"/>
        <v>0</v>
      </c>
      <c r="BL451" s="1002">
        <f t="shared" si="206"/>
        <v>0</v>
      </c>
      <c r="CC451" s="998">
        <v>13</v>
      </c>
      <c r="CD451" s="335" t="s">
        <v>1591</v>
      </c>
      <c r="CE451" s="335" t="s">
        <v>0</v>
      </c>
      <c r="CF451" s="435">
        <v>2</v>
      </c>
      <c r="CG451" s="435">
        <v>0</v>
      </c>
      <c r="CH451" s="435">
        <v>0</v>
      </c>
      <c r="CI451" s="435">
        <v>0</v>
      </c>
      <c r="CJ451" s="435">
        <v>0</v>
      </c>
      <c r="CK451" s="435">
        <v>0</v>
      </c>
      <c r="CL451" s="435">
        <v>0</v>
      </c>
      <c r="CM451" s="435">
        <v>0</v>
      </c>
      <c r="CN451" s="664">
        <v>0</v>
      </c>
    </row>
    <row r="452" spans="2:92" x14ac:dyDescent="0.3">
      <c r="B452" s="1004"/>
      <c r="C452" s="1291" t="s">
        <v>2115</v>
      </c>
      <c r="D452" s="1291" t="s">
        <v>2116</v>
      </c>
      <c r="E452" s="1291" t="s">
        <v>1549</v>
      </c>
      <c r="F452" s="1291"/>
      <c r="G452" s="1291"/>
      <c r="H452" s="1293"/>
      <c r="I452" s="1293"/>
      <c r="J452" s="1293" t="s">
        <v>0</v>
      </c>
      <c r="K452" s="1293"/>
      <c r="L452" s="992"/>
      <c r="M452" s="992"/>
      <c r="N452" s="1262"/>
      <c r="O452" s="992"/>
      <c r="P452" s="1262"/>
      <c r="Q452" s="992"/>
      <c r="R452" s="1262"/>
      <c r="S452" s="992"/>
      <c r="T452" s="1262"/>
      <c r="U452" s="992"/>
      <c r="V452" s="985">
        <v>0</v>
      </c>
      <c r="W452" s="985">
        <v>0</v>
      </c>
      <c r="X452" s="985"/>
      <c r="Y452" s="985"/>
      <c r="Z452" s="985"/>
      <c r="AA452" s="985"/>
      <c r="AB452" s="985"/>
      <c r="AC452" s="985"/>
      <c r="AD452" s="985"/>
      <c r="AE452" s="985"/>
      <c r="AF452" s="985"/>
      <c r="AG452" s="985"/>
      <c r="AH452" s="985"/>
      <c r="AI452" s="985"/>
      <c r="AJ452" s="985"/>
      <c r="AK452" s="985"/>
      <c r="AL452" s="985"/>
      <c r="AM452" s="985"/>
      <c r="AN452" s="8"/>
      <c r="AO452" s="983"/>
      <c r="AP452" s="983"/>
      <c r="AQ452" s="983"/>
      <c r="AR452" s="983"/>
      <c r="AS452" s="983"/>
      <c r="AT452" s="983"/>
      <c r="AU452" s="983"/>
      <c r="AV452" s="983"/>
      <c r="AW452" s="983"/>
      <c r="AX452" s="983"/>
      <c r="AY452" s="983"/>
      <c r="AZ452" s="983"/>
      <c r="BA452" s="983"/>
      <c r="BB452" s="983"/>
      <c r="BC452" s="983"/>
      <c r="BD452" s="983"/>
      <c r="BE452" s="983"/>
      <c r="BF452" s="983"/>
      <c r="BH452" s="1002">
        <f t="shared" si="202"/>
        <v>1</v>
      </c>
      <c r="BI452" s="1002">
        <f t="shared" si="203"/>
        <v>1</v>
      </c>
      <c r="BJ452" s="1002">
        <f t="shared" si="204"/>
        <v>1</v>
      </c>
      <c r="BK452" s="1002">
        <f t="shared" si="205"/>
        <v>0</v>
      </c>
      <c r="BL452" s="1002">
        <f t="shared" si="206"/>
        <v>0</v>
      </c>
    </row>
    <row r="453" spans="2:92" x14ac:dyDescent="0.3">
      <c r="B453" s="1004"/>
      <c r="C453" s="1291" t="s">
        <v>2115</v>
      </c>
      <c r="D453" s="1291" t="s">
        <v>2116</v>
      </c>
      <c r="E453" s="1291" t="s">
        <v>1550</v>
      </c>
      <c r="F453" s="1291"/>
      <c r="G453" s="1291"/>
      <c r="H453" s="1293"/>
      <c r="I453" s="1293"/>
      <c r="J453" s="1293" t="s">
        <v>0</v>
      </c>
      <c r="K453" s="1293"/>
      <c r="L453" s="992"/>
      <c r="M453" s="992"/>
      <c r="N453" s="1262"/>
      <c r="O453" s="992"/>
      <c r="P453" s="1262"/>
      <c r="Q453" s="992"/>
      <c r="R453" s="1262"/>
      <c r="S453" s="992"/>
      <c r="T453" s="1262"/>
      <c r="U453" s="992"/>
      <c r="V453" s="985">
        <v>0</v>
      </c>
      <c r="W453" s="985">
        <v>0</v>
      </c>
      <c r="X453" s="985"/>
      <c r="Y453" s="985"/>
      <c r="Z453" s="985"/>
      <c r="AA453" s="985"/>
      <c r="AB453" s="985"/>
      <c r="AC453" s="985"/>
      <c r="AD453" s="985"/>
      <c r="AE453" s="985"/>
      <c r="AF453" s="985"/>
      <c r="AG453" s="985"/>
      <c r="AH453" s="985"/>
      <c r="AI453" s="985"/>
      <c r="AJ453" s="985"/>
      <c r="AK453" s="985"/>
      <c r="AL453" s="985"/>
      <c r="AM453" s="985"/>
      <c r="AN453" s="8"/>
      <c r="AO453" s="983"/>
      <c r="AP453" s="983"/>
      <c r="AQ453" s="983"/>
      <c r="AR453" s="983"/>
      <c r="AS453" s="983"/>
      <c r="AT453" s="983"/>
      <c r="AU453" s="983"/>
      <c r="AV453" s="983"/>
      <c r="AW453" s="983"/>
      <c r="AX453" s="983"/>
      <c r="AY453" s="983"/>
      <c r="AZ453" s="983"/>
      <c r="BA453" s="983"/>
      <c r="BB453" s="983"/>
      <c r="BC453" s="983"/>
      <c r="BD453" s="983"/>
      <c r="BE453" s="983"/>
      <c r="BF453" s="983"/>
      <c r="BH453" s="1002">
        <f t="shared" si="202"/>
        <v>1</v>
      </c>
      <c r="BI453" s="1002">
        <f t="shared" si="203"/>
        <v>1</v>
      </c>
      <c r="BJ453" s="1002">
        <f t="shared" si="204"/>
        <v>1</v>
      </c>
      <c r="BK453" s="1002">
        <f t="shared" si="205"/>
        <v>0</v>
      </c>
      <c r="BL453" s="1002">
        <f t="shared" si="206"/>
        <v>0</v>
      </c>
    </row>
    <row r="454" spans="2:92" x14ac:dyDescent="0.3">
      <c r="B454" s="1004"/>
      <c r="C454" s="1291" t="s">
        <v>2115</v>
      </c>
      <c r="D454" s="1291" t="s">
        <v>2116</v>
      </c>
      <c r="E454" s="1291" t="s">
        <v>1551</v>
      </c>
      <c r="F454" s="1291"/>
      <c r="G454" s="1291"/>
      <c r="H454" s="1293"/>
      <c r="I454" s="1293"/>
      <c r="J454" s="1293" t="s">
        <v>0</v>
      </c>
      <c r="K454" s="1293"/>
      <c r="L454" s="992"/>
      <c r="M454" s="992"/>
      <c r="N454" s="1262"/>
      <c r="O454" s="992"/>
      <c r="P454" s="1262"/>
      <c r="Q454" s="992"/>
      <c r="R454" s="1262"/>
      <c r="S454" s="992"/>
      <c r="T454" s="1262"/>
      <c r="U454" s="992"/>
      <c r="V454" s="985">
        <v>0</v>
      </c>
      <c r="W454" s="985">
        <v>0</v>
      </c>
      <c r="X454" s="985"/>
      <c r="Y454" s="985"/>
      <c r="Z454" s="985"/>
      <c r="AA454" s="985"/>
      <c r="AB454" s="985"/>
      <c r="AC454" s="985"/>
      <c r="AD454" s="985"/>
      <c r="AE454" s="985"/>
      <c r="AF454" s="985"/>
      <c r="AG454" s="985"/>
      <c r="AH454" s="985"/>
      <c r="AI454" s="985"/>
      <c r="AJ454" s="985"/>
      <c r="AK454" s="985"/>
      <c r="AL454" s="985"/>
      <c r="AM454" s="985"/>
      <c r="AN454" s="8"/>
      <c r="AO454" s="983"/>
      <c r="AP454" s="983"/>
      <c r="AQ454" s="983"/>
      <c r="AR454" s="983"/>
      <c r="AS454" s="983"/>
      <c r="AT454" s="983"/>
      <c r="AU454" s="983"/>
      <c r="AV454" s="983"/>
      <c r="AW454" s="983"/>
      <c r="AX454" s="983"/>
      <c r="AY454" s="983"/>
      <c r="AZ454" s="983"/>
      <c r="BA454" s="983"/>
      <c r="BB454" s="983"/>
      <c r="BC454" s="983"/>
      <c r="BD454" s="983"/>
      <c r="BE454" s="983"/>
      <c r="BF454" s="983"/>
      <c r="BH454" s="1002">
        <f t="shared" si="202"/>
        <v>1</v>
      </c>
      <c r="BI454" s="1002">
        <f t="shared" si="203"/>
        <v>1</v>
      </c>
      <c r="BJ454" s="1002">
        <f t="shared" si="204"/>
        <v>1</v>
      </c>
      <c r="BK454" s="1002">
        <f t="shared" si="205"/>
        <v>0</v>
      </c>
      <c r="BL454" s="1002">
        <f t="shared" si="206"/>
        <v>0</v>
      </c>
    </row>
    <row r="455" spans="2:92" x14ac:dyDescent="0.3">
      <c r="B455" s="1004"/>
      <c r="C455" s="1291" t="s">
        <v>2115</v>
      </c>
      <c r="D455" s="1291" t="s">
        <v>2116</v>
      </c>
      <c r="E455" s="1291" t="s">
        <v>1552</v>
      </c>
      <c r="F455" s="1291"/>
      <c r="G455" s="1291"/>
      <c r="H455" s="1293"/>
      <c r="I455" s="1293"/>
      <c r="J455" s="1293" t="s">
        <v>0</v>
      </c>
      <c r="K455" s="1293"/>
      <c r="L455" s="992"/>
      <c r="M455" s="992"/>
      <c r="N455" s="1262"/>
      <c r="O455" s="992"/>
      <c r="P455" s="1262"/>
      <c r="Q455" s="992"/>
      <c r="R455" s="1262"/>
      <c r="S455" s="992"/>
      <c r="T455" s="1262"/>
      <c r="U455" s="992"/>
      <c r="V455" s="985">
        <v>0</v>
      </c>
      <c r="W455" s="985">
        <v>0</v>
      </c>
      <c r="X455" s="985"/>
      <c r="Y455" s="985"/>
      <c r="Z455" s="985"/>
      <c r="AA455" s="985"/>
      <c r="AB455" s="985"/>
      <c r="AC455" s="985"/>
      <c r="AD455" s="985"/>
      <c r="AE455" s="985"/>
      <c r="AF455" s="985"/>
      <c r="AG455" s="985"/>
      <c r="AH455" s="985"/>
      <c r="AI455" s="985"/>
      <c r="AJ455" s="985"/>
      <c r="AK455" s="985"/>
      <c r="AL455" s="985"/>
      <c r="AM455" s="985"/>
      <c r="AN455" s="8"/>
      <c r="AO455" s="983"/>
      <c r="AP455" s="983"/>
      <c r="AQ455" s="983"/>
      <c r="AR455" s="983"/>
      <c r="AS455" s="983"/>
      <c r="AT455" s="983"/>
      <c r="AU455" s="983"/>
      <c r="AV455" s="983"/>
      <c r="AW455" s="983"/>
      <c r="AX455" s="983"/>
      <c r="AY455" s="983"/>
      <c r="AZ455" s="983"/>
      <c r="BA455" s="983"/>
      <c r="BB455" s="983"/>
      <c r="BC455" s="983"/>
      <c r="BD455" s="983"/>
      <c r="BE455" s="983"/>
      <c r="BF455" s="983"/>
      <c r="BH455" s="1002">
        <f t="shared" si="202"/>
        <v>1</v>
      </c>
      <c r="BI455" s="1002">
        <f t="shared" si="203"/>
        <v>1</v>
      </c>
      <c r="BJ455" s="1002">
        <f t="shared" si="204"/>
        <v>1</v>
      </c>
      <c r="BK455" s="1002">
        <f t="shared" si="205"/>
        <v>0</v>
      </c>
      <c r="BL455" s="1002">
        <f t="shared" si="206"/>
        <v>0</v>
      </c>
    </row>
    <row r="456" spans="2:92" x14ac:dyDescent="0.3">
      <c r="B456" s="1004"/>
      <c r="C456" s="1291" t="s">
        <v>2115</v>
      </c>
      <c r="D456" s="1291" t="s">
        <v>2116</v>
      </c>
      <c r="E456" s="1291" t="s">
        <v>1553</v>
      </c>
      <c r="F456" s="1291"/>
      <c r="G456" s="1291"/>
      <c r="H456" s="1293"/>
      <c r="I456" s="1293"/>
      <c r="J456" s="1293" t="s">
        <v>0</v>
      </c>
      <c r="K456" s="1293"/>
      <c r="L456" s="992"/>
      <c r="M456" s="992"/>
      <c r="N456" s="1262"/>
      <c r="O456" s="992"/>
      <c r="P456" s="1262"/>
      <c r="Q456" s="992"/>
      <c r="R456" s="1262"/>
      <c r="S456" s="992"/>
      <c r="T456" s="1262"/>
      <c r="U456" s="992"/>
      <c r="V456" s="985">
        <v>0</v>
      </c>
      <c r="W456" s="985">
        <v>0</v>
      </c>
      <c r="X456" s="985"/>
      <c r="Y456" s="985"/>
      <c r="Z456" s="985"/>
      <c r="AA456" s="985"/>
      <c r="AB456" s="985"/>
      <c r="AC456" s="985"/>
      <c r="AD456" s="985"/>
      <c r="AE456" s="985"/>
      <c r="AF456" s="985"/>
      <c r="AG456" s="985"/>
      <c r="AH456" s="985"/>
      <c r="AI456" s="985"/>
      <c r="AJ456" s="985"/>
      <c r="AK456" s="985"/>
      <c r="AL456" s="985"/>
      <c r="AM456" s="985"/>
      <c r="AN456" s="8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H456" s="1002">
        <f t="shared" si="202"/>
        <v>1</v>
      </c>
      <c r="BI456" s="1002">
        <f t="shared" si="203"/>
        <v>1</v>
      </c>
      <c r="BJ456" s="1002">
        <f t="shared" si="204"/>
        <v>1</v>
      </c>
      <c r="BK456" s="1002">
        <f t="shared" si="205"/>
        <v>0</v>
      </c>
      <c r="BL456" s="1002">
        <f t="shared" si="206"/>
        <v>0</v>
      </c>
    </row>
    <row r="457" spans="2:92" x14ac:dyDescent="0.3">
      <c r="B457" s="1004"/>
      <c r="C457" s="1291" t="s">
        <v>2115</v>
      </c>
      <c r="D457" s="1291" t="s">
        <v>2116</v>
      </c>
      <c r="E457" s="1291" t="s">
        <v>1554</v>
      </c>
      <c r="F457" s="1291"/>
      <c r="G457" s="1291"/>
      <c r="H457" s="1293"/>
      <c r="I457" s="1293"/>
      <c r="J457" s="1293" t="s">
        <v>0</v>
      </c>
      <c r="K457" s="1293"/>
      <c r="L457" s="992"/>
      <c r="M457" s="992"/>
      <c r="N457" s="1262"/>
      <c r="O457" s="992"/>
      <c r="P457" s="1262"/>
      <c r="Q457" s="992"/>
      <c r="R457" s="1262"/>
      <c r="S457" s="992"/>
      <c r="T457" s="1262"/>
      <c r="U457" s="992"/>
      <c r="V457" s="985">
        <v>0</v>
      </c>
      <c r="W457" s="985">
        <v>0</v>
      </c>
      <c r="X457" s="985"/>
      <c r="Y457" s="985"/>
      <c r="Z457" s="985"/>
      <c r="AA457" s="985"/>
      <c r="AB457" s="985"/>
      <c r="AC457" s="985"/>
      <c r="AD457" s="985"/>
      <c r="AE457" s="985"/>
      <c r="AF457" s="985"/>
      <c r="AG457" s="985"/>
      <c r="AH457" s="985"/>
      <c r="AI457" s="985"/>
      <c r="AJ457" s="985"/>
      <c r="AK457" s="985"/>
      <c r="AL457" s="985"/>
      <c r="AM457" s="985"/>
      <c r="AN457" s="8"/>
      <c r="AO457" s="983"/>
      <c r="AP457" s="983"/>
      <c r="AQ457" s="983"/>
      <c r="AR457" s="983"/>
      <c r="AS457" s="983"/>
      <c r="AT457" s="983"/>
      <c r="AU457" s="983"/>
      <c r="AV457" s="983"/>
      <c r="AW457" s="983"/>
      <c r="AX457" s="983"/>
      <c r="AY457" s="983"/>
      <c r="AZ457" s="983"/>
      <c r="BA457" s="983"/>
      <c r="BB457" s="983"/>
      <c r="BC457" s="983"/>
      <c r="BD457" s="983"/>
      <c r="BE457" s="983"/>
      <c r="BF457" s="983"/>
      <c r="BH457" s="1002">
        <f t="shared" si="202"/>
        <v>1</v>
      </c>
      <c r="BI457" s="1002">
        <f t="shared" si="203"/>
        <v>1</v>
      </c>
      <c r="BJ457" s="1002">
        <f t="shared" si="204"/>
        <v>1</v>
      </c>
      <c r="BK457" s="1002">
        <f t="shared" si="205"/>
        <v>0</v>
      </c>
      <c r="BL457" s="1002">
        <f t="shared" si="206"/>
        <v>0</v>
      </c>
    </row>
    <row r="458" spans="2:92" x14ac:dyDescent="0.3">
      <c r="B458" s="1004"/>
      <c r="C458" s="1291" t="s">
        <v>2115</v>
      </c>
      <c r="D458" s="1291" t="s">
        <v>2116</v>
      </c>
      <c r="E458" s="1291" t="s">
        <v>1555</v>
      </c>
      <c r="F458" s="1291" t="s">
        <v>107</v>
      </c>
      <c r="G458" s="1291"/>
      <c r="H458" s="1293"/>
      <c r="I458" s="1293"/>
      <c r="J458" s="1293" t="s">
        <v>0</v>
      </c>
      <c r="K458" s="1293"/>
      <c r="L458" s="992"/>
      <c r="M458" s="992"/>
      <c r="N458" s="1262"/>
      <c r="O458" s="992"/>
      <c r="P458" s="1262"/>
      <c r="Q458" s="992"/>
      <c r="R458" s="1262"/>
      <c r="S458" s="992"/>
      <c r="T458" s="1262"/>
      <c r="U458" s="992"/>
      <c r="V458" s="985"/>
      <c r="W458" s="985"/>
      <c r="X458" s="985"/>
      <c r="Y458" s="985"/>
      <c r="Z458" s="985"/>
      <c r="AA458" s="985"/>
      <c r="AB458" s="985"/>
      <c r="AC458" s="985"/>
      <c r="AD458" s="985"/>
      <c r="AE458" s="985"/>
      <c r="AF458" s="985"/>
      <c r="AG458" s="985"/>
      <c r="AH458" s="985"/>
      <c r="AI458" s="985"/>
      <c r="AJ458" s="985"/>
      <c r="AK458" s="985"/>
      <c r="AL458" s="985"/>
      <c r="AM458" s="985"/>
      <c r="AN458" s="8"/>
      <c r="AO458" s="983"/>
      <c r="AP458" s="983"/>
      <c r="AQ458" s="983"/>
      <c r="AR458" s="983"/>
      <c r="AS458" s="983"/>
      <c r="AT458" s="983"/>
      <c r="AU458" s="983"/>
      <c r="AV458" s="983"/>
      <c r="AW458" s="983"/>
      <c r="AX458" s="983"/>
      <c r="AY458" s="983"/>
      <c r="AZ458" s="983"/>
      <c r="BA458" s="983"/>
      <c r="BB458" s="983"/>
      <c r="BC458" s="983"/>
      <c r="BD458" s="983"/>
      <c r="BE458" s="983"/>
      <c r="BF458" s="983"/>
      <c r="BH458" s="1002"/>
      <c r="BI458" s="1002"/>
      <c r="BJ458" s="1002"/>
      <c r="BK458" s="1002"/>
      <c r="BL458" s="1002"/>
    </row>
    <row r="459" spans="2:92" x14ac:dyDescent="0.3">
      <c r="B459" s="1004"/>
      <c r="C459" s="1291" t="s">
        <v>2115</v>
      </c>
      <c r="D459" s="1291" t="s">
        <v>2116</v>
      </c>
      <c r="E459" s="1291" t="s">
        <v>1871</v>
      </c>
      <c r="F459" s="1291" t="s">
        <v>107</v>
      </c>
      <c r="G459" s="1291"/>
      <c r="H459" s="1293"/>
      <c r="I459" s="1293"/>
      <c r="J459" s="1293" t="s">
        <v>0</v>
      </c>
      <c r="K459" s="1293"/>
      <c r="L459" s="992"/>
      <c r="M459" s="992"/>
      <c r="N459" s="1262"/>
      <c r="O459" s="992"/>
      <c r="P459" s="1262"/>
      <c r="Q459" s="992"/>
      <c r="R459" s="1262"/>
      <c r="S459" s="992"/>
      <c r="T459" s="1262"/>
      <c r="U459" s="992"/>
      <c r="V459" s="985"/>
      <c r="W459" s="985"/>
      <c r="X459" s="985"/>
      <c r="Y459" s="985"/>
      <c r="Z459" s="985"/>
      <c r="AA459" s="985"/>
      <c r="AB459" s="985"/>
      <c r="AC459" s="985"/>
      <c r="AD459" s="985"/>
      <c r="AE459" s="985"/>
      <c r="AF459" s="985"/>
      <c r="AG459" s="985"/>
      <c r="AH459" s="985"/>
      <c r="AI459" s="985"/>
      <c r="AJ459" s="985"/>
      <c r="AK459" s="985"/>
      <c r="AL459" s="985"/>
      <c r="AM459" s="985"/>
      <c r="AN459" s="8"/>
      <c r="AO459" s="983"/>
      <c r="AP459" s="983"/>
      <c r="AQ459" s="983"/>
      <c r="AR459" s="983"/>
      <c r="AS459" s="983"/>
      <c r="AT459" s="983"/>
      <c r="AU459" s="983"/>
      <c r="AV459" s="983"/>
      <c r="AW459" s="983"/>
      <c r="AX459" s="983"/>
      <c r="AY459" s="983"/>
      <c r="AZ459" s="983"/>
      <c r="BA459" s="983"/>
      <c r="BB459" s="983"/>
      <c r="BC459" s="983"/>
      <c r="BD459" s="983"/>
      <c r="BE459" s="983"/>
      <c r="BF459" s="983"/>
      <c r="BH459" s="1002"/>
      <c r="BI459" s="1002"/>
      <c r="BJ459" s="1002"/>
      <c r="BK459" s="1002"/>
      <c r="BL459" s="1002"/>
    </row>
    <row r="461" spans="2:92" x14ac:dyDescent="0.3">
      <c r="F461" s="975"/>
      <c r="G461" s="975" t="s">
        <v>2036</v>
      </c>
      <c r="H461" s="975"/>
      <c r="I461" s="1003"/>
      <c r="J461" s="1003"/>
      <c r="K461" s="1003"/>
      <c r="L461" s="1003" t="s">
        <v>2037</v>
      </c>
      <c r="M461" s="1003" t="s">
        <v>2038</v>
      </c>
      <c r="O461" s="1003" t="s">
        <v>1409</v>
      </c>
      <c r="P461" s="1003" t="s">
        <v>1410</v>
      </c>
      <c r="Q461" s="1003" t="s">
        <v>1411</v>
      </c>
      <c r="V461" s="981" t="s">
        <v>1557</v>
      </c>
      <c r="W461" s="981" t="s">
        <v>1556</v>
      </c>
      <c r="X461" s="981" t="s">
        <v>501</v>
      </c>
      <c r="Y461" s="981" t="s">
        <v>708</v>
      </c>
      <c r="Z461" s="981" t="s">
        <v>82</v>
      </c>
      <c r="AA461" s="981" t="s">
        <v>709</v>
      </c>
      <c r="AB461" s="981" t="s">
        <v>1419</v>
      </c>
      <c r="AC461" s="981" t="s">
        <v>1420</v>
      </c>
      <c r="AD461" s="982" t="s">
        <v>1827</v>
      </c>
      <c r="AE461" s="981" t="s">
        <v>1828</v>
      </c>
      <c r="AF461" s="981" t="s">
        <v>1425</v>
      </c>
      <c r="AG461" s="981" t="s">
        <v>1535</v>
      </c>
      <c r="AH461" s="981" t="s">
        <v>1536</v>
      </c>
      <c r="AI461" s="981" t="s">
        <v>1559</v>
      </c>
      <c r="AJ461" s="981" t="s">
        <v>1896</v>
      </c>
      <c r="AK461" s="981" t="s">
        <v>1967</v>
      </c>
      <c r="AL461" s="981" t="s">
        <v>19</v>
      </c>
      <c r="AM461" s="981"/>
      <c r="AO461" s="979" t="s">
        <v>1557</v>
      </c>
      <c r="AP461" s="979" t="s">
        <v>1556</v>
      </c>
      <c r="AQ461" s="979" t="s">
        <v>501</v>
      </c>
      <c r="AR461" s="979" t="s">
        <v>708</v>
      </c>
      <c r="AS461" s="979" t="s">
        <v>82</v>
      </c>
      <c r="AT461" s="979" t="s">
        <v>709</v>
      </c>
      <c r="AU461" s="979" t="s">
        <v>1419</v>
      </c>
      <c r="AV461" s="979" t="s">
        <v>1420</v>
      </c>
      <c r="AW461" s="980" t="s">
        <v>1827</v>
      </c>
      <c r="AX461" s="979" t="s">
        <v>1828</v>
      </c>
      <c r="AY461" s="979" t="s">
        <v>1425</v>
      </c>
      <c r="AZ461" s="979" t="s">
        <v>1535</v>
      </c>
      <c r="BA461" s="979" t="s">
        <v>1536</v>
      </c>
      <c r="BB461" s="979" t="s">
        <v>1559</v>
      </c>
      <c r="BC461" s="979" t="s">
        <v>1896</v>
      </c>
      <c r="BD461" s="979" t="s">
        <v>1967</v>
      </c>
      <c r="BE461" s="979" t="s">
        <v>19</v>
      </c>
      <c r="BF461" s="979"/>
      <c r="BH461" s="1001" t="s">
        <v>2045</v>
      </c>
      <c r="BI461" s="1001"/>
      <c r="BJ461" s="1001" t="s">
        <v>1913</v>
      </c>
      <c r="BK461" s="1001" t="s">
        <v>537</v>
      </c>
      <c r="BL461" s="1001" t="s">
        <v>1128</v>
      </c>
    </row>
    <row r="462" spans="2:92" x14ac:dyDescent="0.3">
      <c r="F462" s="977" t="str">
        <f>C437</f>
        <v>2020-2021</v>
      </c>
      <c r="G462" s="977" t="s">
        <v>2116</v>
      </c>
      <c r="H462" s="977"/>
      <c r="I462" s="1004"/>
      <c r="J462" s="1004"/>
      <c r="K462" s="1004"/>
      <c r="L462" s="1004">
        <f>SUM(L439:L459)</f>
        <v>5</v>
      </c>
      <c r="M462" s="1004">
        <f>SUM(M439:M459)</f>
        <v>22</v>
      </c>
      <c r="N462" s="8"/>
      <c r="O462" s="1004">
        <f>COUNTIF(H439:H459,"Voitto")</f>
        <v>0</v>
      </c>
      <c r="P462" s="1004">
        <f>COUNTIF(H439:H459,"Tasapeli")</f>
        <v>0</v>
      </c>
      <c r="Q462" s="1004">
        <f>COUNTIF(H439:H459,"Häviö")</f>
        <v>2</v>
      </c>
      <c r="V462" s="8">
        <f>SUM(V439:V459)</f>
        <v>5</v>
      </c>
      <c r="W462" s="8">
        <f t="shared" ref="W462:AK462" si="207">SUM(W439:W459)</f>
        <v>10</v>
      </c>
      <c r="X462" s="8">
        <f t="shared" si="207"/>
        <v>5</v>
      </c>
      <c r="Y462" s="8">
        <f t="shared" si="207"/>
        <v>0</v>
      </c>
      <c r="Z462" s="8">
        <f t="shared" si="207"/>
        <v>0</v>
      </c>
      <c r="AA462" s="8">
        <f t="shared" si="207"/>
        <v>0</v>
      </c>
      <c r="AB462" s="8">
        <f t="shared" si="207"/>
        <v>0</v>
      </c>
      <c r="AC462" s="8">
        <f t="shared" si="207"/>
        <v>0</v>
      </c>
      <c r="AD462" s="8">
        <f t="shared" si="207"/>
        <v>0</v>
      </c>
      <c r="AE462" s="8">
        <f t="shared" si="207"/>
        <v>0</v>
      </c>
      <c r="AF462" s="8">
        <f t="shared" si="207"/>
        <v>0</v>
      </c>
      <c r="AG462" s="8">
        <f t="shared" si="207"/>
        <v>0</v>
      </c>
      <c r="AH462" s="8">
        <f t="shared" si="207"/>
        <v>0</v>
      </c>
      <c r="AI462" s="8">
        <f t="shared" si="207"/>
        <v>0</v>
      </c>
      <c r="AJ462" s="8">
        <f t="shared" si="207"/>
        <v>0</v>
      </c>
      <c r="AK462" s="8">
        <f t="shared" si="207"/>
        <v>0</v>
      </c>
      <c r="AL462" s="8">
        <f>MIN(AL439:AL459)</f>
        <v>7.07</v>
      </c>
      <c r="AM462" s="8">
        <f>MAX(AL439:AL459)</f>
        <v>15.45</v>
      </c>
      <c r="AO462" s="8">
        <f t="shared" ref="AO462:BC462" si="208">SUM(AO439:AO459)</f>
        <v>0</v>
      </c>
      <c r="AP462" s="8">
        <f t="shared" si="208"/>
        <v>0</v>
      </c>
      <c r="AQ462" s="8">
        <f t="shared" si="208"/>
        <v>0</v>
      </c>
      <c r="AR462" s="8">
        <f t="shared" si="208"/>
        <v>0</v>
      </c>
      <c r="AS462" s="8">
        <f t="shared" si="208"/>
        <v>0</v>
      </c>
      <c r="AT462" s="8">
        <f t="shared" si="208"/>
        <v>0</v>
      </c>
      <c r="AU462" s="8">
        <f t="shared" si="208"/>
        <v>2</v>
      </c>
      <c r="AV462" s="8">
        <f t="shared" si="208"/>
        <v>0</v>
      </c>
      <c r="AW462" s="8">
        <f t="shared" si="208"/>
        <v>0</v>
      </c>
      <c r="AX462" s="8">
        <f t="shared" si="208"/>
        <v>0</v>
      </c>
      <c r="AY462" s="8">
        <f t="shared" si="208"/>
        <v>0</v>
      </c>
      <c r="AZ462" s="8">
        <f t="shared" si="208"/>
        <v>0</v>
      </c>
      <c r="BA462" s="8">
        <f t="shared" si="208"/>
        <v>0</v>
      </c>
      <c r="BB462" s="8">
        <f t="shared" si="208"/>
        <v>0</v>
      </c>
      <c r="BC462" s="8">
        <f t="shared" si="208"/>
        <v>0</v>
      </c>
      <c r="BD462" s="8">
        <f>SUM(BD439:BD459)</f>
        <v>0</v>
      </c>
      <c r="BE462">
        <f>MIN(BE439:BE459)</f>
        <v>2.0699999999999998</v>
      </c>
      <c r="BF462">
        <f>MAX(BE439:BE459)</f>
        <v>19.100000000000001</v>
      </c>
      <c r="BJ462" s="8">
        <f>SUM(BJ439:BJ459)</f>
        <v>17</v>
      </c>
      <c r="BK462" s="8">
        <f>SUM(BK439:BK459)</f>
        <v>0</v>
      </c>
      <c r="BL462" s="8">
        <f>SUM(BL439:BL459)</f>
        <v>2</v>
      </c>
    </row>
    <row r="467" spans="2:103" x14ac:dyDescent="0.3">
      <c r="C467" s="265" t="s">
        <v>2152</v>
      </c>
      <c r="D467" s="205" t="s">
        <v>2138</v>
      </c>
      <c r="V467" s="205" t="s">
        <v>0</v>
      </c>
      <c r="AO467" s="265" t="s">
        <v>1895</v>
      </c>
    </row>
    <row r="468" spans="2:103" x14ac:dyDescent="0.3">
      <c r="B468" s="1003" t="s">
        <v>1393</v>
      </c>
      <c r="C468" s="975" t="s">
        <v>1831</v>
      </c>
      <c r="D468" s="975" t="s">
        <v>1830</v>
      </c>
      <c r="E468" s="975" t="s">
        <v>1832</v>
      </c>
      <c r="F468" s="975" t="s">
        <v>1836</v>
      </c>
      <c r="G468" s="975" t="s">
        <v>1835</v>
      </c>
      <c r="H468" s="989" t="s">
        <v>1407</v>
      </c>
      <c r="I468" s="990" t="s">
        <v>2019</v>
      </c>
      <c r="J468" s="990" t="s">
        <v>0</v>
      </c>
      <c r="K468" s="990" t="s">
        <v>1128</v>
      </c>
      <c r="L468" s="1324" t="s">
        <v>1407</v>
      </c>
      <c r="M468" s="1325"/>
      <c r="N468" s="1326" t="s">
        <v>1822</v>
      </c>
      <c r="O468" s="1325"/>
      <c r="P468" s="1326" t="s">
        <v>1823</v>
      </c>
      <c r="Q468" s="1325"/>
      <c r="R468" s="1326" t="s">
        <v>1824</v>
      </c>
      <c r="S468" s="1325"/>
      <c r="T468" s="1326" t="s">
        <v>2706</v>
      </c>
      <c r="U468" s="1324"/>
      <c r="V468" s="981" t="s">
        <v>1557</v>
      </c>
      <c r="W468" s="981" t="s">
        <v>1556</v>
      </c>
      <c r="X468" s="981" t="s">
        <v>501</v>
      </c>
      <c r="Y468" s="981" t="s">
        <v>708</v>
      </c>
      <c r="Z468" s="981" t="s">
        <v>82</v>
      </c>
      <c r="AA468" s="981" t="s">
        <v>709</v>
      </c>
      <c r="AB468" s="981" t="s">
        <v>1419</v>
      </c>
      <c r="AC468" s="981" t="s">
        <v>1420</v>
      </c>
      <c r="AD468" s="982" t="s">
        <v>1827</v>
      </c>
      <c r="AE468" s="981" t="s">
        <v>1828</v>
      </c>
      <c r="AF468" s="981" t="s">
        <v>1425</v>
      </c>
      <c r="AG468" s="981" t="s">
        <v>1535</v>
      </c>
      <c r="AH468" s="981" t="s">
        <v>1536</v>
      </c>
      <c r="AI468" s="981" t="s">
        <v>1559</v>
      </c>
      <c r="AJ468" s="981" t="s">
        <v>1896</v>
      </c>
      <c r="AK468" s="981" t="s">
        <v>1967</v>
      </c>
      <c r="AL468" s="981" t="s">
        <v>19</v>
      </c>
      <c r="AM468" s="981"/>
      <c r="AN468" s="265"/>
      <c r="AO468" s="979" t="s">
        <v>1557</v>
      </c>
      <c r="AP468" s="979" t="s">
        <v>1556</v>
      </c>
      <c r="AQ468" s="979" t="s">
        <v>501</v>
      </c>
      <c r="AR468" s="979" t="s">
        <v>708</v>
      </c>
      <c r="AS468" s="979" t="s">
        <v>82</v>
      </c>
      <c r="AT468" s="979" t="s">
        <v>709</v>
      </c>
      <c r="AU468" s="979" t="s">
        <v>1419</v>
      </c>
      <c r="AV468" s="979" t="s">
        <v>1420</v>
      </c>
      <c r="AW468" s="980" t="s">
        <v>1827</v>
      </c>
      <c r="AX468" s="979" t="s">
        <v>1828</v>
      </c>
      <c r="AY468" s="979" t="s">
        <v>1425</v>
      </c>
      <c r="AZ468" s="979" t="s">
        <v>1535</v>
      </c>
      <c r="BA468" s="979" t="s">
        <v>1536</v>
      </c>
      <c r="BB468" s="979" t="s">
        <v>1559</v>
      </c>
      <c r="BC468" s="979" t="s">
        <v>1896</v>
      </c>
      <c r="BD468" s="979" t="s">
        <v>1967</v>
      </c>
      <c r="BE468" s="979" t="s">
        <v>19</v>
      </c>
      <c r="BF468" s="979"/>
      <c r="BH468" s="1001" t="s">
        <v>1911</v>
      </c>
      <c r="BI468" s="1001" t="s">
        <v>1912</v>
      </c>
      <c r="BJ468" s="1001" t="s">
        <v>1913</v>
      </c>
      <c r="BK468" s="1001" t="s">
        <v>537</v>
      </c>
      <c r="BL468" s="1001" t="s">
        <v>1128</v>
      </c>
      <c r="BN468" s="994" t="s">
        <v>1393</v>
      </c>
      <c r="BO468" s="149"/>
      <c r="BP468" s="995" t="s">
        <v>989</v>
      </c>
      <c r="BQ468" s="149" t="s">
        <v>877</v>
      </c>
      <c r="BR468" s="149" t="s">
        <v>990</v>
      </c>
      <c r="BS468" s="149" t="s">
        <v>2039</v>
      </c>
      <c r="BT468" s="149" t="s">
        <v>991</v>
      </c>
      <c r="BU468" s="149" t="s">
        <v>2040</v>
      </c>
      <c r="BV468" s="149" t="s">
        <v>992</v>
      </c>
      <c r="BW468" s="149" t="s">
        <v>139</v>
      </c>
      <c r="BX468" s="149" t="s">
        <v>993</v>
      </c>
      <c r="BY468" s="149" t="s">
        <v>994</v>
      </c>
      <c r="BZ468" s="149" t="s">
        <v>610</v>
      </c>
      <c r="CA468" s="996" t="s">
        <v>2139</v>
      </c>
      <c r="CC468" s="994" t="s">
        <v>1393</v>
      </c>
      <c r="CD468" s="995" t="s">
        <v>1796</v>
      </c>
      <c r="CE468" s="995" t="s">
        <v>989</v>
      </c>
      <c r="CF468" s="149" t="s">
        <v>877</v>
      </c>
      <c r="CG468" s="149" t="s">
        <v>533</v>
      </c>
      <c r="CH468" s="149" t="s">
        <v>534</v>
      </c>
      <c r="CI468" s="149" t="s">
        <v>610</v>
      </c>
      <c r="CJ468" s="149" t="s">
        <v>106</v>
      </c>
      <c r="CK468" s="149" t="s">
        <v>107</v>
      </c>
      <c r="CL468" s="149" t="s">
        <v>4</v>
      </c>
      <c r="CM468" s="149" t="s">
        <v>2144</v>
      </c>
      <c r="CN468" s="996" t="s">
        <v>2145</v>
      </c>
      <c r="CP468" s="994" t="s">
        <v>1393</v>
      </c>
      <c r="CQ468" s="995" t="s">
        <v>2185</v>
      </c>
      <c r="CR468" s="995" t="s">
        <v>989</v>
      </c>
      <c r="CS468" s="149" t="s">
        <v>877</v>
      </c>
      <c r="CT468" s="149" t="s">
        <v>2043</v>
      </c>
      <c r="CU468" s="149" t="s">
        <v>2186</v>
      </c>
      <c r="CV468" s="149" t="s">
        <v>991</v>
      </c>
      <c r="CW468" s="149" t="s">
        <v>993</v>
      </c>
      <c r="CX468" s="149" t="s">
        <v>990</v>
      </c>
      <c r="CY468" s="996" t="s">
        <v>2044</v>
      </c>
    </row>
    <row r="469" spans="2:103" x14ac:dyDescent="0.3">
      <c r="B469" s="1280">
        <v>268</v>
      </c>
      <c r="C469" s="977" t="s">
        <v>2152</v>
      </c>
      <c r="D469" s="977" t="s">
        <v>2116</v>
      </c>
      <c r="E469" s="977" t="s">
        <v>1516</v>
      </c>
      <c r="F469" s="978" t="s">
        <v>2154</v>
      </c>
      <c r="G469" s="977" t="s">
        <v>2173</v>
      </c>
      <c r="H469" s="991" t="str">
        <f>IF(L469=M469,"Tasapeli",IF(L469&lt;M469,"Häviö","Voitto"))</f>
        <v>Häviö</v>
      </c>
      <c r="I469" s="991" t="s">
        <v>1514</v>
      </c>
      <c r="J469" s="991" t="s">
        <v>0</v>
      </c>
      <c r="K469" s="991" t="s">
        <v>2175</v>
      </c>
      <c r="L469" s="992">
        <v>4</v>
      </c>
      <c r="M469" s="992">
        <v>8</v>
      </c>
      <c r="N469" s="1262">
        <v>2</v>
      </c>
      <c r="O469" s="992">
        <v>3</v>
      </c>
      <c r="P469" s="1262">
        <v>1</v>
      </c>
      <c r="Q469" s="992">
        <v>2</v>
      </c>
      <c r="R469" s="1262">
        <v>1</v>
      </c>
      <c r="S469" s="992">
        <v>3</v>
      </c>
      <c r="T469" s="1262"/>
      <c r="U469" s="992"/>
      <c r="V469" s="985">
        <v>2</v>
      </c>
      <c r="W469" s="985">
        <v>4</v>
      </c>
      <c r="X469" s="985">
        <v>2</v>
      </c>
      <c r="Y469" s="985"/>
      <c r="Z469" s="985"/>
      <c r="AA469" s="985"/>
      <c r="AB469" s="985">
        <v>1</v>
      </c>
      <c r="AC469" s="985"/>
      <c r="AD469" s="985"/>
      <c r="AE469" s="985"/>
      <c r="AF469" s="985">
        <v>1</v>
      </c>
      <c r="AG469" s="985"/>
      <c r="AH469" s="985"/>
      <c r="AI469" s="985"/>
      <c r="AJ469" s="985"/>
      <c r="AK469" s="985">
        <v>21</v>
      </c>
      <c r="AL469" s="985">
        <v>3.14</v>
      </c>
      <c r="AM469" s="985"/>
      <c r="AN469" s="8"/>
      <c r="AO469" s="983">
        <v>4</v>
      </c>
      <c r="AP469" s="983">
        <v>8</v>
      </c>
      <c r="AQ469" s="983">
        <v>4</v>
      </c>
      <c r="AR469" s="983"/>
      <c r="AS469" s="983"/>
      <c r="AT469" s="983"/>
      <c r="AU469" s="983">
        <v>1</v>
      </c>
      <c r="AV469" s="983"/>
      <c r="AW469" s="983"/>
      <c r="AX469" s="983"/>
      <c r="AY469" s="983">
        <v>1</v>
      </c>
      <c r="AZ469" s="983"/>
      <c r="BA469" s="983"/>
      <c r="BB469" s="983"/>
      <c r="BC469" s="983"/>
      <c r="BD469" s="983">
        <v>21</v>
      </c>
      <c r="BE469" s="983">
        <v>3.51</v>
      </c>
      <c r="BF469" s="983"/>
      <c r="BH469" s="1002">
        <f>IF(V469=0,1,0)</f>
        <v>0</v>
      </c>
      <c r="BI469" s="1002">
        <f>IF(AO469=0,1,0)</f>
        <v>0</v>
      </c>
      <c r="BJ469" s="1002">
        <f>IF(V469+AO469=0,1,0)</f>
        <v>0</v>
      </c>
      <c r="BK469" s="1002">
        <f>IF(BH469&gt;BI469,1,0)</f>
        <v>0</v>
      </c>
      <c r="BL469" s="1002">
        <f>IF(BI469&gt;BH469,1,0)</f>
        <v>0</v>
      </c>
      <c r="BN469" s="997">
        <v>1</v>
      </c>
      <c r="BO469" s="430"/>
      <c r="BP469" s="332" t="s">
        <v>2120</v>
      </c>
      <c r="BQ469" s="430">
        <v>18</v>
      </c>
      <c r="BR469" s="430">
        <v>14</v>
      </c>
      <c r="BS469" s="430">
        <v>0</v>
      </c>
      <c r="BT469" s="430">
        <v>2</v>
      </c>
      <c r="BU469" s="430">
        <v>0</v>
      </c>
      <c r="BV469" s="430">
        <v>2</v>
      </c>
      <c r="BW469" s="430">
        <v>129</v>
      </c>
      <c r="BX469" s="430">
        <v>64</v>
      </c>
      <c r="BY469" s="430">
        <v>65</v>
      </c>
      <c r="BZ469" s="430">
        <v>30</v>
      </c>
      <c r="CA469" s="1057">
        <v>1.67</v>
      </c>
      <c r="CC469" s="997">
        <v>1</v>
      </c>
      <c r="CD469" s="332" t="s">
        <v>2147</v>
      </c>
      <c r="CE469" s="332" t="s">
        <v>0</v>
      </c>
      <c r="CF469" s="430">
        <v>18</v>
      </c>
      <c r="CG469" s="430">
        <v>11</v>
      </c>
      <c r="CH469" s="430">
        <v>26</v>
      </c>
      <c r="CI469" s="430">
        <v>37</v>
      </c>
      <c r="CJ469" s="430">
        <v>0</v>
      </c>
      <c r="CK469" s="430">
        <v>0</v>
      </c>
      <c r="CL469" s="430">
        <v>0</v>
      </c>
      <c r="CM469" s="430">
        <v>0</v>
      </c>
      <c r="CN469" s="663">
        <v>1</v>
      </c>
      <c r="CP469" s="1022">
        <v>1</v>
      </c>
      <c r="CQ469" s="311" t="s">
        <v>1660</v>
      </c>
      <c r="CR469" s="311" t="s">
        <v>0</v>
      </c>
      <c r="CS469" s="426">
        <v>18</v>
      </c>
      <c r="CT469" s="426">
        <v>79.319999999999993</v>
      </c>
      <c r="CU469" s="426">
        <v>7.22</v>
      </c>
      <c r="CV469" s="426">
        <v>372</v>
      </c>
      <c r="CW469" s="426">
        <v>97</v>
      </c>
      <c r="CX469" s="426">
        <v>5</v>
      </c>
      <c r="CY469" s="352">
        <v>1</v>
      </c>
    </row>
    <row r="470" spans="2:103" x14ac:dyDescent="0.3">
      <c r="B470" s="1280">
        <v>269</v>
      </c>
      <c r="C470" s="977" t="s">
        <v>2152</v>
      </c>
      <c r="D470" s="977" t="s">
        <v>2116</v>
      </c>
      <c r="E470" s="977" t="s">
        <v>1537</v>
      </c>
      <c r="F470" s="978" t="s">
        <v>2155</v>
      </c>
      <c r="G470" s="977" t="s">
        <v>2173</v>
      </c>
      <c r="H470" s="991" t="str">
        <f t="shared" ref="H470:H487" si="209">IF(L470=M470,"Tasapeli",IF(L470&lt;M470,"Häviö","Voitto"))</f>
        <v>Häviö</v>
      </c>
      <c r="I470" s="991" t="s">
        <v>1514</v>
      </c>
      <c r="J470" s="991" t="s">
        <v>0</v>
      </c>
      <c r="K470" s="991" t="s">
        <v>2176</v>
      </c>
      <c r="L470" s="992">
        <v>3</v>
      </c>
      <c r="M470" s="992">
        <v>6</v>
      </c>
      <c r="N470" s="1262">
        <v>2</v>
      </c>
      <c r="O470" s="992">
        <v>2</v>
      </c>
      <c r="P470" s="1262">
        <v>0</v>
      </c>
      <c r="Q470" s="992">
        <v>3</v>
      </c>
      <c r="R470" s="1262">
        <v>1</v>
      </c>
      <c r="S470" s="992">
        <v>1</v>
      </c>
      <c r="T470" s="1262"/>
      <c r="U470" s="992"/>
      <c r="V470" s="985">
        <v>1</v>
      </c>
      <c r="W470" s="985">
        <v>2</v>
      </c>
      <c r="X470" s="985">
        <v>1</v>
      </c>
      <c r="Y470" s="985"/>
      <c r="Z470" s="985"/>
      <c r="AA470" s="985"/>
      <c r="AB470" s="985"/>
      <c r="AC470" s="985"/>
      <c r="AD470" s="985"/>
      <c r="AE470" s="985"/>
      <c r="AF470" s="985"/>
      <c r="AG470" s="985"/>
      <c r="AH470" s="985"/>
      <c r="AI470" s="985"/>
      <c r="AJ470" s="985"/>
      <c r="AK470" s="985">
        <v>17</v>
      </c>
      <c r="AL470" s="985">
        <v>5.09</v>
      </c>
      <c r="AM470" s="985"/>
      <c r="AN470" s="8"/>
      <c r="AO470" s="983">
        <v>3</v>
      </c>
      <c r="AP470" s="983">
        <v>9</v>
      </c>
      <c r="AQ470" s="983">
        <v>2</v>
      </c>
      <c r="AR470" s="983">
        <v>1</v>
      </c>
      <c r="AS470" s="983"/>
      <c r="AT470" s="983"/>
      <c r="AU470" s="983"/>
      <c r="AV470" s="983"/>
      <c r="AW470" s="983"/>
      <c r="AX470" s="983"/>
      <c r="AY470" s="983"/>
      <c r="AZ470" s="983"/>
      <c r="BA470" s="983">
        <v>1</v>
      </c>
      <c r="BB470" s="983"/>
      <c r="BC470" s="983"/>
      <c r="BD470" s="983">
        <v>22</v>
      </c>
      <c r="BE470" s="988">
        <v>0.37</v>
      </c>
      <c r="BF470" s="988"/>
      <c r="BH470" s="1002">
        <f t="shared" ref="BH470:BH487" si="210">IF(V470=0,1,0)</f>
        <v>0</v>
      </c>
      <c r="BI470" s="1002">
        <f t="shared" ref="BI470:BI487" si="211">IF(AO470=0,1,0)</f>
        <v>0</v>
      </c>
      <c r="BJ470" s="1002">
        <f t="shared" ref="BJ470:BJ487" si="212">IF(V470+AO470=0,1,0)</f>
        <v>0</v>
      </c>
      <c r="BK470" s="1002">
        <f t="shared" ref="BK470:BK487" si="213">IF(BH470&gt;BI470,1,0)</f>
        <v>0</v>
      </c>
      <c r="BL470" s="1002">
        <f t="shared" ref="BL470:BL487" si="214">IF(BI470&gt;BH470,1,0)</f>
        <v>0</v>
      </c>
      <c r="BN470" s="999">
        <v>2</v>
      </c>
      <c r="BO470" s="312"/>
      <c r="BP470" s="319" t="s">
        <v>1583</v>
      </c>
      <c r="BQ470" s="312">
        <v>18</v>
      </c>
      <c r="BR470" s="312">
        <v>12</v>
      </c>
      <c r="BS470" s="312">
        <v>0</v>
      </c>
      <c r="BT470" s="312">
        <v>3</v>
      </c>
      <c r="BU470" s="312">
        <v>0</v>
      </c>
      <c r="BV470" s="312">
        <v>3</v>
      </c>
      <c r="BW470" s="312">
        <v>105</v>
      </c>
      <c r="BX470" s="312">
        <v>69</v>
      </c>
      <c r="BY470" s="312">
        <v>36</v>
      </c>
      <c r="BZ470" s="312">
        <v>27</v>
      </c>
      <c r="CA470" s="1057">
        <v>1.5</v>
      </c>
      <c r="CC470" s="999">
        <v>2</v>
      </c>
      <c r="CD470" s="319" t="s">
        <v>2180</v>
      </c>
      <c r="CE470" s="319" t="s">
        <v>0</v>
      </c>
      <c r="CF470" s="312">
        <v>16</v>
      </c>
      <c r="CG470" s="312">
        <v>12</v>
      </c>
      <c r="CH470" s="312">
        <v>10</v>
      </c>
      <c r="CI470" s="312">
        <v>22</v>
      </c>
      <c r="CJ470" s="312">
        <v>0</v>
      </c>
      <c r="CK470" s="312">
        <v>0</v>
      </c>
      <c r="CL470" s="312">
        <v>0</v>
      </c>
      <c r="CM470" s="312">
        <v>0</v>
      </c>
      <c r="CN470" s="1000">
        <v>1</v>
      </c>
    </row>
    <row r="471" spans="2:103" x14ac:dyDescent="0.3">
      <c r="B471" s="1280">
        <v>270</v>
      </c>
      <c r="C471" s="977" t="s">
        <v>2152</v>
      </c>
      <c r="D471" s="977" t="s">
        <v>2116</v>
      </c>
      <c r="E471" s="977" t="s">
        <v>1538</v>
      </c>
      <c r="F471" s="978" t="s">
        <v>2156</v>
      </c>
      <c r="G471" s="977" t="s">
        <v>150</v>
      </c>
      <c r="H471" s="991" t="str">
        <f t="shared" si="209"/>
        <v>Tasapeli</v>
      </c>
      <c r="I471" s="991" t="s">
        <v>1515</v>
      </c>
      <c r="J471" s="991" t="s">
        <v>0</v>
      </c>
      <c r="K471" s="991" t="s">
        <v>1583</v>
      </c>
      <c r="L471" s="992">
        <v>5</v>
      </c>
      <c r="M471" s="992">
        <v>5</v>
      </c>
      <c r="N471" s="1262">
        <v>3</v>
      </c>
      <c r="O471" s="992">
        <v>1</v>
      </c>
      <c r="P471" s="1262">
        <v>1</v>
      </c>
      <c r="Q471" s="992">
        <v>1</v>
      </c>
      <c r="R471" s="1262">
        <v>1</v>
      </c>
      <c r="S471" s="992">
        <v>3</v>
      </c>
      <c r="T471" s="1262"/>
      <c r="U471" s="992"/>
      <c r="V471" s="985">
        <v>0</v>
      </c>
      <c r="W471" s="985">
        <v>0</v>
      </c>
      <c r="X471" s="985"/>
      <c r="Y471" s="985"/>
      <c r="Z471" s="985"/>
      <c r="AA471" s="985"/>
      <c r="AB471" s="985"/>
      <c r="AC471" s="985"/>
      <c r="AD471" s="985"/>
      <c r="AE471" s="985"/>
      <c r="AF471" s="985"/>
      <c r="AG471" s="985"/>
      <c r="AH471" s="985"/>
      <c r="AI471" s="985"/>
      <c r="AJ471" s="985"/>
      <c r="AK471" s="985">
        <v>26</v>
      </c>
      <c r="AL471" s="986">
        <v>11.34</v>
      </c>
      <c r="AM471" s="986"/>
      <c r="AN471" s="8"/>
      <c r="AO471" s="983">
        <v>0</v>
      </c>
      <c r="AP471" s="983">
        <v>0</v>
      </c>
      <c r="AQ471" s="983"/>
      <c r="AR471" s="983"/>
      <c r="AS471" s="983"/>
      <c r="AT471" s="983"/>
      <c r="AU471" s="983"/>
      <c r="AV471" s="983"/>
      <c r="AW471" s="983"/>
      <c r="AX471" s="983"/>
      <c r="AY471" s="983"/>
      <c r="AZ471" s="983"/>
      <c r="BA471" s="983"/>
      <c r="BB471" s="983"/>
      <c r="BC471" s="983"/>
      <c r="BD471" s="983">
        <v>15</v>
      </c>
      <c r="BE471" s="988">
        <v>5.18</v>
      </c>
      <c r="BF471" s="988"/>
      <c r="BH471" s="1002">
        <f t="shared" si="210"/>
        <v>1</v>
      </c>
      <c r="BI471" s="1002">
        <f t="shared" si="211"/>
        <v>1</v>
      </c>
      <c r="BJ471" s="1002">
        <f t="shared" si="212"/>
        <v>1</v>
      </c>
      <c r="BK471" s="1002">
        <f t="shared" si="213"/>
        <v>0</v>
      </c>
      <c r="BL471" s="1002">
        <f t="shared" si="214"/>
        <v>0</v>
      </c>
      <c r="BN471" s="999">
        <v>3</v>
      </c>
      <c r="BO471" s="312"/>
      <c r="BP471" s="319" t="s">
        <v>1220</v>
      </c>
      <c r="BQ471" s="312">
        <v>18</v>
      </c>
      <c r="BR471" s="312">
        <v>12</v>
      </c>
      <c r="BS471" s="312">
        <v>0</v>
      </c>
      <c r="BT471" s="312">
        <v>1</v>
      </c>
      <c r="BU471" s="312">
        <v>0</v>
      </c>
      <c r="BV471" s="312">
        <v>5</v>
      </c>
      <c r="BW471" s="312">
        <v>132</v>
      </c>
      <c r="BX471" s="312">
        <v>79</v>
      </c>
      <c r="BY471" s="312">
        <v>53</v>
      </c>
      <c r="BZ471" s="312">
        <v>25</v>
      </c>
      <c r="CA471" s="1057">
        <v>1.39</v>
      </c>
      <c r="CC471" s="999">
        <v>3</v>
      </c>
      <c r="CD471" s="319" t="s">
        <v>50</v>
      </c>
      <c r="CE471" s="319" t="s">
        <v>0</v>
      </c>
      <c r="CF471" s="312">
        <v>18</v>
      </c>
      <c r="CG471" s="312">
        <v>11</v>
      </c>
      <c r="CH471" s="312">
        <v>6</v>
      </c>
      <c r="CI471" s="312">
        <v>17</v>
      </c>
      <c r="CJ471" s="312">
        <v>0</v>
      </c>
      <c r="CK471" s="312">
        <v>0</v>
      </c>
      <c r="CL471" s="312">
        <v>0</v>
      </c>
      <c r="CM471" s="312">
        <v>0</v>
      </c>
      <c r="CN471" s="1000">
        <v>1</v>
      </c>
    </row>
    <row r="472" spans="2:103" x14ac:dyDescent="0.3">
      <c r="B472" s="1280">
        <v>271</v>
      </c>
      <c r="C472" s="977" t="s">
        <v>2152</v>
      </c>
      <c r="D472" s="977" t="s">
        <v>2116</v>
      </c>
      <c r="E472" s="977" t="s">
        <v>1539</v>
      </c>
      <c r="F472" s="978" t="s">
        <v>2157</v>
      </c>
      <c r="G472" s="977" t="s">
        <v>150</v>
      </c>
      <c r="H472" s="991" t="str">
        <f t="shared" si="209"/>
        <v>Voitto</v>
      </c>
      <c r="I472" s="991" t="s">
        <v>1514</v>
      </c>
      <c r="J472" s="991" t="s">
        <v>0</v>
      </c>
      <c r="K472" s="991" t="s">
        <v>1220</v>
      </c>
      <c r="L472" s="992">
        <v>5</v>
      </c>
      <c r="M472" s="992">
        <v>4</v>
      </c>
      <c r="N472" s="1262">
        <v>1</v>
      </c>
      <c r="O472" s="992">
        <v>2</v>
      </c>
      <c r="P472" s="1262">
        <v>1</v>
      </c>
      <c r="Q472" s="992">
        <v>1</v>
      </c>
      <c r="R472" s="1262">
        <v>3</v>
      </c>
      <c r="S472" s="992">
        <v>1</v>
      </c>
      <c r="T472" s="1262"/>
      <c r="U472" s="992"/>
      <c r="V472" s="985">
        <v>2</v>
      </c>
      <c r="W472" s="985">
        <v>4</v>
      </c>
      <c r="X472" s="985">
        <v>2</v>
      </c>
      <c r="Y472" s="987"/>
      <c r="Z472" s="987"/>
      <c r="AA472" s="987"/>
      <c r="AB472" s="987"/>
      <c r="AC472" s="987"/>
      <c r="AD472" s="987"/>
      <c r="AE472" s="987"/>
      <c r="AF472" s="987"/>
      <c r="AG472" s="987"/>
      <c r="AH472" s="987"/>
      <c r="AI472" s="987"/>
      <c r="AJ472" s="987"/>
      <c r="AK472" s="985">
        <v>25</v>
      </c>
      <c r="AL472" s="985">
        <v>4.43</v>
      </c>
      <c r="AM472" s="985"/>
      <c r="AO472" s="983">
        <v>2</v>
      </c>
      <c r="AP472" s="983">
        <v>4</v>
      </c>
      <c r="AQ472" s="983">
        <v>2</v>
      </c>
      <c r="AR472" s="976"/>
      <c r="AS472" s="976"/>
      <c r="AT472" s="976"/>
      <c r="AU472" s="983">
        <v>1</v>
      </c>
      <c r="AV472" s="983"/>
      <c r="AW472" s="983"/>
      <c r="AX472" s="983"/>
      <c r="AY472" s="983"/>
      <c r="AZ472" s="976"/>
      <c r="BA472" s="976"/>
      <c r="BB472" s="976"/>
      <c r="BC472" s="976"/>
      <c r="BD472" s="983">
        <v>17</v>
      </c>
      <c r="BE472" s="984">
        <v>11.39</v>
      </c>
      <c r="BF472" s="984"/>
      <c r="BH472" s="1002">
        <f t="shared" si="210"/>
        <v>0</v>
      </c>
      <c r="BI472" s="1002">
        <f t="shared" si="211"/>
        <v>0</v>
      </c>
      <c r="BJ472" s="1002">
        <f t="shared" si="212"/>
        <v>0</v>
      </c>
      <c r="BK472" s="1002">
        <f t="shared" si="213"/>
        <v>0</v>
      </c>
      <c r="BL472" s="1002">
        <f t="shared" si="214"/>
        <v>0</v>
      </c>
      <c r="BN472" s="999">
        <v>4</v>
      </c>
      <c r="BO472" s="312"/>
      <c r="BP472" s="319" t="s">
        <v>2177</v>
      </c>
      <c r="BQ472" s="312">
        <v>18</v>
      </c>
      <c r="BR472" s="312">
        <v>11</v>
      </c>
      <c r="BS472" s="312">
        <v>0</v>
      </c>
      <c r="BT472" s="312">
        <v>1</v>
      </c>
      <c r="BU472" s="312">
        <v>0</v>
      </c>
      <c r="BV472" s="312">
        <v>6</v>
      </c>
      <c r="BW472" s="312">
        <v>104</v>
      </c>
      <c r="BX472" s="312">
        <v>77</v>
      </c>
      <c r="BY472" s="312">
        <v>27</v>
      </c>
      <c r="BZ472" s="312">
        <v>23</v>
      </c>
      <c r="CA472" s="1057">
        <v>1.28</v>
      </c>
      <c r="CC472" s="999">
        <v>4</v>
      </c>
      <c r="CD472" s="319" t="s">
        <v>2148</v>
      </c>
      <c r="CE472" s="319" t="s">
        <v>0</v>
      </c>
      <c r="CF472" s="312">
        <v>18</v>
      </c>
      <c r="CG472" s="312">
        <v>9</v>
      </c>
      <c r="CH472" s="312">
        <v>5</v>
      </c>
      <c r="CI472" s="312">
        <v>14</v>
      </c>
      <c r="CJ472" s="312">
        <v>0</v>
      </c>
      <c r="CK472" s="312">
        <v>0</v>
      </c>
      <c r="CL472" s="312">
        <v>0</v>
      </c>
      <c r="CM472" s="312">
        <v>0</v>
      </c>
      <c r="CN472" s="1000">
        <v>0</v>
      </c>
    </row>
    <row r="473" spans="2:103" x14ac:dyDescent="0.3">
      <c r="B473" s="1280">
        <v>272</v>
      </c>
      <c r="C473" s="977" t="s">
        <v>2152</v>
      </c>
      <c r="D473" s="977" t="s">
        <v>2116</v>
      </c>
      <c r="E473" s="977" t="s">
        <v>1540</v>
      </c>
      <c r="F473" s="978" t="s">
        <v>2158</v>
      </c>
      <c r="G473" s="977" t="s">
        <v>2174</v>
      </c>
      <c r="H473" s="991" t="str">
        <f t="shared" si="209"/>
        <v>Häviö</v>
      </c>
      <c r="I473" s="991" t="s">
        <v>1515</v>
      </c>
      <c r="J473" s="991" t="s">
        <v>0</v>
      </c>
      <c r="K473" s="991" t="s">
        <v>2177</v>
      </c>
      <c r="L473" s="992">
        <v>3</v>
      </c>
      <c r="M473" s="992">
        <v>4</v>
      </c>
      <c r="N473" s="1262">
        <v>2</v>
      </c>
      <c r="O473" s="992">
        <v>2</v>
      </c>
      <c r="P473" s="1262">
        <v>1</v>
      </c>
      <c r="Q473" s="992">
        <v>2</v>
      </c>
      <c r="R473" s="1262">
        <v>0</v>
      </c>
      <c r="S473" s="992">
        <v>0</v>
      </c>
      <c r="T473" s="1262"/>
      <c r="U473" s="992"/>
      <c r="V473" s="985">
        <v>2</v>
      </c>
      <c r="W473" s="985">
        <v>4</v>
      </c>
      <c r="X473" s="985">
        <v>2</v>
      </c>
      <c r="Y473" s="987"/>
      <c r="Z473" s="987"/>
      <c r="AA473" s="987"/>
      <c r="AB473" s="987"/>
      <c r="AC473" s="987"/>
      <c r="AD473" s="987"/>
      <c r="AE473" s="987"/>
      <c r="AF473" s="987"/>
      <c r="AG473" s="987"/>
      <c r="AH473" s="987"/>
      <c r="AI473" s="987"/>
      <c r="AJ473" s="987"/>
      <c r="AK473" s="985">
        <v>22</v>
      </c>
      <c r="AL473" s="985">
        <v>12.56</v>
      </c>
      <c r="AM473" s="985"/>
      <c r="AO473" s="983">
        <v>0</v>
      </c>
      <c r="AP473" s="983">
        <v>0</v>
      </c>
      <c r="AQ473" s="976"/>
      <c r="AR473" s="976"/>
      <c r="AS473" s="976"/>
      <c r="AT473" s="976"/>
      <c r="AU473" s="983"/>
      <c r="AV473" s="983"/>
      <c r="AW473" s="983"/>
      <c r="AX473" s="983"/>
      <c r="AY473" s="983"/>
      <c r="AZ473" s="976"/>
      <c r="BA473" s="976"/>
      <c r="BB473" s="976"/>
      <c r="BC473" s="976"/>
      <c r="BD473" s="983">
        <v>13</v>
      </c>
      <c r="BE473" s="983">
        <v>4.37</v>
      </c>
      <c r="BF473" s="983"/>
      <c r="BH473" s="1002">
        <f t="shared" si="210"/>
        <v>0</v>
      </c>
      <c r="BI473" s="1002">
        <f t="shared" si="211"/>
        <v>1</v>
      </c>
      <c r="BJ473" s="1002">
        <f t="shared" si="212"/>
        <v>0</v>
      </c>
      <c r="BK473" s="1002">
        <f t="shared" si="213"/>
        <v>0</v>
      </c>
      <c r="BL473" s="1002">
        <f t="shared" si="214"/>
        <v>1</v>
      </c>
      <c r="BN473" s="999">
        <v>5</v>
      </c>
      <c r="BO473" s="312"/>
      <c r="BP473" s="319" t="s">
        <v>996</v>
      </c>
      <c r="BQ473" s="312">
        <v>18</v>
      </c>
      <c r="BR473" s="312">
        <v>7</v>
      </c>
      <c r="BS473" s="312">
        <v>0</v>
      </c>
      <c r="BT473" s="312">
        <v>4</v>
      </c>
      <c r="BU473" s="312">
        <v>0</v>
      </c>
      <c r="BV473" s="312">
        <v>7</v>
      </c>
      <c r="BW473" s="312">
        <v>92</v>
      </c>
      <c r="BX473" s="312">
        <v>86</v>
      </c>
      <c r="BY473" s="312">
        <v>6</v>
      </c>
      <c r="BZ473" s="312">
        <v>18</v>
      </c>
      <c r="CA473" s="1000">
        <v>1</v>
      </c>
      <c r="CC473" s="999">
        <v>5</v>
      </c>
      <c r="CD473" s="319" t="s">
        <v>1124</v>
      </c>
      <c r="CE473" s="319" t="s">
        <v>0</v>
      </c>
      <c r="CF473" s="312">
        <v>18</v>
      </c>
      <c r="CG473" s="312">
        <v>7</v>
      </c>
      <c r="CH473" s="312">
        <v>5</v>
      </c>
      <c r="CI473" s="312">
        <v>12</v>
      </c>
      <c r="CJ473" s="312">
        <v>0</v>
      </c>
      <c r="CK473" s="312">
        <v>0</v>
      </c>
      <c r="CL473" s="312">
        <v>0</v>
      </c>
      <c r="CM473" s="312">
        <v>0</v>
      </c>
      <c r="CN473" s="1000">
        <v>0</v>
      </c>
    </row>
    <row r="474" spans="2:103" x14ac:dyDescent="0.3">
      <c r="B474" s="1280">
        <v>273</v>
      </c>
      <c r="C474" s="977" t="s">
        <v>2152</v>
      </c>
      <c r="D474" s="977" t="s">
        <v>2116</v>
      </c>
      <c r="E474" s="977" t="s">
        <v>1541</v>
      </c>
      <c r="F474" s="978" t="s">
        <v>2159</v>
      </c>
      <c r="G474" s="977" t="s">
        <v>2174</v>
      </c>
      <c r="H474" s="991" t="str">
        <f t="shared" si="209"/>
        <v>Voitto</v>
      </c>
      <c r="I474" s="991" t="s">
        <v>1514</v>
      </c>
      <c r="J474" s="991" t="s">
        <v>0</v>
      </c>
      <c r="K474" s="991" t="s">
        <v>2178</v>
      </c>
      <c r="L474" s="992">
        <v>12</v>
      </c>
      <c r="M474" s="992">
        <v>0</v>
      </c>
      <c r="N474" s="1262">
        <v>6</v>
      </c>
      <c r="O474" s="992">
        <v>0</v>
      </c>
      <c r="P474" s="1262">
        <v>4</v>
      </c>
      <c r="Q474" s="992">
        <v>0</v>
      </c>
      <c r="R474" s="1262">
        <v>2</v>
      </c>
      <c r="S474" s="992">
        <v>0</v>
      </c>
      <c r="T474" s="1262"/>
      <c r="U474" s="992"/>
      <c r="V474" s="985">
        <v>0</v>
      </c>
      <c r="W474" s="985">
        <v>0</v>
      </c>
      <c r="X474" s="987"/>
      <c r="Y474" s="987"/>
      <c r="Z474" s="987"/>
      <c r="AA474" s="987"/>
      <c r="AB474" s="987"/>
      <c r="AC474" s="987"/>
      <c r="AD474" s="987"/>
      <c r="AE474" s="987"/>
      <c r="AF474" s="987"/>
      <c r="AG474" s="987"/>
      <c r="AH474" s="987"/>
      <c r="AI474" s="987"/>
      <c r="AJ474" s="987"/>
      <c r="AK474" s="985">
        <v>11</v>
      </c>
      <c r="AL474" s="985">
        <v>0.42</v>
      </c>
      <c r="AM474" s="985"/>
      <c r="AO474" s="983">
        <v>0</v>
      </c>
      <c r="AP474" s="983">
        <v>0</v>
      </c>
      <c r="AQ474" s="983"/>
      <c r="AR474" s="976"/>
      <c r="AS474" s="976"/>
      <c r="AT474" s="976"/>
      <c r="AU474" s="983"/>
      <c r="AV474" s="983"/>
      <c r="AW474" s="983"/>
      <c r="AX474" s="983"/>
      <c r="AY474" s="983"/>
      <c r="AZ474" s="976"/>
      <c r="BA474" s="976"/>
      <c r="BB474" s="976"/>
      <c r="BC474" s="976"/>
      <c r="BD474" s="983">
        <v>19</v>
      </c>
      <c r="BE474" s="983"/>
      <c r="BF474" s="983"/>
      <c r="BH474" s="1002">
        <f t="shared" si="210"/>
        <v>1</v>
      </c>
      <c r="BI474" s="1002">
        <f t="shared" si="211"/>
        <v>1</v>
      </c>
      <c r="BJ474" s="1002">
        <f t="shared" si="212"/>
        <v>1</v>
      </c>
      <c r="BK474" s="1002">
        <f t="shared" si="213"/>
        <v>0</v>
      </c>
      <c r="BL474" s="1002">
        <f t="shared" si="214"/>
        <v>0</v>
      </c>
      <c r="BN474" s="999">
        <v>6</v>
      </c>
      <c r="BO474" s="312"/>
      <c r="BP474" s="319" t="s">
        <v>2176</v>
      </c>
      <c r="BQ474" s="312">
        <v>18</v>
      </c>
      <c r="BR474" s="312">
        <v>7</v>
      </c>
      <c r="BS474" s="312">
        <v>0</v>
      </c>
      <c r="BT474" s="312">
        <v>1</v>
      </c>
      <c r="BU474" s="312">
        <v>0</v>
      </c>
      <c r="BV474" s="312">
        <v>10</v>
      </c>
      <c r="BW474" s="312">
        <v>84</v>
      </c>
      <c r="BX474" s="312">
        <v>121</v>
      </c>
      <c r="BY474" s="312">
        <v>-37</v>
      </c>
      <c r="BZ474" s="312">
        <v>15</v>
      </c>
      <c r="CA474" s="1000">
        <v>0.83</v>
      </c>
      <c r="CC474" s="999">
        <v>6</v>
      </c>
      <c r="CD474" s="319" t="s">
        <v>1379</v>
      </c>
      <c r="CE474" s="319" t="s">
        <v>0</v>
      </c>
      <c r="CF474" s="312">
        <v>18</v>
      </c>
      <c r="CG474" s="312">
        <v>6</v>
      </c>
      <c r="CH474" s="312">
        <v>6</v>
      </c>
      <c r="CI474" s="312">
        <v>12</v>
      </c>
      <c r="CJ474" s="312">
        <v>0</v>
      </c>
      <c r="CK474" s="312">
        <v>0</v>
      </c>
      <c r="CL474" s="312">
        <v>0</v>
      </c>
      <c r="CM474" s="312">
        <v>1</v>
      </c>
      <c r="CN474" s="1000">
        <v>0</v>
      </c>
    </row>
    <row r="475" spans="2:103" x14ac:dyDescent="0.3">
      <c r="B475" s="1280">
        <v>274</v>
      </c>
      <c r="C475" s="977" t="s">
        <v>2152</v>
      </c>
      <c r="D475" s="977" t="s">
        <v>2116</v>
      </c>
      <c r="E475" s="977" t="s">
        <v>1542</v>
      </c>
      <c r="F475" s="978" t="s">
        <v>2160</v>
      </c>
      <c r="G475" s="977" t="s">
        <v>796</v>
      </c>
      <c r="H475" s="991" t="str">
        <f t="shared" si="209"/>
        <v>Voitto</v>
      </c>
      <c r="I475" s="991" t="s">
        <v>1515</v>
      </c>
      <c r="J475" s="991" t="s">
        <v>0</v>
      </c>
      <c r="K475" s="991" t="s">
        <v>2179</v>
      </c>
      <c r="L475" s="992">
        <v>7</v>
      </c>
      <c r="M475" s="992">
        <v>3</v>
      </c>
      <c r="N475" s="1262">
        <v>1</v>
      </c>
      <c r="O475" s="992">
        <v>1</v>
      </c>
      <c r="P475" s="1262">
        <v>3</v>
      </c>
      <c r="Q475" s="992">
        <v>0</v>
      </c>
      <c r="R475" s="1262">
        <v>3</v>
      </c>
      <c r="S475" s="992">
        <v>2</v>
      </c>
      <c r="T475" s="1262"/>
      <c r="U475" s="992"/>
      <c r="V475" s="985">
        <v>0</v>
      </c>
      <c r="W475" s="985">
        <v>0</v>
      </c>
      <c r="X475" s="985"/>
      <c r="Y475" s="987"/>
      <c r="Z475" s="987"/>
      <c r="AA475" s="987"/>
      <c r="AB475" s="985"/>
      <c r="AC475" s="987"/>
      <c r="AD475" s="987"/>
      <c r="AE475" s="987"/>
      <c r="AF475" s="987"/>
      <c r="AG475" s="987"/>
      <c r="AH475" s="987"/>
      <c r="AI475" s="987"/>
      <c r="AJ475" s="987"/>
      <c r="AK475" s="985">
        <v>24</v>
      </c>
      <c r="AL475" s="986">
        <v>12.11</v>
      </c>
      <c r="AM475" s="986"/>
      <c r="AO475" s="983">
        <v>0</v>
      </c>
      <c r="AP475" s="983">
        <v>0</v>
      </c>
      <c r="AQ475" s="983"/>
      <c r="AR475" s="976"/>
      <c r="AS475" s="976"/>
      <c r="AT475" s="976"/>
      <c r="AU475" s="983"/>
      <c r="AV475" s="983"/>
      <c r="AW475" s="983">
        <v>0</v>
      </c>
      <c r="AX475" s="983">
        <v>1</v>
      </c>
      <c r="AY475" s="983"/>
      <c r="AZ475" s="976"/>
      <c r="BA475" s="976"/>
      <c r="BB475" s="976"/>
      <c r="BC475" s="976"/>
      <c r="BD475" s="983">
        <v>20</v>
      </c>
      <c r="BE475" s="983">
        <v>1.07</v>
      </c>
      <c r="BF475" s="983"/>
      <c r="BH475" s="1002">
        <f t="shared" si="210"/>
        <v>1</v>
      </c>
      <c r="BI475" s="1002">
        <f t="shared" si="211"/>
        <v>1</v>
      </c>
      <c r="BJ475" s="1002">
        <f t="shared" si="212"/>
        <v>1</v>
      </c>
      <c r="BK475" s="1002">
        <f t="shared" si="213"/>
        <v>0</v>
      </c>
      <c r="BL475" s="1002">
        <f t="shared" si="214"/>
        <v>0</v>
      </c>
      <c r="BN475" s="999">
        <v>7</v>
      </c>
      <c r="BO475" s="312"/>
      <c r="BP475" s="319" t="s">
        <v>2179</v>
      </c>
      <c r="BQ475" s="312">
        <v>18</v>
      </c>
      <c r="BR475" s="312">
        <v>6</v>
      </c>
      <c r="BS475" s="312">
        <v>0</v>
      </c>
      <c r="BT475" s="312">
        <v>2</v>
      </c>
      <c r="BU475" s="312">
        <v>0</v>
      </c>
      <c r="BV475" s="312">
        <v>10</v>
      </c>
      <c r="BW475" s="312">
        <v>84</v>
      </c>
      <c r="BX475" s="312">
        <v>110</v>
      </c>
      <c r="BY475" s="312">
        <v>-26</v>
      </c>
      <c r="BZ475" s="312">
        <v>14</v>
      </c>
      <c r="CA475" s="1000">
        <v>0.78</v>
      </c>
      <c r="CC475" s="999">
        <v>7</v>
      </c>
      <c r="CD475" s="319" t="s">
        <v>1459</v>
      </c>
      <c r="CE475" s="319" t="s">
        <v>0</v>
      </c>
      <c r="CF475" s="312">
        <v>14</v>
      </c>
      <c r="CG475" s="312">
        <v>5</v>
      </c>
      <c r="CH475" s="312">
        <v>4</v>
      </c>
      <c r="CI475" s="312">
        <v>9</v>
      </c>
      <c r="CJ475" s="312">
        <v>0</v>
      </c>
      <c r="CK475" s="312">
        <v>0</v>
      </c>
      <c r="CL475" s="312">
        <v>0</v>
      </c>
      <c r="CM475" s="312">
        <v>0</v>
      </c>
      <c r="CN475" s="1000">
        <v>0</v>
      </c>
    </row>
    <row r="476" spans="2:103" x14ac:dyDescent="0.3">
      <c r="B476" s="1280">
        <v>275</v>
      </c>
      <c r="C476" s="977" t="s">
        <v>2152</v>
      </c>
      <c r="D476" s="977" t="s">
        <v>2116</v>
      </c>
      <c r="E476" s="977" t="s">
        <v>1543</v>
      </c>
      <c r="F476" s="977" t="s">
        <v>2161</v>
      </c>
      <c r="G476" s="977" t="s">
        <v>796</v>
      </c>
      <c r="H476" s="991" t="str">
        <f t="shared" si="209"/>
        <v>Voitto</v>
      </c>
      <c r="I476" s="991" t="s">
        <v>1514</v>
      </c>
      <c r="J476" s="991" t="s">
        <v>0</v>
      </c>
      <c r="K476" s="991" t="s">
        <v>996</v>
      </c>
      <c r="L476" s="992">
        <v>4</v>
      </c>
      <c r="M476" s="992">
        <v>3</v>
      </c>
      <c r="N476" s="1262">
        <v>1</v>
      </c>
      <c r="O476" s="992">
        <v>0</v>
      </c>
      <c r="P476" s="1262">
        <v>1</v>
      </c>
      <c r="Q476" s="992">
        <v>3</v>
      </c>
      <c r="R476" s="1262">
        <v>2</v>
      </c>
      <c r="S476" s="992">
        <v>0</v>
      </c>
      <c r="T476" s="1262"/>
      <c r="U476" s="992"/>
      <c r="V476" s="985">
        <v>2</v>
      </c>
      <c r="W476" s="985">
        <v>4</v>
      </c>
      <c r="X476" s="985">
        <v>2</v>
      </c>
      <c r="Y476" s="985"/>
      <c r="Z476" s="985"/>
      <c r="AA476" s="985"/>
      <c r="AB476" s="985"/>
      <c r="AC476" s="985"/>
      <c r="AD476" s="985"/>
      <c r="AE476" s="985"/>
      <c r="AF476" s="985"/>
      <c r="AG476" s="985"/>
      <c r="AH476" s="985"/>
      <c r="AI476" s="985"/>
      <c r="AJ476" s="985"/>
      <c r="AK476" s="985">
        <v>12</v>
      </c>
      <c r="AL476" s="985">
        <v>10.27</v>
      </c>
      <c r="AM476" s="985"/>
      <c r="AN476" s="8"/>
      <c r="AO476" s="983">
        <v>1</v>
      </c>
      <c r="AP476" s="983">
        <v>2</v>
      </c>
      <c r="AQ476" s="983">
        <v>1</v>
      </c>
      <c r="AR476" s="983"/>
      <c r="AS476" s="983"/>
      <c r="AT476" s="983"/>
      <c r="AU476" s="983">
        <v>1</v>
      </c>
      <c r="AV476" s="983"/>
      <c r="AW476" s="983"/>
      <c r="AX476" s="983"/>
      <c r="AY476" s="983"/>
      <c r="AZ476" s="983"/>
      <c r="BA476" s="983"/>
      <c r="BB476" s="983"/>
      <c r="BC476" s="983"/>
      <c r="BD476" s="983">
        <v>14</v>
      </c>
      <c r="BE476" s="983">
        <v>17.29</v>
      </c>
      <c r="BF476" s="983"/>
      <c r="BH476" s="1002">
        <f t="shared" si="210"/>
        <v>0</v>
      </c>
      <c r="BI476" s="1002">
        <f t="shared" si="211"/>
        <v>0</v>
      </c>
      <c r="BJ476" s="1002">
        <f t="shared" si="212"/>
        <v>0</v>
      </c>
      <c r="BK476" s="1002">
        <f t="shared" si="213"/>
        <v>0</v>
      </c>
      <c r="BL476" s="1002">
        <f t="shared" si="214"/>
        <v>0</v>
      </c>
      <c r="BN476" s="999">
        <v>8</v>
      </c>
      <c r="BO476" s="312"/>
      <c r="BP476" s="317" t="s">
        <v>0</v>
      </c>
      <c r="BQ476" s="312">
        <v>18</v>
      </c>
      <c r="BR476" s="312">
        <v>5</v>
      </c>
      <c r="BS476" s="312">
        <v>0</v>
      </c>
      <c r="BT476" s="312">
        <v>3</v>
      </c>
      <c r="BU476" s="312">
        <v>0</v>
      </c>
      <c r="BV476" s="312">
        <v>10</v>
      </c>
      <c r="BW476" s="312">
        <v>74</v>
      </c>
      <c r="BX476" s="312">
        <v>99</v>
      </c>
      <c r="BY476" s="312">
        <v>-25</v>
      </c>
      <c r="BZ476" s="312">
        <v>13</v>
      </c>
      <c r="CA476" s="1000">
        <v>0.72</v>
      </c>
      <c r="CC476" s="999">
        <v>8</v>
      </c>
      <c r="CD476" s="319" t="s">
        <v>2181</v>
      </c>
      <c r="CE476" s="319" t="s">
        <v>0</v>
      </c>
      <c r="CF476" s="312">
        <v>9</v>
      </c>
      <c r="CG476" s="312">
        <v>2</v>
      </c>
      <c r="CH476" s="312">
        <v>3</v>
      </c>
      <c r="CI476" s="312">
        <v>5</v>
      </c>
      <c r="CJ476" s="312">
        <v>0</v>
      </c>
      <c r="CK476" s="312">
        <v>0</v>
      </c>
      <c r="CL476" s="312">
        <v>0</v>
      </c>
      <c r="CM476" s="312">
        <v>0</v>
      </c>
      <c r="CN476" s="1000">
        <v>0</v>
      </c>
    </row>
    <row r="477" spans="2:103" x14ac:dyDescent="0.3">
      <c r="B477" s="1280">
        <v>276</v>
      </c>
      <c r="C477" s="977" t="s">
        <v>2152</v>
      </c>
      <c r="D477" s="977" t="s">
        <v>2116</v>
      </c>
      <c r="E477" s="977" t="s">
        <v>1544</v>
      </c>
      <c r="F477" s="977" t="s">
        <v>2163</v>
      </c>
      <c r="G477" s="977" t="s">
        <v>150</v>
      </c>
      <c r="H477" s="991" t="str">
        <f t="shared" si="209"/>
        <v>Häviö</v>
      </c>
      <c r="I477" s="991" t="s">
        <v>1514</v>
      </c>
      <c r="J477" s="991" t="s">
        <v>0</v>
      </c>
      <c r="K477" s="991" t="s">
        <v>1583</v>
      </c>
      <c r="L477" s="992">
        <v>1</v>
      </c>
      <c r="M477" s="992">
        <v>4</v>
      </c>
      <c r="N477" s="1262">
        <v>0</v>
      </c>
      <c r="O477" s="992">
        <v>0</v>
      </c>
      <c r="P477" s="1262">
        <v>1</v>
      </c>
      <c r="Q477" s="992">
        <v>3</v>
      </c>
      <c r="R477" s="1262">
        <v>0</v>
      </c>
      <c r="S477" s="992">
        <v>1</v>
      </c>
      <c r="T477" s="1262"/>
      <c r="U477" s="992"/>
      <c r="V477" s="985">
        <v>1</v>
      </c>
      <c r="W477" s="985">
        <v>2</v>
      </c>
      <c r="X477" s="985">
        <v>1</v>
      </c>
      <c r="Y477" s="985"/>
      <c r="Z477" s="985"/>
      <c r="AA477" s="985"/>
      <c r="AB477" s="985"/>
      <c r="AC477" s="985"/>
      <c r="AD477" s="985"/>
      <c r="AE477" s="985"/>
      <c r="AF477" s="985"/>
      <c r="AG477" s="985"/>
      <c r="AH477" s="985"/>
      <c r="AI477" s="985"/>
      <c r="AJ477" s="985"/>
      <c r="AK477" s="985">
        <v>14</v>
      </c>
      <c r="AL477" s="985">
        <v>28.03</v>
      </c>
      <c r="AM477" s="985"/>
      <c r="AN477" s="8"/>
      <c r="AO477" s="983">
        <v>1</v>
      </c>
      <c r="AP477" s="983">
        <v>2</v>
      </c>
      <c r="AQ477" s="983">
        <v>1</v>
      </c>
      <c r="AR477" s="983"/>
      <c r="AS477" s="983"/>
      <c r="AT477" s="983"/>
      <c r="AU477" s="983"/>
      <c r="AV477" s="983"/>
      <c r="AW477" s="983"/>
      <c r="AX477" s="983"/>
      <c r="AY477" s="983"/>
      <c r="AZ477" s="983"/>
      <c r="BA477" s="983"/>
      <c r="BB477" s="983">
        <v>1</v>
      </c>
      <c r="BC477" s="983"/>
      <c r="BD477" s="983">
        <v>8</v>
      </c>
      <c r="BE477" s="983">
        <v>19.21</v>
      </c>
      <c r="BF477" s="983"/>
      <c r="BH477" s="1002">
        <f t="shared" si="210"/>
        <v>0</v>
      </c>
      <c r="BI477" s="1002">
        <f t="shared" si="211"/>
        <v>0</v>
      </c>
      <c r="BJ477" s="1002">
        <f t="shared" si="212"/>
        <v>0</v>
      </c>
      <c r="BK477" s="1002">
        <f t="shared" si="213"/>
        <v>0</v>
      </c>
      <c r="BL477" s="1002">
        <f t="shared" si="214"/>
        <v>0</v>
      </c>
      <c r="BN477" s="999">
        <v>9</v>
      </c>
      <c r="BO477" s="312"/>
      <c r="BP477" s="319" t="s">
        <v>2175</v>
      </c>
      <c r="BQ477" s="312">
        <v>18</v>
      </c>
      <c r="BR477" s="312">
        <v>5</v>
      </c>
      <c r="BS477" s="312">
        <v>0</v>
      </c>
      <c r="BT477" s="312">
        <v>0</v>
      </c>
      <c r="BU477" s="312">
        <v>0</v>
      </c>
      <c r="BV477" s="312">
        <v>13</v>
      </c>
      <c r="BW477" s="312">
        <v>82</v>
      </c>
      <c r="BX477" s="312">
        <v>112</v>
      </c>
      <c r="BY477" s="312">
        <v>-30</v>
      </c>
      <c r="BZ477" s="312">
        <v>10</v>
      </c>
      <c r="CA477" s="1000">
        <v>0.56000000000000005</v>
      </c>
      <c r="CC477" s="999">
        <v>9</v>
      </c>
      <c r="CD477" s="319" t="s">
        <v>53</v>
      </c>
      <c r="CE477" s="319" t="s">
        <v>0</v>
      </c>
      <c r="CF477" s="312">
        <v>12</v>
      </c>
      <c r="CG477" s="312">
        <v>4</v>
      </c>
      <c r="CH477" s="312">
        <v>0</v>
      </c>
      <c r="CI477" s="312">
        <v>4</v>
      </c>
      <c r="CJ477" s="312">
        <v>0</v>
      </c>
      <c r="CK477" s="312">
        <v>0</v>
      </c>
      <c r="CL477" s="312">
        <v>0</v>
      </c>
      <c r="CM477" s="312">
        <v>0</v>
      </c>
      <c r="CN477" s="1000">
        <v>0</v>
      </c>
    </row>
    <row r="478" spans="2:103" x14ac:dyDescent="0.3">
      <c r="B478" s="1280">
        <v>277</v>
      </c>
      <c r="C478" s="977" t="s">
        <v>2152</v>
      </c>
      <c r="D478" s="977" t="s">
        <v>2116</v>
      </c>
      <c r="E478" s="977" t="s">
        <v>1545</v>
      </c>
      <c r="F478" s="977" t="s">
        <v>2164</v>
      </c>
      <c r="G478" s="977" t="s">
        <v>150</v>
      </c>
      <c r="H478" s="991" t="str">
        <f t="shared" si="209"/>
        <v>Häviö</v>
      </c>
      <c r="I478" s="991" t="s">
        <v>1515</v>
      </c>
      <c r="J478" s="991" t="s">
        <v>0</v>
      </c>
      <c r="K478" s="991" t="s">
        <v>2120</v>
      </c>
      <c r="L478" s="992">
        <v>1</v>
      </c>
      <c r="M478" s="992">
        <v>9</v>
      </c>
      <c r="N478" s="1262">
        <v>0</v>
      </c>
      <c r="O478" s="992">
        <v>2</v>
      </c>
      <c r="P478" s="1262">
        <v>0</v>
      </c>
      <c r="Q478" s="992">
        <v>3</v>
      </c>
      <c r="R478" s="1262">
        <v>1</v>
      </c>
      <c r="S478" s="992">
        <v>4</v>
      </c>
      <c r="T478" s="1262"/>
      <c r="U478" s="992"/>
      <c r="V478" s="985">
        <v>0</v>
      </c>
      <c r="W478" s="985">
        <v>0</v>
      </c>
      <c r="X478" s="985"/>
      <c r="Y478" s="985"/>
      <c r="Z478" s="985"/>
      <c r="AA478" s="985"/>
      <c r="AB478" s="985"/>
      <c r="AC478" s="985"/>
      <c r="AD478" s="985"/>
      <c r="AE478" s="985"/>
      <c r="AF478" s="985"/>
      <c r="AG478" s="985"/>
      <c r="AH478" s="985"/>
      <c r="AI478" s="985"/>
      <c r="AJ478" s="985"/>
      <c r="AK478" s="985">
        <v>27</v>
      </c>
      <c r="AL478" s="985">
        <v>31.53</v>
      </c>
      <c r="AM478" s="985"/>
      <c r="AN478" s="8"/>
      <c r="AO478" s="983">
        <v>1</v>
      </c>
      <c r="AP478" s="983">
        <v>2</v>
      </c>
      <c r="AQ478" s="983">
        <v>1</v>
      </c>
      <c r="AR478" s="983"/>
      <c r="AS478" s="983"/>
      <c r="AT478" s="983"/>
      <c r="AU478" s="983"/>
      <c r="AV478" s="983"/>
      <c r="AW478" s="983"/>
      <c r="AX478" s="983"/>
      <c r="AY478" s="983"/>
      <c r="AZ478" s="983"/>
      <c r="BA478" s="983"/>
      <c r="BB478" s="983"/>
      <c r="BC478" s="983"/>
      <c r="BD478" s="983">
        <v>11</v>
      </c>
      <c r="BE478" s="983">
        <v>3.55</v>
      </c>
      <c r="BF478" s="983"/>
      <c r="BH478" s="1002">
        <f t="shared" si="210"/>
        <v>1</v>
      </c>
      <c r="BI478" s="1002">
        <f t="shared" si="211"/>
        <v>0</v>
      </c>
      <c r="BJ478" s="1002">
        <f t="shared" si="212"/>
        <v>0</v>
      </c>
      <c r="BK478" s="1002">
        <f t="shared" si="213"/>
        <v>1</v>
      </c>
      <c r="BL478" s="1002">
        <f t="shared" si="214"/>
        <v>0</v>
      </c>
      <c r="BN478" s="998">
        <v>10</v>
      </c>
      <c r="BO478" s="435"/>
      <c r="BP478" s="335" t="s">
        <v>2178</v>
      </c>
      <c r="BQ478" s="435">
        <v>18</v>
      </c>
      <c r="BR478" s="435">
        <v>2</v>
      </c>
      <c r="BS478" s="435">
        <v>0</v>
      </c>
      <c r="BT478" s="435">
        <v>1</v>
      </c>
      <c r="BU478" s="435">
        <v>0</v>
      </c>
      <c r="BV478" s="435">
        <v>15</v>
      </c>
      <c r="BW478" s="435">
        <v>63</v>
      </c>
      <c r="BX478" s="435">
        <v>132</v>
      </c>
      <c r="BY478" s="435">
        <v>-69</v>
      </c>
      <c r="BZ478" s="435">
        <v>5</v>
      </c>
      <c r="CA478" s="664">
        <v>0.28000000000000003</v>
      </c>
      <c r="CC478" s="999">
        <v>10</v>
      </c>
      <c r="CD478" s="319" t="s">
        <v>2182</v>
      </c>
      <c r="CE478" s="319" t="s">
        <v>0</v>
      </c>
      <c r="CF478" s="312">
        <v>6</v>
      </c>
      <c r="CG478" s="312">
        <v>4</v>
      </c>
      <c r="CH478" s="312">
        <v>0</v>
      </c>
      <c r="CI478" s="312">
        <v>4</v>
      </c>
      <c r="CJ478" s="312">
        <v>0</v>
      </c>
      <c r="CK478" s="312">
        <v>0</v>
      </c>
      <c r="CL478" s="312">
        <v>0</v>
      </c>
      <c r="CM478" s="312">
        <v>0</v>
      </c>
      <c r="CN478" s="1000">
        <v>0</v>
      </c>
    </row>
    <row r="479" spans="2:103" x14ac:dyDescent="0.3">
      <c r="B479" s="1280">
        <v>278</v>
      </c>
      <c r="C479" s="977" t="s">
        <v>2152</v>
      </c>
      <c r="D479" s="977" t="s">
        <v>2116</v>
      </c>
      <c r="E479" s="977" t="s">
        <v>1546</v>
      </c>
      <c r="F479" s="977" t="s">
        <v>2162</v>
      </c>
      <c r="G479" s="977" t="s">
        <v>150</v>
      </c>
      <c r="H479" s="991" t="str">
        <f t="shared" si="209"/>
        <v>Häviö</v>
      </c>
      <c r="I479" s="991" t="s">
        <v>1515</v>
      </c>
      <c r="J479" s="991" t="s">
        <v>0</v>
      </c>
      <c r="K479" s="991" t="s">
        <v>1220</v>
      </c>
      <c r="L479" s="992">
        <v>4</v>
      </c>
      <c r="M479" s="992">
        <v>7</v>
      </c>
      <c r="N479" s="1262">
        <v>1</v>
      </c>
      <c r="O479" s="992">
        <v>2</v>
      </c>
      <c r="P479" s="1262">
        <v>1</v>
      </c>
      <c r="Q479" s="992">
        <v>3</v>
      </c>
      <c r="R479" s="1262">
        <v>2</v>
      </c>
      <c r="S479" s="992">
        <v>2</v>
      </c>
      <c r="T479" s="1262"/>
      <c r="U479" s="992"/>
      <c r="V479" s="985">
        <v>1</v>
      </c>
      <c r="W479" s="985">
        <v>2</v>
      </c>
      <c r="X479" s="985">
        <v>1</v>
      </c>
      <c r="Y479" s="985"/>
      <c r="Z479" s="985"/>
      <c r="AA479" s="985"/>
      <c r="AB479" s="985"/>
      <c r="AC479" s="985"/>
      <c r="AD479" s="985"/>
      <c r="AE479" s="985"/>
      <c r="AF479" s="985">
        <v>1</v>
      </c>
      <c r="AG479" s="985"/>
      <c r="AH479" s="985"/>
      <c r="AI479" s="985"/>
      <c r="AJ479" s="985"/>
      <c r="AK479" s="985">
        <v>31</v>
      </c>
      <c r="AL479" s="985">
        <v>11.2</v>
      </c>
      <c r="AM479" s="985"/>
      <c r="AN479" s="8"/>
      <c r="AO479" s="983">
        <v>0</v>
      </c>
      <c r="AP479" s="983">
        <v>0</v>
      </c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983"/>
      <c r="BB479" s="983">
        <v>1</v>
      </c>
      <c r="BC479" s="983"/>
      <c r="BD479" s="983">
        <v>22</v>
      </c>
      <c r="BE479" s="983">
        <v>2.04</v>
      </c>
      <c r="BF479" s="983"/>
      <c r="BH479" s="1002">
        <f t="shared" si="210"/>
        <v>0</v>
      </c>
      <c r="BI479" s="1002">
        <f t="shared" si="211"/>
        <v>1</v>
      </c>
      <c r="BJ479" s="1002">
        <f t="shared" si="212"/>
        <v>0</v>
      </c>
      <c r="BK479" s="1002">
        <f t="shared" si="213"/>
        <v>0</v>
      </c>
      <c r="BL479" s="1002">
        <f t="shared" si="214"/>
        <v>1</v>
      </c>
      <c r="CC479" s="999">
        <v>11</v>
      </c>
      <c r="CD479" s="319" t="s">
        <v>1944</v>
      </c>
      <c r="CE479" s="319" t="s">
        <v>0</v>
      </c>
      <c r="CF479" s="312">
        <v>4</v>
      </c>
      <c r="CG479" s="312">
        <v>1</v>
      </c>
      <c r="CH479" s="312">
        <v>2</v>
      </c>
      <c r="CI479" s="312">
        <v>3</v>
      </c>
      <c r="CJ479" s="312">
        <v>0</v>
      </c>
      <c r="CK479" s="312">
        <v>0</v>
      </c>
      <c r="CL479" s="312">
        <v>0</v>
      </c>
      <c r="CM479" s="312">
        <v>0</v>
      </c>
      <c r="CN479" s="1000">
        <v>0</v>
      </c>
    </row>
    <row r="480" spans="2:103" x14ac:dyDescent="0.3">
      <c r="B480" s="1280">
        <v>279</v>
      </c>
      <c r="C480" s="977" t="s">
        <v>2152</v>
      </c>
      <c r="D480" s="977" t="s">
        <v>2116</v>
      </c>
      <c r="E480" s="977" t="s">
        <v>1547</v>
      </c>
      <c r="F480" s="977" t="s">
        <v>2165</v>
      </c>
      <c r="G480" s="977" t="s">
        <v>150</v>
      </c>
      <c r="H480" s="991" t="str">
        <f t="shared" si="209"/>
        <v>Tasapeli</v>
      </c>
      <c r="I480" s="991" t="s">
        <v>1515</v>
      </c>
      <c r="J480" s="991" t="s">
        <v>0</v>
      </c>
      <c r="K480" s="991" t="s">
        <v>996</v>
      </c>
      <c r="L480" s="992">
        <v>4</v>
      </c>
      <c r="M480" s="992">
        <v>4</v>
      </c>
      <c r="N480" s="1262">
        <v>1</v>
      </c>
      <c r="O480" s="992">
        <v>2</v>
      </c>
      <c r="P480" s="1262">
        <v>1</v>
      </c>
      <c r="Q480" s="992">
        <v>1</v>
      </c>
      <c r="R480" s="1262">
        <v>2</v>
      </c>
      <c r="S480" s="992">
        <v>1</v>
      </c>
      <c r="T480" s="1262"/>
      <c r="U480" s="992"/>
      <c r="V480" s="985">
        <v>0</v>
      </c>
      <c r="W480" s="985">
        <v>0</v>
      </c>
      <c r="X480" s="985"/>
      <c r="Y480" s="985"/>
      <c r="Z480" s="985"/>
      <c r="AA480" s="985"/>
      <c r="AB480" s="985"/>
      <c r="AC480" s="985"/>
      <c r="AD480" s="985">
        <v>0</v>
      </c>
      <c r="AE480" s="985">
        <v>1</v>
      </c>
      <c r="AF480" s="985"/>
      <c r="AG480" s="985"/>
      <c r="AH480" s="985"/>
      <c r="AI480" s="985"/>
      <c r="AJ480" s="985"/>
      <c r="AK480" s="985">
        <v>21</v>
      </c>
      <c r="AL480" s="985">
        <v>14.31</v>
      </c>
      <c r="AM480" s="985"/>
      <c r="AN480" s="8"/>
      <c r="AO480" s="983">
        <v>0</v>
      </c>
      <c r="AP480" s="983">
        <v>0</v>
      </c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983"/>
      <c r="BB480" s="983"/>
      <c r="BC480" s="983"/>
      <c r="BD480" s="983">
        <v>13</v>
      </c>
      <c r="BE480" s="983">
        <v>2.0299999999999998</v>
      </c>
      <c r="BF480" s="983"/>
      <c r="BH480" s="1002">
        <f t="shared" si="210"/>
        <v>1</v>
      </c>
      <c r="BI480" s="1002">
        <f t="shared" si="211"/>
        <v>1</v>
      </c>
      <c r="BJ480" s="1002">
        <f t="shared" si="212"/>
        <v>1</v>
      </c>
      <c r="BK480" s="1002">
        <f t="shared" si="213"/>
        <v>0</v>
      </c>
      <c r="BL480" s="1002">
        <f t="shared" si="214"/>
        <v>0</v>
      </c>
      <c r="CC480" s="999">
        <v>12</v>
      </c>
      <c r="CD480" s="319" t="s">
        <v>2183</v>
      </c>
      <c r="CE480" s="319" t="s">
        <v>0</v>
      </c>
      <c r="CF480" s="312">
        <v>4</v>
      </c>
      <c r="CG480" s="312">
        <v>2</v>
      </c>
      <c r="CH480" s="312">
        <v>0</v>
      </c>
      <c r="CI480" s="312">
        <v>2</v>
      </c>
      <c r="CJ480" s="312">
        <v>0</v>
      </c>
      <c r="CK480" s="312">
        <v>0</v>
      </c>
      <c r="CL480" s="312">
        <v>0</v>
      </c>
      <c r="CM480" s="312">
        <v>1</v>
      </c>
      <c r="CN480" s="1000">
        <v>1</v>
      </c>
    </row>
    <row r="481" spans="2:92" x14ac:dyDescent="0.3">
      <c r="B481" s="1280">
        <v>280</v>
      </c>
      <c r="C481" s="977" t="s">
        <v>2152</v>
      </c>
      <c r="D481" s="977" t="s">
        <v>2116</v>
      </c>
      <c r="E481" s="977" t="s">
        <v>1548</v>
      </c>
      <c r="F481" s="977" t="s">
        <v>2166</v>
      </c>
      <c r="G481" s="977" t="s">
        <v>150</v>
      </c>
      <c r="H481" s="991" t="str">
        <f t="shared" si="209"/>
        <v>Voitto</v>
      </c>
      <c r="I481" s="991" t="s">
        <v>1515</v>
      </c>
      <c r="J481" s="991" t="s">
        <v>0</v>
      </c>
      <c r="K481" s="991" t="s">
        <v>2178</v>
      </c>
      <c r="L481" s="992">
        <v>6</v>
      </c>
      <c r="M481" s="992">
        <v>3</v>
      </c>
      <c r="N481" s="1262">
        <v>2</v>
      </c>
      <c r="O481" s="992">
        <v>2</v>
      </c>
      <c r="P481" s="1262">
        <v>1</v>
      </c>
      <c r="Q481" s="992">
        <v>0</v>
      </c>
      <c r="R481" s="1262">
        <v>3</v>
      </c>
      <c r="S481" s="992">
        <v>1</v>
      </c>
      <c r="T481" s="1262"/>
      <c r="U481" s="992"/>
      <c r="V481" s="985">
        <v>1</v>
      </c>
      <c r="W481" s="985">
        <v>2</v>
      </c>
      <c r="X481" s="985">
        <v>1</v>
      </c>
      <c r="Y481" s="985"/>
      <c r="Z481" s="985"/>
      <c r="AA481" s="985"/>
      <c r="AB481" s="985">
        <v>1</v>
      </c>
      <c r="AC481" s="985"/>
      <c r="AD481" s="985"/>
      <c r="AE481" s="985"/>
      <c r="AF481" s="985"/>
      <c r="AG481" s="985"/>
      <c r="AH481" s="985"/>
      <c r="AI481" s="985"/>
      <c r="AJ481" s="985"/>
      <c r="AK481" s="985">
        <v>16</v>
      </c>
      <c r="AL481" s="985">
        <v>1.35</v>
      </c>
      <c r="AM481" s="985"/>
      <c r="AN481" s="8"/>
      <c r="AO481" s="983">
        <v>2</v>
      </c>
      <c r="AP481" s="983">
        <v>4</v>
      </c>
      <c r="AQ481" s="983">
        <v>2</v>
      </c>
      <c r="AR481" s="983"/>
      <c r="AS481" s="983"/>
      <c r="AT481" s="983"/>
      <c r="AU481" s="983">
        <v>1</v>
      </c>
      <c r="AV481" s="983"/>
      <c r="AW481" s="983"/>
      <c r="AX481" s="983"/>
      <c r="AY481" s="983">
        <v>1</v>
      </c>
      <c r="AZ481" s="983"/>
      <c r="BA481" s="983"/>
      <c r="BB481" s="983"/>
      <c r="BC481" s="983">
        <v>1</v>
      </c>
      <c r="BD481" s="983">
        <v>18</v>
      </c>
      <c r="BE481" s="983">
        <v>6.32</v>
      </c>
      <c r="BF481" s="983"/>
      <c r="BH481" s="1002">
        <f t="shared" si="210"/>
        <v>0</v>
      </c>
      <c r="BI481" s="1002">
        <f t="shared" si="211"/>
        <v>0</v>
      </c>
      <c r="BJ481" s="1002">
        <f t="shared" si="212"/>
        <v>0</v>
      </c>
      <c r="BK481" s="1002">
        <f t="shared" si="213"/>
        <v>0</v>
      </c>
      <c r="BL481" s="1002">
        <f t="shared" si="214"/>
        <v>0</v>
      </c>
      <c r="CC481" s="999">
        <v>13</v>
      </c>
      <c r="CD481" s="319" t="s">
        <v>1591</v>
      </c>
      <c r="CE481" s="319" t="s">
        <v>0</v>
      </c>
      <c r="CF481" s="312">
        <v>14</v>
      </c>
      <c r="CG481" s="312">
        <v>0</v>
      </c>
      <c r="CH481" s="312">
        <v>2</v>
      </c>
      <c r="CI481" s="312">
        <v>2</v>
      </c>
      <c r="CJ481" s="312">
        <v>0</v>
      </c>
      <c r="CK481" s="312">
        <v>0</v>
      </c>
      <c r="CL481" s="312">
        <v>0</v>
      </c>
      <c r="CM481" s="312">
        <v>0</v>
      </c>
      <c r="CN481" s="1000">
        <v>0</v>
      </c>
    </row>
    <row r="482" spans="2:92" x14ac:dyDescent="0.3">
      <c r="B482" s="1280">
        <v>281</v>
      </c>
      <c r="C482" s="977" t="s">
        <v>2152</v>
      </c>
      <c r="D482" s="977" t="s">
        <v>2116</v>
      </c>
      <c r="E482" s="977" t="s">
        <v>1549</v>
      </c>
      <c r="F482" s="977" t="s">
        <v>2167</v>
      </c>
      <c r="G482" s="977" t="s">
        <v>150</v>
      </c>
      <c r="H482" s="991" t="str">
        <f t="shared" si="209"/>
        <v>Häviö</v>
      </c>
      <c r="I482" s="991" t="s">
        <v>1514</v>
      </c>
      <c r="J482" s="991" t="s">
        <v>0</v>
      </c>
      <c r="K482" s="991" t="s">
        <v>2177</v>
      </c>
      <c r="L482" s="992">
        <v>4</v>
      </c>
      <c r="M482" s="992">
        <v>10</v>
      </c>
      <c r="N482" s="1262">
        <v>0</v>
      </c>
      <c r="O482" s="992">
        <v>5</v>
      </c>
      <c r="P482" s="1262">
        <v>3</v>
      </c>
      <c r="Q482" s="992">
        <v>1</v>
      </c>
      <c r="R482" s="1262">
        <v>1</v>
      </c>
      <c r="S482" s="992">
        <v>4</v>
      </c>
      <c r="T482" s="1262"/>
      <c r="U482" s="992"/>
      <c r="V482" s="985">
        <v>2</v>
      </c>
      <c r="W482" s="985">
        <v>4</v>
      </c>
      <c r="X482" s="985">
        <v>2</v>
      </c>
      <c r="Y482" s="985"/>
      <c r="Z482" s="985"/>
      <c r="AA482" s="985"/>
      <c r="AB482" s="985"/>
      <c r="AC482" s="985"/>
      <c r="AD482" s="985"/>
      <c r="AE482" s="985"/>
      <c r="AF482" s="985"/>
      <c r="AG482" s="985"/>
      <c r="AH482" s="985"/>
      <c r="AI482" s="985"/>
      <c r="AJ482" s="985"/>
      <c r="AK482" s="985">
        <v>18</v>
      </c>
      <c r="AL482" s="985">
        <v>15.23</v>
      </c>
      <c r="AM482" s="985"/>
      <c r="AN482" s="8"/>
      <c r="AO482" s="983">
        <v>1</v>
      </c>
      <c r="AP482" s="983">
        <v>2</v>
      </c>
      <c r="AQ482" s="983">
        <v>1</v>
      </c>
      <c r="AR482" s="983"/>
      <c r="AS482" s="983"/>
      <c r="AT482" s="983"/>
      <c r="AU482" s="983">
        <v>1</v>
      </c>
      <c r="AV482" s="983"/>
      <c r="AW482" s="983">
        <v>1</v>
      </c>
      <c r="AX482" s="983">
        <v>1</v>
      </c>
      <c r="AY482" s="983"/>
      <c r="AZ482" s="983"/>
      <c r="BA482" s="983"/>
      <c r="BB482" s="983"/>
      <c r="BC482" s="983"/>
      <c r="BD482" s="983">
        <v>17</v>
      </c>
      <c r="BE482" s="983">
        <v>1.47</v>
      </c>
      <c r="BF482" s="983"/>
      <c r="BH482" s="1002">
        <f t="shared" si="210"/>
        <v>0</v>
      </c>
      <c r="BI482" s="1002">
        <f t="shared" si="211"/>
        <v>0</v>
      </c>
      <c r="BJ482" s="1002">
        <f t="shared" si="212"/>
        <v>0</v>
      </c>
      <c r="BK482" s="1002">
        <f t="shared" si="213"/>
        <v>0</v>
      </c>
      <c r="BL482" s="1002">
        <f t="shared" si="214"/>
        <v>0</v>
      </c>
      <c r="CC482" s="999">
        <v>14</v>
      </c>
      <c r="CD482" s="319" t="s">
        <v>2184</v>
      </c>
      <c r="CE482" s="319" t="s">
        <v>0</v>
      </c>
      <c r="CF482" s="312">
        <v>4</v>
      </c>
      <c r="CG482" s="312">
        <v>0</v>
      </c>
      <c r="CH482" s="312">
        <v>2</v>
      </c>
      <c r="CI482" s="312">
        <v>2</v>
      </c>
      <c r="CJ482" s="312">
        <v>0</v>
      </c>
      <c r="CK482" s="312">
        <v>0</v>
      </c>
      <c r="CL482" s="312">
        <v>0</v>
      </c>
      <c r="CM482" s="312">
        <v>0</v>
      </c>
      <c r="CN482" s="1000">
        <v>0</v>
      </c>
    </row>
    <row r="483" spans="2:92" x14ac:dyDescent="0.3">
      <c r="B483" s="1280">
        <v>282</v>
      </c>
      <c r="C483" s="977" t="s">
        <v>2152</v>
      </c>
      <c r="D483" s="977" t="s">
        <v>2116</v>
      </c>
      <c r="E483" s="977" t="s">
        <v>1550</v>
      </c>
      <c r="F483" s="977" t="s">
        <v>2168</v>
      </c>
      <c r="G483" s="977" t="s">
        <v>2173</v>
      </c>
      <c r="H483" s="991" t="str">
        <f t="shared" si="209"/>
        <v>Häviö</v>
      </c>
      <c r="I483" s="991" t="s">
        <v>1515</v>
      </c>
      <c r="J483" s="991" t="s">
        <v>0</v>
      </c>
      <c r="K483" s="991" t="s">
        <v>2175</v>
      </c>
      <c r="L483" s="992">
        <v>3</v>
      </c>
      <c r="M483" s="992">
        <v>4</v>
      </c>
      <c r="N483" s="1262">
        <v>1</v>
      </c>
      <c r="O483" s="992">
        <v>0</v>
      </c>
      <c r="P483" s="1262">
        <v>0</v>
      </c>
      <c r="Q483" s="992">
        <v>3</v>
      </c>
      <c r="R483" s="1262">
        <v>2</v>
      </c>
      <c r="S483" s="992">
        <v>1</v>
      </c>
      <c r="T483" s="1262"/>
      <c r="U483" s="992"/>
      <c r="V483" s="985">
        <v>2</v>
      </c>
      <c r="W483" s="985">
        <v>4</v>
      </c>
      <c r="X483" s="985">
        <v>2</v>
      </c>
      <c r="Y483" s="985"/>
      <c r="Z483" s="985"/>
      <c r="AA483" s="985"/>
      <c r="AB483" s="985"/>
      <c r="AC483" s="985"/>
      <c r="AD483" s="985"/>
      <c r="AE483" s="985"/>
      <c r="AF483" s="985"/>
      <c r="AG483" s="985"/>
      <c r="AH483" s="985"/>
      <c r="AI483" s="985"/>
      <c r="AJ483" s="985"/>
      <c r="AK483" s="985">
        <v>11</v>
      </c>
      <c r="AL483" s="985">
        <v>6.48</v>
      </c>
      <c r="AM483" s="985"/>
      <c r="AN483" s="8"/>
      <c r="AO483" s="983">
        <v>0</v>
      </c>
      <c r="AP483" s="983">
        <v>0</v>
      </c>
      <c r="AQ483" s="983"/>
      <c r="AR483" s="983"/>
      <c r="AS483" s="983"/>
      <c r="AT483" s="983"/>
      <c r="AU483" s="983"/>
      <c r="AV483" s="983"/>
      <c r="AW483" s="983">
        <v>1</v>
      </c>
      <c r="AX483" s="983">
        <v>1</v>
      </c>
      <c r="AY483" s="983"/>
      <c r="AZ483" s="983"/>
      <c r="BA483" s="983"/>
      <c r="BB483" s="983"/>
      <c r="BC483" s="983"/>
      <c r="BD483" s="983">
        <v>28</v>
      </c>
      <c r="BE483" s="983">
        <v>18.07</v>
      </c>
      <c r="BF483" s="983"/>
      <c r="BH483" s="1002">
        <f t="shared" si="210"/>
        <v>0</v>
      </c>
      <c r="BI483" s="1002">
        <f t="shared" si="211"/>
        <v>1</v>
      </c>
      <c r="BJ483" s="1002">
        <f t="shared" si="212"/>
        <v>0</v>
      </c>
      <c r="BK483" s="1002">
        <f t="shared" si="213"/>
        <v>0</v>
      </c>
      <c r="BL483" s="1002">
        <f t="shared" si="214"/>
        <v>1</v>
      </c>
      <c r="CC483" s="999">
        <v>15</v>
      </c>
      <c r="CD483" s="319" t="s">
        <v>2149</v>
      </c>
      <c r="CE483" s="319" t="s">
        <v>0</v>
      </c>
      <c r="CF483" s="312">
        <v>6</v>
      </c>
      <c r="CG483" s="312">
        <v>0</v>
      </c>
      <c r="CH483" s="312">
        <v>1</v>
      </c>
      <c r="CI483" s="312">
        <v>1</v>
      </c>
      <c r="CJ483" s="312">
        <v>0</v>
      </c>
      <c r="CK483" s="312">
        <v>0</v>
      </c>
      <c r="CL483" s="312">
        <v>0</v>
      </c>
      <c r="CM483" s="312">
        <v>0</v>
      </c>
      <c r="CN483" s="1000">
        <v>0</v>
      </c>
    </row>
    <row r="484" spans="2:92" x14ac:dyDescent="0.3">
      <c r="B484" s="1280">
        <v>283</v>
      </c>
      <c r="C484" s="977" t="s">
        <v>2152</v>
      </c>
      <c r="D484" s="977" t="s">
        <v>2116</v>
      </c>
      <c r="E484" s="977" t="s">
        <v>1551</v>
      </c>
      <c r="F484" s="977" t="s">
        <v>2169</v>
      </c>
      <c r="G484" s="977" t="s">
        <v>2173</v>
      </c>
      <c r="H484" s="991" t="str">
        <f t="shared" si="209"/>
        <v>Tasapeli</v>
      </c>
      <c r="I484" s="991" t="s">
        <v>1515</v>
      </c>
      <c r="J484" s="991" t="s">
        <v>0</v>
      </c>
      <c r="K484" s="991" t="s">
        <v>2176</v>
      </c>
      <c r="L484" s="992">
        <v>6</v>
      </c>
      <c r="M484" s="992">
        <v>6</v>
      </c>
      <c r="N484" s="1262">
        <v>1</v>
      </c>
      <c r="O484" s="992">
        <v>3</v>
      </c>
      <c r="P484" s="1262">
        <v>1</v>
      </c>
      <c r="Q484" s="992">
        <v>0</v>
      </c>
      <c r="R484" s="1262">
        <v>4</v>
      </c>
      <c r="S484" s="992">
        <v>3</v>
      </c>
      <c r="T484" s="1262"/>
      <c r="U484" s="992"/>
      <c r="V484" s="985">
        <v>3</v>
      </c>
      <c r="W484" s="985">
        <v>27</v>
      </c>
      <c r="X484" s="985">
        <v>1</v>
      </c>
      <c r="Y484" s="985">
        <v>1</v>
      </c>
      <c r="Z484" s="985"/>
      <c r="AA484" s="985">
        <v>1</v>
      </c>
      <c r="AB484" s="985"/>
      <c r="AC484" s="985"/>
      <c r="AD484" s="985"/>
      <c r="AE484" s="985"/>
      <c r="AF484" s="985">
        <v>2</v>
      </c>
      <c r="AG484" s="985"/>
      <c r="AH484" s="985"/>
      <c r="AI484" s="985"/>
      <c r="AJ484" s="985">
        <v>1</v>
      </c>
      <c r="AK484" s="985">
        <v>27</v>
      </c>
      <c r="AL484" s="985">
        <v>12.54</v>
      </c>
      <c r="AM484" s="985"/>
      <c r="AN484" s="8"/>
      <c r="AO484" s="983">
        <v>0</v>
      </c>
      <c r="AP484" s="983">
        <v>0</v>
      </c>
      <c r="AQ484" s="983"/>
      <c r="AR484" s="983"/>
      <c r="AS484" s="983"/>
      <c r="AT484" s="983"/>
      <c r="AU484" s="983">
        <v>1</v>
      </c>
      <c r="AV484" s="983"/>
      <c r="AW484" s="983"/>
      <c r="AX484" s="983"/>
      <c r="AY484" s="983"/>
      <c r="AZ484" s="983"/>
      <c r="BA484" s="983"/>
      <c r="BB484" s="983"/>
      <c r="BC484" s="983"/>
      <c r="BD484" s="983">
        <v>22</v>
      </c>
      <c r="BE484" s="983">
        <v>3.43</v>
      </c>
      <c r="BF484" s="983"/>
      <c r="BH484" s="1002">
        <f t="shared" si="210"/>
        <v>0</v>
      </c>
      <c r="BI484" s="1002">
        <f t="shared" si="211"/>
        <v>1</v>
      </c>
      <c r="BJ484" s="1002">
        <f t="shared" si="212"/>
        <v>0</v>
      </c>
      <c r="BK484" s="1002">
        <f t="shared" si="213"/>
        <v>0</v>
      </c>
      <c r="BL484" s="1002">
        <f t="shared" si="214"/>
        <v>1</v>
      </c>
      <c r="CC484" s="999">
        <v>16</v>
      </c>
      <c r="CD484" s="319" t="s">
        <v>2041</v>
      </c>
      <c r="CE484" s="319" t="s">
        <v>0</v>
      </c>
      <c r="CF484" s="312">
        <v>8</v>
      </c>
      <c r="CG484" s="312">
        <v>0</v>
      </c>
      <c r="CH484" s="312">
        <v>0</v>
      </c>
      <c r="CI484" s="312">
        <v>0</v>
      </c>
      <c r="CJ484" s="312">
        <v>0</v>
      </c>
      <c r="CK484" s="312">
        <v>0</v>
      </c>
      <c r="CL484" s="312">
        <v>0</v>
      </c>
      <c r="CM484" s="312">
        <v>0</v>
      </c>
      <c r="CN484" s="1000">
        <v>0</v>
      </c>
    </row>
    <row r="485" spans="2:92" x14ac:dyDescent="0.3">
      <c r="B485" s="1280">
        <v>284</v>
      </c>
      <c r="C485" s="977" t="s">
        <v>2152</v>
      </c>
      <c r="D485" s="977" t="s">
        <v>2116</v>
      </c>
      <c r="E485" s="977" t="s">
        <v>1552</v>
      </c>
      <c r="F485" s="977" t="s">
        <v>2170</v>
      </c>
      <c r="G485" s="977" t="s">
        <v>796</v>
      </c>
      <c r="H485" s="991" t="str">
        <f t="shared" si="209"/>
        <v>Häviö</v>
      </c>
      <c r="I485" s="991" t="s">
        <v>1514</v>
      </c>
      <c r="J485" s="991" t="s">
        <v>0</v>
      </c>
      <c r="K485" s="991" t="s">
        <v>2120</v>
      </c>
      <c r="L485" s="992">
        <v>2</v>
      </c>
      <c r="M485" s="992">
        <v>10</v>
      </c>
      <c r="N485" s="1262">
        <v>0</v>
      </c>
      <c r="O485" s="992">
        <v>2</v>
      </c>
      <c r="P485" s="1262">
        <v>2</v>
      </c>
      <c r="Q485" s="992">
        <v>2</v>
      </c>
      <c r="R485" s="1262">
        <v>0</v>
      </c>
      <c r="S485" s="992">
        <v>6</v>
      </c>
      <c r="T485" s="1262"/>
      <c r="U485" s="992"/>
      <c r="V485" s="985">
        <v>1</v>
      </c>
      <c r="W485" s="985">
        <v>2</v>
      </c>
      <c r="X485" s="985">
        <v>1</v>
      </c>
      <c r="Y485" s="985"/>
      <c r="Z485" s="985"/>
      <c r="AA485" s="985"/>
      <c r="AB485" s="985"/>
      <c r="AC485" s="985"/>
      <c r="AD485" s="985"/>
      <c r="AE485" s="985"/>
      <c r="AF485" s="985"/>
      <c r="AG485" s="985"/>
      <c r="AH485" s="985"/>
      <c r="AI485" s="985"/>
      <c r="AJ485" s="985"/>
      <c r="AK485" s="985">
        <v>29</v>
      </c>
      <c r="AL485" s="985">
        <v>15.07</v>
      </c>
      <c r="AM485" s="985"/>
      <c r="AN485" s="8"/>
      <c r="AO485" s="983">
        <v>1</v>
      </c>
      <c r="AP485" s="983">
        <v>2</v>
      </c>
      <c r="AQ485" s="983">
        <v>1</v>
      </c>
      <c r="AR485" s="983"/>
      <c r="AS485" s="983"/>
      <c r="AT485" s="983"/>
      <c r="AU485" s="983">
        <v>1</v>
      </c>
      <c r="AV485" s="983"/>
      <c r="AW485" s="983"/>
      <c r="AX485" s="983"/>
      <c r="AY485" s="983"/>
      <c r="AZ485" s="983"/>
      <c r="BA485" s="983"/>
      <c r="BB485" s="983"/>
      <c r="BC485" s="983"/>
      <c r="BD485" s="983">
        <v>17</v>
      </c>
      <c r="BE485" s="983">
        <v>1.18</v>
      </c>
      <c r="BF485" s="983"/>
      <c r="BH485" s="1002">
        <f t="shared" si="210"/>
        <v>0</v>
      </c>
      <c r="BI485" s="1002">
        <f t="shared" si="211"/>
        <v>0</v>
      </c>
      <c r="BJ485" s="1002">
        <f t="shared" si="212"/>
        <v>0</v>
      </c>
      <c r="BK485" s="1002">
        <f t="shared" si="213"/>
        <v>0</v>
      </c>
      <c r="BL485" s="1002">
        <f t="shared" si="214"/>
        <v>0</v>
      </c>
      <c r="CC485" s="999">
        <v>17</v>
      </c>
      <c r="CD485" s="319" t="s">
        <v>1075</v>
      </c>
      <c r="CE485" s="319" t="s">
        <v>0</v>
      </c>
      <c r="CF485" s="312">
        <v>6</v>
      </c>
      <c r="CG485" s="312">
        <v>0</v>
      </c>
      <c r="CH485" s="312">
        <v>0</v>
      </c>
      <c r="CI485" s="312">
        <v>0</v>
      </c>
      <c r="CJ485" s="312">
        <v>0</v>
      </c>
      <c r="CK485" s="312">
        <v>0</v>
      </c>
      <c r="CL485" s="312">
        <v>0</v>
      </c>
      <c r="CM485" s="312">
        <v>0</v>
      </c>
      <c r="CN485" s="1000">
        <v>0</v>
      </c>
    </row>
    <row r="486" spans="2:92" x14ac:dyDescent="0.3">
      <c r="B486" s="1280">
        <v>285</v>
      </c>
      <c r="C486" s="977" t="s">
        <v>2152</v>
      </c>
      <c r="D486" s="977" t="s">
        <v>2116</v>
      </c>
      <c r="E486" s="977" t="s">
        <v>1553</v>
      </c>
      <c r="F486" s="977" t="s">
        <v>2171</v>
      </c>
      <c r="G486" s="977" t="s">
        <v>796</v>
      </c>
      <c r="H486" s="991" t="str">
        <f t="shared" si="209"/>
        <v>Häviö</v>
      </c>
      <c r="I486" s="991" t="s">
        <v>1514</v>
      </c>
      <c r="J486" s="991" t="s">
        <v>0</v>
      </c>
      <c r="K486" s="991" t="s">
        <v>2179</v>
      </c>
      <c r="L486" s="992">
        <v>0</v>
      </c>
      <c r="M486" s="992">
        <v>9</v>
      </c>
      <c r="N486" s="1262">
        <v>0</v>
      </c>
      <c r="O486" s="992">
        <v>1</v>
      </c>
      <c r="P486" s="1262">
        <v>0</v>
      </c>
      <c r="Q486" s="992">
        <v>3</v>
      </c>
      <c r="R486" s="1262">
        <v>0</v>
      </c>
      <c r="S486" s="992">
        <v>5</v>
      </c>
      <c r="T486" s="1262"/>
      <c r="U486" s="992"/>
      <c r="V486" s="985">
        <v>1</v>
      </c>
      <c r="W486" s="985">
        <v>2</v>
      </c>
      <c r="X486" s="985">
        <v>1</v>
      </c>
      <c r="Y486" s="985"/>
      <c r="Z486" s="985"/>
      <c r="AA486" s="985"/>
      <c r="AB486" s="985"/>
      <c r="AC486" s="985"/>
      <c r="AD486" s="985"/>
      <c r="AE486" s="985"/>
      <c r="AF486" s="985"/>
      <c r="AG486" s="985"/>
      <c r="AH486" s="985"/>
      <c r="AI486" s="985"/>
      <c r="AJ486" s="985"/>
      <c r="AK486" s="985">
        <v>20</v>
      </c>
      <c r="AL486" s="985"/>
      <c r="AM486" s="985"/>
      <c r="AN486" s="8"/>
      <c r="AO486" s="983">
        <v>0</v>
      </c>
      <c r="AP486" s="983">
        <v>0</v>
      </c>
      <c r="AQ486" s="983"/>
      <c r="AR486" s="983"/>
      <c r="AS486" s="983"/>
      <c r="AT486" s="983"/>
      <c r="AU486" s="983"/>
      <c r="AV486" s="983"/>
      <c r="AW486" s="983"/>
      <c r="AX486" s="983"/>
      <c r="AY486" s="983"/>
      <c r="AZ486" s="983"/>
      <c r="BA486" s="983"/>
      <c r="BB486" s="983"/>
      <c r="BC486" s="983"/>
      <c r="BD486" s="983">
        <v>18</v>
      </c>
      <c r="BE486" s="983">
        <v>4.34</v>
      </c>
      <c r="BF486" s="983"/>
      <c r="BH486" s="1002">
        <f t="shared" si="210"/>
        <v>0</v>
      </c>
      <c r="BI486" s="1002">
        <f t="shared" si="211"/>
        <v>1</v>
      </c>
      <c r="BJ486" s="1002">
        <f t="shared" si="212"/>
        <v>0</v>
      </c>
      <c r="BK486" s="1002">
        <f t="shared" si="213"/>
        <v>0</v>
      </c>
      <c r="BL486" s="1002">
        <f t="shared" si="214"/>
        <v>1</v>
      </c>
      <c r="CC486" s="999">
        <v>18</v>
      </c>
      <c r="CD486" s="319" t="s">
        <v>1660</v>
      </c>
      <c r="CE486" s="319" t="s">
        <v>0</v>
      </c>
      <c r="CF486" s="312">
        <v>18</v>
      </c>
      <c r="CG486" s="312">
        <v>0</v>
      </c>
      <c r="CH486" s="312">
        <v>0</v>
      </c>
      <c r="CI486" s="312">
        <v>0</v>
      </c>
      <c r="CJ486" s="312">
        <v>0</v>
      </c>
      <c r="CK486" s="312">
        <v>0</v>
      </c>
      <c r="CL486" s="312">
        <v>0</v>
      </c>
      <c r="CM486" s="312">
        <v>0</v>
      </c>
      <c r="CN486" s="1000">
        <v>0</v>
      </c>
    </row>
    <row r="487" spans="2:92" x14ac:dyDescent="0.3">
      <c r="B487" s="1280">
        <v>286</v>
      </c>
      <c r="C487" s="1055" t="s">
        <v>2152</v>
      </c>
      <c r="D487" s="1055" t="s">
        <v>2707</v>
      </c>
      <c r="E487" s="1055" t="s">
        <v>1554</v>
      </c>
      <c r="F487" s="1055" t="s">
        <v>2172</v>
      </c>
      <c r="G487" s="1055" t="s">
        <v>242</v>
      </c>
      <c r="H487" s="1056" t="str">
        <f t="shared" si="209"/>
        <v>Häviö</v>
      </c>
      <c r="I487" s="1056" t="s">
        <v>1514</v>
      </c>
      <c r="J487" s="1056" t="s">
        <v>0</v>
      </c>
      <c r="K487" s="1056" t="s">
        <v>998</v>
      </c>
      <c r="L487" s="992">
        <v>2</v>
      </c>
      <c r="M487" s="992">
        <v>4</v>
      </c>
      <c r="N487" s="1262">
        <v>1</v>
      </c>
      <c r="O487" s="992">
        <v>1</v>
      </c>
      <c r="P487" s="1262">
        <v>1</v>
      </c>
      <c r="Q487" s="992">
        <v>1</v>
      </c>
      <c r="R487" s="1262">
        <v>0</v>
      </c>
      <c r="S487" s="992">
        <v>2</v>
      </c>
      <c r="T487" s="1262"/>
      <c r="U487" s="992"/>
      <c r="V487" s="985">
        <v>0</v>
      </c>
      <c r="W487" s="985">
        <v>0</v>
      </c>
      <c r="X487" s="985"/>
      <c r="Y487" s="985"/>
      <c r="Z487" s="985"/>
      <c r="AA487" s="985"/>
      <c r="AB487" s="985"/>
      <c r="AC487" s="985"/>
      <c r="AD487" s="985"/>
      <c r="AE487" s="985"/>
      <c r="AF487" s="985"/>
      <c r="AG487" s="985"/>
      <c r="AH487" s="985"/>
      <c r="AI487" s="985"/>
      <c r="AJ487" s="985"/>
      <c r="AK487" s="985" t="s">
        <v>1019</v>
      </c>
      <c r="AL487" s="985">
        <v>10.54</v>
      </c>
      <c r="AM487" s="985"/>
      <c r="AN487" s="8"/>
      <c r="AO487" s="983">
        <v>1</v>
      </c>
      <c r="AP487" s="983">
        <v>2</v>
      </c>
      <c r="AQ487" s="983">
        <v>1</v>
      </c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>
        <v>1</v>
      </c>
      <c r="BC487" s="983"/>
      <c r="BD487" s="983" t="s">
        <v>1019</v>
      </c>
      <c r="BE487" s="983">
        <v>1.18</v>
      </c>
      <c r="BF487" s="983"/>
      <c r="BH487" s="1002">
        <f t="shared" si="210"/>
        <v>1</v>
      </c>
      <c r="BI487" s="1002">
        <f t="shared" si="211"/>
        <v>0</v>
      </c>
      <c r="BJ487" s="1002">
        <f t="shared" si="212"/>
        <v>0</v>
      </c>
      <c r="BK487" s="1002">
        <f t="shared" si="213"/>
        <v>1</v>
      </c>
      <c r="BL487" s="1002">
        <f t="shared" si="214"/>
        <v>0</v>
      </c>
      <c r="CC487" s="307"/>
      <c r="CD487" s="292"/>
      <c r="CE487" s="292"/>
      <c r="CF487" s="307"/>
      <c r="CG487" s="307"/>
      <c r="CH487" s="307"/>
      <c r="CI487" s="307"/>
      <c r="CJ487" s="307"/>
      <c r="CK487" s="307"/>
      <c r="CL487" s="307"/>
      <c r="CM487" s="307"/>
      <c r="CN487" s="307"/>
    </row>
    <row r="489" spans="2:92" x14ac:dyDescent="0.3">
      <c r="F489" s="975"/>
      <c r="G489" s="975" t="s">
        <v>2036</v>
      </c>
      <c r="H489" s="975"/>
      <c r="I489" s="1003"/>
      <c r="J489" s="1003"/>
      <c r="K489" s="1003"/>
      <c r="L489" s="1003" t="s">
        <v>2037</v>
      </c>
      <c r="M489" s="1003" t="s">
        <v>2038</v>
      </c>
      <c r="O489" s="1003" t="s">
        <v>1409</v>
      </c>
      <c r="P489" s="1003" t="s">
        <v>1410</v>
      </c>
      <c r="Q489" s="1003" t="s">
        <v>1411</v>
      </c>
      <c r="V489" s="981" t="s">
        <v>1557</v>
      </c>
      <c r="W489" s="981" t="s">
        <v>1556</v>
      </c>
      <c r="X489" s="981" t="s">
        <v>501</v>
      </c>
      <c r="Y489" s="981" t="s">
        <v>708</v>
      </c>
      <c r="Z489" s="981" t="s">
        <v>82</v>
      </c>
      <c r="AA489" s="981" t="s">
        <v>709</v>
      </c>
      <c r="AB489" s="981" t="s">
        <v>1419</v>
      </c>
      <c r="AC489" s="981" t="s">
        <v>1420</v>
      </c>
      <c r="AD489" s="982" t="s">
        <v>1827</v>
      </c>
      <c r="AE489" s="981" t="s">
        <v>1828</v>
      </c>
      <c r="AF489" s="981" t="s">
        <v>1425</v>
      </c>
      <c r="AG489" s="981" t="s">
        <v>1535</v>
      </c>
      <c r="AH489" s="981" t="s">
        <v>1536</v>
      </c>
      <c r="AI489" s="981" t="s">
        <v>1559</v>
      </c>
      <c r="AJ489" s="981" t="s">
        <v>1896</v>
      </c>
      <c r="AK489" s="981" t="s">
        <v>1967</v>
      </c>
      <c r="AL489" s="981" t="s">
        <v>19</v>
      </c>
      <c r="AM489" s="981"/>
      <c r="AO489" s="979" t="s">
        <v>1557</v>
      </c>
      <c r="AP489" s="979" t="s">
        <v>1556</v>
      </c>
      <c r="AQ489" s="979" t="s">
        <v>501</v>
      </c>
      <c r="AR489" s="979" t="s">
        <v>708</v>
      </c>
      <c r="AS489" s="979" t="s">
        <v>82</v>
      </c>
      <c r="AT489" s="979" t="s">
        <v>709</v>
      </c>
      <c r="AU489" s="979" t="s">
        <v>1419</v>
      </c>
      <c r="AV489" s="979" t="s">
        <v>1420</v>
      </c>
      <c r="AW489" s="980" t="s">
        <v>1827</v>
      </c>
      <c r="AX489" s="979" t="s">
        <v>1828</v>
      </c>
      <c r="AY489" s="979" t="s">
        <v>1425</v>
      </c>
      <c r="AZ489" s="979" t="s">
        <v>1535</v>
      </c>
      <c r="BA489" s="979" t="s">
        <v>1536</v>
      </c>
      <c r="BB489" s="979" t="s">
        <v>1559</v>
      </c>
      <c r="BC489" s="979" t="s">
        <v>1896</v>
      </c>
      <c r="BD489" s="979" t="s">
        <v>1967</v>
      </c>
      <c r="BE489" s="979" t="s">
        <v>19</v>
      </c>
      <c r="BF489" s="979"/>
      <c r="BH489" s="1001" t="s">
        <v>2045</v>
      </c>
      <c r="BI489" s="1001"/>
      <c r="BJ489" s="1001" t="s">
        <v>1913</v>
      </c>
      <c r="BK489" s="1001" t="s">
        <v>537</v>
      </c>
      <c r="BL489" s="1001" t="s">
        <v>1128</v>
      </c>
    </row>
    <row r="490" spans="2:92" x14ac:dyDescent="0.3">
      <c r="F490" s="977"/>
      <c r="G490" s="977" t="s">
        <v>2116</v>
      </c>
      <c r="H490" s="977"/>
      <c r="I490" s="1004"/>
      <c r="J490" s="1004"/>
      <c r="K490" s="1004"/>
      <c r="L490" s="1004">
        <f>SUM(L469:L486)</f>
        <v>74</v>
      </c>
      <c r="M490" s="1004">
        <f>SUM(M469:M486)</f>
        <v>99</v>
      </c>
      <c r="N490" s="8"/>
      <c r="O490" s="1004">
        <f>COUNTIF(H469:H486,"Voitto")</f>
        <v>5</v>
      </c>
      <c r="P490" s="1004">
        <f>COUNTIF(H469:H486,"Tasapeli")</f>
        <v>3</v>
      </c>
      <c r="Q490" s="1004">
        <f>COUNTIF(H469:H486,"Häviö")</f>
        <v>10</v>
      </c>
      <c r="V490" s="8">
        <f>SUM(V469:V486)</f>
        <v>21</v>
      </c>
      <c r="W490" s="8">
        <f t="shared" ref="W490:AK490" si="215">SUM(W469:W486)</f>
        <v>63</v>
      </c>
      <c r="X490" s="8">
        <f t="shared" si="215"/>
        <v>19</v>
      </c>
      <c r="Y490" s="8">
        <f t="shared" si="215"/>
        <v>1</v>
      </c>
      <c r="Z490" s="8">
        <f t="shared" si="215"/>
        <v>0</v>
      </c>
      <c r="AA490" s="8">
        <f t="shared" si="215"/>
        <v>1</v>
      </c>
      <c r="AB490" s="8">
        <f t="shared" si="215"/>
        <v>2</v>
      </c>
      <c r="AC490" s="8">
        <f t="shared" si="215"/>
        <v>0</v>
      </c>
      <c r="AD490" s="8">
        <f t="shared" si="215"/>
        <v>0</v>
      </c>
      <c r="AE490" s="8">
        <f t="shared" si="215"/>
        <v>1</v>
      </c>
      <c r="AF490" s="8">
        <f t="shared" si="215"/>
        <v>4</v>
      </c>
      <c r="AG490" s="8">
        <f t="shared" si="215"/>
        <v>0</v>
      </c>
      <c r="AH490" s="8">
        <f t="shared" si="215"/>
        <v>0</v>
      </c>
      <c r="AI490" s="8">
        <f t="shared" si="215"/>
        <v>0</v>
      </c>
      <c r="AJ490" s="8">
        <f t="shared" si="215"/>
        <v>1</v>
      </c>
      <c r="AK490" s="8">
        <f t="shared" si="215"/>
        <v>372</v>
      </c>
      <c r="AL490" s="8">
        <f>MIN(AL469:AL486)</f>
        <v>0.42</v>
      </c>
      <c r="AM490" s="8">
        <f>MAX(AL469:AL486)</f>
        <v>31.53</v>
      </c>
      <c r="AO490" s="8">
        <f>SUM(AO469:AO486)</f>
        <v>16</v>
      </c>
      <c r="AP490" s="8">
        <f t="shared" ref="AP490:BD490" si="216">SUM(AP469:AP486)</f>
        <v>35</v>
      </c>
      <c r="AQ490" s="8">
        <f t="shared" si="216"/>
        <v>15</v>
      </c>
      <c r="AR490" s="8">
        <f t="shared" si="216"/>
        <v>1</v>
      </c>
      <c r="AS490" s="8">
        <f t="shared" si="216"/>
        <v>0</v>
      </c>
      <c r="AT490" s="8">
        <f t="shared" si="216"/>
        <v>0</v>
      </c>
      <c r="AU490" s="8">
        <f t="shared" si="216"/>
        <v>7</v>
      </c>
      <c r="AV490" s="8">
        <f t="shared" si="216"/>
        <v>0</v>
      </c>
      <c r="AW490" s="8">
        <f t="shared" si="216"/>
        <v>2</v>
      </c>
      <c r="AX490" s="8">
        <f t="shared" si="216"/>
        <v>3</v>
      </c>
      <c r="AY490" s="8">
        <f t="shared" si="216"/>
        <v>2</v>
      </c>
      <c r="AZ490" s="8">
        <f t="shared" si="216"/>
        <v>0</v>
      </c>
      <c r="BA490" s="8">
        <f t="shared" si="216"/>
        <v>1</v>
      </c>
      <c r="BB490" s="8">
        <f t="shared" si="216"/>
        <v>2</v>
      </c>
      <c r="BC490" s="8">
        <f t="shared" si="216"/>
        <v>1</v>
      </c>
      <c r="BD490" s="8">
        <f t="shared" si="216"/>
        <v>315</v>
      </c>
      <c r="BE490" s="8">
        <f>MIN(BE469:BE486)</f>
        <v>0.37</v>
      </c>
      <c r="BF490" s="8">
        <f>MAX(BE469:BE486)</f>
        <v>19.21</v>
      </c>
      <c r="BJ490" s="8">
        <f>SUM(BJ469:BJ486)</f>
        <v>4</v>
      </c>
      <c r="BK490" s="8">
        <f>SUM(BK469:BK486)</f>
        <v>1</v>
      </c>
      <c r="BL490" s="8">
        <f>SUM(BL469:BL486)</f>
        <v>5</v>
      </c>
    </row>
    <row r="491" spans="2:92" x14ac:dyDescent="0.3">
      <c r="F491" s="977"/>
      <c r="G491" s="977" t="s">
        <v>2707</v>
      </c>
      <c r="H491" s="977"/>
      <c r="I491" s="1004"/>
      <c r="J491" s="1004"/>
      <c r="K491" s="1004"/>
      <c r="L491" s="1004">
        <f>L487</f>
        <v>2</v>
      </c>
      <c r="M491" s="1004">
        <f>M487</f>
        <v>4</v>
      </c>
      <c r="O491" s="1004">
        <f>COUNTIF(H487,"Voitto")</f>
        <v>0</v>
      </c>
      <c r="P491" s="1004">
        <f>COUNTIF(H487,"Tasapeli")</f>
        <v>0</v>
      </c>
      <c r="Q491" s="1004">
        <f>COUNTIF(H487,"Häviö")</f>
        <v>1</v>
      </c>
      <c r="V491" s="8">
        <f>V487</f>
        <v>0</v>
      </c>
      <c r="W491" s="8">
        <f t="shared" ref="W491:AK491" si="217">W487</f>
        <v>0</v>
      </c>
      <c r="X491" s="8">
        <f t="shared" si="217"/>
        <v>0</v>
      </c>
      <c r="Y491" s="8">
        <f t="shared" si="217"/>
        <v>0</v>
      </c>
      <c r="Z491" s="8">
        <f t="shared" si="217"/>
        <v>0</v>
      </c>
      <c r="AA491" s="8">
        <f t="shared" si="217"/>
        <v>0</v>
      </c>
      <c r="AB491" s="8">
        <f t="shared" si="217"/>
        <v>0</v>
      </c>
      <c r="AC491" s="8">
        <f t="shared" si="217"/>
        <v>0</v>
      </c>
      <c r="AD491" s="8">
        <f t="shared" si="217"/>
        <v>0</v>
      </c>
      <c r="AE491" s="8">
        <f t="shared" si="217"/>
        <v>0</v>
      </c>
      <c r="AF491" s="8">
        <f t="shared" si="217"/>
        <v>0</v>
      </c>
      <c r="AG491" s="8">
        <f t="shared" si="217"/>
        <v>0</v>
      </c>
      <c r="AH491" s="8">
        <f t="shared" si="217"/>
        <v>0</v>
      </c>
      <c r="AI491" s="8">
        <f t="shared" si="217"/>
        <v>0</v>
      </c>
      <c r="AJ491" s="8">
        <f t="shared" si="217"/>
        <v>0</v>
      </c>
      <c r="AK491" s="8" t="str">
        <f t="shared" si="217"/>
        <v>x</v>
      </c>
      <c r="AL491" s="8">
        <f>MIN(AL487)</f>
        <v>10.54</v>
      </c>
      <c r="AM491" s="8">
        <f>MAX(AL487)</f>
        <v>10.54</v>
      </c>
      <c r="AO491" s="8">
        <f>AO487</f>
        <v>1</v>
      </c>
      <c r="AP491" s="8">
        <f t="shared" ref="AP491:BD491" si="218">AP487</f>
        <v>2</v>
      </c>
      <c r="AQ491" s="8">
        <f t="shared" si="218"/>
        <v>1</v>
      </c>
      <c r="AR491" s="8">
        <f t="shared" si="218"/>
        <v>0</v>
      </c>
      <c r="AS491" s="8">
        <f t="shared" si="218"/>
        <v>0</v>
      </c>
      <c r="AT491" s="8">
        <f t="shared" si="218"/>
        <v>0</v>
      </c>
      <c r="AU491" s="8">
        <f t="shared" si="218"/>
        <v>0</v>
      </c>
      <c r="AV491" s="8">
        <f t="shared" si="218"/>
        <v>0</v>
      </c>
      <c r="AW491" s="8">
        <f t="shared" si="218"/>
        <v>0</v>
      </c>
      <c r="AX491" s="8">
        <f t="shared" si="218"/>
        <v>0</v>
      </c>
      <c r="AY491" s="8">
        <f t="shared" si="218"/>
        <v>0</v>
      </c>
      <c r="AZ491" s="8">
        <f t="shared" si="218"/>
        <v>0</v>
      </c>
      <c r="BA491" s="8">
        <f t="shared" si="218"/>
        <v>0</v>
      </c>
      <c r="BB491" s="8">
        <f t="shared" si="218"/>
        <v>1</v>
      </c>
      <c r="BC491" s="8">
        <f t="shared" si="218"/>
        <v>0</v>
      </c>
      <c r="BD491" s="8" t="str">
        <f t="shared" si="218"/>
        <v>x</v>
      </c>
      <c r="BE491" s="8">
        <f>MIN(BE487)</f>
        <v>1.18</v>
      </c>
      <c r="BF491" s="8">
        <f>MAX(BE487)</f>
        <v>1.18</v>
      </c>
      <c r="BJ491" s="8">
        <f>BJ487</f>
        <v>0</v>
      </c>
      <c r="BK491" s="8">
        <f>BK487</f>
        <v>1</v>
      </c>
      <c r="BL491" s="8">
        <f>BL487</f>
        <v>0</v>
      </c>
    </row>
    <row r="492" spans="2:92" x14ac:dyDescent="0.3">
      <c r="F492" s="977" t="str">
        <f>C467</f>
        <v>2021-2022</v>
      </c>
      <c r="G492" s="977" t="s">
        <v>2713</v>
      </c>
      <c r="H492" s="977"/>
      <c r="I492" s="1004"/>
      <c r="J492" s="1004"/>
      <c r="K492" s="1004"/>
      <c r="L492" s="1004">
        <f>SUM(L490:L491)</f>
        <v>76</v>
      </c>
      <c r="M492" s="1004">
        <f>SUM(M490:M491)</f>
        <v>103</v>
      </c>
      <c r="O492" s="1004">
        <f>SUM(O490:O491)</f>
        <v>5</v>
      </c>
      <c r="P492" s="1004">
        <f>SUM(P490:P491)</f>
        <v>3</v>
      </c>
      <c r="Q492" s="1004">
        <f>SUM(Q490:Q491)</f>
        <v>11</v>
      </c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J492" s="8"/>
      <c r="BK492" s="8"/>
      <c r="BL492" s="8"/>
    </row>
    <row r="497" spans="2:115" x14ac:dyDescent="0.3">
      <c r="C497" s="265" t="s">
        <v>2153</v>
      </c>
      <c r="D497" s="205" t="s">
        <v>2284</v>
      </c>
      <c r="V497" s="205" t="s">
        <v>0</v>
      </c>
      <c r="AO497" s="265" t="s">
        <v>1895</v>
      </c>
    </row>
    <row r="498" spans="2:115" x14ac:dyDescent="0.3">
      <c r="B498" s="1003" t="s">
        <v>1393</v>
      </c>
      <c r="C498" s="975" t="s">
        <v>1831</v>
      </c>
      <c r="D498" s="975" t="s">
        <v>1830</v>
      </c>
      <c r="E498" s="975" t="s">
        <v>1832</v>
      </c>
      <c r="F498" s="975" t="s">
        <v>1836</v>
      </c>
      <c r="G498" s="975" t="s">
        <v>1835</v>
      </c>
      <c r="H498" s="989" t="s">
        <v>1407</v>
      </c>
      <c r="I498" s="990" t="s">
        <v>2019</v>
      </c>
      <c r="J498" s="990" t="s">
        <v>0</v>
      </c>
      <c r="K498" s="990" t="s">
        <v>1128</v>
      </c>
      <c r="L498" s="1324" t="s">
        <v>1407</v>
      </c>
      <c r="M498" s="1325"/>
      <c r="N498" s="1326" t="s">
        <v>1822</v>
      </c>
      <c r="O498" s="1325"/>
      <c r="P498" s="1326" t="s">
        <v>1823</v>
      </c>
      <c r="Q498" s="1325"/>
      <c r="R498" s="1326" t="s">
        <v>1824</v>
      </c>
      <c r="S498" s="1325"/>
      <c r="T498" s="1326" t="s">
        <v>2706</v>
      </c>
      <c r="U498" s="1324"/>
      <c r="V498" s="981" t="s">
        <v>1557</v>
      </c>
      <c r="W498" s="981" t="s">
        <v>1556</v>
      </c>
      <c r="X498" s="981" t="s">
        <v>501</v>
      </c>
      <c r="Y498" s="981" t="s">
        <v>708</v>
      </c>
      <c r="Z498" s="981" t="s">
        <v>82</v>
      </c>
      <c r="AA498" s="981" t="s">
        <v>709</v>
      </c>
      <c r="AB498" s="981" t="s">
        <v>1419</v>
      </c>
      <c r="AC498" s="981" t="s">
        <v>1420</v>
      </c>
      <c r="AD498" s="982" t="s">
        <v>1827</v>
      </c>
      <c r="AE498" s="981" t="s">
        <v>1828</v>
      </c>
      <c r="AF498" s="981" t="s">
        <v>1425</v>
      </c>
      <c r="AG498" s="981" t="s">
        <v>1535</v>
      </c>
      <c r="AH498" s="981" t="s">
        <v>1536</v>
      </c>
      <c r="AI498" s="981" t="s">
        <v>1559</v>
      </c>
      <c r="AJ498" s="981" t="s">
        <v>1896</v>
      </c>
      <c r="AK498" s="981" t="s">
        <v>1967</v>
      </c>
      <c r="AL498" s="981" t="s">
        <v>19</v>
      </c>
      <c r="AM498" s="981"/>
      <c r="AN498" s="265"/>
      <c r="AO498" s="979" t="s">
        <v>1557</v>
      </c>
      <c r="AP498" s="979" t="s">
        <v>1556</v>
      </c>
      <c r="AQ498" s="979" t="s">
        <v>501</v>
      </c>
      <c r="AR498" s="979" t="s">
        <v>708</v>
      </c>
      <c r="AS498" s="979" t="s">
        <v>82</v>
      </c>
      <c r="AT498" s="979" t="s">
        <v>709</v>
      </c>
      <c r="AU498" s="979" t="s">
        <v>1419</v>
      </c>
      <c r="AV498" s="979" t="s">
        <v>1420</v>
      </c>
      <c r="AW498" s="980" t="s">
        <v>1827</v>
      </c>
      <c r="AX498" s="979" t="s">
        <v>1828</v>
      </c>
      <c r="AY498" s="979" t="s">
        <v>1425</v>
      </c>
      <c r="AZ498" s="979" t="s">
        <v>1535</v>
      </c>
      <c r="BA498" s="979" t="s">
        <v>1536</v>
      </c>
      <c r="BB498" s="979" t="s">
        <v>1559</v>
      </c>
      <c r="BC498" s="979" t="s">
        <v>1896</v>
      </c>
      <c r="BD498" s="979" t="s">
        <v>1967</v>
      </c>
      <c r="BE498" s="979" t="s">
        <v>19</v>
      </c>
      <c r="BF498" s="979"/>
      <c r="BH498" s="1001" t="s">
        <v>1911</v>
      </c>
      <c r="BI498" s="1001" t="s">
        <v>1912</v>
      </c>
      <c r="BJ498" s="1001" t="s">
        <v>1913</v>
      </c>
      <c r="BK498" s="1001" t="s">
        <v>537</v>
      </c>
      <c r="BL498" s="1001" t="s">
        <v>1128</v>
      </c>
      <c r="BN498" s="994" t="s">
        <v>1393</v>
      </c>
      <c r="BO498" s="149"/>
      <c r="BP498" s="995" t="s">
        <v>1504</v>
      </c>
      <c r="BQ498" s="149" t="s">
        <v>877</v>
      </c>
      <c r="BR498" s="149" t="s">
        <v>990</v>
      </c>
      <c r="BS498" s="149" t="s">
        <v>2039</v>
      </c>
      <c r="BT498" s="149" t="s">
        <v>991</v>
      </c>
      <c r="BU498" s="149" t="s">
        <v>2040</v>
      </c>
      <c r="BV498" s="149" t="s">
        <v>992</v>
      </c>
      <c r="BW498" s="149" t="s">
        <v>139</v>
      </c>
      <c r="BX498" s="149" t="s">
        <v>993</v>
      </c>
      <c r="BY498" s="149" t="s">
        <v>994</v>
      </c>
      <c r="BZ498" s="149" t="s">
        <v>610</v>
      </c>
      <c r="CA498" s="996" t="s">
        <v>2139</v>
      </c>
      <c r="CC498" s="994" t="s">
        <v>1393</v>
      </c>
      <c r="CD498" s="995" t="s">
        <v>2278</v>
      </c>
      <c r="CE498" s="995" t="s">
        <v>1504</v>
      </c>
      <c r="CF498" s="149" t="s">
        <v>877</v>
      </c>
      <c r="CG498" s="149" t="s">
        <v>533</v>
      </c>
      <c r="CH498" s="149" t="s">
        <v>534</v>
      </c>
      <c r="CI498" s="149" t="s">
        <v>610</v>
      </c>
      <c r="CJ498" s="149" t="s">
        <v>106</v>
      </c>
      <c r="CK498" s="149" t="s">
        <v>107</v>
      </c>
      <c r="CL498" s="149" t="s">
        <v>4</v>
      </c>
      <c r="CM498" s="149" t="s">
        <v>2144</v>
      </c>
      <c r="CN498" s="996" t="s">
        <v>2145</v>
      </c>
      <c r="CP498" s="994" t="s">
        <v>1393</v>
      </c>
      <c r="CQ498" s="995" t="s">
        <v>2227</v>
      </c>
      <c r="CR498" s="995" t="s">
        <v>1504</v>
      </c>
      <c r="CS498" s="149" t="s">
        <v>877</v>
      </c>
      <c r="CT498" s="149" t="s">
        <v>2043</v>
      </c>
      <c r="CU498" s="149" t="s">
        <v>2186</v>
      </c>
      <c r="CV498" s="149" t="s">
        <v>991</v>
      </c>
      <c r="CW498" s="149" t="s">
        <v>993</v>
      </c>
      <c r="CX498" s="149" t="s">
        <v>990</v>
      </c>
      <c r="CY498" s="996" t="s">
        <v>2044</v>
      </c>
      <c r="DA498" s="1161" t="s">
        <v>2353</v>
      </c>
      <c r="DB498" s="1161" t="s">
        <v>991</v>
      </c>
      <c r="DC498" s="1161" t="s">
        <v>2354</v>
      </c>
      <c r="DD498" s="1161" t="s">
        <v>611</v>
      </c>
      <c r="DE498" s="1161" t="s">
        <v>534</v>
      </c>
      <c r="DG498" s="1161" t="s">
        <v>2353</v>
      </c>
      <c r="DH498" s="1161" t="s">
        <v>991</v>
      </c>
      <c r="DI498" s="1161" t="s">
        <v>2354</v>
      </c>
      <c r="DJ498" s="1161" t="s">
        <v>611</v>
      </c>
      <c r="DK498" s="1161" t="s">
        <v>534</v>
      </c>
    </row>
    <row r="499" spans="2:115" x14ac:dyDescent="0.3">
      <c r="B499" s="1280">
        <v>287</v>
      </c>
      <c r="C499" s="977" t="s">
        <v>2153</v>
      </c>
      <c r="D499" s="977" t="s">
        <v>1829</v>
      </c>
      <c r="E499" s="977" t="s">
        <v>1516</v>
      </c>
      <c r="F499" s="978" t="s">
        <v>2285</v>
      </c>
      <c r="G499" s="977" t="s">
        <v>796</v>
      </c>
      <c r="H499" s="991" t="str">
        <f>IF(L499=M499,"Tasapeli",IF(L499&lt;M499,"Häviö","Voitto"))</f>
        <v>Häviö</v>
      </c>
      <c r="I499" s="991" t="s">
        <v>1514</v>
      </c>
      <c r="J499" s="991" t="s">
        <v>0</v>
      </c>
      <c r="K499" s="991" t="s">
        <v>2275</v>
      </c>
      <c r="L499" s="992">
        <v>2</v>
      </c>
      <c r="M499" s="992">
        <v>3</v>
      </c>
      <c r="N499" s="1262">
        <v>0</v>
      </c>
      <c r="O499" s="992">
        <v>0</v>
      </c>
      <c r="P499" s="1262">
        <v>0</v>
      </c>
      <c r="Q499" s="992">
        <v>0</v>
      </c>
      <c r="R499" s="1262">
        <v>2</v>
      </c>
      <c r="S499" s="992">
        <v>3</v>
      </c>
      <c r="T499" s="1262"/>
      <c r="U499" s="992"/>
      <c r="V499" s="985">
        <v>0</v>
      </c>
      <c r="W499" s="985">
        <v>0</v>
      </c>
      <c r="X499" s="985"/>
      <c r="Y499" s="985"/>
      <c r="Z499" s="985"/>
      <c r="AA499" s="985"/>
      <c r="AB499" s="985"/>
      <c r="AC499" s="985"/>
      <c r="AD499" s="985"/>
      <c r="AE499" s="985"/>
      <c r="AF499" s="985"/>
      <c r="AG499" s="985"/>
      <c r="AH499" s="985"/>
      <c r="AI499" s="985"/>
      <c r="AJ499" s="985"/>
      <c r="AK499" s="985">
        <v>18</v>
      </c>
      <c r="AL499" s="985">
        <v>43.01</v>
      </c>
      <c r="AM499" s="985"/>
      <c r="AN499" s="8"/>
      <c r="AO499" s="983">
        <v>0</v>
      </c>
      <c r="AP499" s="983">
        <v>0</v>
      </c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983"/>
      <c r="BB499" s="983"/>
      <c r="BC499" s="983"/>
      <c r="BD499" s="983">
        <v>12</v>
      </c>
      <c r="BE499" s="983">
        <v>30.17</v>
      </c>
      <c r="BF499" s="983"/>
      <c r="BH499" s="1002">
        <f>IF(V499=0,1,0)</f>
        <v>1</v>
      </c>
      <c r="BI499" s="1002">
        <f>IF(AO499=0,1,0)</f>
        <v>1</v>
      </c>
      <c r="BJ499" s="1002">
        <f>IF(V499+AO499=0,1,0)</f>
        <v>1</v>
      </c>
      <c r="BK499" s="1002">
        <f>IF(BH499&gt;BI499,1,0)</f>
        <v>0</v>
      </c>
      <c r="BL499" s="1002">
        <f>IF(BI499&gt;BH499,1,0)</f>
        <v>0</v>
      </c>
      <c r="BN499" s="997">
        <v>1</v>
      </c>
      <c r="BO499" s="430"/>
      <c r="BP499" s="332" t="s">
        <v>2272</v>
      </c>
      <c r="BQ499" s="430">
        <v>24</v>
      </c>
      <c r="BR499" s="430">
        <v>16</v>
      </c>
      <c r="BS499" s="430">
        <v>0</v>
      </c>
      <c r="BT499" s="430">
        <v>4</v>
      </c>
      <c r="BU499" s="430">
        <v>0</v>
      </c>
      <c r="BV499" s="430">
        <v>4</v>
      </c>
      <c r="BW499" s="430">
        <v>107</v>
      </c>
      <c r="BX499" s="430">
        <v>64</v>
      </c>
      <c r="BY499" s="430">
        <v>43</v>
      </c>
      <c r="BZ499" s="430">
        <v>36</v>
      </c>
      <c r="CA499" s="1057">
        <v>1.5</v>
      </c>
      <c r="CC499" s="997">
        <v>1</v>
      </c>
      <c r="CD499" s="332" t="s">
        <v>50</v>
      </c>
      <c r="CE499" s="332" t="s">
        <v>0</v>
      </c>
      <c r="CF499" s="430">
        <v>22</v>
      </c>
      <c r="CG499" s="430">
        <v>20</v>
      </c>
      <c r="CH499" s="430">
        <v>14</v>
      </c>
      <c r="CI499" s="430">
        <v>34</v>
      </c>
      <c r="CJ499" s="430">
        <v>0</v>
      </c>
      <c r="CK499" s="430">
        <v>0</v>
      </c>
      <c r="CL499" s="430">
        <v>0</v>
      </c>
      <c r="CM499" s="430">
        <v>4</v>
      </c>
      <c r="CN499" s="663">
        <v>0</v>
      </c>
      <c r="CP499" s="997">
        <v>3</v>
      </c>
      <c r="CQ499" s="332" t="s">
        <v>2281</v>
      </c>
      <c r="CR499" s="332" t="s">
        <v>0</v>
      </c>
      <c r="CS499" s="430">
        <v>12</v>
      </c>
      <c r="CT499" s="430">
        <v>81.59</v>
      </c>
      <c r="CU499" s="430">
        <v>4.8899999999999997</v>
      </c>
      <c r="CV499" s="430">
        <v>195</v>
      </c>
      <c r="CW499" s="430">
        <v>44</v>
      </c>
      <c r="CX499" s="430">
        <v>6</v>
      </c>
      <c r="CY499" s="663">
        <v>1</v>
      </c>
      <c r="DA499" t="s">
        <v>2281</v>
      </c>
      <c r="DB499" s="8">
        <v>18</v>
      </c>
      <c r="DC499" s="8">
        <v>21</v>
      </c>
      <c r="DD499" s="899" t="s">
        <v>704</v>
      </c>
      <c r="DE499" s="8">
        <v>2</v>
      </c>
      <c r="DG499" t="s">
        <v>1597</v>
      </c>
      <c r="DH499">
        <v>12</v>
      </c>
      <c r="DI499">
        <v>13</v>
      </c>
      <c r="DJ499" s="1162" t="s">
        <v>2355</v>
      </c>
      <c r="DK499">
        <v>0</v>
      </c>
    </row>
    <row r="500" spans="2:115" x14ac:dyDescent="0.3">
      <c r="B500" s="1280">
        <v>288</v>
      </c>
      <c r="C500" s="977" t="s">
        <v>2153</v>
      </c>
      <c r="D500" s="977" t="s">
        <v>1829</v>
      </c>
      <c r="E500" s="977" t="s">
        <v>1537</v>
      </c>
      <c r="F500" s="978" t="s">
        <v>2286</v>
      </c>
      <c r="G500" s="977" t="s">
        <v>796</v>
      </c>
      <c r="H500" s="991" t="str">
        <f t="shared" ref="H500:H522" si="219">IF(L500=M500,"Tasapeli",IF(L500&lt;M500,"Häviö","Voitto"))</f>
        <v>Häviö</v>
      </c>
      <c r="I500" s="991" t="s">
        <v>1515</v>
      </c>
      <c r="J500" s="991" t="s">
        <v>0</v>
      </c>
      <c r="K500" s="991" t="s">
        <v>2277</v>
      </c>
      <c r="L500" s="992">
        <v>5</v>
      </c>
      <c r="M500" s="992">
        <v>7</v>
      </c>
      <c r="N500" s="1262">
        <v>1</v>
      </c>
      <c r="O500" s="992">
        <v>3</v>
      </c>
      <c r="P500" s="1262">
        <v>2</v>
      </c>
      <c r="Q500" s="992">
        <v>2</v>
      </c>
      <c r="R500" s="1262">
        <v>2</v>
      </c>
      <c r="S500" s="992">
        <v>2</v>
      </c>
      <c r="T500" s="1262"/>
      <c r="U500" s="992"/>
      <c r="V500" s="985">
        <v>2</v>
      </c>
      <c r="W500" s="985">
        <v>4</v>
      </c>
      <c r="X500" s="985">
        <v>2</v>
      </c>
      <c r="Y500" s="985"/>
      <c r="Z500" s="985"/>
      <c r="AA500" s="985"/>
      <c r="AB500" s="985"/>
      <c r="AC500" s="985"/>
      <c r="AD500" s="985"/>
      <c r="AE500" s="985"/>
      <c r="AF500" s="985"/>
      <c r="AG500" s="985"/>
      <c r="AH500" s="985"/>
      <c r="AI500" s="985"/>
      <c r="AJ500" s="985"/>
      <c r="AK500" s="985">
        <v>12</v>
      </c>
      <c r="AL500" s="985">
        <v>13.49</v>
      </c>
      <c r="AM500" s="985"/>
      <c r="AN500" s="8"/>
      <c r="AO500" s="983">
        <v>2</v>
      </c>
      <c r="AP500" s="983">
        <v>4</v>
      </c>
      <c r="AQ500" s="983">
        <v>2</v>
      </c>
      <c r="AR500" s="983"/>
      <c r="AS500" s="983"/>
      <c r="AT500" s="983"/>
      <c r="AU500" s="983">
        <v>1</v>
      </c>
      <c r="AV500" s="983"/>
      <c r="AW500" s="983"/>
      <c r="AX500" s="983"/>
      <c r="AY500" s="983"/>
      <c r="AZ500" s="983"/>
      <c r="BA500" s="983"/>
      <c r="BB500" s="983"/>
      <c r="BC500" s="983"/>
      <c r="BD500" s="983">
        <v>20</v>
      </c>
      <c r="BE500" s="988">
        <v>5.39</v>
      </c>
      <c r="BF500" s="988"/>
      <c r="BH500" s="1002">
        <f t="shared" ref="BH500:BH522" si="220">IF(V500=0,1,0)</f>
        <v>0</v>
      </c>
      <c r="BI500" s="1002">
        <f t="shared" ref="BI500:BI522" si="221">IF(AO500=0,1,0)</f>
        <v>0</v>
      </c>
      <c r="BJ500" s="1002">
        <f t="shared" ref="BJ500:BJ522" si="222">IF(V500+AO500=0,1,0)</f>
        <v>0</v>
      </c>
      <c r="BK500" s="1002">
        <f t="shared" ref="BK500:BK522" si="223">IF(BH500&gt;BI500,1,0)</f>
        <v>0</v>
      </c>
      <c r="BL500" s="1002">
        <f t="shared" ref="BL500:BL522" si="224">IF(BI500&gt;BH500,1,0)</f>
        <v>0</v>
      </c>
      <c r="BN500" s="999">
        <v>2</v>
      </c>
      <c r="BO500" s="312"/>
      <c r="BP500" s="319" t="s">
        <v>2273</v>
      </c>
      <c r="BQ500" s="312">
        <v>24</v>
      </c>
      <c r="BR500" s="312">
        <v>15</v>
      </c>
      <c r="BS500" s="312">
        <v>0</v>
      </c>
      <c r="BT500" s="312">
        <v>3</v>
      </c>
      <c r="BU500" s="312">
        <v>0</v>
      </c>
      <c r="BV500" s="312">
        <v>6</v>
      </c>
      <c r="BW500" s="312">
        <v>123</v>
      </c>
      <c r="BX500" s="312">
        <v>99</v>
      </c>
      <c r="BY500" s="312">
        <v>24</v>
      </c>
      <c r="BZ500" s="312">
        <v>33</v>
      </c>
      <c r="CA500" s="1057">
        <v>1.38</v>
      </c>
      <c r="CC500" s="999">
        <v>2</v>
      </c>
      <c r="CD500" s="319" t="s">
        <v>1459</v>
      </c>
      <c r="CE500" s="319" t="s">
        <v>0</v>
      </c>
      <c r="CF500" s="312">
        <v>24</v>
      </c>
      <c r="CG500" s="312">
        <v>17</v>
      </c>
      <c r="CH500" s="312">
        <v>9</v>
      </c>
      <c r="CI500" s="312">
        <v>26</v>
      </c>
      <c r="CJ500" s="312">
        <v>0</v>
      </c>
      <c r="CK500" s="312">
        <v>0</v>
      </c>
      <c r="CL500" s="312">
        <v>0</v>
      </c>
      <c r="CM500" s="312">
        <v>0</v>
      </c>
      <c r="CN500" s="1000">
        <v>0</v>
      </c>
      <c r="CP500" s="998">
        <v>4</v>
      </c>
      <c r="CQ500" s="335" t="s">
        <v>1597</v>
      </c>
      <c r="CR500" s="335" t="s">
        <v>0</v>
      </c>
      <c r="CS500" s="435">
        <v>12</v>
      </c>
      <c r="CT500" s="435">
        <v>75</v>
      </c>
      <c r="CU500" s="435">
        <v>6.12</v>
      </c>
      <c r="CV500" s="435">
        <v>165</v>
      </c>
      <c r="CW500" s="435">
        <v>55</v>
      </c>
      <c r="CX500" s="435">
        <v>4</v>
      </c>
      <c r="CY500" s="664">
        <v>0</v>
      </c>
      <c r="DB500" s="8">
        <v>12</v>
      </c>
      <c r="DC500" s="8">
        <v>19</v>
      </c>
      <c r="DD500" s="8"/>
      <c r="DE500" s="8"/>
      <c r="DH500">
        <v>16</v>
      </c>
      <c r="DI500">
        <v>24</v>
      </c>
    </row>
    <row r="501" spans="2:115" x14ac:dyDescent="0.3">
      <c r="B501" s="1280">
        <v>289</v>
      </c>
      <c r="C501" s="977" t="s">
        <v>2153</v>
      </c>
      <c r="D501" s="977" t="s">
        <v>1829</v>
      </c>
      <c r="E501" s="977" t="s">
        <v>1538</v>
      </c>
      <c r="F501" s="978" t="s">
        <v>2287</v>
      </c>
      <c r="G501" s="977" t="s">
        <v>796</v>
      </c>
      <c r="H501" s="991" t="str">
        <f t="shared" si="219"/>
        <v>Voitto</v>
      </c>
      <c r="I501" s="991" t="s">
        <v>1515</v>
      </c>
      <c r="J501" s="991" t="s">
        <v>0</v>
      </c>
      <c r="K501" s="991" t="s">
        <v>2273</v>
      </c>
      <c r="L501" s="992">
        <v>3</v>
      </c>
      <c r="M501" s="992">
        <v>1</v>
      </c>
      <c r="N501" s="1262">
        <v>1</v>
      </c>
      <c r="O501" s="992">
        <v>0</v>
      </c>
      <c r="P501" s="1262">
        <v>1</v>
      </c>
      <c r="Q501" s="992">
        <v>0</v>
      </c>
      <c r="R501" s="1262">
        <v>1</v>
      </c>
      <c r="S501" s="992">
        <v>1</v>
      </c>
      <c r="T501" s="1262"/>
      <c r="U501" s="992"/>
      <c r="V501" s="985">
        <v>0</v>
      </c>
      <c r="W501" s="985">
        <v>0</v>
      </c>
      <c r="X501" s="985"/>
      <c r="Y501" s="985"/>
      <c r="Z501" s="985"/>
      <c r="AA501" s="985"/>
      <c r="AB501" s="985">
        <v>1</v>
      </c>
      <c r="AC501" s="985"/>
      <c r="AD501" s="985"/>
      <c r="AE501" s="985"/>
      <c r="AF501" s="985"/>
      <c r="AG501" s="985"/>
      <c r="AH501" s="985"/>
      <c r="AI501" s="985"/>
      <c r="AJ501" s="985"/>
      <c r="AK501" s="985">
        <v>12</v>
      </c>
      <c r="AL501" s="986">
        <v>0.45</v>
      </c>
      <c r="AM501" s="986"/>
      <c r="AN501" s="8"/>
      <c r="AO501" s="983">
        <v>1</v>
      </c>
      <c r="AP501" s="983">
        <v>2</v>
      </c>
      <c r="AQ501" s="983">
        <v>1</v>
      </c>
      <c r="AR501" s="983"/>
      <c r="AS501" s="983"/>
      <c r="AT501" s="983"/>
      <c r="AU501" s="983"/>
      <c r="AV501" s="983"/>
      <c r="AW501" s="983"/>
      <c r="AX501" s="983"/>
      <c r="AY501" s="983"/>
      <c r="AZ501" s="983"/>
      <c r="BA501" s="983"/>
      <c r="BB501" s="983"/>
      <c r="BC501" s="983"/>
      <c r="BD501" s="983">
        <v>17</v>
      </c>
      <c r="BE501" s="988">
        <v>35.22</v>
      </c>
      <c r="BF501" s="988"/>
      <c r="BH501" s="1002">
        <f t="shared" si="220"/>
        <v>1</v>
      </c>
      <c r="BI501" s="1002">
        <f t="shared" si="221"/>
        <v>0</v>
      </c>
      <c r="BJ501" s="1002">
        <f t="shared" si="222"/>
        <v>0</v>
      </c>
      <c r="BK501" s="1002">
        <f t="shared" si="223"/>
        <v>1</v>
      </c>
      <c r="BL501" s="1002">
        <f t="shared" si="224"/>
        <v>0</v>
      </c>
      <c r="BN501" s="999">
        <v>3</v>
      </c>
      <c r="BO501" s="312"/>
      <c r="BP501" s="319" t="s">
        <v>1878</v>
      </c>
      <c r="BQ501" s="312">
        <v>24</v>
      </c>
      <c r="BR501" s="312">
        <v>12</v>
      </c>
      <c r="BS501" s="312">
        <v>0</v>
      </c>
      <c r="BT501" s="312">
        <v>6</v>
      </c>
      <c r="BU501" s="312">
        <v>0</v>
      </c>
      <c r="BV501" s="312">
        <v>6</v>
      </c>
      <c r="BW501" s="312">
        <v>128</v>
      </c>
      <c r="BX501" s="312">
        <v>93</v>
      </c>
      <c r="BY501" s="312">
        <v>35</v>
      </c>
      <c r="BZ501" s="312">
        <v>30</v>
      </c>
      <c r="CA501" s="1057">
        <v>1.25</v>
      </c>
      <c r="CC501" s="999">
        <v>3</v>
      </c>
      <c r="CD501" s="319" t="s">
        <v>2184</v>
      </c>
      <c r="CE501" s="319" t="s">
        <v>0</v>
      </c>
      <c r="CF501" s="312">
        <v>22</v>
      </c>
      <c r="CG501" s="312">
        <v>16</v>
      </c>
      <c r="CH501" s="312">
        <v>7</v>
      </c>
      <c r="CI501" s="312">
        <v>23</v>
      </c>
      <c r="CJ501" s="312">
        <v>0</v>
      </c>
      <c r="CK501" s="312">
        <v>0</v>
      </c>
      <c r="CL501" s="312">
        <v>0</v>
      </c>
      <c r="CM501" s="312">
        <v>1</v>
      </c>
      <c r="CN501" s="1000">
        <v>0</v>
      </c>
      <c r="DB501" s="8">
        <v>19</v>
      </c>
      <c r="DC501" s="8">
        <v>22</v>
      </c>
      <c r="DD501" s="8"/>
      <c r="DE501" s="8"/>
      <c r="DH501">
        <v>9</v>
      </c>
      <c r="DI501">
        <v>11</v>
      </c>
    </row>
    <row r="502" spans="2:115" x14ac:dyDescent="0.3">
      <c r="B502" s="1280">
        <v>290</v>
      </c>
      <c r="C502" s="977" t="s">
        <v>2153</v>
      </c>
      <c r="D502" s="977" t="s">
        <v>1829</v>
      </c>
      <c r="E502" s="977" t="s">
        <v>1539</v>
      </c>
      <c r="F502" s="978" t="s">
        <v>2288</v>
      </c>
      <c r="G502" s="977" t="s">
        <v>796</v>
      </c>
      <c r="H502" s="991" t="str">
        <f t="shared" si="219"/>
        <v>Häviö</v>
      </c>
      <c r="I502" s="991" t="s">
        <v>1514</v>
      </c>
      <c r="J502" s="991" t="s">
        <v>0</v>
      </c>
      <c r="K502" s="991" t="s">
        <v>2272</v>
      </c>
      <c r="L502" s="992">
        <v>4</v>
      </c>
      <c r="M502" s="992">
        <v>8</v>
      </c>
      <c r="N502" s="1262">
        <v>1</v>
      </c>
      <c r="O502" s="992">
        <v>3</v>
      </c>
      <c r="P502" s="1262">
        <v>2</v>
      </c>
      <c r="Q502" s="992">
        <v>3</v>
      </c>
      <c r="R502" s="1262">
        <v>1</v>
      </c>
      <c r="S502" s="992">
        <v>2</v>
      </c>
      <c r="T502" s="1262"/>
      <c r="U502" s="992"/>
      <c r="V502" s="985">
        <v>0</v>
      </c>
      <c r="W502" s="985">
        <v>0</v>
      </c>
      <c r="X502" s="987"/>
      <c r="Y502" s="987"/>
      <c r="Z502" s="987"/>
      <c r="AA502" s="987"/>
      <c r="AB502" s="987"/>
      <c r="AC502" s="987"/>
      <c r="AD502" s="987"/>
      <c r="AE502" s="987"/>
      <c r="AF502" s="987"/>
      <c r="AG502" s="987"/>
      <c r="AH502" s="987"/>
      <c r="AI502" s="987"/>
      <c r="AJ502" s="987"/>
      <c r="AK502" s="985">
        <v>16</v>
      </c>
      <c r="AL502" s="985">
        <v>11.59</v>
      </c>
      <c r="AM502" s="985"/>
      <c r="AO502" s="983">
        <v>1</v>
      </c>
      <c r="AP502" s="983">
        <v>2</v>
      </c>
      <c r="AQ502" s="983">
        <v>1</v>
      </c>
      <c r="AR502" s="976"/>
      <c r="AS502" s="976"/>
      <c r="AT502" s="976"/>
      <c r="AU502" s="976"/>
      <c r="AV502" s="976"/>
      <c r="AW502" s="976"/>
      <c r="AX502" s="976"/>
      <c r="AY502" s="976"/>
      <c r="AZ502" s="976"/>
      <c r="BA502" s="976"/>
      <c r="BB502" s="976"/>
      <c r="BC502" s="976"/>
      <c r="BD502" s="983">
        <v>16</v>
      </c>
      <c r="BE502" s="984">
        <v>5.48</v>
      </c>
      <c r="BF502" s="984"/>
      <c r="BH502" s="1002">
        <f t="shared" si="220"/>
        <v>1</v>
      </c>
      <c r="BI502" s="1002">
        <f t="shared" si="221"/>
        <v>0</v>
      </c>
      <c r="BJ502" s="1002">
        <f t="shared" si="222"/>
        <v>0</v>
      </c>
      <c r="BK502" s="1002">
        <f t="shared" si="223"/>
        <v>1</v>
      </c>
      <c r="BL502" s="1002">
        <f t="shared" si="224"/>
        <v>0</v>
      </c>
      <c r="BN502" s="999">
        <v>4</v>
      </c>
      <c r="BO502" s="312"/>
      <c r="BP502" s="319" t="s">
        <v>2274</v>
      </c>
      <c r="BQ502" s="312">
        <v>24</v>
      </c>
      <c r="BR502" s="312">
        <v>12</v>
      </c>
      <c r="BS502" s="312">
        <v>0</v>
      </c>
      <c r="BT502" s="312">
        <v>4</v>
      </c>
      <c r="BU502" s="312">
        <v>0</v>
      </c>
      <c r="BV502" s="312">
        <v>8</v>
      </c>
      <c r="BW502" s="312">
        <v>119</v>
      </c>
      <c r="BX502" s="312">
        <v>109</v>
      </c>
      <c r="BY502" s="312">
        <v>10</v>
      </c>
      <c r="BZ502" s="312">
        <v>28</v>
      </c>
      <c r="CA502" s="1057">
        <v>1.17</v>
      </c>
      <c r="CC502" s="999">
        <v>4</v>
      </c>
      <c r="CD502" s="319" t="s">
        <v>2180</v>
      </c>
      <c r="CE502" s="319" t="s">
        <v>0</v>
      </c>
      <c r="CF502" s="312">
        <v>18</v>
      </c>
      <c r="CG502" s="312">
        <v>8</v>
      </c>
      <c r="CH502" s="312">
        <v>15</v>
      </c>
      <c r="CI502" s="312">
        <v>23</v>
      </c>
      <c r="CJ502" s="312">
        <v>0</v>
      </c>
      <c r="CK502" s="312">
        <v>0</v>
      </c>
      <c r="CL502" s="312">
        <v>0</v>
      </c>
      <c r="CM502" s="312">
        <v>0</v>
      </c>
      <c r="CN502" s="1000">
        <v>0</v>
      </c>
      <c r="DB502" s="8">
        <v>17</v>
      </c>
      <c r="DC502" s="8">
        <v>21</v>
      </c>
      <c r="DD502" s="8"/>
      <c r="DE502" s="8"/>
      <c r="DH502">
        <v>11</v>
      </c>
      <c r="DI502">
        <v>16</v>
      </c>
    </row>
    <row r="503" spans="2:115" x14ac:dyDescent="0.3">
      <c r="B503" s="1280">
        <v>291</v>
      </c>
      <c r="C503" s="977" t="s">
        <v>2153</v>
      </c>
      <c r="D503" s="977" t="s">
        <v>1829</v>
      </c>
      <c r="E503" s="977" t="s">
        <v>1540</v>
      </c>
      <c r="F503" s="978" t="s">
        <v>2289</v>
      </c>
      <c r="G503" s="977" t="s">
        <v>1593</v>
      </c>
      <c r="H503" s="991" t="str">
        <f t="shared" si="219"/>
        <v>Voitto</v>
      </c>
      <c r="I503" s="991" t="s">
        <v>1514</v>
      </c>
      <c r="J503" s="991" t="s">
        <v>0</v>
      </c>
      <c r="K503" s="991" t="s">
        <v>2276</v>
      </c>
      <c r="L503" s="992">
        <v>3</v>
      </c>
      <c r="M503" s="992">
        <v>2</v>
      </c>
      <c r="N503" s="1262">
        <v>0</v>
      </c>
      <c r="O503" s="992">
        <v>1</v>
      </c>
      <c r="P503" s="1262">
        <v>1</v>
      </c>
      <c r="Q503" s="992">
        <v>0</v>
      </c>
      <c r="R503" s="1262">
        <v>2</v>
      </c>
      <c r="S503" s="992">
        <v>1</v>
      </c>
      <c r="T503" s="1262"/>
      <c r="U503" s="992"/>
      <c r="V503" s="985">
        <v>0</v>
      </c>
      <c r="W503" s="985">
        <v>0</v>
      </c>
      <c r="X503" s="987"/>
      <c r="Y503" s="987"/>
      <c r="Z503" s="987"/>
      <c r="AA503" s="987"/>
      <c r="AB503" s="985">
        <v>1</v>
      </c>
      <c r="AC503" s="987"/>
      <c r="AD503" s="987"/>
      <c r="AE503" s="987"/>
      <c r="AF503" s="987"/>
      <c r="AG503" s="987"/>
      <c r="AH503" s="987"/>
      <c r="AI503" s="987"/>
      <c r="AJ503" s="987"/>
      <c r="AK503" s="985">
        <v>9</v>
      </c>
      <c r="AL503" s="985">
        <v>28.42</v>
      </c>
      <c r="AM503" s="985"/>
      <c r="AO503" s="983">
        <v>3</v>
      </c>
      <c r="AP503" s="983">
        <v>6</v>
      </c>
      <c r="AQ503" s="983">
        <v>3</v>
      </c>
      <c r="AR503" s="976"/>
      <c r="AS503" s="976"/>
      <c r="AT503" s="976"/>
      <c r="AU503" s="976"/>
      <c r="AV503" s="976"/>
      <c r="AW503" s="983">
        <v>1</v>
      </c>
      <c r="AX503" s="983">
        <v>1</v>
      </c>
      <c r="AY503" s="976"/>
      <c r="AZ503" s="976"/>
      <c r="BA503" s="976"/>
      <c r="BB503" s="976"/>
      <c r="BC503" s="976"/>
      <c r="BD503" s="983">
        <v>19</v>
      </c>
      <c r="BE503" s="983">
        <v>4.2699999999999996</v>
      </c>
      <c r="BF503" s="983"/>
      <c r="BH503" s="1002">
        <f t="shared" si="220"/>
        <v>1</v>
      </c>
      <c r="BI503" s="1002">
        <f t="shared" si="221"/>
        <v>0</v>
      </c>
      <c r="BJ503" s="1002">
        <f t="shared" si="222"/>
        <v>0</v>
      </c>
      <c r="BK503" s="1002">
        <f t="shared" si="223"/>
        <v>1</v>
      </c>
      <c r="BL503" s="1002">
        <f t="shared" si="224"/>
        <v>0</v>
      </c>
      <c r="BN503" s="999">
        <v>5</v>
      </c>
      <c r="BO503" s="312"/>
      <c r="BP503" s="319" t="s">
        <v>2175</v>
      </c>
      <c r="BQ503" s="312">
        <v>24</v>
      </c>
      <c r="BR503" s="312">
        <v>13</v>
      </c>
      <c r="BS503" s="312">
        <v>0</v>
      </c>
      <c r="BT503" s="312">
        <v>1</v>
      </c>
      <c r="BU503" s="312">
        <v>0</v>
      </c>
      <c r="BV503" s="312">
        <v>10</v>
      </c>
      <c r="BW503" s="312">
        <v>117</v>
      </c>
      <c r="BX503" s="312">
        <v>81</v>
      </c>
      <c r="BY503" s="312">
        <v>36</v>
      </c>
      <c r="BZ503" s="312">
        <v>27</v>
      </c>
      <c r="CA503" s="1000">
        <v>1.1299999999999999</v>
      </c>
      <c r="CC503" s="999">
        <v>5</v>
      </c>
      <c r="CD503" s="319" t="s">
        <v>1379</v>
      </c>
      <c r="CE503" s="319" t="s">
        <v>0</v>
      </c>
      <c r="CF503" s="312">
        <v>20</v>
      </c>
      <c r="CG503" s="312">
        <v>9</v>
      </c>
      <c r="CH503" s="312">
        <v>10</v>
      </c>
      <c r="CI503" s="312">
        <v>19</v>
      </c>
      <c r="CJ503" s="312">
        <v>0</v>
      </c>
      <c r="CK503" s="312">
        <v>0</v>
      </c>
      <c r="CL503" s="312">
        <v>0</v>
      </c>
      <c r="CM503" s="312">
        <v>0</v>
      </c>
      <c r="CN503" s="1000">
        <v>0</v>
      </c>
      <c r="DB503" s="8">
        <v>17</v>
      </c>
      <c r="DC503" s="8">
        <v>20</v>
      </c>
      <c r="DD503" s="8" t="s">
        <v>210</v>
      </c>
      <c r="DE503" s="8"/>
      <c r="DH503">
        <v>15</v>
      </c>
      <c r="DI503">
        <v>21</v>
      </c>
      <c r="DJ503" t="s">
        <v>210</v>
      </c>
    </row>
    <row r="504" spans="2:115" x14ac:dyDescent="0.3">
      <c r="B504" s="1280">
        <v>292</v>
      </c>
      <c r="C504" s="977" t="s">
        <v>2153</v>
      </c>
      <c r="D504" s="977" t="s">
        <v>1829</v>
      </c>
      <c r="E504" s="977" t="s">
        <v>1541</v>
      </c>
      <c r="F504" s="978" t="s">
        <v>2290</v>
      </c>
      <c r="G504" s="977" t="s">
        <v>1593</v>
      </c>
      <c r="H504" s="991" t="str">
        <f t="shared" si="219"/>
        <v>Häviö</v>
      </c>
      <c r="I504" s="991" t="s">
        <v>1515</v>
      </c>
      <c r="J504" s="991" t="s">
        <v>0</v>
      </c>
      <c r="K504" s="991" t="s">
        <v>1878</v>
      </c>
      <c r="L504" s="992">
        <v>1</v>
      </c>
      <c r="M504" s="992">
        <v>5</v>
      </c>
      <c r="N504" s="1262">
        <v>1</v>
      </c>
      <c r="O504" s="992">
        <v>1</v>
      </c>
      <c r="P504" s="1262">
        <v>0</v>
      </c>
      <c r="Q504" s="992">
        <v>2</v>
      </c>
      <c r="R504" s="1262">
        <v>0</v>
      </c>
      <c r="S504" s="992">
        <v>2</v>
      </c>
      <c r="T504" s="1262"/>
      <c r="U504" s="992"/>
      <c r="V504" s="985">
        <v>1</v>
      </c>
      <c r="W504" s="985">
        <v>2</v>
      </c>
      <c r="X504" s="985">
        <v>1</v>
      </c>
      <c r="Y504" s="987"/>
      <c r="Z504" s="987"/>
      <c r="AA504" s="987"/>
      <c r="AB504" s="987"/>
      <c r="AC504" s="987"/>
      <c r="AD504" s="987"/>
      <c r="AE504" s="985">
        <v>1</v>
      </c>
      <c r="AF504" s="987"/>
      <c r="AG504" s="987"/>
      <c r="AH504" s="987"/>
      <c r="AI504" s="987"/>
      <c r="AJ504" s="987"/>
      <c r="AK504" s="985">
        <v>11</v>
      </c>
      <c r="AL504" s="985">
        <v>11.5</v>
      </c>
      <c r="AM504" s="985"/>
      <c r="AO504" s="983">
        <v>0</v>
      </c>
      <c r="AP504" s="983">
        <v>0</v>
      </c>
      <c r="AQ504" s="983"/>
      <c r="AR504" s="976"/>
      <c r="AS504" s="976"/>
      <c r="AT504" s="976"/>
      <c r="AU504" s="983">
        <v>1</v>
      </c>
      <c r="AV504" s="976"/>
      <c r="AW504" s="976"/>
      <c r="AX504" s="976"/>
      <c r="AY504" s="976"/>
      <c r="AZ504" s="976"/>
      <c r="BA504" s="976"/>
      <c r="BB504" s="976"/>
      <c r="BC504" s="976"/>
      <c r="BD504" s="983">
        <v>11</v>
      </c>
      <c r="BE504" s="983">
        <v>14.35</v>
      </c>
      <c r="BF504" s="983"/>
      <c r="BH504" s="1002">
        <f t="shared" si="220"/>
        <v>0</v>
      </c>
      <c r="BI504" s="1002">
        <f t="shared" si="221"/>
        <v>1</v>
      </c>
      <c r="BJ504" s="1002">
        <f t="shared" si="222"/>
        <v>0</v>
      </c>
      <c r="BK504" s="1002">
        <f t="shared" si="223"/>
        <v>0</v>
      </c>
      <c r="BL504" s="1002">
        <f t="shared" si="224"/>
        <v>1</v>
      </c>
      <c r="BN504" s="999">
        <v>6</v>
      </c>
      <c r="BO504" s="312"/>
      <c r="BP504" s="317" t="s">
        <v>0</v>
      </c>
      <c r="BQ504" s="312">
        <v>24</v>
      </c>
      <c r="BR504" s="312">
        <v>10</v>
      </c>
      <c r="BS504" s="312">
        <v>0</v>
      </c>
      <c r="BT504" s="312">
        <v>2</v>
      </c>
      <c r="BU504" s="312">
        <v>0</v>
      </c>
      <c r="BV504" s="312">
        <v>12</v>
      </c>
      <c r="BW504" s="312">
        <v>108</v>
      </c>
      <c r="BX504" s="312">
        <v>100</v>
      </c>
      <c r="BY504" s="312">
        <v>8</v>
      </c>
      <c r="BZ504" s="312">
        <v>22</v>
      </c>
      <c r="CA504" s="1000">
        <v>0.92</v>
      </c>
      <c r="CC504" s="999">
        <v>6</v>
      </c>
      <c r="CD504" s="319" t="s">
        <v>2279</v>
      </c>
      <c r="CE504" s="319" t="s">
        <v>0</v>
      </c>
      <c r="CF504" s="312">
        <v>22</v>
      </c>
      <c r="CG504" s="312">
        <v>11</v>
      </c>
      <c r="CH504" s="312">
        <v>7</v>
      </c>
      <c r="CI504" s="312">
        <v>18</v>
      </c>
      <c r="CJ504" s="312">
        <v>0</v>
      </c>
      <c r="CK504" s="312">
        <v>0</v>
      </c>
      <c r="CL504" s="312">
        <v>0</v>
      </c>
      <c r="CM504" s="312">
        <v>1</v>
      </c>
      <c r="CN504" s="1000">
        <v>0</v>
      </c>
      <c r="DB504" s="8">
        <v>22</v>
      </c>
      <c r="DC504" s="8">
        <v>23</v>
      </c>
      <c r="DD504" s="8">
        <f>44/12</f>
        <v>3.6666666666666665</v>
      </c>
      <c r="DE504" s="8"/>
      <c r="DH504">
        <v>20</v>
      </c>
      <c r="DI504">
        <v>25</v>
      </c>
      <c r="DJ504">
        <f>55/12</f>
        <v>4.583333333333333</v>
      </c>
    </row>
    <row r="505" spans="2:115" x14ac:dyDescent="0.3">
      <c r="B505" s="1280">
        <v>293</v>
      </c>
      <c r="C505" s="977" t="s">
        <v>2153</v>
      </c>
      <c r="D505" s="977" t="s">
        <v>1829</v>
      </c>
      <c r="E505" s="977" t="s">
        <v>1542</v>
      </c>
      <c r="F505" s="978" t="s">
        <v>2291</v>
      </c>
      <c r="G505" s="977" t="s">
        <v>731</v>
      </c>
      <c r="H505" s="991" t="str">
        <f t="shared" si="219"/>
        <v>Häviö</v>
      </c>
      <c r="I505" s="991" t="s">
        <v>1515</v>
      </c>
      <c r="J505" s="991" t="s">
        <v>0</v>
      </c>
      <c r="K505" s="991" t="s">
        <v>2175</v>
      </c>
      <c r="L505" s="992">
        <v>4</v>
      </c>
      <c r="M505" s="992">
        <v>6</v>
      </c>
      <c r="N505" s="1262">
        <v>1</v>
      </c>
      <c r="O505" s="992">
        <v>3</v>
      </c>
      <c r="P505" s="1262">
        <v>2</v>
      </c>
      <c r="Q505" s="992">
        <v>2</v>
      </c>
      <c r="R505" s="1262">
        <v>1</v>
      </c>
      <c r="S505" s="992">
        <v>1</v>
      </c>
      <c r="T505" s="1262"/>
      <c r="U505" s="992"/>
      <c r="V505" s="985">
        <v>1</v>
      </c>
      <c r="W505" s="985">
        <v>2</v>
      </c>
      <c r="X505" s="985">
        <v>1</v>
      </c>
      <c r="Y505" s="987"/>
      <c r="Z505" s="987"/>
      <c r="AA505" s="987"/>
      <c r="AB505" s="985"/>
      <c r="AC505" s="987"/>
      <c r="AD505" s="987"/>
      <c r="AE505" s="985">
        <v>1</v>
      </c>
      <c r="AF505" s="987"/>
      <c r="AG505" s="987"/>
      <c r="AH505" s="987"/>
      <c r="AI505" s="987"/>
      <c r="AJ505" s="987"/>
      <c r="AK505" s="985">
        <v>15</v>
      </c>
      <c r="AL505" s="986">
        <v>0.47</v>
      </c>
      <c r="AM505" s="986"/>
      <c r="AO505" s="983">
        <v>0</v>
      </c>
      <c r="AP505" s="983">
        <v>0</v>
      </c>
      <c r="AQ505" s="983"/>
      <c r="AR505" s="976"/>
      <c r="AS505" s="976"/>
      <c r="AT505" s="976"/>
      <c r="AU505" s="976"/>
      <c r="AV505" s="976"/>
      <c r="AW505" s="976"/>
      <c r="AX505" s="976"/>
      <c r="AY505" s="976"/>
      <c r="AZ505" s="976"/>
      <c r="BA505" s="983">
        <v>1</v>
      </c>
      <c r="BB505" s="976"/>
      <c r="BC505" s="976"/>
      <c r="BD505" s="983">
        <v>17</v>
      </c>
      <c r="BE505" s="983">
        <v>1.54</v>
      </c>
      <c r="BF505" s="983"/>
      <c r="BH505" s="1002">
        <f t="shared" si="220"/>
        <v>0</v>
      </c>
      <c r="BI505" s="1002">
        <f t="shared" si="221"/>
        <v>1</v>
      </c>
      <c r="BJ505" s="1002">
        <f t="shared" si="222"/>
        <v>0</v>
      </c>
      <c r="BK505" s="1002">
        <f t="shared" si="223"/>
        <v>0</v>
      </c>
      <c r="BL505" s="1002">
        <f t="shared" si="224"/>
        <v>1</v>
      </c>
      <c r="BN505" s="999">
        <v>7</v>
      </c>
      <c r="BO505" s="312"/>
      <c r="BP505" s="319" t="s">
        <v>2275</v>
      </c>
      <c r="BQ505" s="312">
        <v>24</v>
      </c>
      <c r="BR505" s="312">
        <v>7</v>
      </c>
      <c r="BS505" s="312">
        <v>0</v>
      </c>
      <c r="BT505" s="312">
        <v>3</v>
      </c>
      <c r="BU505" s="312">
        <v>0</v>
      </c>
      <c r="BV505" s="312">
        <v>14</v>
      </c>
      <c r="BW505" s="312">
        <v>86</v>
      </c>
      <c r="BX505" s="312">
        <v>122</v>
      </c>
      <c r="BY505" s="312">
        <v>-36</v>
      </c>
      <c r="BZ505" s="312">
        <v>17</v>
      </c>
      <c r="CA505" s="1000">
        <v>0.71</v>
      </c>
      <c r="CC505" s="999">
        <v>7</v>
      </c>
      <c r="CD505" s="319" t="s">
        <v>2149</v>
      </c>
      <c r="CE505" s="319" t="s">
        <v>0</v>
      </c>
      <c r="CF505" s="312">
        <v>18</v>
      </c>
      <c r="CG505" s="312">
        <v>3</v>
      </c>
      <c r="CH505" s="312">
        <v>10</v>
      </c>
      <c r="CI505" s="312">
        <v>13</v>
      </c>
      <c r="CJ505" s="312">
        <v>0</v>
      </c>
      <c r="CK505" s="312">
        <v>0</v>
      </c>
      <c r="CL505" s="312">
        <v>0</v>
      </c>
      <c r="CM505" s="312">
        <v>1</v>
      </c>
      <c r="CN505" s="1000">
        <v>0</v>
      </c>
      <c r="DB505" s="8">
        <v>16</v>
      </c>
      <c r="DC505" s="8">
        <v>16</v>
      </c>
      <c r="DD505" s="8"/>
      <c r="DE505" s="8"/>
      <c r="DH505">
        <v>10</v>
      </c>
      <c r="DI505">
        <v>13</v>
      </c>
    </row>
    <row r="506" spans="2:115" x14ac:dyDescent="0.3">
      <c r="B506" s="1280">
        <v>294</v>
      </c>
      <c r="C506" s="977" t="s">
        <v>2153</v>
      </c>
      <c r="D506" s="977" t="s">
        <v>1829</v>
      </c>
      <c r="E506" s="977" t="s">
        <v>1543</v>
      </c>
      <c r="F506" s="977" t="s">
        <v>2292</v>
      </c>
      <c r="G506" s="977" t="s">
        <v>731</v>
      </c>
      <c r="H506" s="991" t="str">
        <f t="shared" si="219"/>
        <v>Voitto</v>
      </c>
      <c r="I506" s="991" t="s">
        <v>1514</v>
      </c>
      <c r="J506" s="991" t="s">
        <v>0</v>
      </c>
      <c r="K506" s="991" t="s">
        <v>2274</v>
      </c>
      <c r="L506" s="992">
        <v>7</v>
      </c>
      <c r="M506" s="992">
        <v>5</v>
      </c>
      <c r="N506" s="1262">
        <v>2</v>
      </c>
      <c r="O506" s="992">
        <v>1</v>
      </c>
      <c r="P506" s="1262">
        <v>0</v>
      </c>
      <c r="Q506" s="992">
        <v>1</v>
      </c>
      <c r="R506" s="1262">
        <v>5</v>
      </c>
      <c r="S506" s="992">
        <v>3</v>
      </c>
      <c r="T506" s="1262"/>
      <c r="U506" s="992"/>
      <c r="V506" s="985">
        <v>0</v>
      </c>
      <c r="W506" s="985">
        <v>0</v>
      </c>
      <c r="X506" s="985"/>
      <c r="Y506" s="985"/>
      <c r="Z506" s="985"/>
      <c r="AA506" s="985"/>
      <c r="AB506" s="985"/>
      <c r="AC506" s="985"/>
      <c r="AD506" s="985"/>
      <c r="AE506" s="985"/>
      <c r="AF506" s="985"/>
      <c r="AG506" s="985"/>
      <c r="AH506" s="985"/>
      <c r="AI506" s="985"/>
      <c r="AJ506" s="985"/>
      <c r="AK506" s="985">
        <v>20</v>
      </c>
      <c r="AL506" s="985">
        <v>2.44</v>
      </c>
      <c r="AM506" s="985"/>
      <c r="AN506" s="8"/>
      <c r="AO506" s="983">
        <v>0</v>
      </c>
      <c r="AP506" s="983">
        <v>0</v>
      </c>
      <c r="AQ506" s="983"/>
      <c r="AR506" s="983"/>
      <c r="AS506" s="983"/>
      <c r="AT506" s="983"/>
      <c r="AU506" s="983"/>
      <c r="AV506" s="983"/>
      <c r="AW506" s="983"/>
      <c r="AX506" s="983"/>
      <c r="AY506" s="983"/>
      <c r="AZ506" s="983"/>
      <c r="BA506" s="983"/>
      <c r="BB506" s="983"/>
      <c r="BC506" s="983"/>
      <c r="BD506" s="983">
        <v>20</v>
      </c>
      <c r="BE506" s="983">
        <v>5.59</v>
      </c>
      <c r="BF506" s="983"/>
      <c r="BH506" s="1002">
        <f t="shared" si="220"/>
        <v>1</v>
      </c>
      <c r="BI506" s="1002">
        <f t="shared" si="221"/>
        <v>1</v>
      </c>
      <c r="BJ506" s="1002">
        <f t="shared" si="222"/>
        <v>1</v>
      </c>
      <c r="BK506" s="1002">
        <f t="shared" si="223"/>
        <v>0</v>
      </c>
      <c r="BL506" s="1002">
        <f t="shared" si="224"/>
        <v>0</v>
      </c>
      <c r="BN506" s="999">
        <v>8</v>
      </c>
      <c r="BO506" s="312"/>
      <c r="BP506" s="319" t="s">
        <v>2276</v>
      </c>
      <c r="BQ506" s="312">
        <v>24</v>
      </c>
      <c r="BR506" s="312">
        <v>7</v>
      </c>
      <c r="BS506" s="312">
        <v>0</v>
      </c>
      <c r="BT506" s="312">
        <v>2</v>
      </c>
      <c r="BU506" s="312">
        <v>0</v>
      </c>
      <c r="BV506" s="312">
        <v>15</v>
      </c>
      <c r="BW506" s="312">
        <v>126</v>
      </c>
      <c r="BX506" s="312">
        <v>155</v>
      </c>
      <c r="BY506" s="312">
        <v>-29</v>
      </c>
      <c r="BZ506" s="312">
        <v>16</v>
      </c>
      <c r="CA506" s="1000">
        <v>0.67</v>
      </c>
      <c r="CC506" s="999">
        <v>8</v>
      </c>
      <c r="CD506" s="319" t="s">
        <v>2280</v>
      </c>
      <c r="CE506" s="319" t="s">
        <v>0</v>
      </c>
      <c r="CF506" s="312">
        <v>20</v>
      </c>
      <c r="CG506" s="312">
        <v>1</v>
      </c>
      <c r="CH506" s="312">
        <v>10</v>
      </c>
      <c r="CI506" s="312">
        <v>11</v>
      </c>
      <c r="CJ506" s="312">
        <v>0</v>
      </c>
      <c r="CK506" s="312">
        <v>0</v>
      </c>
      <c r="CL506" s="312">
        <v>0</v>
      </c>
      <c r="CM506" s="312">
        <v>0</v>
      </c>
      <c r="CN506" s="1000">
        <v>0</v>
      </c>
      <c r="DD506" s="8"/>
      <c r="DE506" s="8"/>
      <c r="DH506">
        <v>18</v>
      </c>
      <c r="DI506">
        <v>25</v>
      </c>
    </row>
    <row r="507" spans="2:115" x14ac:dyDescent="0.3">
      <c r="B507" s="1280">
        <v>295</v>
      </c>
      <c r="C507" s="977" t="s">
        <v>2153</v>
      </c>
      <c r="D507" s="977" t="s">
        <v>1829</v>
      </c>
      <c r="E507" s="977" t="s">
        <v>1544</v>
      </c>
      <c r="F507" s="977" t="s">
        <v>2293</v>
      </c>
      <c r="G507" s="977" t="s">
        <v>2297</v>
      </c>
      <c r="H507" s="991" t="str">
        <f t="shared" si="219"/>
        <v>Voitto</v>
      </c>
      <c r="I507" s="991" t="s">
        <v>1514</v>
      </c>
      <c r="J507" s="991" t="s">
        <v>0</v>
      </c>
      <c r="K507" s="991" t="s">
        <v>2277</v>
      </c>
      <c r="L507" s="992">
        <v>15</v>
      </c>
      <c r="M507" s="992">
        <v>3</v>
      </c>
      <c r="N507" s="1262">
        <v>1</v>
      </c>
      <c r="O507" s="992">
        <v>1</v>
      </c>
      <c r="P507" s="1262">
        <v>6</v>
      </c>
      <c r="Q507" s="992">
        <v>0</v>
      </c>
      <c r="R507" s="1262">
        <v>8</v>
      </c>
      <c r="S507" s="992">
        <v>2</v>
      </c>
      <c r="T507" s="1262"/>
      <c r="U507" s="992"/>
      <c r="V507" s="985">
        <v>0</v>
      </c>
      <c r="W507" s="985">
        <v>0</v>
      </c>
      <c r="X507" s="985"/>
      <c r="Y507" s="985"/>
      <c r="Z507" s="985"/>
      <c r="AA507" s="985"/>
      <c r="AB507" s="985"/>
      <c r="AC507" s="985"/>
      <c r="AD507" s="985"/>
      <c r="AE507" s="985"/>
      <c r="AF507" s="985"/>
      <c r="AG507" s="985"/>
      <c r="AH507" s="985"/>
      <c r="AI507" s="985"/>
      <c r="AJ507" s="985"/>
      <c r="AK507" s="985">
        <v>10</v>
      </c>
      <c r="AL507" s="985">
        <v>0.37</v>
      </c>
      <c r="AM507" s="985"/>
      <c r="AN507" s="8"/>
      <c r="AO507" s="983">
        <v>0</v>
      </c>
      <c r="AP507" s="983">
        <v>0</v>
      </c>
      <c r="AQ507" s="983"/>
      <c r="AR507" s="983"/>
      <c r="AS507" s="983"/>
      <c r="AT507" s="983"/>
      <c r="AU507" s="983"/>
      <c r="AV507" s="983"/>
      <c r="AW507" s="983"/>
      <c r="AX507" s="983"/>
      <c r="AY507" s="983"/>
      <c r="AZ507" s="983"/>
      <c r="BA507" s="983"/>
      <c r="BB507" s="983"/>
      <c r="BC507" s="983"/>
      <c r="BD507" s="983">
        <v>15</v>
      </c>
      <c r="BE507" s="983">
        <v>13.46</v>
      </c>
      <c r="BF507" s="983"/>
      <c r="BH507" s="1002">
        <f t="shared" si="220"/>
        <v>1</v>
      </c>
      <c r="BI507" s="1002">
        <f t="shared" si="221"/>
        <v>1</v>
      </c>
      <c r="BJ507" s="1002">
        <f t="shared" si="222"/>
        <v>1</v>
      </c>
      <c r="BK507" s="1002">
        <f t="shared" si="223"/>
        <v>0</v>
      </c>
      <c r="BL507" s="1002">
        <f t="shared" si="224"/>
        <v>0</v>
      </c>
      <c r="BN507" s="998">
        <v>9</v>
      </c>
      <c r="BO507" s="435"/>
      <c r="BP507" s="335" t="s">
        <v>2277</v>
      </c>
      <c r="BQ507" s="435">
        <v>24</v>
      </c>
      <c r="BR507" s="435">
        <v>2</v>
      </c>
      <c r="BS507" s="435">
        <v>0</v>
      </c>
      <c r="BT507" s="435">
        <v>3</v>
      </c>
      <c r="BU507" s="435">
        <v>0</v>
      </c>
      <c r="BV507" s="435">
        <v>19</v>
      </c>
      <c r="BW507" s="435">
        <v>90</v>
      </c>
      <c r="BX507" s="435">
        <v>181</v>
      </c>
      <c r="BY507" s="435">
        <v>-91</v>
      </c>
      <c r="BZ507" s="435">
        <v>7</v>
      </c>
      <c r="CA507" s="664">
        <v>0.28999999999999998</v>
      </c>
      <c r="CC507" s="999">
        <v>9</v>
      </c>
      <c r="CD507" s="319" t="s">
        <v>2148</v>
      </c>
      <c r="CE507" s="319" t="s">
        <v>0</v>
      </c>
      <c r="CF507" s="312">
        <v>14</v>
      </c>
      <c r="CG507" s="312">
        <v>5</v>
      </c>
      <c r="CH507" s="312">
        <v>5</v>
      </c>
      <c r="CI507" s="312">
        <v>10</v>
      </c>
      <c r="CJ507" s="312">
        <v>0</v>
      </c>
      <c r="CK507" s="312">
        <v>0</v>
      </c>
      <c r="CL507" s="312">
        <v>0</v>
      </c>
      <c r="CM507" s="312">
        <v>0</v>
      </c>
      <c r="CN507" s="1000">
        <v>0</v>
      </c>
      <c r="DB507" s="8">
        <v>22</v>
      </c>
      <c r="DC507" s="8">
        <v>29</v>
      </c>
      <c r="DD507" s="8"/>
      <c r="DE507" s="8"/>
      <c r="DH507">
        <v>12</v>
      </c>
      <c r="DI507">
        <v>15</v>
      </c>
    </row>
    <row r="508" spans="2:115" x14ac:dyDescent="0.3">
      <c r="B508" s="1280">
        <v>296</v>
      </c>
      <c r="C508" s="977" t="s">
        <v>2153</v>
      </c>
      <c r="D508" s="977" t="s">
        <v>1829</v>
      </c>
      <c r="E508" s="977" t="s">
        <v>1545</v>
      </c>
      <c r="F508" s="977" t="s">
        <v>2294</v>
      </c>
      <c r="G508" s="977" t="s">
        <v>2297</v>
      </c>
      <c r="H508" s="991" t="str">
        <f t="shared" si="219"/>
        <v>Häviö</v>
      </c>
      <c r="I508" s="991" t="s">
        <v>1515</v>
      </c>
      <c r="J508" s="991" t="s">
        <v>0</v>
      </c>
      <c r="K508" s="991" t="s">
        <v>2275</v>
      </c>
      <c r="L508" s="992">
        <v>6</v>
      </c>
      <c r="M508" s="992">
        <v>7</v>
      </c>
      <c r="N508" s="1262">
        <v>2</v>
      </c>
      <c r="O508" s="992">
        <v>1</v>
      </c>
      <c r="P508" s="1262">
        <v>1</v>
      </c>
      <c r="Q508" s="992">
        <v>2</v>
      </c>
      <c r="R508" s="1262">
        <v>3</v>
      </c>
      <c r="S508" s="992">
        <v>4</v>
      </c>
      <c r="T508" s="1262"/>
      <c r="U508" s="992"/>
      <c r="V508" s="985">
        <v>1</v>
      </c>
      <c r="W508" s="985">
        <v>2</v>
      </c>
      <c r="X508" s="985">
        <v>1</v>
      </c>
      <c r="Y508" s="985"/>
      <c r="Z508" s="985"/>
      <c r="AA508" s="985"/>
      <c r="AB508" s="985">
        <v>1</v>
      </c>
      <c r="AC508" s="985"/>
      <c r="AD508" s="985"/>
      <c r="AE508" s="985"/>
      <c r="AF508" s="985"/>
      <c r="AG508" s="985"/>
      <c r="AH508" s="985"/>
      <c r="AI508" s="985"/>
      <c r="AJ508" s="985"/>
      <c r="AK508" s="985">
        <v>18</v>
      </c>
      <c r="AL508" s="985">
        <v>10.07</v>
      </c>
      <c r="AM508" s="985"/>
      <c r="AN508" s="8"/>
      <c r="AO508" s="983">
        <v>1</v>
      </c>
      <c r="AP508" s="983">
        <v>2</v>
      </c>
      <c r="AQ508" s="983">
        <v>1</v>
      </c>
      <c r="AR508" s="983"/>
      <c r="AS508" s="983"/>
      <c r="AT508" s="983"/>
      <c r="AU508" s="983">
        <v>1</v>
      </c>
      <c r="AV508" s="983"/>
      <c r="AW508" s="983"/>
      <c r="AX508" s="983"/>
      <c r="AY508" s="983"/>
      <c r="AZ508" s="983"/>
      <c r="BA508" s="983"/>
      <c r="BB508" s="1091">
        <v>1</v>
      </c>
      <c r="BC508" s="983"/>
      <c r="BD508" s="983">
        <v>8</v>
      </c>
      <c r="BE508" s="983">
        <v>4.43</v>
      </c>
      <c r="BF508" s="983"/>
      <c r="BH508" s="1002">
        <f t="shared" si="220"/>
        <v>0</v>
      </c>
      <c r="BI508" s="1002">
        <f t="shared" si="221"/>
        <v>0</v>
      </c>
      <c r="BJ508" s="1002">
        <f t="shared" si="222"/>
        <v>0</v>
      </c>
      <c r="BK508" s="1002">
        <f t="shared" si="223"/>
        <v>0</v>
      </c>
      <c r="BL508" s="1002">
        <f t="shared" si="224"/>
        <v>0</v>
      </c>
      <c r="CC508" s="999">
        <v>10</v>
      </c>
      <c r="CD508" s="319" t="s">
        <v>2281</v>
      </c>
      <c r="CE508" s="319" t="s">
        <v>0</v>
      </c>
      <c r="CF508" s="312">
        <v>22</v>
      </c>
      <c r="CG508" s="312">
        <v>2</v>
      </c>
      <c r="CH508" s="312">
        <v>7</v>
      </c>
      <c r="CI508" s="312">
        <v>9</v>
      </c>
      <c r="CJ508" s="312">
        <v>0</v>
      </c>
      <c r="CK508" s="312">
        <v>0</v>
      </c>
      <c r="CL508" s="312">
        <v>0</v>
      </c>
      <c r="CM508" s="312">
        <v>0</v>
      </c>
      <c r="CN508" s="1000">
        <v>0</v>
      </c>
      <c r="DB508" s="8">
        <v>12</v>
      </c>
      <c r="DC508" s="8">
        <v>15</v>
      </c>
      <c r="DD508" s="8"/>
      <c r="DE508" s="8"/>
      <c r="DH508">
        <v>15</v>
      </c>
      <c r="DI508">
        <v>22</v>
      </c>
    </row>
    <row r="509" spans="2:115" x14ac:dyDescent="0.3">
      <c r="B509" s="1280">
        <v>297</v>
      </c>
      <c r="C509" s="977" t="s">
        <v>2153</v>
      </c>
      <c r="D509" s="977" t="s">
        <v>1829</v>
      </c>
      <c r="E509" s="977" t="s">
        <v>1546</v>
      </c>
      <c r="F509" s="977" t="s">
        <v>2295</v>
      </c>
      <c r="G509" s="977" t="s">
        <v>242</v>
      </c>
      <c r="H509" s="991" t="str">
        <f t="shared" si="219"/>
        <v>Tasapeli</v>
      </c>
      <c r="I509" s="991" t="s">
        <v>1514</v>
      </c>
      <c r="J509" s="991" t="s">
        <v>0</v>
      </c>
      <c r="K509" s="991" t="s">
        <v>2273</v>
      </c>
      <c r="L509" s="992">
        <v>3</v>
      </c>
      <c r="M509" s="992">
        <v>3</v>
      </c>
      <c r="N509" s="1262">
        <v>0</v>
      </c>
      <c r="O509" s="992">
        <v>1</v>
      </c>
      <c r="P509" s="1262">
        <v>2</v>
      </c>
      <c r="Q509" s="992">
        <v>0</v>
      </c>
      <c r="R509" s="1262">
        <v>1</v>
      </c>
      <c r="S509" s="992">
        <v>2</v>
      </c>
      <c r="T509" s="1262"/>
      <c r="U509" s="992"/>
      <c r="V509" s="985">
        <v>0</v>
      </c>
      <c r="W509" s="985">
        <v>0</v>
      </c>
      <c r="X509" s="985"/>
      <c r="Y509" s="985"/>
      <c r="Z509" s="985"/>
      <c r="AA509" s="985"/>
      <c r="AB509" s="985">
        <v>1</v>
      </c>
      <c r="AC509" s="985"/>
      <c r="AD509" s="985"/>
      <c r="AE509" s="985">
        <v>1</v>
      </c>
      <c r="AF509" s="985"/>
      <c r="AG509" s="985"/>
      <c r="AH509" s="985"/>
      <c r="AI509" s="985"/>
      <c r="AJ509" s="985"/>
      <c r="AK509" s="985">
        <v>19</v>
      </c>
      <c r="AL509" s="985">
        <v>17.53</v>
      </c>
      <c r="AM509" s="985"/>
      <c r="AN509" s="8"/>
      <c r="AO509" s="983">
        <v>2</v>
      </c>
      <c r="AP509" s="983">
        <v>4</v>
      </c>
      <c r="AQ509" s="983">
        <v>2</v>
      </c>
      <c r="AR509" s="983"/>
      <c r="AS509" s="983"/>
      <c r="AT509" s="983"/>
      <c r="AU509" s="983"/>
      <c r="AV509" s="983"/>
      <c r="AW509" s="983"/>
      <c r="AX509" s="983"/>
      <c r="AY509" s="983"/>
      <c r="AZ509" s="983"/>
      <c r="BA509" s="983"/>
      <c r="BB509" s="983"/>
      <c r="BC509" s="983"/>
      <c r="BD509" s="983">
        <v>14</v>
      </c>
      <c r="BE509" s="983">
        <v>1.26</v>
      </c>
      <c r="BF509" s="983"/>
      <c r="BH509" s="1002">
        <f t="shared" si="220"/>
        <v>1</v>
      </c>
      <c r="BI509" s="1002">
        <f t="shared" si="221"/>
        <v>0</v>
      </c>
      <c r="BJ509" s="1002">
        <f t="shared" si="222"/>
        <v>0</v>
      </c>
      <c r="BK509" s="1002">
        <f t="shared" si="223"/>
        <v>1</v>
      </c>
      <c r="BL509" s="1002">
        <f t="shared" si="224"/>
        <v>0</v>
      </c>
      <c r="CC509" s="999">
        <v>11</v>
      </c>
      <c r="CD509" s="319" t="s">
        <v>1591</v>
      </c>
      <c r="CE509" s="319" t="s">
        <v>0</v>
      </c>
      <c r="CF509" s="312">
        <v>22</v>
      </c>
      <c r="CG509" s="312">
        <v>7</v>
      </c>
      <c r="CH509" s="312">
        <v>1</v>
      </c>
      <c r="CI509" s="312">
        <v>8</v>
      </c>
      <c r="CJ509" s="312">
        <v>0</v>
      </c>
      <c r="CK509" s="312">
        <v>0</v>
      </c>
      <c r="CL509" s="312">
        <v>0</v>
      </c>
      <c r="CM509" s="312">
        <v>1</v>
      </c>
      <c r="CN509" s="1000">
        <v>0</v>
      </c>
      <c r="DB509" s="8">
        <v>21</v>
      </c>
      <c r="DC509" s="8">
        <v>28</v>
      </c>
      <c r="DD509" s="8"/>
      <c r="DE509" s="8"/>
      <c r="DH509">
        <v>15</v>
      </c>
      <c r="DI509">
        <v>18</v>
      </c>
    </row>
    <row r="510" spans="2:115" x14ac:dyDescent="0.3">
      <c r="B510" s="1280">
        <v>298</v>
      </c>
      <c r="C510" s="977" t="s">
        <v>2153</v>
      </c>
      <c r="D510" s="977" t="s">
        <v>1829</v>
      </c>
      <c r="E510" s="977" t="s">
        <v>1547</v>
      </c>
      <c r="F510" s="977" t="s">
        <v>2296</v>
      </c>
      <c r="G510" s="977" t="s">
        <v>242</v>
      </c>
      <c r="H510" s="991" t="str">
        <f t="shared" si="219"/>
        <v>Häviö</v>
      </c>
      <c r="I510" s="991" t="s">
        <v>1515</v>
      </c>
      <c r="J510" s="991" t="s">
        <v>0</v>
      </c>
      <c r="K510" s="991" t="s">
        <v>2272</v>
      </c>
      <c r="L510" s="992">
        <v>3</v>
      </c>
      <c r="M510" s="992">
        <v>4</v>
      </c>
      <c r="N510" s="1262">
        <v>0</v>
      </c>
      <c r="O510" s="992">
        <v>1</v>
      </c>
      <c r="P510" s="1262">
        <v>2</v>
      </c>
      <c r="Q510" s="992">
        <v>1</v>
      </c>
      <c r="R510" s="1262">
        <v>1</v>
      </c>
      <c r="S510" s="992">
        <v>2</v>
      </c>
      <c r="T510" s="1262"/>
      <c r="U510" s="992"/>
      <c r="V510" s="985">
        <v>3</v>
      </c>
      <c r="W510" s="985">
        <v>6</v>
      </c>
      <c r="X510" s="985">
        <v>3</v>
      </c>
      <c r="Y510" s="985"/>
      <c r="Z510" s="985"/>
      <c r="AA510" s="985"/>
      <c r="AB510" s="985"/>
      <c r="AC510" s="985"/>
      <c r="AD510" s="985"/>
      <c r="AE510" s="985"/>
      <c r="AF510" s="985"/>
      <c r="AG510" s="985"/>
      <c r="AH510" s="985"/>
      <c r="AI510" s="985"/>
      <c r="AJ510" s="985"/>
      <c r="AK510" s="985">
        <v>17</v>
      </c>
      <c r="AL510" s="985">
        <v>20.14</v>
      </c>
      <c r="AM510" s="985"/>
      <c r="AN510" s="8"/>
      <c r="AO510" s="983">
        <v>1</v>
      </c>
      <c r="AP510" s="983">
        <v>2</v>
      </c>
      <c r="AQ510" s="983">
        <v>1</v>
      </c>
      <c r="AR510" s="983"/>
      <c r="AS510" s="983"/>
      <c r="AT510" s="983"/>
      <c r="AU510" s="983">
        <v>1</v>
      </c>
      <c r="AV510" s="983"/>
      <c r="AW510" s="983"/>
      <c r="AX510" s="983">
        <v>1</v>
      </c>
      <c r="AY510" s="983"/>
      <c r="AZ510" s="983"/>
      <c r="BA510" s="983"/>
      <c r="BB510" s="983"/>
      <c r="BC510" s="983"/>
      <c r="BD510" s="983">
        <v>12</v>
      </c>
      <c r="BE510" s="983">
        <v>9.39</v>
      </c>
      <c r="BF510" s="983"/>
      <c r="BH510" s="1002">
        <f t="shared" si="220"/>
        <v>0</v>
      </c>
      <c r="BI510" s="1002">
        <f t="shared" si="221"/>
        <v>0</v>
      </c>
      <c r="BJ510" s="1002">
        <f t="shared" si="222"/>
        <v>0</v>
      </c>
      <c r="BK510" s="1002">
        <f t="shared" si="223"/>
        <v>0</v>
      </c>
      <c r="BL510" s="1002">
        <f t="shared" si="224"/>
        <v>0</v>
      </c>
      <c r="CC510" s="999">
        <v>12</v>
      </c>
      <c r="CD510" s="319" t="s">
        <v>2282</v>
      </c>
      <c r="CE510" s="319" t="s">
        <v>0</v>
      </c>
      <c r="CF510" s="312">
        <v>20</v>
      </c>
      <c r="CG510" s="312">
        <v>4</v>
      </c>
      <c r="CH510" s="312">
        <v>1</v>
      </c>
      <c r="CI510" s="312">
        <v>5</v>
      </c>
      <c r="CJ510" s="312">
        <v>0</v>
      </c>
      <c r="CK510" s="312">
        <v>0</v>
      </c>
      <c r="CL510" s="312">
        <v>0</v>
      </c>
      <c r="CM510" s="312">
        <v>0</v>
      </c>
      <c r="CN510" s="1000">
        <v>0</v>
      </c>
      <c r="DB510" s="8">
        <v>19</v>
      </c>
      <c r="DC510" s="8">
        <v>20</v>
      </c>
      <c r="DH510">
        <v>12</v>
      </c>
      <c r="DI510">
        <v>17</v>
      </c>
    </row>
    <row r="511" spans="2:115" x14ac:dyDescent="0.3">
      <c r="B511" s="1280">
        <v>299</v>
      </c>
      <c r="C511" s="977" t="s">
        <v>2153</v>
      </c>
      <c r="D511" s="977" t="s">
        <v>1829</v>
      </c>
      <c r="E511" s="977" t="s">
        <v>1548</v>
      </c>
      <c r="F511" s="977" t="s">
        <v>2298</v>
      </c>
      <c r="G511" s="977" t="s">
        <v>242</v>
      </c>
      <c r="H511" s="991" t="str">
        <f t="shared" si="219"/>
        <v>Häviö</v>
      </c>
      <c r="I511" s="991" t="s">
        <v>1515</v>
      </c>
      <c r="J511" s="991" t="s">
        <v>0</v>
      </c>
      <c r="K511" s="991" t="s">
        <v>2276</v>
      </c>
      <c r="L511" s="992">
        <v>2</v>
      </c>
      <c r="M511" s="992">
        <v>3</v>
      </c>
      <c r="N511" s="1262">
        <v>0</v>
      </c>
      <c r="O511" s="992">
        <v>1</v>
      </c>
      <c r="P511" s="1262">
        <v>2</v>
      </c>
      <c r="Q511" s="992">
        <v>0</v>
      </c>
      <c r="R511" s="1262">
        <v>0</v>
      </c>
      <c r="S511" s="992">
        <v>2</v>
      </c>
      <c r="T511" s="1262"/>
      <c r="U511" s="992"/>
      <c r="V511" s="985">
        <v>0</v>
      </c>
      <c r="W511" s="985">
        <v>0</v>
      </c>
      <c r="X511" s="985"/>
      <c r="Y511" s="985"/>
      <c r="Z511" s="985"/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>
        <v>12</v>
      </c>
      <c r="AL511" s="985">
        <v>19.22</v>
      </c>
      <c r="AM511" s="985"/>
      <c r="AN511" s="8"/>
      <c r="AO511" s="983">
        <v>0</v>
      </c>
      <c r="AP511" s="983">
        <v>0</v>
      </c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>
        <v>1</v>
      </c>
      <c r="BB511" s="983"/>
      <c r="BC511" s="983"/>
      <c r="BD511" s="983">
        <v>18</v>
      </c>
      <c r="BE511" s="983">
        <v>6.01</v>
      </c>
      <c r="BF511" s="983"/>
      <c r="BH511" s="1002">
        <f t="shared" si="220"/>
        <v>1</v>
      </c>
      <c r="BI511" s="1002">
        <f t="shared" si="221"/>
        <v>1</v>
      </c>
      <c r="BJ511" s="1002">
        <f t="shared" si="222"/>
        <v>1</v>
      </c>
      <c r="BK511" s="1002">
        <f t="shared" si="223"/>
        <v>0</v>
      </c>
      <c r="BL511" s="1002">
        <f t="shared" si="224"/>
        <v>0</v>
      </c>
      <c r="CC511" s="999">
        <v>13</v>
      </c>
      <c r="CD511" s="319" t="s">
        <v>1075</v>
      </c>
      <c r="CE511" s="319" t="s">
        <v>0</v>
      </c>
      <c r="CF511" s="312">
        <v>14</v>
      </c>
      <c r="CG511" s="312">
        <v>3</v>
      </c>
      <c r="CH511" s="312">
        <v>2</v>
      </c>
      <c r="CI511" s="312">
        <v>5</v>
      </c>
      <c r="CJ511" s="312">
        <v>0</v>
      </c>
      <c r="CK511" s="312">
        <v>0</v>
      </c>
      <c r="CL511" s="312">
        <v>0</v>
      </c>
      <c r="CM511" s="312">
        <v>0</v>
      </c>
      <c r="CN511" s="1000">
        <v>0</v>
      </c>
      <c r="DB511" s="307">
        <f>SUM(DB499:DB510)</f>
        <v>195</v>
      </c>
      <c r="DC511" s="307">
        <f>SUM(DC499:DC510)</f>
        <v>234</v>
      </c>
      <c r="DH511" s="292">
        <f>SUM(DH499:DH510)</f>
        <v>165</v>
      </c>
      <c r="DI511" s="292">
        <f>SUM(DI499:DI510)</f>
        <v>220</v>
      </c>
    </row>
    <row r="512" spans="2:115" x14ac:dyDescent="0.3">
      <c r="B512" s="1280">
        <v>300</v>
      </c>
      <c r="C512" s="977" t="s">
        <v>2153</v>
      </c>
      <c r="D512" s="977" t="s">
        <v>1829</v>
      </c>
      <c r="E512" s="977" t="s">
        <v>1549</v>
      </c>
      <c r="F512" s="977" t="s">
        <v>2299</v>
      </c>
      <c r="G512" s="977" t="s">
        <v>242</v>
      </c>
      <c r="H512" s="991" t="str">
        <f t="shared" si="219"/>
        <v>Häviö</v>
      </c>
      <c r="I512" s="991" t="s">
        <v>1514</v>
      </c>
      <c r="J512" s="991" t="s">
        <v>0</v>
      </c>
      <c r="K512" s="991" t="s">
        <v>1878</v>
      </c>
      <c r="L512" s="992">
        <v>5</v>
      </c>
      <c r="M512" s="992">
        <v>8</v>
      </c>
      <c r="N512" s="1262">
        <v>1</v>
      </c>
      <c r="O512" s="992">
        <v>1</v>
      </c>
      <c r="P512" s="1262">
        <v>1</v>
      </c>
      <c r="Q512" s="992">
        <v>2</v>
      </c>
      <c r="R512" s="1262">
        <v>3</v>
      </c>
      <c r="S512" s="992">
        <v>5</v>
      </c>
      <c r="T512" s="1262"/>
      <c r="U512" s="992"/>
      <c r="V512" s="985">
        <v>2</v>
      </c>
      <c r="W512" s="985">
        <v>4</v>
      </c>
      <c r="X512" s="985">
        <v>2</v>
      </c>
      <c r="Y512" s="985"/>
      <c r="Z512" s="985"/>
      <c r="AA512" s="985"/>
      <c r="AB512" s="985">
        <v>1</v>
      </c>
      <c r="AC512" s="985"/>
      <c r="AD512" s="985"/>
      <c r="AE512" s="985">
        <v>1</v>
      </c>
      <c r="AF512" s="985"/>
      <c r="AG512" s="985"/>
      <c r="AH512" s="985"/>
      <c r="AI512" s="985"/>
      <c r="AJ512" s="985"/>
      <c r="AK512" s="985">
        <v>15</v>
      </c>
      <c r="AL512" s="985">
        <v>6</v>
      </c>
      <c r="AM512" s="985"/>
      <c r="AN512" s="8"/>
      <c r="AO512" s="983">
        <v>1</v>
      </c>
      <c r="AP512" s="983">
        <v>2</v>
      </c>
      <c r="AQ512" s="983">
        <v>1</v>
      </c>
      <c r="AR512" s="983"/>
      <c r="AS512" s="983"/>
      <c r="AT512" s="983"/>
      <c r="AU512" s="983">
        <v>2</v>
      </c>
      <c r="AV512" s="983"/>
      <c r="AW512" s="983">
        <v>1</v>
      </c>
      <c r="AX512" s="983">
        <v>1</v>
      </c>
      <c r="AY512" s="983"/>
      <c r="AZ512" s="983"/>
      <c r="BA512" s="983"/>
      <c r="BB512" s="983">
        <v>1</v>
      </c>
      <c r="BC512" s="983"/>
      <c r="BD512" s="983">
        <v>11</v>
      </c>
      <c r="BE512" s="983">
        <v>8.36</v>
      </c>
      <c r="BF512" s="983"/>
      <c r="BH512" s="1002">
        <f t="shared" si="220"/>
        <v>0</v>
      </c>
      <c r="BI512" s="1002">
        <f t="shared" si="221"/>
        <v>0</v>
      </c>
      <c r="BJ512" s="1002">
        <f t="shared" si="222"/>
        <v>0</v>
      </c>
      <c r="BK512" s="1002">
        <f t="shared" si="223"/>
        <v>0</v>
      </c>
      <c r="BL512" s="1002">
        <f t="shared" si="224"/>
        <v>0</v>
      </c>
      <c r="CC512" s="999">
        <v>14</v>
      </c>
      <c r="CD512" s="319" t="s">
        <v>2181</v>
      </c>
      <c r="CE512" s="319" t="s">
        <v>0</v>
      </c>
      <c r="CF512" s="312">
        <v>3</v>
      </c>
      <c r="CG512" s="312">
        <v>1</v>
      </c>
      <c r="CH512" s="312">
        <v>0</v>
      </c>
      <c r="CI512" s="312">
        <v>1</v>
      </c>
      <c r="CJ512" s="312">
        <v>0</v>
      </c>
      <c r="CK512" s="312">
        <v>0</v>
      </c>
      <c r="CL512" s="312">
        <v>0</v>
      </c>
      <c r="CM512" s="312">
        <v>0</v>
      </c>
      <c r="CN512" s="1000">
        <v>0</v>
      </c>
    </row>
    <row r="513" spans="2:92" x14ac:dyDescent="0.3">
      <c r="B513" s="1280">
        <v>301</v>
      </c>
      <c r="C513" s="977" t="s">
        <v>2153</v>
      </c>
      <c r="D513" s="977" t="s">
        <v>1829</v>
      </c>
      <c r="E513" s="977" t="s">
        <v>1550</v>
      </c>
      <c r="F513" s="977" t="s">
        <v>2300</v>
      </c>
      <c r="G513" s="977" t="s">
        <v>2297</v>
      </c>
      <c r="H513" s="991" t="str">
        <f t="shared" si="219"/>
        <v>Häviö</v>
      </c>
      <c r="I513" s="991" t="s">
        <v>1515</v>
      </c>
      <c r="J513" s="991" t="s">
        <v>0</v>
      </c>
      <c r="K513" s="991" t="s">
        <v>2274</v>
      </c>
      <c r="L513" s="992">
        <v>2</v>
      </c>
      <c r="M513" s="992">
        <v>3</v>
      </c>
      <c r="N513" s="1262">
        <v>2</v>
      </c>
      <c r="O513" s="992">
        <v>2</v>
      </c>
      <c r="P513" s="1262">
        <v>0</v>
      </c>
      <c r="Q513" s="992">
        <v>1</v>
      </c>
      <c r="R513" s="1262">
        <v>0</v>
      </c>
      <c r="S513" s="992">
        <v>0</v>
      </c>
      <c r="T513" s="1262"/>
      <c r="U513" s="992"/>
      <c r="V513" s="985">
        <v>1</v>
      </c>
      <c r="W513" s="985">
        <v>2</v>
      </c>
      <c r="X513" s="985">
        <v>1</v>
      </c>
      <c r="Y513" s="985"/>
      <c r="Z513" s="985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>
        <v>15</v>
      </c>
      <c r="AL513" s="985">
        <v>8.2899999999999991</v>
      </c>
      <c r="AM513" s="985"/>
      <c r="AN513" s="8"/>
      <c r="AO513" s="983">
        <v>5</v>
      </c>
      <c r="AP513" s="983">
        <v>10</v>
      </c>
      <c r="AQ513" s="983">
        <v>5</v>
      </c>
      <c r="AR513" s="983"/>
      <c r="AS513" s="983"/>
      <c r="AT513" s="983"/>
      <c r="AU513" s="983"/>
      <c r="AV513" s="983"/>
      <c r="AW513" s="983">
        <v>1</v>
      </c>
      <c r="AX513" s="983">
        <v>1</v>
      </c>
      <c r="AY513" s="983"/>
      <c r="AZ513" s="983"/>
      <c r="BA513" s="983"/>
      <c r="BB513" s="983"/>
      <c r="BC513" s="983"/>
      <c r="BD513" s="983">
        <v>15</v>
      </c>
      <c r="BE513" s="983">
        <v>3.04</v>
      </c>
      <c r="BF513" s="983"/>
      <c r="BH513" s="1002">
        <f t="shared" si="220"/>
        <v>0</v>
      </c>
      <c r="BI513" s="1002">
        <f t="shared" si="221"/>
        <v>0</v>
      </c>
      <c r="BJ513" s="1002">
        <f t="shared" si="222"/>
        <v>0</v>
      </c>
      <c r="BK513" s="1002">
        <f t="shared" si="223"/>
        <v>0</v>
      </c>
      <c r="BL513" s="1002">
        <f t="shared" si="224"/>
        <v>0</v>
      </c>
      <c r="CC513" s="999">
        <v>15</v>
      </c>
      <c r="CD513" s="319" t="s">
        <v>2283</v>
      </c>
      <c r="CE513" s="319" t="s">
        <v>0</v>
      </c>
      <c r="CF513" s="312">
        <v>10</v>
      </c>
      <c r="CG513" s="312">
        <v>1</v>
      </c>
      <c r="CH513" s="312">
        <v>0</v>
      </c>
      <c r="CI513" s="312">
        <v>1</v>
      </c>
      <c r="CJ513" s="312">
        <v>0</v>
      </c>
      <c r="CK513" s="312">
        <v>0</v>
      </c>
      <c r="CL513" s="312">
        <v>0</v>
      </c>
      <c r="CM513" s="312">
        <v>0</v>
      </c>
      <c r="CN513" s="1000">
        <v>0</v>
      </c>
    </row>
    <row r="514" spans="2:92" x14ac:dyDescent="0.3">
      <c r="B514" s="1280">
        <v>302</v>
      </c>
      <c r="C514" s="977" t="s">
        <v>2153</v>
      </c>
      <c r="D514" s="977" t="s">
        <v>1829</v>
      </c>
      <c r="E514" s="977" t="s">
        <v>1551</v>
      </c>
      <c r="F514" s="977" t="s">
        <v>2301</v>
      </c>
      <c r="G514" s="977" t="s">
        <v>2297</v>
      </c>
      <c r="H514" s="991" t="str">
        <f t="shared" si="219"/>
        <v>Voitto</v>
      </c>
      <c r="I514" s="991" t="s">
        <v>1514</v>
      </c>
      <c r="J514" s="991" t="s">
        <v>0</v>
      </c>
      <c r="K514" s="991" t="s">
        <v>2175</v>
      </c>
      <c r="L514" s="992">
        <v>5</v>
      </c>
      <c r="M514" s="992">
        <v>3</v>
      </c>
      <c r="N514" s="1262">
        <v>2</v>
      </c>
      <c r="O514" s="992">
        <v>2</v>
      </c>
      <c r="P514" s="1262">
        <v>0</v>
      </c>
      <c r="Q514" s="992">
        <v>0</v>
      </c>
      <c r="R514" s="1262">
        <v>3</v>
      </c>
      <c r="S514" s="992">
        <v>1</v>
      </c>
      <c r="T514" s="1262"/>
      <c r="U514" s="992"/>
      <c r="V514" s="985">
        <v>3</v>
      </c>
      <c r="W514" s="985">
        <v>6</v>
      </c>
      <c r="X514" s="985">
        <v>3</v>
      </c>
      <c r="Y514" s="985"/>
      <c r="Z514" s="985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>
        <v>17</v>
      </c>
      <c r="AL514" s="985">
        <v>11.19</v>
      </c>
      <c r="AM514" s="985"/>
      <c r="AN514" s="8"/>
      <c r="AO514" s="983">
        <v>2</v>
      </c>
      <c r="AP514" s="983">
        <v>4</v>
      </c>
      <c r="AQ514" s="983">
        <v>2</v>
      </c>
      <c r="AR514" s="983"/>
      <c r="AS514" s="983"/>
      <c r="AT514" s="983"/>
      <c r="AU514" s="983">
        <v>1</v>
      </c>
      <c r="AV514" s="983"/>
      <c r="AW514" s="983"/>
      <c r="AX514" s="983"/>
      <c r="AY514" s="983"/>
      <c r="AZ514" s="983"/>
      <c r="BA514" s="983"/>
      <c r="BB514" s="983"/>
      <c r="BC514" s="983">
        <v>1</v>
      </c>
      <c r="BD514" s="983">
        <v>12</v>
      </c>
      <c r="BE514" s="983">
        <v>11.07</v>
      </c>
      <c r="BF514" s="983"/>
      <c r="BH514" s="1002">
        <f t="shared" si="220"/>
        <v>0</v>
      </c>
      <c r="BI514" s="1002">
        <f t="shared" si="221"/>
        <v>0</v>
      </c>
      <c r="BJ514" s="1002">
        <f t="shared" si="222"/>
        <v>0</v>
      </c>
      <c r="BK514" s="1002">
        <f t="shared" si="223"/>
        <v>0</v>
      </c>
      <c r="BL514" s="1002">
        <f t="shared" si="224"/>
        <v>0</v>
      </c>
      <c r="CC514" s="999">
        <v>16</v>
      </c>
      <c r="CD514" s="319" t="s">
        <v>55</v>
      </c>
      <c r="CE514" s="319" t="s">
        <v>0</v>
      </c>
      <c r="CF514" s="312">
        <v>6</v>
      </c>
      <c r="CG514" s="312">
        <v>0</v>
      </c>
      <c r="CH514" s="312">
        <v>0</v>
      </c>
      <c r="CI514" s="312">
        <v>0</v>
      </c>
      <c r="CJ514" s="312">
        <v>0</v>
      </c>
      <c r="CK514" s="312">
        <v>0</v>
      </c>
      <c r="CL514" s="312">
        <v>0</v>
      </c>
      <c r="CM514" s="312">
        <v>0</v>
      </c>
      <c r="CN514" s="1000">
        <v>0</v>
      </c>
    </row>
    <row r="515" spans="2:92" x14ac:dyDescent="0.3">
      <c r="B515" s="1280">
        <v>303</v>
      </c>
      <c r="C515" s="977" t="s">
        <v>2153</v>
      </c>
      <c r="D515" s="977" t="s">
        <v>1829</v>
      </c>
      <c r="E515" s="977" t="s">
        <v>1552</v>
      </c>
      <c r="F515" s="977" t="s">
        <v>2302</v>
      </c>
      <c r="G515" s="977" t="s">
        <v>796</v>
      </c>
      <c r="H515" s="991" t="str">
        <f t="shared" si="219"/>
        <v>Tasapeli</v>
      </c>
      <c r="I515" s="991" t="s">
        <v>1515</v>
      </c>
      <c r="J515" s="991" t="s">
        <v>0</v>
      </c>
      <c r="K515" s="991" t="s">
        <v>2277</v>
      </c>
      <c r="L515" s="992">
        <v>5</v>
      </c>
      <c r="M515" s="992">
        <v>5</v>
      </c>
      <c r="N515" s="1262">
        <v>1</v>
      </c>
      <c r="O515" s="992">
        <v>1</v>
      </c>
      <c r="P515" s="1262">
        <v>2</v>
      </c>
      <c r="Q515" s="992">
        <v>1</v>
      </c>
      <c r="R515" s="1262">
        <v>2</v>
      </c>
      <c r="S515" s="992">
        <v>3</v>
      </c>
      <c r="T515" s="1262"/>
      <c r="U515" s="992"/>
      <c r="V515" s="985">
        <v>2</v>
      </c>
      <c r="W515" s="985">
        <v>4</v>
      </c>
      <c r="X515" s="985">
        <v>2</v>
      </c>
      <c r="Y515" s="985"/>
      <c r="Z515" s="985"/>
      <c r="AA515" s="985"/>
      <c r="AB515" s="985"/>
      <c r="AC515" s="985"/>
      <c r="AD515" s="985"/>
      <c r="AE515" s="985"/>
      <c r="AF515" s="985"/>
      <c r="AG515" s="985"/>
      <c r="AH515" s="985"/>
      <c r="AI515" s="985"/>
      <c r="AJ515" s="985"/>
      <c r="AK515" s="985">
        <v>12</v>
      </c>
      <c r="AL515" s="985">
        <v>2.48</v>
      </c>
      <c r="AM515" s="985"/>
      <c r="AN515" s="8"/>
      <c r="AO515" s="983">
        <v>0</v>
      </c>
      <c r="AP515" s="983">
        <v>0</v>
      </c>
      <c r="AQ515" s="983"/>
      <c r="AR515" s="983"/>
      <c r="AS515" s="983"/>
      <c r="AT515" s="983"/>
      <c r="AU515" s="983">
        <v>1</v>
      </c>
      <c r="AV515" s="983"/>
      <c r="AW515" s="983"/>
      <c r="AX515" s="983"/>
      <c r="AY515" s="983"/>
      <c r="AZ515" s="983"/>
      <c r="BA515" s="983"/>
      <c r="BB515" s="983"/>
      <c r="BC515" s="983"/>
      <c r="BD515" s="983">
        <v>20</v>
      </c>
      <c r="BE515" s="983">
        <v>11.07</v>
      </c>
      <c r="BF515" s="983"/>
      <c r="BH515" s="1002">
        <f t="shared" si="220"/>
        <v>0</v>
      </c>
      <c r="BI515" s="1002">
        <f t="shared" si="221"/>
        <v>1</v>
      </c>
      <c r="BJ515" s="1002">
        <f t="shared" si="222"/>
        <v>0</v>
      </c>
      <c r="BK515" s="1002">
        <f t="shared" si="223"/>
        <v>0</v>
      </c>
      <c r="BL515" s="1002">
        <f t="shared" si="224"/>
        <v>1</v>
      </c>
      <c r="CC515" s="999">
        <v>17</v>
      </c>
      <c r="CD515" s="319" t="s">
        <v>1597</v>
      </c>
      <c r="CE515" s="319" t="s">
        <v>0</v>
      </c>
      <c r="CF515" s="312">
        <v>18</v>
      </c>
      <c r="CG515" s="312">
        <v>0</v>
      </c>
      <c r="CH515" s="312">
        <v>0</v>
      </c>
      <c r="CI515" s="312">
        <v>0</v>
      </c>
      <c r="CJ515" s="312">
        <v>0</v>
      </c>
      <c r="CK515" s="312">
        <v>0</v>
      </c>
      <c r="CL515" s="312">
        <v>0</v>
      </c>
      <c r="CM515" s="312">
        <v>0</v>
      </c>
      <c r="CN515" s="1000">
        <v>0</v>
      </c>
    </row>
    <row r="516" spans="2:92" x14ac:dyDescent="0.3">
      <c r="B516" s="1280">
        <v>304</v>
      </c>
      <c r="C516" s="977" t="s">
        <v>2153</v>
      </c>
      <c r="D516" s="977" t="s">
        <v>1829</v>
      </c>
      <c r="E516" s="977" t="s">
        <v>1553</v>
      </c>
      <c r="F516" s="977" t="s">
        <v>2303</v>
      </c>
      <c r="G516" s="977" t="s">
        <v>796</v>
      </c>
      <c r="H516" s="991" t="str">
        <f t="shared" si="219"/>
        <v>Voitto</v>
      </c>
      <c r="I516" s="991" t="s">
        <v>1514</v>
      </c>
      <c r="J516" s="991" t="s">
        <v>0</v>
      </c>
      <c r="K516" s="991" t="s">
        <v>2275</v>
      </c>
      <c r="L516" s="992">
        <v>6</v>
      </c>
      <c r="M516" s="992">
        <v>1</v>
      </c>
      <c r="N516" s="1262">
        <v>0</v>
      </c>
      <c r="O516" s="992">
        <v>1</v>
      </c>
      <c r="P516" s="1262">
        <v>3</v>
      </c>
      <c r="Q516" s="992">
        <v>0</v>
      </c>
      <c r="R516" s="1262">
        <v>3</v>
      </c>
      <c r="S516" s="992">
        <v>0</v>
      </c>
      <c r="T516" s="1262"/>
      <c r="U516" s="992"/>
      <c r="V516" s="985">
        <v>1</v>
      </c>
      <c r="W516" s="985">
        <v>2</v>
      </c>
      <c r="X516" s="985">
        <v>1</v>
      </c>
      <c r="Y516" s="985"/>
      <c r="Z516" s="985"/>
      <c r="AA516" s="985"/>
      <c r="AB516" s="985"/>
      <c r="AC516" s="985"/>
      <c r="AD516" s="985"/>
      <c r="AE516" s="985"/>
      <c r="AF516" s="985"/>
      <c r="AG516" s="985"/>
      <c r="AH516" s="985"/>
      <c r="AI516" s="985"/>
      <c r="AJ516" s="985"/>
      <c r="AK516" s="985">
        <v>22</v>
      </c>
      <c r="AL516" s="985">
        <v>23.08</v>
      </c>
      <c r="AM516" s="985"/>
      <c r="AN516" s="8"/>
      <c r="AO516" s="983">
        <v>0</v>
      </c>
      <c r="AP516" s="983">
        <v>0</v>
      </c>
      <c r="AQ516" s="983"/>
      <c r="AR516" s="983"/>
      <c r="AS516" s="983"/>
      <c r="AT516" s="983"/>
      <c r="AU516" s="983"/>
      <c r="AV516" s="983"/>
      <c r="AW516" s="983"/>
      <c r="AX516" s="983"/>
      <c r="AY516" s="983"/>
      <c r="AZ516" s="983"/>
      <c r="BA516" s="983"/>
      <c r="BB516" s="983"/>
      <c r="BC516" s="983"/>
      <c r="BD516" s="983">
        <v>16</v>
      </c>
      <c r="BE516" s="983">
        <v>6.28</v>
      </c>
      <c r="BF516" s="983"/>
      <c r="BH516" s="1002">
        <f t="shared" si="220"/>
        <v>0</v>
      </c>
      <c r="BI516" s="1002">
        <f t="shared" si="221"/>
        <v>1</v>
      </c>
      <c r="BJ516" s="1002">
        <f t="shared" si="222"/>
        <v>0</v>
      </c>
      <c r="BK516" s="1002">
        <f t="shared" si="223"/>
        <v>0</v>
      </c>
      <c r="BL516" s="1002">
        <f t="shared" si="224"/>
        <v>1</v>
      </c>
      <c r="CC516" s="307"/>
      <c r="CD516" s="292"/>
      <c r="CE516" s="292"/>
      <c r="CF516" s="307"/>
      <c r="CG516" s="307"/>
      <c r="CH516" s="307"/>
      <c r="CI516" s="307"/>
      <c r="CJ516" s="307"/>
      <c r="CK516" s="307"/>
      <c r="CL516" s="307"/>
      <c r="CM516" s="307"/>
      <c r="CN516" s="307"/>
    </row>
    <row r="517" spans="2:92" x14ac:dyDescent="0.3">
      <c r="B517" s="1280">
        <v>305</v>
      </c>
      <c r="C517" s="977" t="s">
        <v>2153</v>
      </c>
      <c r="D517" s="977" t="s">
        <v>1829</v>
      </c>
      <c r="E517" s="977" t="s">
        <v>1554</v>
      </c>
      <c r="F517" s="977" t="s">
        <v>2304</v>
      </c>
      <c r="G517" s="977" t="s">
        <v>796</v>
      </c>
      <c r="H517" s="991" t="str">
        <f t="shared" si="219"/>
        <v>Voitto</v>
      </c>
      <c r="I517" s="991" t="s">
        <v>1515</v>
      </c>
      <c r="J517" s="991" t="s">
        <v>0</v>
      </c>
      <c r="K517" s="991" t="s">
        <v>2273</v>
      </c>
      <c r="L517" s="992">
        <v>1</v>
      </c>
      <c r="M517" s="992">
        <v>0</v>
      </c>
      <c r="N517" s="1262">
        <v>0</v>
      </c>
      <c r="O517" s="992">
        <v>0</v>
      </c>
      <c r="P517" s="1262">
        <v>0</v>
      </c>
      <c r="Q517" s="992">
        <v>0</v>
      </c>
      <c r="R517" s="1262">
        <v>1</v>
      </c>
      <c r="S517" s="992">
        <v>0</v>
      </c>
      <c r="T517" s="1262"/>
      <c r="U517" s="992"/>
      <c r="V517" s="985">
        <v>2</v>
      </c>
      <c r="W517" s="985">
        <v>4</v>
      </c>
      <c r="X517" s="985">
        <v>2</v>
      </c>
      <c r="Y517" s="985"/>
      <c r="Z517" s="985"/>
      <c r="AA517" s="985"/>
      <c r="AB517" s="985"/>
      <c r="AC517" s="985"/>
      <c r="AD517" s="985"/>
      <c r="AE517" s="985"/>
      <c r="AF517" s="985"/>
      <c r="AG517" s="985"/>
      <c r="AH517" s="985"/>
      <c r="AI517" s="985"/>
      <c r="AJ517" s="985"/>
      <c r="AK517" s="985">
        <v>16</v>
      </c>
      <c r="AL517" s="985">
        <v>38.31</v>
      </c>
      <c r="AM517" s="985"/>
      <c r="AN517" s="8"/>
      <c r="AO517" s="983">
        <v>0</v>
      </c>
      <c r="AP517" s="983">
        <v>0</v>
      </c>
      <c r="AQ517" s="983"/>
      <c r="AR517" s="983"/>
      <c r="AS517" s="983"/>
      <c r="AT517" s="983"/>
      <c r="AU517" s="983"/>
      <c r="AV517" s="983"/>
      <c r="AW517" s="983"/>
      <c r="AX517" s="983"/>
      <c r="AY517" s="983"/>
      <c r="AZ517" s="983"/>
      <c r="BA517" s="983"/>
      <c r="BB517" s="983"/>
      <c r="BC517" s="983"/>
      <c r="BD517" s="983">
        <v>9</v>
      </c>
      <c r="BE517" s="983" t="s">
        <v>107</v>
      </c>
      <c r="BF517" s="983"/>
      <c r="BH517" s="1002">
        <f t="shared" si="220"/>
        <v>0</v>
      </c>
      <c r="BI517" s="1002">
        <f t="shared" si="221"/>
        <v>1</v>
      </c>
      <c r="BJ517" s="1002">
        <f t="shared" si="222"/>
        <v>0</v>
      </c>
      <c r="BK517" s="1002">
        <f t="shared" si="223"/>
        <v>0</v>
      </c>
      <c r="BL517" s="1002">
        <f t="shared" si="224"/>
        <v>1</v>
      </c>
    </row>
    <row r="518" spans="2:92" x14ac:dyDescent="0.3">
      <c r="B518" s="1280">
        <v>306</v>
      </c>
      <c r="C518" s="977" t="s">
        <v>2153</v>
      </c>
      <c r="D518" s="977" t="s">
        <v>1829</v>
      </c>
      <c r="E518" s="977" t="s">
        <v>1555</v>
      </c>
      <c r="F518" s="977" t="s">
        <v>2305</v>
      </c>
      <c r="G518" s="977" t="s">
        <v>796</v>
      </c>
      <c r="H518" s="991" t="str">
        <f t="shared" si="219"/>
        <v>Voitto</v>
      </c>
      <c r="I518" s="991" t="s">
        <v>1514</v>
      </c>
      <c r="J518" s="991" t="s">
        <v>0</v>
      </c>
      <c r="K518" s="991" t="s">
        <v>2272</v>
      </c>
      <c r="L518" s="992">
        <v>6</v>
      </c>
      <c r="M518" s="992">
        <v>5</v>
      </c>
      <c r="N518" s="1262">
        <v>1</v>
      </c>
      <c r="O518" s="992">
        <v>0</v>
      </c>
      <c r="P518" s="1262">
        <v>2</v>
      </c>
      <c r="Q518" s="992">
        <v>3</v>
      </c>
      <c r="R518" s="1262">
        <v>3</v>
      </c>
      <c r="S518" s="992">
        <v>2</v>
      </c>
      <c r="T518" s="1262"/>
      <c r="U518" s="992"/>
      <c r="V518" s="985">
        <v>0</v>
      </c>
      <c r="W518" s="985">
        <v>0</v>
      </c>
      <c r="X518" s="985"/>
      <c r="Y518" s="985"/>
      <c r="Z518" s="985"/>
      <c r="AA518" s="985"/>
      <c r="AB518" s="985">
        <v>2</v>
      </c>
      <c r="AC518" s="985"/>
      <c r="AD518" s="985"/>
      <c r="AE518" s="985"/>
      <c r="AF518" s="985"/>
      <c r="AG518" s="985"/>
      <c r="AH518" s="985"/>
      <c r="AI518" s="985"/>
      <c r="AJ518" s="985"/>
      <c r="AK518" s="985" t="s">
        <v>1019</v>
      </c>
      <c r="AL518" s="985">
        <v>12.52</v>
      </c>
      <c r="AM518" s="985"/>
      <c r="AN518" s="8"/>
      <c r="AO518" s="983">
        <v>3</v>
      </c>
      <c r="AP518" s="983">
        <v>6</v>
      </c>
      <c r="AQ518" s="983">
        <v>3</v>
      </c>
      <c r="AR518" s="983"/>
      <c r="AS518" s="983"/>
      <c r="AT518" s="983"/>
      <c r="AU518" s="983"/>
      <c r="AV518" s="983"/>
      <c r="AW518" s="983"/>
      <c r="AX518" s="983"/>
      <c r="AY518" s="983"/>
      <c r="AZ518" s="983"/>
      <c r="BA518" s="983"/>
      <c r="BB518" s="983"/>
      <c r="BC518" s="983"/>
      <c r="BD518" s="983" t="s">
        <v>1019</v>
      </c>
      <c r="BE518" s="983">
        <v>17.02</v>
      </c>
      <c r="BF518" s="983"/>
      <c r="BH518" s="1002">
        <f t="shared" si="220"/>
        <v>1</v>
      </c>
      <c r="BI518" s="1002">
        <f t="shared" si="221"/>
        <v>0</v>
      </c>
      <c r="BJ518" s="1002">
        <f t="shared" si="222"/>
        <v>0</v>
      </c>
      <c r="BK518" s="1002">
        <f t="shared" si="223"/>
        <v>1</v>
      </c>
      <c r="BL518" s="1002">
        <f t="shared" si="224"/>
        <v>0</v>
      </c>
    </row>
    <row r="519" spans="2:92" x14ac:dyDescent="0.3">
      <c r="B519" s="1280">
        <v>307</v>
      </c>
      <c r="C519" s="977" t="s">
        <v>2153</v>
      </c>
      <c r="D519" s="977" t="s">
        <v>1829</v>
      </c>
      <c r="E519" s="977" t="s">
        <v>1871</v>
      </c>
      <c r="F519" s="977" t="s">
        <v>2306</v>
      </c>
      <c r="G519" s="977" t="s">
        <v>1593</v>
      </c>
      <c r="H519" s="991" t="str">
        <f t="shared" si="219"/>
        <v>Voitto</v>
      </c>
      <c r="I519" s="991" t="s">
        <v>1514</v>
      </c>
      <c r="J519" s="991" t="s">
        <v>0</v>
      </c>
      <c r="K519" s="991" t="s">
        <v>2276</v>
      </c>
      <c r="L519" s="992">
        <v>10</v>
      </c>
      <c r="M519" s="992">
        <v>7</v>
      </c>
      <c r="N519" s="1262">
        <v>4</v>
      </c>
      <c r="O519" s="992">
        <v>3</v>
      </c>
      <c r="P519" s="1262">
        <v>3</v>
      </c>
      <c r="Q519" s="992">
        <v>3</v>
      </c>
      <c r="R519" s="1262">
        <v>3</v>
      </c>
      <c r="S519" s="992">
        <v>1</v>
      </c>
      <c r="T519" s="1262"/>
      <c r="U519" s="992"/>
      <c r="V519" s="985">
        <v>2</v>
      </c>
      <c r="W519" s="985">
        <v>4</v>
      </c>
      <c r="X519" s="985">
        <v>2</v>
      </c>
      <c r="Y519" s="985"/>
      <c r="Z519" s="985"/>
      <c r="AA519" s="985"/>
      <c r="AB519" s="985">
        <v>1</v>
      </c>
      <c r="AC519" s="985"/>
      <c r="AD519" s="985"/>
      <c r="AE519" s="985"/>
      <c r="AF519" s="985"/>
      <c r="AG519" s="985"/>
      <c r="AH519" s="985"/>
      <c r="AI519" s="985">
        <v>1</v>
      </c>
      <c r="AJ519" s="985"/>
      <c r="AK519" s="985">
        <v>22</v>
      </c>
      <c r="AL519" s="985">
        <v>1.44</v>
      </c>
      <c r="AM519" s="985"/>
      <c r="AN519" s="8"/>
      <c r="AO519" s="983">
        <v>1</v>
      </c>
      <c r="AP519" s="983">
        <v>2</v>
      </c>
      <c r="AQ519" s="983">
        <v>1</v>
      </c>
      <c r="AR519" s="983"/>
      <c r="AS519" s="983"/>
      <c r="AT519" s="983"/>
      <c r="AU519" s="983">
        <v>2</v>
      </c>
      <c r="AV519" s="983"/>
      <c r="AW519" s="983"/>
      <c r="AX519" s="983"/>
      <c r="AY519" s="983"/>
      <c r="AZ519" s="983"/>
      <c r="BA519" s="983"/>
      <c r="BB519" s="983"/>
      <c r="BC519" s="983"/>
      <c r="BD519" s="983">
        <v>13</v>
      </c>
      <c r="BE519" s="983">
        <v>1.1499999999999999</v>
      </c>
      <c r="BF519" s="983"/>
      <c r="BH519" s="1002">
        <f t="shared" si="220"/>
        <v>0</v>
      </c>
      <c r="BI519" s="1002">
        <f t="shared" si="221"/>
        <v>0</v>
      </c>
      <c r="BJ519" s="1002">
        <f t="shared" si="222"/>
        <v>0</v>
      </c>
      <c r="BK519" s="1002">
        <f t="shared" si="223"/>
        <v>0</v>
      </c>
      <c r="BL519" s="1002">
        <f t="shared" si="224"/>
        <v>0</v>
      </c>
    </row>
    <row r="520" spans="2:92" x14ac:dyDescent="0.3">
      <c r="B520" s="1280">
        <v>308</v>
      </c>
      <c r="C520" s="977" t="s">
        <v>2153</v>
      </c>
      <c r="D520" s="977" t="s">
        <v>1829</v>
      </c>
      <c r="E520" s="977" t="s">
        <v>1902</v>
      </c>
      <c r="F520" s="977" t="s">
        <v>2307</v>
      </c>
      <c r="G520" s="977" t="s">
        <v>1593</v>
      </c>
      <c r="H520" s="991" t="str">
        <f t="shared" si="219"/>
        <v>Häviö</v>
      </c>
      <c r="I520" s="991" t="s">
        <v>1515</v>
      </c>
      <c r="J520" s="991" t="s">
        <v>0</v>
      </c>
      <c r="K520" s="991" t="s">
        <v>1878</v>
      </c>
      <c r="L520" s="992">
        <v>2</v>
      </c>
      <c r="M520" s="992">
        <v>3</v>
      </c>
      <c r="N520" s="1262">
        <v>1</v>
      </c>
      <c r="O520" s="992">
        <v>0</v>
      </c>
      <c r="P520" s="1262">
        <v>0</v>
      </c>
      <c r="Q520" s="992">
        <v>2</v>
      </c>
      <c r="R520" s="1262">
        <v>1</v>
      </c>
      <c r="S520" s="992">
        <v>1</v>
      </c>
      <c r="T520" s="1262"/>
      <c r="U520" s="992"/>
      <c r="V520" s="985">
        <v>4</v>
      </c>
      <c r="W520" s="985">
        <v>8</v>
      </c>
      <c r="X520" s="985">
        <v>4</v>
      </c>
      <c r="Y520" s="985"/>
      <c r="Z520" s="985"/>
      <c r="AA520" s="985"/>
      <c r="AB520" s="985"/>
      <c r="AC520" s="985"/>
      <c r="AD520" s="985"/>
      <c r="AE520" s="985"/>
      <c r="AF520" s="985"/>
      <c r="AG520" s="985"/>
      <c r="AH520" s="985"/>
      <c r="AI520" s="985"/>
      <c r="AJ520" s="985"/>
      <c r="AK520" s="985">
        <v>12</v>
      </c>
      <c r="AL520" s="985">
        <v>5.35</v>
      </c>
      <c r="AM520" s="985"/>
      <c r="AN520" s="8"/>
      <c r="AO520" s="983">
        <v>1</v>
      </c>
      <c r="AP520" s="983">
        <v>2</v>
      </c>
      <c r="AQ520" s="983">
        <v>1</v>
      </c>
      <c r="AR520" s="983"/>
      <c r="AS520" s="983"/>
      <c r="AT520" s="983"/>
      <c r="AU520" s="983">
        <v>1</v>
      </c>
      <c r="AV520" s="983"/>
      <c r="AW520" s="983"/>
      <c r="AX520" s="983">
        <v>1</v>
      </c>
      <c r="AY520" s="983"/>
      <c r="AZ520" s="983"/>
      <c r="BA520" s="983"/>
      <c r="BB520" s="983"/>
      <c r="BC520" s="983"/>
      <c r="BD520" s="983">
        <v>9</v>
      </c>
      <c r="BE520" s="983">
        <v>20.329999999999998</v>
      </c>
      <c r="BF520" s="983"/>
      <c r="BH520" s="1002">
        <f t="shared" si="220"/>
        <v>0</v>
      </c>
      <c r="BI520" s="1002">
        <f t="shared" si="221"/>
        <v>0</v>
      </c>
      <c r="BJ520" s="1002">
        <f t="shared" si="222"/>
        <v>0</v>
      </c>
      <c r="BK520" s="1002">
        <f t="shared" si="223"/>
        <v>0</v>
      </c>
      <c r="BL520" s="1002">
        <f t="shared" si="224"/>
        <v>0</v>
      </c>
    </row>
    <row r="521" spans="2:92" x14ac:dyDescent="0.3">
      <c r="B521" s="1280">
        <v>309</v>
      </c>
      <c r="C521" s="977" t="s">
        <v>2153</v>
      </c>
      <c r="D521" s="977" t="s">
        <v>1829</v>
      </c>
      <c r="E521" s="977" t="s">
        <v>1903</v>
      </c>
      <c r="F521" s="977" t="s">
        <v>2308</v>
      </c>
      <c r="G521" s="977" t="s">
        <v>242</v>
      </c>
      <c r="H521" s="991" t="str">
        <f t="shared" si="219"/>
        <v>Häviö</v>
      </c>
      <c r="I521" s="991" t="s">
        <v>1514</v>
      </c>
      <c r="J521" s="991" t="s">
        <v>0</v>
      </c>
      <c r="K521" s="991" t="s">
        <v>2274</v>
      </c>
      <c r="L521" s="992">
        <v>6</v>
      </c>
      <c r="M521" s="992">
        <v>7</v>
      </c>
      <c r="N521" s="1262">
        <v>3</v>
      </c>
      <c r="O521" s="992">
        <v>2</v>
      </c>
      <c r="P521" s="1262">
        <v>2</v>
      </c>
      <c r="Q521" s="992">
        <v>2</v>
      </c>
      <c r="R521" s="1262">
        <v>1</v>
      </c>
      <c r="S521" s="992">
        <v>3</v>
      </c>
      <c r="T521" s="1262"/>
      <c r="U521" s="992"/>
      <c r="V521" s="985">
        <v>0</v>
      </c>
      <c r="W521" s="985">
        <v>0</v>
      </c>
      <c r="X521" s="985"/>
      <c r="Y521" s="985"/>
      <c r="Z521" s="985"/>
      <c r="AA521" s="985"/>
      <c r="AB521" s="985"/>
      <c r="AC521" s="985"/>
      <c r="AD521" s="985"/>
      <c r="AE521" s="985"/>
      <c r="AF521" s="985"/>
      <c r="AG521" s="985"/>
      <c r="AH521" s="1090">
        <v>1</v>
      </c>
      <c r="AI521" s="985"/>
      <c r="AJ521" s="985"/>
      <c r="AK521" s="985">
        <v>21</v>
      </c>
      <c r="AL521" s="985">
        <v>0.18</v>
      </c>
      <c r="AM521" s="985"/>
      <c r="AN521" s="8"/>
      <c r="AO521" s="983">
        <v>0</v>
      </c>
      <c r="AP521" s="983">
        <v>0</v>
      </c>
      <c r="AQ521" s="983"/>
      <c r="AR521" s="983"/>
      <c r="AS521" s="983"/>
      <c r="AT521" s="983"/>
      <c r="AU521" s="983"/>
      <c r="AV521" s="983"/>
      <c r="AW521" s="983"/>
      <c r="AX521" s="983"/>
      <c r="AY521" s="983"/>
      <c r="AZ521" s="983"/>
      <c r="BA521" s="983"/>
      <c r="BB521" s="983"/>
      <c r="BC521" s="983"/>
      <c r="BD521" s="983">
        <v>17</v>
      </c>
      <c r="BE521" s="983">
        <v>5.29</v>
      </c>
      <c r="BF521" s="983"/>
      <c r="BH521" s="1002">
        <f t="shared" si="220"/>
        <v>1</v>
      </c>
      <c r="BI521" s="1002">
        <f t="shared" si="221"/>
        <v>1</v>
      </c>
      <c r="BJ521" s="1002">
        <f t="shared" si="222"/>
        <v>1</v>
      </c>
      <c r="BK521" s="1002">
        <f t="shared" si="223"/>
        <v>0</v>
      </c>
      <c r="BL521" s="1002">
        <f t="shared" si="224"/>
        <v>0</v>
      </c>
    </row>
    <row r="522" spans="2:92" x14ac:dyDescent="0.3">
      <c r="B522" s="1280">
        <v>310</v>
      </c>
      <c r="C522" s="977" t="s">
        <v>2153</v>
      </c>
      <c r="D522" s="977" t="s">
        <v>1829</v>
      </c>
      <c r="E522" s="977" t="s">
        <v>1904</v>
      </c>
      <c r="F522" s="977" t="s">
        <v>2309</v>
      </c>
      <c r="G522" s="977" t="s">
        <v>242</v>
      </c>
      <c r="H522" s="991" t="str">
        <f t="shared" si="219"/>
        <v>Voitto</v>
      </c>
      <c r="I522" s="991" t="s">
        <v>1515</v>
      </c>
      <c r="J522" s="991" t="s">
        <v>0</v>
      </c>
      <c r="K522" s="991" t="s">
        <v>2175</v>
      </c>
      <c r="L522" s="992">
        <v>2</v>
      </c>
      <c r="M522" s="992">
        <v>1</v>
      </c>
      <c r="N522" s="1262">
        <v>0</v>
      </c>
      <c r="O522" s="992">
        <v>1</v>
      </c>
      <c r="P522" s="1262">
        <v>0</v>
      </c>
      <c r="Q522" s="992">
        <v>0</v>
      </c>
      <c r="R522" s="1262">
        <v>2</v>
      </c>
      <c r="S522" s="992">
        <v>0</v>
      </c>
      <c r="T522" s="1262"/>
      <c r="U522" s="992"/>
      <c r="V522" s="985">
        <v>2</v>
      </c>
      <c r="W522" s="985">
        <v>4</v>
      </c>
      <c r="X522" s="985">
        <v>2</v>
      </c>
      <c r="Y522" s="985"/>
      <c r="Z522" s="985"/>
      <c r="AA522" s="985"/>
      <c r="AB522" s="985"/>
      <c r="AC522" s="985"/>
      <c r="AD522" s="985"/>
      <c r="AE522" s="985"/>
      <c r="AF522" s="985"/>
      <c r="AG522" s="985"/>
      <c r="AH522" s="985"/>
      <c r="AI522" s="985"/>
      <c r="AJ522" s="985"/>
      <c r="AK522" s="985">
        <v>19</v>
      </c>
      <c r="AL522" s="985">
        <v>36.15</v>
      </c>
      <c r="AM522" s="985"/>
      <c r="AN522" s="8"/>
      <c r="AO522" s="983">
        <v>1</v>
      </c>
      <c r="AP522" s="983">
        <v>2</v>
      </c>
      <c r="AQ522" s="983">
        <v>1</v>
      </c>
      <c r="AR522" s="983"/>
      <c r="AS522" s="983"/>
      <c r="AT522" s="983"/>
      <c r="AU522" s="983"/>
      <c r="AV522" s="983"/>
      <c r="AW522" s="983">
        <v>1</v>
      </c>
      <c r="AX522" s="983">
        <v>1</v>
      </c>
      <c r="AY522" s="983"/>
      <c r="AZ522" s="983"/>
      <c r="BA522" s="983"/>
      <c r="BB522" s="983"/>
      <c r="BC522" s="983"/>
      <c r="BD522" s="983">
        <v>19</v>
      </c>
      <c r="BE522" s="983">
        <v>14.5</v>
      </c>
      <c r="BF522" s="983"/>
      <c r="BH522" s="1002">
        <f t="shared" si="220"/>
        <v>0</v>
      </c>
      <c r="BI522" s="1002">
        <f t="shared" si="221"/>
        <v>0</v>
      </c>
      <c r="BJ522" s="1002">
        <f t="shared" si="222"/>
        <v>0</v>
      </c>
      <c r="BK522" s="1002">
        <f t="shared" si="223"/>
        <v>0</v>
      </c>
      <c r="BL522" s="1002">
        <f t="shared" si="224"/>
        <v>0</v>
      </c>
    </row>
    <row r="524" spans="2:92" x14ac:dyDescent="0.3">
      <c r="F524" s="975"/>
      <c r="G524" s="975" t="s">
        <v>2036</v>
      </c>
      <c r="H524" s="975"/>
      <c r="I524" s="1003"/>
      <c r="J524" s="1003"/>
      <c r="K524" s="1003"/>
      <c r="L524" s="1003" t="s">
        <v>2037</v>
      </c>
      <c r="M524" s="1003" t="s">
        <v>2038</v>
      </c>
      <c r="O524" s="1003" t="s">
        <v>1409</v>
      </c>
      <c r="P524" s="1003" t="s">
        <v>1410</v>
      </c>
      <c r="Q524" s="1003" t="s">
        <v>1411</v>
      </c>
      <c r="V524" s="981" t="s">
        <v>1557</v>
      </c>
      <c r="W524" s="981" t="s">
        <v>1556</v>
      </c>
      <c r="X524" s="981" t="s">
        <v>501</v>
      </c>
      <c r="Y524" s="981" t="s">
        <v>708</v>
      </c>
      <c r="Z524" s="981" t="s">
        <v>82</v>
      </c>
      <c r="AA524" s="981" t="s">
        <v>709</v>
      </c>
      <c r="AB524" s="981" t="s">
        <v>1419</v>
      </c>
      <c r="AC524" s="981" t="s">
        <v>1420</v>
      </c>
      <c r="AD524" s="982" t="s">
        <v>1827</v>
      </c>
      <c r="AE524" s="981" t="s">
        <v>1828</v>
      </c>
      <c r="AF524" s="981" t="s">
        <v>1425</v>
      </c>
      <c r="AG524" s="981" t="s">
        <v>1535</v>
      </c>
      <c r="AH524" s="981" t="s">
        <v>1536</v>
      </c>
      <c r="AI524" s="981" t="s">
        <v>1559</v>
      </c>
      <c r="AJ524" s="981" t="s">
        <v>1896</v>
      </c>
      <c r="AK524" s="981" t="s">
        <v>1967</v>
      </c>
      <c r="AL524" s="981" t="s">
        <v>19</v>
      </c>
      <c r="AM524" s="981"/>
      <c r="AO524" s="979" t="s">
        <v>1557</v>
      </c>
      <c r="AP524" s="979" t="s">
        <v>1556</v>
      </c>
      <c r="AQ524" s="979" t="s">
        <v>501</v>
      </c>
      <c r="AR524" s="979" t="s">
        <v>708</v>
      </c>
      <c r="AS524" s="979" t="s">
        <v>82</v>
      </c>
      <c r="AT524" s="979" t="s">
        <v>709</v>
      </c>
      <c r="AU524" s="979" t="s">
        <v>1419</v>
      </c>
      <c r="AV524" s="979" t="s">
        <v>1420</v>
      </c>
      <c r="AW524" s="980" t="s">
        <v>1827</v>
      </c>
      <c r="AX524" s="979" t="s">
        <v>1828</v>
      </c>
      <c r="AY524" s="979" t="s">
        <v>1425</v>
      </c>
      <c r="AZ524" s="979" t="s">
        <v>1535</v>
      </c>
      <c r="BA524" s="979" t="s">
        <v>1536</v>
      </c>
      <c r="BB524" s="979" t="s">
        <v>1559</v>
      </c>
      <c r="BC524" s="979" t="s">
        <v>1896</v>
      </c>
      <c r="BD524" s="979" t="s">
        <v>1967</v>
      </c>
      <c r="BE524" s="979" t="s">
        <v>19</v>
      </c>
      <c r="BF524" s="979"/>
      <c r="BH524" s="1001" t="s">
        <v>2045</v>
      </c>
      <c r="BI524" s="1001"/>
      <c r="BJ524" s="1001" t="s">
        <v>1913</v>
      </c>
      <c r="BK524" s="1001" t="s">
        <v>537</v>
      </c>
      <c r="BL524" s="1001" t="s">
        <v>1128</v>
      </c>
    </row>
    <row r="525" spans="2:92" x14ac:dyDescent="0.3">
      <c r="F525" s="977" t="str">
        <f>C497</f>
        <v>2022-2023</v>
      </c>
      <c r="G525" s="977" t="s">
        <v>1829</v>
      </c>
      <c r="H525" s="977"/>
      <c r="I525" s="1004"/>
      <c r="J525" s="1004"/>
      <c r="K525" s="1004"/>
      <c r="L525" s="1004">
        <f>SUM(L499:L522)</f>
        <v>108</v>
      </c>
      <c r="M525" s="1004">
        <f>SUM(M499:M522)</f>
        <v>100</v>
      </c>
      <c r="N525" s="8"/>
      <c r="O525" s="1004">
        <f>COUNTIF(H499:H522,"Voitto")</f>
        <v>10</v>
      </c>
      <c r="P525" s="1004">
        <f>COUNTIF(H499:H522,"Tasapeli")</f>
        <v>2</v>
      </c>
      <c r="Q525" s="1004">
        <f>COUNTIF(H499:H522,"Häviö")</f>
        <v>12</v>
      </c>
      <c r="V525" s="8">
        <f>SUM(V499:V522)</f>
        <v>27</v>
      </c>
      <c r="W525" s="8">
        <f t="shared" ref="W525:AK525" si="225">SUM(W499:W522)</f>
        <v>54</v>
      </c>
      <c r="X525" s="8">
        <f t="shared" si="225"/>
        <v>27</v>
      </c>
      <c r="Y525" s="8">
        <f t="shared" si="225"/>
        <v>0</v>
      </c>
      <c r="Z525" s="8">
        <f t="shared" si="225"/>
        <v>0</v>
      </c>
      <c r="AA525" s="8">
        <f t="shared" si="225"/>
        <v>0</v>
      </c>
      <c r="AB525" s="8">
        <f t="shared" si="225"/>
        <v>8</v>
      </c>
      <c r="AC525" s="8">
        <f t="shared" si="225"/>
        <v>0</v>
      </c>
      <c r="AD525" s="8">
        <f t="shared" si="225"/>
        <v>0</v>
      </c>
      <c r="AE525" s="8">
        <f t="shared" si="225"/>
        <v>4</v>
      </c>
      <c r="AF525" s="8">
        <f t="shared" si="225"/>
        <v>0</v>
      </c>
      <c r="AG525" s="8">
        <f t="shared" si="225"/>
        <v>0</v>
      </c>
      <c r="AH525" s="8">
        <f t="shared" si="225"/>
        <v>1</v>
      </c>
      <c r="AI525" s="8">
        <f t="shared" si="225"/>
        <v>1</v>
      </c>
      <c r="AJ525" s="8">
        <f t="shared" si="225"/>
        <v>0</v>
      </c>
      <c r="AK525" s="8">
        <f t="shared" si="225"/>
        <v>360</v>
      </c>
      <c r="AL525" s="8">
        <f>MIN(AL499:AL522)</f>
        <v>0.18</v>
      </c>
      <c r="AM525" s="8">
        <f>MAX(AL499:AL522)</f>
        <v>43.01</v>
      </c>
      <c r="AO525" s="8">
        <f t="shared" ref="AO525:BC525" si="226">SUM(AO499:AO522)</f>
        <v>25</v>
      </c>
      <c r="AP525" s="8">
        <f t="shared" si="226"/>
        <v>50</v>
      </c>
      <c r="AQ525" s="8">
        <f t="shared" si="226"/>
        <v>25</v>
      </c>
      <c r="AR525" s="8">
        <f t="shared" si="226"/>
        <v>0</v>
      </c>
      <c r="AS525" s="8">
        <f t="shared" si="226"/>
        <v>0</v>
      </c>
      <c r="AT525" s="8">
        <f t="shared" si="226"/>
        <v>0</v>
      </c>
      <c r="AU525" s="8">
        <f t="shared" si="226"/>
        <v>11</v>
      </c>
      <c r="AV525" s="8">
        <f t="shared" si="226"/>
        <v>0</v>
      </c>
      <c r="AW525" s="8">
        <f t="shared" si="226"/>
        <v>4</v>
      </c>
      <c r="AX525" s="8">
        <f t="shared" si="226"/>
        <v>6</v>
      </c>
      <c r="AY525" s="8">
        <f t="shared" si="226"/>
        <v>0</v>
      </c>
      <c r="AZ525" s="8">
        <f t="shared" si="226"/>
        <v>0</v>
      </c>
      <c r="BA525" s="8">
        <f t="shared" si="226"/>
        <v>2</v>
      </c>
      <c r="BB525" s="8">
        <f t="shared" si="226"/>
        <v>2</v>
      </c>
      <c r="BC525" s="8">
        <f t="shared" si="226"/>
        <v>1</v>
      </c>
      <c r="BD525" s="8">
        <f>SUM(BD499:BD522)</f>
        <v>340</v>
      </c>
      <c r="BE525">
        <f>MIN(BE499:BE522)</f>
        <v>1.1499999999999999</v>
      </c>
      <c r="BF525">
        <f>MAX(BE499:BE522)</f>
        <v>35.22</v>
      </c>
      <c r="BJ525" s="8">
        <f>SUM(BJ499:BJ522)</f>
        <v>5</v>
      </c>
      <c r="BK525" s="8">
        <f>SUM(BK499:BK522)</f>
        <v>5</v>
      </c>
      <c r="BL525" s="8">
        <f>SUM(BL499:BL522)</f>
        <v>5</v>
      </c>
    </row>
    <row r="530" spans="2:77" x14ac:dyDescent="0.3">
      <c r="C530" s="265" t="s">
        <v>2372</v>
      </c>
      <c r="D530" s="205" t="s">
        <v>2373</v>
      </c>
      <c r="V530" s="205" t="s">
        <v>0</v>
      </c>
      <c r="AO530" s="265" t="s">
        <v>1895</v>
      </c>
      <c r="BP530" s="265" t="s">
        <v>2372</v>
      </c>
      <c r="BQ530" s="205" t="s">
        <v>2373</v>
      </c>
    </row>
    <row r="531" spans="2:77" x14ac:dyDescent="0.3">
      <c r="B531" s="1003" t="s">
        <v>1393</v>
      </c>
      <c r="C531" s="975" t="s">
        <v>1831</v>
      </c>
      <c r="D531" s="975" t="s">
        <v>1830</v>
      </c>
      <c r="E531" s="975" t="s">
        <v>1832</v>
      </c>
      <c r="F531" s="975" t="s">
        <v>1836</v>
      </c>
      <c r="G531" s="975" t="s">
        <v>1835</v>
      </c>
      <c r="H531" s="989" t="s">
        <v>1407</v>
      </c>
      <c r="I531" s="990" t="s">
        <v>2019</v>
      </c>
      <c r="J531" s="990" t="s">
        <v>0</v>
      </c>
      <c r="K531" s="990" t="s">
        <v>1128</v>
      </c>
      <c r="L531" s="1324" t="s">
        <v>1407</v>
      </c>
      <c r="M531" s="1325"/>
      <c r="N531" s="1326" t="s">
        <v>1822</v>
      </c>
      <c r="O531" s="1325"/>
      <c r="P531" s="1326" t="s">
        <v>1823</v>
      </c>
      <c r="Q531" s="1325"/>
      <c r="R531" s="1326" t="s">
        <v>1824</v>
      </c>
      <c r="S531" s="1325"/>
      <c r="T531" s="1326" t="s">
        <v>2706</v>
      </c>
      <c r="U531" s="1324"/>
      <c r="V531" s="981" t="s">
        <v>1557</v>
      </c>
      <c r="W531" s="981" t="s">
        <v>1556</v>
      </c>
      <c r="X531" s="981" t="s">
        <v>501</v>
      </c>
      <c r="Y531" s="981" t="s">
        <v>2408</v>
      </c>
      <c r="Z531" s="981" t="s">
        <v>82</v>
      </c>
      <c r="AA531" s="981" t="s">
        <v>2410</v>
      </c>
      <c r="AB531" s="981" t="s">
        <v>1419</v>
      </c>
      <c r="AC531" s="981" t="s">
        <v>1420</v>
      </c>
      <c r="AD531" s="982" t="s">
        <v>1827</v>
      </c>
      <c r="AE531" s="981" t="s">
        <v>1828</v>
      </c>
      <c r="AF531" s="981" t="s">
        <v>1425</v>
      </c>
      <c r="AG531" s="981" t="s">
        <v>1535</v>
      </c>
      <c r="AH531" s="981" t="s">
        <v>1536</v>
      </c>
      <c r="AI531" s="981" t="s">
        <v>1559</v>
      </c>
      <c r="AJ531" s="981" t="s">
        <v>1896</v>
      </c>
      <c r="AK531" s="981" t="s">
        <v>1967</v>
      </c>
      <c r="AL531" s="981" t="s">
        <v>19</v>
      </c>
      <c r="AM531" s="981"/>
      <c r="AN531" s="265"/>
      <c r="AO531" s="979" t="s">
        <v>1557</v>
      </c>
      <c r="AP531" s="979" t="s">
        <v>1556</v>
      </c>
      <c r="AQ531" s="979" t="s">
        <v>501</v>
      </c>
      <c r="AR531" s="979" t="s">
        <v>708</v>
      </c>
      <c r="AS531" s="979" t="s">
        <v>82</v>
      </c>
      <c r="AT531" s="979" t="s">
        <v>709</v>
      </c>
      <c r="AU531" s="979" t="s">
        <v>1419</v>
      </c>
      <c r="AV531" s="979" t="s">
        <v>1420</v>
      </c>
      <c r="AW531" s="980" t="s">
        <v>1827</v>
      </c>
      <c r="AX531" s="979" t="s">
        <v>1828</v>
      </c>
      <c r="AY531" s="979" t="s">
        <v>1425</v>
      </c>
      <c r="AZ531" s="979" t="s">
        <v>1535</v>
      </c>
      <c r="BA531" s="979" t="s">
        <v>1536</v>
      </c>
      <c r="BB531" s="979" t="s">
        <v>1559</v>
      </c>
      <c r="BC531" s="979" t="s">
        <v>1896</v>
      </c>
      <c r="BD531" s="979" t="s">
        <v>1967</v>
      </c>
      <c r="BE531" s="979" t="s">
        <v>19</v>
      </c>
      <c r="BF531" s="979"/>
      <c r="BH531" s="1001" t="s">
        <v>1911</v>
      </c>
      <c r="BI531" s="1001" t="s">
        <v>1912</v>
      </c>
      <c r="BJ531" s="1001" t="s">
        <v>1913</v>
      </c>
      <c r="BK531" s="1001" t="s">
        <v>537</v>
      </c>
      <c r="BL531" s="1001" t="s">
        <v>1128</v>
      </c>
    </row>
    <row r="532" spans="2:77" x14ac:dyDescent="0.3">
      <c r="B532" s="1280">
        <v>311</v>
      </c>
      <c r="C532" s="977" t="s">
        <v>2372</v>
      </c>
      <c r="D532" s="977" t="s">
        <v>1829</v>
      </c>
      <c r="E532" s="977" t="s">
        <v>1516</v>
      </c>
      <c r="F532" s="978" t="s">
        <v>2375</v>
      </c>
      <c r="G532" s="977" t="s">
        <v>2377</v>
      </c>
      <c r="H532" s="991" t="str">
        <f>IF(L532=M532,"Tasapeli",IF(L532&lt;M532,"Häviö","Voitto"))</f>
        <v>Voitto</v>
      </c>
      <c r="I532" s="991" t="s">
        <v>1515</v>
      </c>
      <c r="J532" s="991" t="s">
        <v>0</v>
      </c>
      <c r="K532" s="991" t="s">
        <v>2276</v>
      </c>
      <c r="L532" s="992">
        <v>7</v>
      </c>
      <c r="M532" s="992">
        <v>0</v>
      </c>
      <c r="N532" s="1262">
        <v>3</v>
      </c>
      <c r="O532" s="992">
        <v>0</v>
      </c>
      <c r="P532" s="1262">
        <v>1</v>
      </c>
      <c r="Q532" s="992">
        <v>0</v>
      </c>
      <c r="R532" s="1262">
        <v>3</v>
      </c>
      <c r="S532" s="992">
        <v>0</v>
      </c>
      <c r="T532" s="1262"/>
      <c r="U532" s="992"/>
      <c r="V532" s="985">
        <v>1</v>
      </c>
      <c r="W532" s="985">
        <v>2</v>
      </c>
      <c r="X532" s="985">
        <v>1</v>
      </c>
      <c r="Y532" s="985"/>
      <c r="Z532" s="985"/>
      <c r="AA532" s="985"/>
      <c r="AB532" s="985"/>
      <c r="AC532" s="985"/>
      <c r="AD532" s="985"/>
      <c r="AE532" s="985"/>
      <c r="AF532" s="985"/>
      <c r="AG532" s="985"/>
      <c r="AH532" s="985"/>
      <c r="AI532" s="985"/>
      <c r="AJ532" s="985"/>
      <c r="AK532" s="985">
        <v>11</v>
      </c>
      <c r="AL532" s="985">
        <v>2.04</v>
      </c>
      <c r="AM532" s="985" t="s">
        <v>2406</v>
      </c>
      <c r="AN532" s="8"/>
      <c r="AO532" s="983">
        <v>1</v>
      </c>
      <c r="AP532" s="983">
        <v>2</v>
      </c>
      <c r="AQ532" s="983">
        <v>1</v>
      </c>
      <c r="AR532" s="983"/>
      <c r="AS532" s="983"/>
      <c r="AT532" s="983"/>
      <c r="AU532" s="983"/>
      <c r="AV532" s="983"/>
      <c r="AW532" s="983"/>
      <c r="AX532" s="983"/>
      <c r="AY532" s="983"/>
      <c r="AZ532" s="983"/>
      <c r="BA532" s="983"/>
      <c r="BB532" s="983"/>
      <c r="BC532" s="983"/>
      <c r="BD532" s="983">
        <v>12</v>
      </c>
      <c r="BE532" s="983" t="s">
        <v>107</v>
      </c>
      <c r="BF532" s="983"/>
      <c r="BH532" s="1002">
        <f>IF(V532=0,1,0)</f>
        <v>0</v>
      </c>
      <c r="BI532" s="1002">
        <f>IF(AO532=0,1,0)</f>
        <v>0</v>
      </c>
      <c r="BJ532" s="1002">
        <f>IF(V532+AO532=0,1,0)</f>
        <v>0</v>
      </c>
      <c r="BK532" s="1002">
        <f>IF(BH532&gt;BI532,1,0)</f>
        <v>0</v>
      </c>
      <c r="BL532" s="1002">
        <f>IF(BI532&gt;BH532,1,0)</f>
        <v>0</v>
      </c>
      <c r="BO532" s="1282" t="s">
        <v>1393</v>
      </c>
      <c r="BP532" s="1281" t="s">
        <v>989</v>
      </c>
      <c r="BQ532" s="1282" t="s">
        <v>877</v>
      </c>
      <c r="BR532" s="1282" t="s">
        <v>990</v>
      </c>
      <c r="BS532" s="1282" t="s">
        <v>991</v>
      </c>
      <c r="BT532" s="1282" t="s">
        <v>992</v>
      </c>
      <c r="BU532" s="1282" t="s">
        <v>139</v>
      </c>
      <c r="BV532" s="1282" t="s">
        <v>993</v>
      </c>
      <c r="BW532" s="1282" t="s">
        <v>994</v>
      </c>
      <c r="BX532" s="1282" t="s">
        <v>610</v>
      </c>
      <c r="BY532" s="1282" t="s">
        <v>2139</v>
      </c>
    </row>
    <row r="533" spans="2:77" x14ac:dyDescent="0.3">
      <c r="B533" s="1280">
        <v>312</v>
      </c>
      <c r="C533" s="977" t="s">
        <v>2372</v>
      </c>
      <c r="D533" s="977" t="s">
        <v>1829</v>
      </c>
      <c r="E533" s="977" t="s">
        <v>1537</v>
      </c>
      <c r="F533" s="978" t="s">
        <v>2374</v>
      </c>
      <c r="G533" s="977" t="s">
        <v>2377</v>
      </c>
      <c r="H533" s="991" t="str">
        <f t="shared" ref="H533:H555" si="227">IF(L533=M533,"Tasapeli",IF(L533&lt;M533,"Häviö","Voitto"))</f>
        <v>Voitto</v>
      </c>
      <c r="I533" s="991" t="s">
        <v>1514</v>
      </c>
      <c r="J533" s="991" t="s">
        <v>0</v>
      </c>
      <c r="K533" s="991" t="s">
        <v>2376</v>
      </c>
      <c r="L533" s="992">
        <v>8</v>
      </c>
      <c r="M533" s="992">
        <v>2</v>
      </c>
      <c r="N533" s="1262">
        <v>1</v>
      </c>
      <c r="O533" s="992">
        <v>0</v>
      </c>
      <c r="P533" s="1262">
        <v>3</v>
      </c>
      <c r="Q533" s="992">
        <v>0</v>
      </c>
      <c r="R533" s="1262">
        <v>4</v>
      </c>
      <c r="S533" s="992">
        <v>2</v>
      </c>
      <c r="T533" s="1262"/>
      <c r="U533" s="992"/>
      <c r="V533" s="985">
        <v>3</v>
      </c>
      <c r="W533" s="985">
        <v>6</v>
      </c>
      <c r="X533" s="985">
        <v>3</v>
      </c>
      <c r="Y533" s="985"/>
      <c r="Z533" s="985"/>
      <c r="AA533" s="985"/>
      <c r="AB533" s="985"/>
      <c r="AC533" s="985"/>
      <c r="AD533" s="985"/>
      <c r="AE533" s="985"/>
      <c r="AF533" s="985"/>
      <c r="AG533" s="985"/>
      <c r="AH533" s="985"/>
      <c r="AI533" s="985"/>
      <c r="AJ533" s="985"/>
      <c r="AK533" s="985">
        <v>11</v>
      </c>
      <c r="AL533" s="986">
        <v>1.2</v>
      </c>
      <c r="AM533" s="985" t="s">
        <v>2407</v>
      </c>
      <c r="AN533" s="8"/>
      <c r="AO533" s="983">
        <v>1</v>
      </c>
      <c r="AP533" s="983">
        <v>2</v>
      </c>
      <c r="AQ533" s="983">
        <v>1</v>
      </c>
      <c r="AR533" s="983"/>
      <c r="AS533" s="983"/>
      <c r="AT533" s="983"/>
      <c r="AU533" s="983"/>
      <c r="AV533" s="983"/>
      <c r="AW533" s="983"/>
      <c r="AX533" s="983"/>
      <c r="AY533" s="983"/>
      <c r="AZ533" s="983"/>
      <c r="BA533" s="983"/>
      <c r="BB533" s="983"/>
      <c r="BC533" s="983"/>
      <c r="BD533" s="983">
        <v>16</v>
      </c>
      <c r="BE533" s="988">
        <v>36.369999999999997</v>
      </c>
      <c r="BF533" s="988"/>
      <c r="BH533" s="1002">
        <f t="shared" ref="BH533:BH555" si="228">IF(V533=0,1,0)</f>
        <v>0</v>
      </c>
      <c r="BI533" s="1002">
        <f t="shared" ref="BI533:BI555" si="229">IF(AO533=0,1,0)</f>
        <v>0</v>
      </c>
      <c r="BJ533" s="1002">
        <f t="shared" ref="BJ533:BJ555" si="230">IF(V533+AO533=0,1,0)</f>
        <v>0</v>
      </c>
      <c r="BK533" s="1002">
        <f t="shared" ref="BK533:BK555" si="231">IF(BH533&gt;BI533,1,0)</f>
        <v>0</v>
      </c>
      <c r="BL533" s="1002">
        <f t="shared" ref="BL533:BL555" si="232">IF(BI533&gt;BH533,1,0)</f>
        <v>0</v>
      </c>
      <c r="BO533" s="119">
        <v>1</v>
      </c>
      <c r="BP533" s="128" t="s">
        <v>2404</v>
      </c>
      <c r="BQ533" s="119">
        <v>20</v>
      </c>
      <c r="BR533" s="119">
        <v>19</v>
      </c>
      <c r="BS533" s="119">
        <v>1</v>
      </c>
      <c r="BT533" s="119">
        <v>0</v>
      </c>
      <c r="BU533" s="119">
        <v>214</v>
      </c>
      <c r="BV533" s="119">
        <v>60</v>
      </c>
      <c r="BW533" s="119">
        <f>BU533-BV533</f>
        <v>154</v>
      </c>
      <c r="BX533" s="119">
        <v>39</v>
      </c>
      <c r="BY533" s="1294">
        <f>BX533/BQ533</f>
        <v>1.95</v>
      </c>
    </row>
    <row r="534" spans="2:77" x14ac:dyDescent="0.3">
      <c r="B534" s="1280">
        <v>313</v>
      </c>
      <c r="C534" s="977" t="s">
        <v>2372</v>
      </c>
      <c r="D534" s="977" t="s">
        <v>1829</v>
      </c>
      <c r="E534" s="977" t="s">
        <v>1538</v>
      </c>
      <c r="F534" s="978" t="s">
        <v>2379</v>
      </c>
      <c r="G534" s="977" t="s">
        <v>796</v>
      </c>
      <c r="H534" s="991" t="str">
        <f t="shared" si="227"/>
        <v>Tasapeli</v>
      </c>
      <c r="I534" s="991" t="s">
        <v>1515</v>
      </c>
      <c r="J534" s="991" t="s">
        <v>0</v>
      </c>
      <c r="K534" s="991" t="s">
        <v>2275</v>
      </c>
      <c r="L534" s="992">
        <v>3</v>
      </c>
      <c r="M534" s="992">
        <v>3</v>
      </c>
      <c r="N534" s="1262">
        <v>0</v>
      </c>
      <c r="O534" s="992">
        <v>0</v>
      </c>
      <c r="P534" s="1262">
        <v>3</v>
      </c>
      <c r="Q534" s="992">
        <v>3</v>
      </c>
      <c r="R534" s="1262">
        <v>0</v>
      </c>
      <c r="S534" s="992">
        <v>0</v>
      </c>
      <c r="T534" s="1262"/>
      <c r="U534" s="992"/>
      <c r="V534" s="985">
        <v>1</v>
      </c>
      <c r="W534" s="985">
        <v>2</v>
      </c>
      <c r="X534" s="985">
        <v>1</v>
      </c>
      <c r="Y534" s="985"/>
      <c r="Z534" s="985"/>
      <c r="AA534" s="985"/>
      <c r="AB534" s="985"/>
      <c r="AC534" s="985"/>
      <c r="AD534" s="985"/>
      <c r="AE534" s="985"/>
      <c r="AF534" s="985"/>
      <c r="AG534" s="985"/>
      <c r="AH534" s="985"/>
      <c r="AI534" s="985"/>
      <c r="AJ534" s="985"/>
      <c r="AK534" s="985">
        <v>4</v>
      </c>
      <c r="AL534" s="986">
        <v>19.05</v>
      </c>
      <c r="AM534" s="986" t="s">
        <v>2406</v>
      </c>
      <c r="AN534" s="8"/>
      <c r="AO534" s="983">
        <v>0</v>
      </c>
      <c r="AP534" s="983">
        <v>0</v>
      </c>
      <c r="AQ534" s="983"/>
      <c r="AR534" s="983"/>
      <c r="AS534" s="983"/>
      <c r="AT534" s="983"/>
      <c r="AU534" s="983"/>
      <c r="AV534" s="983"/>
      <c r="AW534" s="983"/>
      <c r="AX534" s="983"/>
      <c r="AY534" s="983"/>
      <c r="AZ534" s="983"/>
      <c r="BA534" s="983"/>
      <c r="BB534" s="983"/>
      <c r="BC534" s="983"/>
      <c r="BD534" s="983">
        <v>6</v>
      </c>
      <c r="BE534" s="988">
        <v>19.46</v>
      </c>
      <c r="BF534" s="988"/>
      <c r="BH534" s="1002">
        <f t="shared" si="228"/>
        <v>0</v>
      </c>
      <c r="BI534" s="1002">
        <f t="shared" si="229"/>
        <v>1</v>
      </c>
      <c r="BJ534" s="1002">
        <f t="shared" si="230"/>
        <v>0</v>
      </c>
      <c r="BK534" s="1002">
        <f t="shared" si="231"/>
        <v>0</v>
      </c>
      <c r="BL534" s="1002">
        <f t="shared" si="232"/>
        <v>1</v>
      </c>
      <c r="BO534" s="1284">
        <v>2</v>
      </c>
      <c r="BP534" s="1283" t="s">
        <v>0</v>
      </c>
      <c r="BQ534" s="1284">
        <v>20</v>
      </c>
      <c r="BR534" s="1284">
        <v>14</v>
      </c>
      <c r="BS534" s="1284">
        <v>4</v>
      </c>
      <c r="BT534" s="1284">
        <v>2</v>
      </c>
      <c r="BU534" s="1284">
        <v>109</v>
      </c>
      <c r="BV534" s="1284">
        <v>56</v>
      </c>
      <c r="BW534" s="1284">
        <f t="shared" ref="BW534:BW543" si="233">BU534-BV534</f>
        <v>53</v>
      </c>
      <c r="BX534" s="1284">
        <v>32</v>
      </c>
      <c r="BY534" s="1284">
        <f t="shared" ref="BY534:BY543" si="234">BX534/BQ534</f>
        <v>1.6</v>
      </c>
    </row>
    <row r="535" spans="2:77" x14ac:dyDescent="0.3">
      <c r="B535" s="1280">
        <v>314</v>
      </c>
      <c r="C535" s="977" t="s">
        <v>2372</v>
      </c>
      <c r="D535" s="977" t="s">
        <v>1829</v>
      </c>
      <c r="E535" s="977" t="s">
        <v>1539</v>
      </c>
      <c r="F535" s="978" t="s">
        <v>2380</v>
      </c>
      <c r="G535" s="977" t="s">
        <v>796</v>
      </c>
      <c r="H535" s="991" t="str">
        <f t="shared" si="227"/>
        <v>Voitto</v>
      </c>
      <c r="I535" s="991" t="s">
        <v>1514</v>
      </c>
      <c r="J535" s="991" t="s">
        <v>0</v>
      </c>
      <c r="K535" s="991" t="s">
        <v>1405</v>
      </c>
      <c r="L535" s="992">
        <v>10</v>
      </c>
      <c r="M535" s="992">
        <v>1</v>
      </c>
      <c r="N535" s="1262">
        <v>2</v>
      </c>
      <c r="O535" s="992">
        <v>0</v>
      </c>
      <c r="P535" s="1262">
        <v>4</v>
      </c>
      <c r="Q535" s="992">
        <v>1</v>
      </c>
      <c r="R535" s="1262">
        <v>4</v>
      </c>
      <c r="S535" s="992">
        <v>0</v>
      </c>
      <c r="T535" s="1262"/>
      <c r="U535" s="992"/>
      <c r="V535" s="985">
        <v>0</v>
      </c>
      <c r="W535" s="985">
        <v>0</v>
      </c>
      <c r="X535" s="987"/>
      <c r="Y535" s="987"/>
      <c r="Z535" s="987"/>
      <c r="AA535" s="987"/>
      <c r="AB535" s="987"/>
      <c r="AC535" s="987"/>
      <c r="AD535" s="987"/>
      <c r="AE535" s="987"/>
      <c r="AF535" s="987"/>
      <c r="AG535" s="987"/>
      <c r="AH535" s="987"/>
      <c r="AI535" s="987"/>
      <c r="AJ535" s="987"/>
      <c r="AK535" s="985">
        <v>12</v>
      </c>
      <c r="AL535" s="985">
        <v>14.04</v>
      </c>
      <c r="AM535" s="985" t="s">
        <v>2407</v>
      </c>
      <c r="AO535" s="983">
        <v>0</v>
      </c>
      <c r="AP535" s="983">
        <v>0</v>
      </c>
      <c r="AQ535" s="983"/>
      <c r="AR535" s="976"/>
      <c r="AS535" s="976"/>
      <c r="AT535" s="976"/>
      <c r="AU535" s="976"/>
      <c r="AV535" s="976"/>
      <c r="AW535" s="976"/>
      <c r="AX535" s="976"/>
      <c r="AY535" s="976"/>
      <c r="AZ535" s="976"/>
      <c r="BA535" s="976"/>
      <c r="BB535" s="976"/>
      <c r="BC535" s="976"/>
      <c r="BD535" s="983">
        <v>17</v>
      </c>
      <c r="BE535" s="984">
        <v>24.32</v>
      </c>
      <c r="BF535" s="984"/>
      <c r="BH535" s="1002">
        <f t="shared" si="228"/>
        <v>1</v>
      </c>
      <c r="BI535" s="1002">
        <f t="shared" si="229"/>
        <v>1</v>
      </c>
      <c r="BJ535" s="1002">
        <f t="shared" si="230"/>
        <v>1</v>
      </c>
      <c r="BK535" s="1002">
        <f t="shared" si="231"/>
        <v>0</v>
      </c>
      <c r="BL535" s="1002">
        <f t="shared" si="232"/>
        <v>0</v>
      </c>
      <c r="BO535" s="119">
        <v>3</v>
      </c>
      <c r="BP535" s="128" t="s">
        <v>2175</v>
      </c>
      <c r="BQ535" s="119">
        <v>20</v>
      </c>
      <c r="BR535" s="119">
        <v>13</v>
      </c>
      <c r="BS535" s="119">
        <v>4</v>
      </c>
      <c r="BT535" s="119">
        <v>3</v>
      </c>
      <c r="BU535" s="119">
        <v>124</v>
      </c>
      <c r="BV535" s="119">
        <v>69</v>
      </c>
      <c r="BW535" s="119">
        <f t="shared" si="233"/>
        <v>55</v>
      </c>
      <c r="BX535" s="119">
        <v>30</v>
      </c>
      <c r="BY535" s="119">
        <f t="shared" si="234"/>
        <v>1.5</v>
      </c>
    </row>
    <row r="536" spans="2:77" x14ac:dyDescent="0.3">
      <c r="B536" s="1280">
        <v>315</v>
      </c>
      <c r="C536" s="977" t="s">
        <v>2372</v>
      </c>
      <c r="D536" s="977" t="s">
        <v>1829</v>
      </c>
      <c r="E536" s="977" t="s">
        <v>1540</v>
      </c>
      <c r="F536" s="978" t="s">
        <v>2381</v>
      </c>
      <c r="G536" s="977" t="s">
        <v>796</v>
      </c>
      <c r="H536" s="991" t="str">
        <f t="shared" si="227"/>
        <v>Tasapeli</v>
      </c>
      <c r="I536" s="991" t="s">
        <v>1514</v>
      </c>
      <c r="J536" s="991" t="s">
        <v>0</v>
      </c>
      <c r="K536" s="991" t="s">
        <v>2402</v>
      </c>
      <c r="L536" s="992">
        <v>4</v>
      </c>
      <c r="M536" s="992">
        <v>4</v>
      </c>
      <c r="N536" s="1262">
        <v>3</v>
      </c>
      <c r="O536" s="992">
        <v>2</v>
      </c>
      <c r="P536" s="1262">
        <v>1</v>
      </c>
      <c r="Q536" s="992">
        <v>1</v>
      </c>
      <c r="R536" s="1262">
        <v>0</v>
      </c>
      <c r="S536" s="992">
        <v>1</v>
      </c>
      <c r="T536" s="1262"/>
      <c r="U536" s="992"/>
      <c r="V536" s="985">
        <v>1</v>
      </c>
      <c r="W536" s="985">
        <v>2</v>
      </c>
      <c r="X536" s="985">
        <v>1</v>
      </c>
      <c r="Y536" s="987"/>
      <c r="Z536" s="987"/>
      <c r="AA536" s="987"/>
      <c r="AB536" s="985"/>
      <c r="AC536" s="987"/>
      <c r="AD536" s="987"/>
      <c r="AE536" s="987"/>
      <c r="AF536" s="987"/>
      <c r="AG536" s="987"/>
      <c r="AH536" s="987"/>
      <c r="AI536" s="987"/>
      <c r="AJ536" s="987"/>
      <c r="AK536" s="985">
        <v>13</v>
      </c>
      <c r="AL536" s="985">
        <v>0.24</v>
      </c>
      <c r="AM536" s="985" t="s">
        <v>2407</v>
      </c>
      <c r="AO536" s="983">
        <v>1</v>
      </c>
      <c r="AP536" s="983">
        <v>2</v>
      </c>
      <c r="AQ536" s="983">
        <v>1</v>
      </c>
      <c r="AR536" s="976"/>
      <c r="AS536" s="976"/>
      <c r="AT536" s="976"/>
      <c r="AU536" s="983">
        <v>1</v>
      </c>
      <c r="AV536" s="976"/>
      <c r="AW536" s="983"/>
      <c r="AX536" s="983"/>
      <c r="AY536" s="976"/>
      <c r="AZ536" s="976"/>
      <c r="BA536" s="976"/>
      <c r="BB536" s="976"/>
      <c r="BC536" s="976"/>
      <c r="BD536" s="983">
        <v>11</v>
      </c>
      <c r="BE536" s="984">
        <v>5.5</v>
      </c>
      <c r="BF536" s="983"/>
      <c r="BH536" s="1002">
        <f t="shared" si="228"/>
        <v>0</v>
      </c>
      <c r="BI536" s="1002">
        <f t="shared" si="229"/>
        <v>0</v>
      </c>
      <c r="BJ536" s="1002">
        <f t="shared" si="230"/>
        <v>0</v>
      </c>
      <c r="BK536" s="1002">
        <f t="shared" si="231"/>
        <v>0</v>
      </c>
      <c r="BL536" s="1002">
        <f t="shared" si="232"/>
        <v>0</v>
      </c>
      <c r="BO536" s="119">
        <v>4</v>
      </c>
      <c r="BP536" s="128" t="s">
        <v>2376</v>
      </c>
      <c r="BQ536" s="119">
        <v>20</v>
      </c>
      <c r="BR536" s="119">
        <v>8</v>
      </c>
      <c r="BS536" s="119">
        <v>2</v>
      </c>
      <c r="BT536" s="119">
        <v>10</v>
      </c>
      <c r="BU536" s="119">
        <v>88</v>
      </c>
      <c r="BV536" s="119">
        <v>114</v>
      </c>
      <c r="BW536" s="119">
        <f t="shared" si="233"/>
        <v>-26</v>
      </c>
      <c r="BX536" s="119">
        <v>18</v>
      </c>
      <c r="BY536" s="119">
        <f t="shared" si="234"/>
        <v>0.9</v>
      </c>
    </row>
    <row r="537" spans="2:77" x14ac:dyDescent="0.3">
      <c r="B537" s="1280">
        <v>316</v>
      </c>
      <c r="C537" s="977" t="s">
        <v>2372</v>
      </c>
      <c r="D537" s="977" t="s">
        <v>1829</v>
      </c>
      <c r="E537" s="977" t="s">
        <v>1541</v>
      </c>
      <c r="F537" s="978" t="s">
        <v>2382</v>
      </c>
      <c r="G537" s="977" t="s">
        <v>796</v>
      </c>
      <c r="H537" s="991" t="str">
        <f t="shared" si="227"/>
        <v>Tasapeli</v>
      </c>
      <c r="I537" s="991" t="s">
        <v>1515</v>
      </c>
      <c r="J537" s="991" t="s">
        <v>0</v>
      </c>
      <c r="K537" s="991" t="s">
        <v>2175</v>
      </c>
      <c r="L537" s="992">
        <v>3</v>
      </c>
      <c r="M537" s="992">
        <v>3</v>
      </c>
      <c r="N537" s="1262">
        <v>1</v>
      </c>
      <c r="O537" s="992">
        <v>0</v>
      </c>
      <c r="P537" s="1262">
        <v>1</v>
      </c>
      <c r="Q537" s="992">
        <v>1</v>
      </c>
      <c r="R537" s="1262">
        <v>1</v>
      </c>
      <c r="S537" s="992">
        <v>2</v>
      </c>
      <c r="T537" s="1262"/>
      <c r="U537" s="992"/>
      <c r="V537" s="985">
        <v>0</v>
      </c>
      <c r="W537" s="985">
        <v>0</v>
      </c>
      <c r="X537" s="985"/>
      <c r="Y537" s="987"/>
      <c r="Z537" s="987"/>
      <c r="AA537" s="987"/>
      <c r="AB537" s="987"/>
      <c r="AC537" s="987"/>
      <c r="AD537" s="987"/>
      <c r="AE537" s="985"/>
      <c r="AF537" s="987"/>
      <c r="AG537" s="987"/>
      <c r="AH537" s="987"/>
      <c r="AI537" s="987"/>
      <c r="AJ537" s="987"/>
      <c r="AK537" s="985">
        <v>16</v>
      </c>
      <c r="AL537" s="985">
        <v>5.08</v>
      </c>
      <c r="AM537" s="985" t="s">
        <v>2406</v>
      </c>
      <c r="AO537" s="983">
        <v>0</v>
      </c>
      <c r="AP537" s="983">
        <v>0</v>
      </c>
      <c r="AQ537" s="983"/>
      <c r="AR537" s="976"/>
      <c r="AS537" s="976"/>
      <c r="AT537" s="976"/>
      <c r="AU537" s="983"/>
      <c r="AV537" s="976"/>
      <c r="AW537" s="976"/>
      <c r="AX537" s="976"/>
      <c r="AY537" s="976"/>
      <c r="AZ537" s="976"/>
      <c r="BA537" s="976"/>
      <c r="BB537" s="976"/>
      <c r="BC537" s="976"/>
      <c r="BD537" s="983">
        <v>17</v>
      </c>
      <c r="BE537" s="983">
        <v>29.11</v>
      </c>
      <c r="BF537" s="983"/>
      <c r="BH537" s="1002">
        <f t="shared" si="228"/>
        <v>1</v>
      </c>
      <c r="BI537" s="1002">
        <f t="shared" si="229"/>
        <v>1</v>
      </c>
      <c r="BJ537" s="1002">
        <f t="shared" si="230"/>
        <v>1</v>
      </c>
      <c r="BK537" s="1002">
        <f t="shared" si="231"/>
        <v>0</v>
      </c>
      <c r="BL537" s="1002">
        <f t="shared" si="232"/>
        <v>0</v>
      </c>
      <c r="BO537" s="119">
        <v>5</v>
      </c>
      <c r="BP537" s="128" t="s">
        <v>1279</v>
      </c>
      <c r="BQ537" s="119">
        <v>20</v>
      </c>
      <c r="BR537" s="119">
        <v>7</v>
      </c>
      <c r="BS537" s="119">
        <v>3</v>
      </c>
      <c r="BT537" s="119">
        <v>10</v>
      </c>
      <c r="BU537" s="119">
        <v>72</v>
      </c>
      <c r="BV537" s="119">
        <v>89</v>
      </c>
      <c r="BW537" s="119">
        <f t="shared" si="233"/>
        <v>-17</v>
      </c>
      <c r="BX537" s="119">
        <v>17</v>
      </c>
      <c r="BY537" s="1294">
        <f t="shared" si="234"/>
        <v>0.85</v>
      </c>
    </row>
    <row r="538" spans="2:77" x14ac:dyDescent="0.3">
      <c r="B538" s="1280">
        <v>317</v>
      </c>
      <c r="C538" s="977" t="s">
        <v>2372</v>
      </c>
      <c r="D538" s="977" t="s">
        <v>1829</v>
      </c>
      <c r="E538" s="977" t="s">
        <v>1542</v>
      </c>
      <c r="F538" s="978" t="s">
        <v>2383</v>
      </c>
      <c r="G538" s="977" t="s">
        <v>731</v>
      </c>
      <c r="H538" s="991" t="str">
        <f t="shared" si="227"/>
        <v>Voitto</v>
      </c>
      <c r="I538" s="991" t="s">
        <v>1515</v>
      </c>
      <c r="J538" s="991" t="s">
        <v>0</v>
      </c>
      <c r="K538" s="991" t="s">
        <v>1279</v>
      </c>
      <c r="L538" s="992">
        <v>5</v>
      </c>
      <c r="M538" s="992">
        <v>2</v>
      </c>
      <c r="N538" s="1262">
        <v>2</v>
      </c>
      <c r="O538" s="992">
        <v>0</v>
      </c>
      <c r="P538" s="1262">
        <v>2</v>
      </c>
      <c r="Q538" s="992">
        <v>1</v>
      </c>
      <c r="R538" s="1262">
        <v>1</v>
      </c>
      <c r="S538" s="992">
        <v>1</v>
      </c>
      <c r="T538" s="1262"/>
      <c r="U538" s="992"/>
      <c r="V538" s="985">
        <v>1</v>
      </c>
      <c r="W538" s="985">
        <v>2</v>
      </c>
      <c r="X538" s="985">
        <v>1</v>
      </c>
      <c r="Y538" s="987"/>
      <c r="Z538" s="987"/>
      <c r="AA538" s="987"/>
      <c r="AB538" s="985"/>
      <c r="AC538" s="987"/>
      <c r="AD538" s="987"/>
      <c r="AE538" s="985"/>
      <c r="AF538" s="987"/>
      <c r="AG538" s="987"/>
      <c r="AH538" s="987"/>
      <c r="AI538" s="987"/>
      <c r="AJ538" s="987"/>
      <c r="AK538" s="985">
        <v>19</v>
      </c>
      <c r="AL538" s="986">
        <v>4.4000000000000004</v>
      </c>
      <c r="AM538" s="986" t="s">
        <v>2406</v>
      </c>
      <c r="AO538" s="983">
        <v>0</v>
      </c>
      <c r="AP538" s="983">
        <v>0</v>
      </c>
      <c r="AQ538" s="983"/>
      <c r="AR538" s="976"/>
      <c r="AS538" s="976"/>
      <c r="AT538" s="976"/>
      <c r="AU538" s="976"/>
      <c r="AV538" s="976"/>
      <c r="AW538" s="976"/>
      <c r="AX538" s="976"/>
      <c r="AY538" s="976"/>
      <c r="AZ538" s="976"/>
      <c r="BA538" s="983"/>
      <c r="BB538" s="976"/>
      <c r="BC538" s="976"/>
      <c r="BD538" s="983">
        <v>17</v>
      </c>
      <c r="BE538" s="983">
        <v>15.35</v>
      </c>
      <c r="BF538" s="983"/>
      <c r="BH538" s="1002">
        <f t="shared" si="228"/>
        <v>0</v>
      </c>
      <c r="BI538" s="1002">
        <f t="shared" si="229"/>
        <v>1</v>
      </c>
      <c r="BJ538" s="1002">
        <f t="shared" si="230"/>
        <v>0</v>
      </c>
      <c r="BK538" s="1002">
        <f t="shared" si="231"/>
        <v>0</v>
      </c>
      <c r="BL538" s="1002">
        <f t="shared" si="232"/>
        <v>1</v>
      </c>
      <c r="BO538" s="119">
        <v>6</v>
      </c>
      <c r="BP538" s="128" t="s">
        <v>2276</v>
      </c>
      <c r="BQ538" s="119">
        <v>20</v>
      </c>
      <c r="BR538" s="119">
        <v>8</v>
      </c>
      <c r="BS538" s="119">
        <v>1</v>
      </c>
      <c r="BT538" s="119">
        <v>11</v>
      </c>
      <c r="BU538" s="119">
        <v>75</v>
      </c>
      <c r="BV538" s="119">
        <v>94</v>
      </c>
      <c r="BW538" s="119">
        <f t="shared" si="233"/>
        <v>-19</v>
      </c>
      <c r="BX538" s="119">
        <v>17</v>
      </c>
      <c r="BY538" s="1294">
        <f t="shared" si="234"/>
        <v>0.85</v>
      </c>
    </row>
    <row r="539" spans="2:77" x14ac:dyDescent="0.3">
      <c r="B539" s="1280">
        <v>318</v>
      </c>
      <c r="C539" s="977" t="s">
        <v>2372</v>
      </c>
      <c r="D539" s="977" t="s">
        <v>1829</v>
      </c>
      <c r="E539" s="977" t="s">
        <v>1543</v>
      </c>
      <c r="F539" s="977" t="s">
        <v>2384</v>
      </c>
      <c r="G539" s="977" t="s">
        <v>731</v>
      </c>
      <c r="H539" s="991" t="str">
        <f t="shared" si="227"/>
        <v>Tasapeli</v>
      </c>
      <c r="I539" s="991" t="s">
        <v>1514</v>
      </c>
      <c r="J539" s="991" t="s">
        <v>0</v>
      </c>
      <c r="K539" s="991" t="s">
        <v>2403</v>
      </c>
      <c r="L539" s="992">
        <v>3</v>
      </c>
      <c r="M539" s="992">
        <v>3</v>
      </c>
      <c r="N539" s="1262">
        <v>1</v>
      </c>
      <c r="O539" s="992">
        <v>1</v>
      </c>
      <c r="P539" s="1262">
        <v>1</v>
      </c>
      <c r="Q539" s="992">
        <v>1</v>
      </c>
      <c r="R539" s="1262">
        <v>1</v>
      </c>
      <c r="S539" s="992">
        <v>1</v>
      </c>
      <c r="T539" s="1262"/>
      <c r="U539" s="992"/>
      <c r="V539" s="985">
        <v>0</v>
      </c>
      <c r="W539" s="985">
        <v>0</v>
      </c>
      <c r="X539" s="985"/>
      <c r="Y539" s="985"/>
      <c r="Z539" s="985"/>
      <c r="AA539" s="985"/>
      <c r="AB539" s="985"/>
      <c r="AC539" s="985"/>
      <c r="AD539" s="985"/>
      <c r="AE539" s="985"/>
      <c r="AF539" s="985"/>
      <c r="AG539" s="985"/>
      <c r="AH539" s="985"/>
      <c r="AI539" s="985"/>
      <c r="AJ539" s="985"/>
      <c r="AK539" s="985">
        <v>12</v>
      </c>
      <c r="AL539" s="985">
        <v>12.08</v>
      </c>
      <c r="AM539" s="985" t="s">
        <v>2407</v>
      </c>
      <c r="AN539" s="8"/>
      <c r="AO539" s="983">
        <v>0</v>
      </c>
      <c r="AP539" s="983">
        <v>0</v>
      </c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83"/>
      <c r="BB539" s="983"/>
      <c r="BC539" s="983"/>
      <c r="BD539" s="983">
        <v>9</v>
      </c>
      <c r="BE539" s="983">
        <v>2.13</v>
      </c>
      <c r="BF539" s="983"/>
      <c r="BH539" s="1002">
        <f t="shared" si="228"/>
        <v>1</v>
      </c>
      <c r="BI539" s="1002">
        <f t="shared" si="229"/>
        <v>1</v>
      </c>
      <c r="BJ539" s="1002">
        <f t="shared" si="230"/>
        <v>1</v>
      </c>
      <c r="BK539" s="1002">
        <f t="shared" si="231"/>
        <v>0</v>
      </c>
      <c r="BL539" s="1002">
        <f t="shared" si="232"/>
        <v>0</v>
      </c>
      <c r="BO539" s="119">
        <v>7</v>
      </c>
      <c r="BP539" s="128" t="s">
        <v>1195</v>
      </c>
      <c r="BQ539" s="119">
        <v>20</v>
      </c>
      <c r="BR539" s="119">
        <v>7</v>
      </c>
      <c r="BS539" s="119">
        <v>2</v>
      </c>
      <c r="BT539" s="119">
        <v>11</v>
      </c>
      <c r="BU539" s="119">
        <v>77</v>
      </c>
      <c r="BV539" s="119">
        <v>111</v>
      </c>
      <c r="BW539" s="119">
        <f t="shared" si="233"/>
        <v>-34</v>
      </c>
      <c r="BX539" s="119">
        <v>16</v>
      </c>
      <c r="BY539" s="119">
        <f t="shared" si="234"/>
        <v>0.8</v>
      </c>
    </row>
    <row r="540" spans="2:77" x14ac:dyDescent="0.3">
      <c r="B540" s="1280">
        <v>319</v>
      </c>
      <c r="C540" s="977" t="s">
        <v>2372</v>
      </c>
      <c r="D540" s="977" t="s">
        <v>1829</v>
      </c>
      <c r="E540" s="977" t="s">
        <v>1544</v>
      </c>
      <c r="F540" s="977" t="s">
        <v>2385</v>
      </c>
      <c r="G540" s="977" t="s">
        <v>796</v>
      </c>
      <c r="H540" s="991" t="str">
        <f t="shared" si="227"/>
        <v>Häviö</v>
      </c>
      <c r="I540" s="991" t="s">
        <v>1515</v>
      </c>
      <c r="J540" s="991" t="s">
        <v>0</v>
      </c>
      <c r="K540" s="991" t="s">
        <v>2404</v>
      </c>
      <c r="L540" s="992">
        <v>4</v>
      </c>
      <c r="M540" s="992">
        <v>7</v>
      </c>
      <c r="N540" s="1262">
        <v>0</v>
      </c>
      <c r="O540" s="992">
        <v>4</v>
      </c>
      <c r="P540" s="1262">
        <v>2</v>
      </c>
      <c r="Q540" s="992">
        <v>1</v>
      </c>
      <c r="R540" s="1262">
        <v>2</v>
      </c>
      <c r="S540" s="992">
        <v>2</v>
      </c>
      <c r="T540" s="1262"/>
      <c r="U540" s="992"/>
      <c r="V540" s="985">
        <v>3</v>
      </c>
      <c r="W540" s="985">
        <v>6</v>
      </c>
      <c r="X540" s="985">
        <v>3</v>
      </c>
      <c r="Y540" s="985"/>
      <c r="Z540" s="985"/>
      <c r="AA540" s="985"/>
      <c r="AB540" s="985"/>
      <c r="AC540" s="985"/>
      <c r="AD540" s="985"/>
      <c r="AE540" s="985"/>
      <c r="AF540" s="985"/>
      <c r="AG540" s="985"/>
      <c r="AH540" s="985"/>
      <c r="AI540" s="985"/>
      <c r="AJ540" s="985"/>
      <c r="AK540" s="985" t="s">
        <v>107</v>
      </c>
      <c r="AL540" s="985">
        <v>15.16</v>
      </c>
      <c r="AM540" s="985" t="s">
        <v>2406</v>
      </c>
      <c r="AN540" s="8"/>
      <c r="AO540" s="983">
        <v>1</v>
      </c>
      <c r="AP540" s="983">
        <v>2</v>
      </c>
      <c r="AQ540" s="983">
        <v>1</v>
      </c>
      <c r="AR540" s="983"/>
      <c r="AS540" s="983"/>
      <c r="AT540" s="983"/>
      <c r="AU540" s="983">
        <v>1</v>
      </c>
      <c r="AV540" s="983"/>
      <c r="AW540" s="983"/>
      <c r="AX540" s="983"/>
      <c r="AY540" s="983"/>
      <c r="AZ540" s="983"/>
      <c r="BA540" s="983"/>
      <c r="BB540" s="983"/>
      <c r="BC540" s="983"/>
      <c r="BD540" s="983" t="s">
        <v>107</v>
      </c>
      <c r="BE540" s="984">
        <v>1.1000000000000001</v>
      </c>
      <c r="BF540" s="983"/>
      <c r="BH540" s="1002">
        <f t="shared" si="228"/>
        <v>0</v>
      </c>
      <c r="BI540" s="1002">
        <f t="shared" si="229"/>
        <v>0</v>
      </c>
      <c r="BJ540" s="1002">
        <f t="shared" si="230"/>
        <v>0</v>
      </c>
      <c r="BK540" s="1002">
        <f t="shared" si="231"/>
        <v>0</v>
      </c>
      <c r="BL540" s="1002">
        <f t="shared" si="232"/>
        <v>0</v>
      </c>
      <c r="BO540" s="119">
        <v>8</v>
      </c>
      <c r="BP540" s="128" t="s">
        <v>2403</v>
      </c>
      <c r="BQ540" s="119">
        <v>20</v>
      </c>
      <c r="BR540" s="119">
        <v>6</v>
      </c>
      <c r="BS540" s="119">
        <v>4</v>
      </c>
      <c r="BT540" s="119">
        <v>10</v>
      </c>
      <c r="BU540" s="119">
        <v>83</v>
      </c>
      <c r="BV540" s="119">
        <v>88</v>
      </c>
      <c r="BW540" s="119">
        <f t="shared" si="233"/>
        <v>-5</v>
      </c>
      <c r="BX540" s="119">
        <v>16</v>
      </c>
      <c r="BY540" s="119">
        <f t="shared" si="234"/>
        <v>0.8</v>
      </c>
    </row>
    <row r="541" spans="2:77" x14ac:dyDescent="0.3">
      <c r="B541" s="1280">
        <v>320</v>
      </c>
      <c r="C541" s="977" t="s">
        <v>2372</v>
      </c>
      <c r="D541" s="977" t="s">
        <v>1829</v>
      </c>
      <c r="E541" s="977" t="s">
        <v>1545</v>
      </c>
      <c r="F541" s="977" t="s">
        <v>2386</v>
      </c>
      <c r="G541" s="977" t="s">
        <v>796</v>
      </c>
      <c r="H541" s="991" t="str">
        <f t="shared" si="227"/>
        <v>Voitto</v>
      </c>
      <c r="I541" s="991" t="s">
        <v>1514</v>
      </c>
      <c r="J541" s="991" t="s">
        <v>0</v>
      </c>
      <c r="K541" s="991" t="s">
        <v>1195</v>
      </c>
      <c r="L541" s="992">
        <v>7</v>
      </c>
      <c r="M541" s="992">
        <v>3</v>
      </c>
      <c r="N541" s="1262">
        <v>3</v>
      </c>
      <c r="O541" s="992">
        <v>2</v>
      </c>
      <c r="P541" s="1262">
        <v>0</v>
      </c>
      <c r="Q541" s="992">
        <v>1</v>
      </c>
      <c r="R541" s="1262">
        <v>4</v>
      </c>
      <c r="S541" s="992">
        <v>0</v>
      </c>
      <c r="T541" s="1262"/>
      <c r="U541" s="992"/>
      <c r="V541" s="985">
        <v>3</v>
      </c>
      <c r="W541" s="985">
        <v>6</v>
      </c>
      <c r="X541" s="985">
        <v>3</v>
      </c>
      <c r="Y541" s="985"/>
      <c r="Z541" s="985"/>
      <c r="AA541" s="985"/>
      <c r="AB541" s="985"/>
      <c r="AC541" s="985"/>
      <c r="AD541" s="985"/>
      <c r="AE541" s="985"/>
      <c r="AF541" s="985"/>
      <c r="AG541" s="985"/>
      <c r="AH541" s="985"/>
      <c r="AI541" s="985"/>
      <c r="AJ541" s="985"/>
      <c r="AK541" s="985" t="s">
        <v>107</v>
      </c>
      <c r="AL541" s="985">
        <v>7.27</v>
      </c>
      <c r="AM541" s="985" t="s">
        <v>2407</v>
      </c>
      <c r="AN541" s="8"/>
      <c r="AO541" s="983">
        <v>2</v>
      </c>
      <c r="AP541" s="983">
        <v>4</v>
      </c>
      <c r="AQ541" s="983">
        <v>2</v>
      </c>
      <c r="AR541" s="983"/>
      <c r="AS541" s="983"/>
      <c r="AT541" s="983"/>
      <c r="AU541" s="983">
        <v>1</v>
      </c>
      <c r="AV541" s="983"/>
      <c r="AW541" s="983"/>
      <c r="AX541" s="983"/>
      <c r="AY541" s="983"/>
      <c r="AZ541" s="983"/>
      <c r="BA541" s="983"/>
      <c r="BB541" s="1091"/>
      <c r="BC541" s="983"/>
      <c r="BD541" s="983" t="s">
        <v>107</v>
      </c>
      <c r="BE541" s="984">
        <v>1.2</v>
      </c>
      <c r="BF541" s="983"/>
      <c r="BH541" s="1002">
        <f t="shared" si="228"/>
        <v>0</v>
      </c>
      <c r="BI541" s="1002">
        <f t="shared" si="229"/>
        <v>0</v>
      </c>
      <c r="BJ541" s="1002">
        <f t="shared" si="230"/>
        <v>0</v>
      </c>
      <c r="BK541" s="1002">
        <f t="shared" si="231"/>
        <v>0</v>
      </c>
      <c r="BL541" s="1002">
        <f t="shared" si="232"/>
        <v>0</v>
      </c>
      <c r="BO541" s="119">
        <v>9</v>
      </c>
      <c r="BP541" s="128" t="s">
        <v>2275</v>
      </c>
      <c r="BQ541" s="119">
        <v>20</v>
      </c>
      <c r="BR541" s="119">
        <v>5</v>
      </c>
      <c r="BS541" s="119">
        <v>4</v>
      </c>
      <c r="BT541" s="119">
        <v>11</v>
      </c>
      <c r="BU541" s="119">
        <v>73</v>
      </c>
      <c r="BV541" s="119">
        <v>114</v>
      </c>
      <c r="BW541" s="119">
        <f t="shared" si="233"/>
        <v>-41</v>
      </c>
      <c r="BX541" s="119">
        <v>14</v>
      </c>
      <c r="BY541" s="119">
        <f t="shared" si="234"/>
        <v>0.7</v>
      </c>
    </row>
    <row r="542" spans="2:77" x14ac:dyDescent="0.3">
      <c r="B542" s="1280">
        <v>321</v>
      </c>
      <c r="C542" s="977" t="s">
        <v>2372</v>
      </c>
      <c r="D542" s="977" t="s">
        <v>1829</v>
      </c>
      <c r="E542" s="977" t="s">
        <v>1546</v>
      </c>
      <c r="F542" s="977" t="s">
        <v>2387</v>
      </c>
      <c r="G542" s="977" t="s">
        <v>731</v>
      </c>
      <c r="H542" s="991" t="str">
        <f t="shared" si="227"/>
        <v>Voitto</v>
      </c>
      <c r="I542" s="991" t="s">
        <v>1515</v>
      </c>
      <c r="J542" s="991" t="s">
        <v>0</v>
      </c>
      <c r="K542" s="991" t="s">
        <v>2376</v>
      </c>
      <c r="L542" s="992">
        <v>5</v>
      </c>
      <c r="M542" s="992">
        <v>2</v>
      </c>
      <c r="N542" s="1262">
        <v>0</v>
      </c>
      <c r="O542" s="992">
        <v>1</v>
      </c>
      <c r="P542" s="1262">
        <v>1</v>
      </c>
      <c r="Q542" s="992">
        <v>1</v>
      </c>
      <c r="R542" s="1262">
        <v>4</v>
      </c>
      <c r="S542" s="992">
        <v>0</v>
      </c>
      <c r="T542" s="1262"/>
      <c r="U542" s="992"/>
      <c r="V542" s="985">
        <v>0</v>
      </c>
      <c r="W542" s="985">
        <v>0</v>
      </c>
      <c r="X542" s="985"/>
      <c r="Y542" s="985"/>
      <c r="Z542" s="985"/>
      <c r="AA542" s="985"/>
      <c r="AB542" s="985"/>
      <c r="AC542" s="985"/>
      <c r="AD542" s="985"/>
      <c r="AE542" s="985"/>
      <c r="AF542" s="985"/>
      <c r="AG542" s="985"/>
      <c r="AH542" s="985"/>
      <c r="AI542" s="985"/>
      <c r="AJ542" s="985"/>
      <c r="AK542" s="985">
        <v>7</v>
      </c>
      <c r="AL542" s="985">
        <v>27.12</v>
      </c>
      <c r="AM542" s="985" t="s">
        <v>2407</v>
      </c>
      <c r="AN542" s="8"/>
      <c r="AO542" s="983">
        <v>0</v>
      </c>
      <c r="AP542" s="983">
        <v>0</v>
      </c>
      <c r="AQ542" s="983"/>
      <c r="AR542" s="983"/>
      <c r="AS542" s="983"/>
      <c r="AT542" s="983"/>
      <c r="AU542" s="983"/>
      <c r="AV542" s="983"/>
      <c r="AW542" s="983"/>
      <c r="AX542" s="983"/>
      <c r="AY542" s="983"/>
      <c r="AZ542" s="983"/>
      <c r="BA542" s="983"/>
      <c r="BB542" s="983"/>
      <c r="BC542" s="983"/>
      <c r="BD542" s="983">
        <v>14</v>
      </c>
      <c r="BE542" s="983">
        <v>2.17</v>
      </c>
      <c r="BF542" s="983"/>
      <c r="BH542" s="1002">
        <f t="shared" si="228"/>
        <v>1</v>
      </c>
      <c r="BI542" s="1002">
        <f t="shared" si="229"/>
        <v>1</v>
      </c>
      <c r="BJ542" s="1002">
        <f t="shared" si="230"/>
        <v>1</v>
      </c>
      <c r="BK542" s="1002">
        <f t="shared" si="231"/>
        <v>0</v>
      </c>
      <c r="BL542" s="1002">
        <f t="shared" si="232"/>
        <v>0</v>
      </c>
      <c r="BO542" s="119">
        <v>10</v>
      </c>
      <c r="BP542" s="128" t="s">
        <v>2402</v>
      </c>
      <c r="BQ542" s="119">
        <v>20</v>
      </c>
      <c r="BR542" s="119">
        <v>5</v>
      </c>
      <c r="BS542" s="119">
        <v>2</v>
      </c>
      <c r="BT542" s="119">
        <v>13</v>
      </c>
      <c r="BU542" s="119">
        <v>75</v>
      </c>
      <c r="BV542" s="119">
        <v>130</v>
      </c>
      <c r="BW542" s="119">
        <f t="shared" si="233"/>
        <v>-55</v>
      </c>
      <c r="BX542" s="119">
        <v>12</v>
      </c>
      <c r="BY542" s="119">
        <f t="shared" si="234"/>
        <v>0.6</v>
      </c>
    </row>
    <row r="543" spans="2:77" x14ac:dyDescent="0.3">
      <c r="B543" s="1280">
        <v>322</v>
      </c>
      <c r="C543" s="977" t="s">
        <v>2372</v>
      </c>
      <c r="D543" s="977" t="s">
        <v>1829</v>
      </c>
      <c r="E543" s="977" t="s">
        <v>1547</v>
      </c>
      <c r="F543" s="977" t="s">
        <v>2388</v>
      </c>
      <c r="G543" s="977" t="s">
        <v>731</v>
      </c>
      <c r="H543" s="991" t="str">
        <f t="shared" si="227"/>
        <v>Voitto</v>
      </c>
      <c r="I543" s="991" t="s">
        <v>1514</v>
      </c>
      <c r="J543" s="991" t="s">
        <v>0</v>
      </c>
      <c r="K543" s="991" t="s">
        <v>2276</v>
      </c>
      <c r="L543" s="992">
        <v>5</v>
      </c>
      <c r="M543" s="992">
        <v>2</v>
      </c>
      <c r="N543" s="1262">
        <v>2</v>
      </c>
      <c r="O543" s="992">
        <v>0</v>
      </c>
      <c r="P543" s="1262">
        <v>1</v>
      </c>
      <c r="Q543" s="992">
        <v>0</v>
      </c>
      <c r="R543" s="1262">
        <v>2</v>
      </c>
      <c r="S543" s="992">
        <v>2</v>
      </c>
      <c r="T543" s="1262"/>
      <c r="U543" s="992"/>
      <c r="V543" s="985">
        <v>0</v>
      </c>
      <c r="W543" s="985">
        <v>0</v>
      </c>
      <c r="X543" s="985"/>
      <c r="Y543" s="985"/>
      <c r="Z543" s="985"/>
      <c r="AA543" s="985"/>
      <c r="AB543" s="985"/>
      <c r="AC543" s="985"/>
      <c r="AD543" s="985"/>
      <c r="AE543" s="985"/>
      <c r="AF543" s="985"/>
      <c r="AG543" s="985"/>
      <c r="AH543" s="985"/>
      <c r="AI543" s="985"/>
      <c r="AJ543" s="985"/>
      <c r="AK543" s="985">
        <v>22</v>
      </c>
      <c r="AL543" s="986">
        <v>0.4</v>
      </c>
      <c r="AM543" s="985" t="s">
        <v>2406</v>
      </c>
      <c r="AN543" s="8"/>
      <c r="AO543" s="983">
        <v>1</v>
      </c>
      <c r="AP543" s="983">
        <v>2</v>
      </c>
      <c r="AQ543" s="983">
        <v>1</v>
      </c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983"/>
      <c r="BB543" s="983"/>
      <c r="BC543" s="983"/>
      <c r="BD543" s="983">
        <v>24</v>
      </c>
      <c r="BE543" s="983">
        <v>30.13</v>
      </c>
      <c r="BF543" s="983"/>
      <c r="BH543" s="1002">
        <f t="shared" si="228"/>
        <v>1</v>
      </c>
      <c r="BI543" s="1002">
        <f t="shared" si="229"/>
        <v>0</v>
      </c>
      <c r="BJ543" s="1002">
        <f t="shared" si="230"/>
        <v>0</v>
      </c>
      <c r="BK543" s="1002">
        <f t="shared" si="231"/>
        <v>1</v>
      </c>
      <c r="BL543" s="1002">
        <f t="shared" si="232"/>
        <v>0</v>
      </c>
      <c r="BO543" s="119">
        <v>11</v>
      </c>
      <c r="BP543" s="128" t="s">
        <v>1405</v>
      </c>
      <c r="BQ543" s="119">
        <v>20</v>
      </c>
      <c r="BR543" s="119">
        <v>3</v>
      </c>
      <c r="BS543" s="119">
        <v>3</v>
      </c>
      <c r="BT543" s="119">
        <v>14</v>
      </c>
      <c r="BU543" s="119">
        <v>61</v>
      </c>
      <c r="BV543" s="119">
        <v>126</v>
      </c>
      <c r="BW543" s="119">
        <f t="shared" si="233"/>
        <v>-65</v>
      </c>
      <c r="BX543" s="119">
        <v>9</v>
      </c>
      <c r="BY543" s="1294">
        <f t="shared" si="234"/>
        <v>0.45</v>
      </c>
    </row>
    <row r="544" spans="2:77" x14ac:dyDescent="0.3">
      <c r="B544" s="1280">
        <v>323</v>
      </c>
      <c r="C544" s="977" t="s">
        <v>2372</v>
      </c>
      <c r="D544" s="977" t="s">
        <v>1829</v>
      </c>
      <c r="E544" s="977" t="s">
        <v>1548</v>
      </c>
      <c r="F544" s="977" t="s">
        <v>2389</v>
      </c>
      <c r="G544" s="977" t="s">
        <v>796</v>
      </c>
      <c r="H544" s="991" t="str">
        <f t="shared" si="227"/>
        <v>Voitto</v>
      </c>
      <c r="I544" s="991" t="s">
        <v>1515</v>
      </c>
      <c r="J544" s="991" t="s">
        <v>0</v>
      </c>
      <c r="K544" s="991" t="s">
        <v>1405</v>
      </c>
      <c r="L544" s="992">
        <v>4</v>
      </c>
      <c r="M544" s="992">
        <v>2</v>
      </c>
      <c r="N544" s="1262">
        <v>2</v>
      </c>
      <c r="O544" s="992">
        <v>0</v>
      </c>
      <c r="P544" s="1262">
        <v>1</v>
      </c>
      <c r="Q544" s="992">
        <v>1</v>
      </c>
      <c r="R544" s="1262">
        <v>1</v>
      </c>
      <c r="S544" s="992">
        <v>1</v>
      </c>
      <c r="T544" s="1262"/>
      <c r="U544" s="992"/>
      <c r="V544" s="985">
        <v>1</v>
      </c>
      <c r="W544" s="985">
        <v>2</v>
      </c>
      <c r="X544" s="985">
        <v>1</v>
      </c>
      <c r="Y544" s="985"/>
      <c r="Z544" s="985"/>
      <c r="AA544" s="985"/>
      <c r="AB544" s="985"/>
      <c r="AC544" s="985"/>
      <c r="AD544" s="985"/>
      <c r="AE544" s="985"/>
      <c r="AF544" s="985"/>
      <c r="AG544" s="985"/>
      <c r="AH544" s="985"/>
      <c r="AI544" s="985"/>
      <c r="AJ544" s="985"/>
      <c r="AK544" s="985">
        <v>9</v>
      </c>
      <c r="AL544" s="985">
        <v>7.58</v>
      </c>
      <c r="AM544" s="985" t="s">
        <v>2407</v>
      </c>
      <c r="AN544" s="8"/>
      <c r="AO544" s="983">
        <v>0</v>
      </c>
      <c r="AP544" s="983">
        <v>0</v>
      </c>
      <c r="AQ544" s="983"/>
      <c r="AR544" s="983"/>
      <c r="AS544" s="983"/>
      <c r="AT544" s="983"/>
      <c r="AU544" s="983"/>
      <c r="AV544" s="983"/>
      <c r="AW544" s="983"/>
      <c r="AX544" s="983"/>
      <c r="AY544" s="983"/>
      <c r="AZ544" s="983"/>
      <c r="BA544" s="983"/>
      <c r="BB544" s="983"/>
      <c r="BC544" s="983"/>
      <c r="BD544" s="983">
        <v>19</v>
      </c>
      <c r="BE544" s="983">
        <v>25.21</v>
      </c>
      <c r="BF544" s="983"/>
      <c r="BH544" s="1002">
        <f t="shared" si="228"/>
        <v>0</v>
      </c>
      <c r="BI544" s="1002">
        <f t="shared" si="229"/>
        <v>1</v>
      </c>
      <c r="BJ544" s="1002">
        <f t="shared" si="230"/>
        <v>0</v>
      </c>
      <c r="BK544" s="1002">
        <f t="shared" si="231"/>
        <v>0</v>
      </c>
      <c r="BL544" s="1002">
        <f t="shared" si="232"/>
        <v>1</v>
      </c>
    </row>
    <row r="545" spans="2:64" x14ac:dyDescent="0.3">
      <c r="B545" s="1280">
        <v>324</v>
      </c>
      <c r="C545" s="977" t="s">
        <v>2372</v>
      </c>
      <c r="D545" s="977" t="s">
        <v>1829</v>
      </c>
      <c r="E545" s="977" t="s">
        <v>1549</v>
      </c>
      <c r="F545" s="977" t="s">
        <v>2390</v>
      </c>
      <c r="G545" s="977" t="s">
        <v>796</v>
      </c>
      <c r="H545" s="991" t="str">
        <f t="shared" si="227"/>
        <v>Voitto</v>
      </c>
      <c r="I545" s="991" t="s">
        <v>1514</v>
      </c>
      <c r="J545" s="991" t="s">
        <v>0</v>
      </c>
      <c r="K545" s="991" t="s">
        <v>2275</v>
      </c>
      <c r="L545" s="992">
        <v>5</v>
      </c>
      <c r="M545" s="992">
        <v>1</v>
      </c>
      <c r="N545" s="1262">
        <v>3</v>
      </c>
      <c r="O545" s="992">
        <v>0</v>
      </c>
      <c r="P545" s="1262">
        <v>0</v>
      </c>
      <c r="Q545" s="992">
        <v>1</v>
      </c>
      <c r="R545" s="1262">
        <v>2</v>
      </c>
      <c r="S545" s="992">
        <v>0</v>
      </c>
      <c r="T545" s="1262"/>
      <c r="U545" s="992"/>
      <c r="V545" s="985">
        <v>0</v>
      </c>
      <c r="W545" s="985">
        <v>0</v>
      </c>
      <c r="X545" s="985"/>
      <c r="Y545" s="985"/>
      <c r="Z545" s="985"/>
      <c r="AA545" s="985"/>
      <c r="AB545" s="985"/>
      <c r="AC545" s="985"/>
      <c r="AD545" s="985"/>
      <c r="AE545" s="985"/>
      <c r="AF545" s="985"/>
      <c r="AG545" s="985"/>
      <c r="AH545" s="985">
        <v>1</v>
      </c>
      <c r="AI545" s="985"/>
      <c r="AJ545" s="985"/>
      <c r="AK545" s="985">
        <v>16</v>
      </c>
      <c r="AL545" s="985">
        <v>1.27</v>
      </c>
      <c r="AM545" s="985" t="s">
        <v>2406</v>
      </c>
      <c r="AN545" s="8"/>
      <c r="AO545" s="983">
        <v>2</v>
      </c>
      <c r="AP545" s="983">
        <v>4</v>
      </c>
      <c r="AQ545" s="983">
        <v>2</v>
      </c>
      <c r="AR545" s="983"/>
      <c r="AS545" s="983"/>
      <c r="AT545" s="983"/>
      <c r="AU545" s="983"/>
      <c r="AV545" s="983"/>
      <c r="AW545" s="983"/>
      <c r="AX545" s="983"/>
      <c r="AY545" s="983"/>
      <c r="AZ545" s="983"/>
      <c r="BA545" s="983"/>
      <c r="BB545" s="983"/>
      <c r="BC545" s="983"/>
      <c r="BD545" s="983">
        <v>13</v>
      </c>
      <c r="BE545" s="983">
        <v>29.55</v>
      </c>
      <c r="BF545" s="983"/>
      <c r="BH545" s="1002">
        <f t="shared" si="228"/>
        <v>1</v>
      </c>
      <c r="BI545" s="1002">
        <f t="shared" si="229"/>
        <v>0</v>
      </c>
      <c r="BJ545" s="1002">
        <f t="shared" si="230"/>
        <v>0</v>
      </c>
      <c r="BK545" s="1002">
        <f t="shared" si="231"/>
        <v>1</v>
      </c>
      <c r="BL545" s="1002">
        <f t="shared" si="232"/>
        <v>0</v>
      </c>
    </row>
    <row r="546" spans="2:64" x14ac:dyDescent="0.3">
      <c r="B546" s="1280">
        <v>325</v>
      </c>
      <c r="C546" s="977" t="s">
        <v>2372</v>
      </c>
      <c r="D546" s="977" t="s">
        <v>1829</v>
      </c>
      <c r="E546" s="977" t="s">
        <v>1550</v>
      </c>
      <c r="F546" s="977" t="s">
        <v>2391</v>
      </c>
      <c r="G546" s="977" t="s">
        <v>796</v>
      </c>
      <c r="H546" s="991" t="str">
        <f t="shared" si="227"/>
        <v>Voitto</v>
      </c>
      <c r="I546" s="991" t="s">
        <v>1514</v>
      </c>
      <c r="J546" s="991" t="s">
        <v>0</v>
      </c>
      <c r="K546" s="991" t="s">
        <v>2175</v>
      </c>
      <c r="L546" s="992">
        <v>4</v>
      </c>
      <c r="M546" s="992">
        <v>1</v>
      </c>
      <c r="N546" s="1262">
        <v>1</v>
      </c>
      <c r="O546" s="992">
        <v>0</v>
      </c>
      <c r="P546" s="1262">
        <v>1</v>
      </c>
      <c r="Q546" s="992">
        <v>0</v>
      </c>
      <c r="R546" s="1262">
        <v>2</v>
      </c>
      <c r="S546" s="992">
        <v>1</v>
      </c>
      <c r="T546" s="1262"/>
      <c r="U546" s="992"/>
      <c r="V546" s="985">
        <v>2</v>
      </c>
      <c r="W546" s="985">
        <v>26</v>
      </c>
      <c r="X546" s="985">
        <v>1</v>
      </c>
      <c r="Y546" s="985"/>
      <c r="Z546" s="985"/>
      <c r="AA546" s="985">
        <v>1</v>
      </c>
      <c r="AB546" s="985"/>
      <c r="AC546" s="985"/>
      <c r="AD546" s="985"/>
      <c r="AE546" s="985"/>
      <c r="AF546" s="985"/>
      <c r="AG546" s="985">
        <v>1</v>
      </c>
      <c r="AH546" s="985"/>
      <c r="AI546" s="985">
        <v>1</v>
      </c>
      <c r="AJ546" s="985"/>
      <c r="AK546" s="985">
        <v>17</v>
      </c>
      <c r="AL546" s="986">
        <v>9.4</v>
      </c>
      <c r="AM546" s="985" t="s">
        <v>2406</v>
      </c>
      <c r="AN546" s="8"/>
      <c r="AO546" s="983">
        <v>2</v>
      </c>
      <c r="AP546" s="983">
        <v>4</v>
      </c>
      <c r="AQ546" s="983">
        <v>2</v>
      </c>
      <c r="AR546" s="983"/>
      <c r="AS546" s="983"/>
      <c r="AT546" s="983"/>
      <c r="AU546" s="983"/>
      <c r="AV546" s="983"/>
      <c r="AW546" s="983"/>
      <c r="AX546" s="983"/>
      <c r="AY546" s="983"/>
      <c r="AZ546" s="983"/>
      <c r="BA546" s="983"/>
      <c r="BB546" s="983"/>
      <c r="BC546" s="983"/>
      <c r="BD546" s="983">
        <v>12</v>
      </c>
      <c r="BE546" s="983">
        <v>37.22</v>
      </c>
      <c r="BF546" s="983"/>
      <c r="BH546" s="1002">
        <f t="shared" si="228"/>
        <v>0</v>
      </c>
      <c r="BI546" s="1002">
        <f t="shared" si="229"/>
        <v>0</v>
      </c>
      <c r="BJ546" s="1002">
        <f t="shared" si="230"/>
        <v>0</v>
      </c>
      <c r="BK546" s="1002">
        <f t="shared" si="231"/>
        <v>0</v>
      </c>
      <c r="BL546" s="1002">
        <f t="shared" si="232"/>
        <v>0</v>
      </c>
    </row>
    <row r="547" spans="2:64" x14ac:dyDescent="0.3">
      <c r="B547" s="1280">
        <v>326</v>
      </c>
      <c r="C547" s="977" t="s">
        <v>2372</v>
      </c>
      <c r="D547" s="977" t="s">
        <v>1829</v>
      </c>
      <c r="E547" s="977" t="s">
        <v>1551</v>
      </c>
      <c r="F547" s="977" t="s">
        <v>2392</v>
      </c>
      <c r="G547" s="977" t="s">
        <v>796</v>
      </c>
      <c r="H547" s="991" t="str">
        <f t="shared" si="227"/>
        <v>Voitto</v>
      </c>
      <c r="I547" s="991" t="s">
        <v>1515</v>
      </c>
      <c r="J547" s="991" t="s">
        <v>0</v>
      </c>
      <c r="K547" s="991" t="s">
        <v>2402</v>
      </c>
      <c r="L547" s="992">
        <v>8</v>
      </c>
      <c r="M547" s="992">
        <v>4</v>
      </c>
      <c r="N547" s="1262">
        <v>2</v>
      </c>
      <c r="O547" s="992">
        <v>0</v>
      </c>
      <c r="P547" s="1262">
        <v>3</v>
      </c>
      <c r="Q547" s="992">
        <v>2</v>
      </c>
      <c r="R547" s="1262">
        <v>3</v>
      </c>
      <c r="S547" s="992">
        <v>2</v>
      </c>
      <c r="T547" s="1262"/>
      <c r="U547" s="992"/>
      <c r="V547" s="985">
        <v>1</v>
      </c>
      <c r="W547" s="985">
        <v>2</v>
      </c>
      <c r="X547" s="985">
        <v>1</v>
      </c>
      <c r="Y547" s="985"/>
      <c r="Z547" s="985"/>
      <c r="AA547" s="985"/>
      <c r="AB547" s="985"/>
      <c r="AC547" s="985"/>
      <c r="AD547" s="985"/>
      <c r="AE547" s="985"/>
      <c r="AF547" s="985"/>
      <c r="AG547" s="985"/>
      <c r="AH547" s="985"/>
      <c r="AI547" s="985"/>
      <c r="AJ547" s="985"/>
      <c r="AK547" s="985">
        <v>11</v>
      </c>
      <c r="AL547" s="985">
        <v>3.31</v>
      </c>
      <c r="AM547" s="985" t="s">
        <v>2407</v>
      </c>
      <c r="AN547" s="8"/>
      <c r="AO547" s="983">
        <v>0</v>
      </c>
      <c r="AP547" s="983">
        <v>0</v>
      </c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983"/>
      <c r="BB547" s="983"/>
      <c r="BC547" s="983"/>
      <c r="BD547" s="983">
        <v>13</v>
      </c>
      <c r="BE547" s="983">
        <v>27.02</v>
      </c>
      <c r="BF547" s="983"/>
      <c r="BH547" s="1002">
        <f t="shared" si="228"/>
        <v>0</v>
      </c>
      <c r="BI547" s="1002">
        <f t="shared" si="229"/>
        <v>1</v>
      </c>
      <c r="BJ547" s="1002">
        <f t="shared" si="230"/>
        <v>0</v>
      </c>
      <c r="BK547" s="1002">
        <f t="shared" si="231"/>
        <v>0</v>
      </c>
      <c r="BL547" s="1002">
        <f t="shared" si="232"/>
        <v>1</v>
      </c>
    </row>
    <row r="548" spans="2:64" x14ac:dyDescent="0.3">
      <c r="B548" s="1280">
        <v>327</v>
      </c>
      <c r="C548" s="977" t="s">
        <v>2372</v>
      </c>
      <c r="D548" s="977" t="s">
        <v>1829</v>
      </c>
      <c r="E548" s="977" t="s">
        <v>1552</v>
      </c>
      <c r="F548" s="977" t="s">
        <v>2393</v>
      </c>
      <c r="G548" s="977" t="s">
        <v>2401</v>
      </c>
      <c r="H548" s="991" t="str">
        <f t="shared" si="227"/>
        <v>Voitto</v>
      </c>
      <c r="I548" s="991" t="s">
        <v>1514</v>
      </c>
      <c r="J548" s="991" t="s">
        <v>0</v>
      </c>
      <c r="K548" s="991" t="s">
        <v>1279</v>
      </c>
      <c r="L548" s="992">
        <v>6</v>
      </c>
      <c r="M548" s="992">
        <v>0</v>
      </c>
      <c r="N548" s="1262">
        <v>2</v>
      </c>
      <c r="O548" s="992">
        <v>0</v>
      </c>
      <c r="P548" s="1262">
        <v>3</v>
      </c>
      <c r="Q548" s="992">
        <v>0</v>
      </c>
      <c r="R548" s="1262">
        <v>1</v>
      </c>
      <c r="S548" s="992">
        <v>0</v>
      </c>
      <c r="T548" s="1262"/>
      <c r="U548" s="992"/>
      <c r="V548" s="985">
        <v>3</v>
      </c>
      <c r="W548" s="985">
        <v>6</v>
      </c>
      <c r="X548" s="985">
        <v>3</v>
      </c>
      <c r="Y548" s="985"/>
      <c r="Z548" s="985"/>
      <c r="AA548" s="985"/>
      <c r="AB548" s="985"/>
      <c r="AC548" s="985"/>
      <c r="AD548" s="985"/>
      <c r="AE548" s="985"/>
      <c r="AF548" s="985">
        <v>1</v>
      </c>
      <c r="AG548" s="985"/>
      <c r="AH548" s="985"/>
      <c r="AI548" s="985"/>
      <c r="AJ548" s="985"/>
      <c r="AK548" s="985">
        <v>12</v>
      </c>
      <c r="AL548" s="986">
        <v>2</v>
      </c>
      <c r="AM548" s="985" t="s">
        <v>2406</v>
      </c>
      <c r="AN548" s="8"/>
      <c r="AO548" s="983">
        <v>1</v>
      </c>
      <c r="AP548" s="983">
        <v>2</v>
      </c>
      <c r="AQ548" s="983">
        <v>1</v>
      </c>
      <c r="AR548" s="983"/>
      <c r="AS548" s="983"/>
      <c r="AT548" s="983"/>
      <c r="AU548" s="983"/>
      <c r="AV548" s="983"/>
      <c r="AW548" s="983"/>
      <c r="AX548" s="983"/>
      <c r="AY548" s="983"/>
      <c r="AZ548" s="983"/>
      <c r="BA548" s="983"/>
      <c r="BB548" s="983"/>
      <c r="BC548" s="983"/>
      <c r="BD548" s="983">
        <v>11</v>
      </c>
      <c r="BE548" s="983" t="s">
        <v>107</v>
      </c>
      <c r="BF548" s="983"/>
      <c r="BH548" s="1002">
        <f t="shared" si="228"/>
        <v>0</v>
      </c>
      <c r="BI548" s="1002">
        <f t="shared" si="229"/>
        <v>0</v>
      </c>
      <c r="BJ548" s="1002">
        <f t="shared" si="230"/>
        <v>0</v>
      </c>
      <c r="BK548" s="1002">
        <f t="shared" si="231"/>
        <v>0</v>
      </c>
      <c r="BL548" s="1002">
        <f t="shared" si="232"/>
        <v>0</v>
      </c>
    </row>
    <row r="549" spans="2:64" x14ac:dyDescent="0.3">
      <c r="B549" s="1280">
        <v>328</v>
      </c>
      <c r="C549" s="977" t="s">
        <v>2372</v>
      </c>
      <c r="D549" s="977" t="s">
        <v>1829</v>
      </c>
      <c r="E549" s="977" t="s">
        <v>1553</v>
      </c>
      <c r="F549" s="977" t="s">
        <v>2394</v>
      </c>
      <c r="G549" s="977" t="s">
        <v>2401</v>
      </c>
      <c r="H549" s="991" t="str">
        <f t="shared" si="227"/>
        <v>Voitto</v>
      </c>
      <c r="I549" s="991" t="s">
        <v>1515</v>
      </c>
      <c r="J549" s="991" t="s">
        <v>0</v>
      </c>
      <c r="K549" s="991" t="s">
        <v>2403</v>
      </c>
      <c r="L549" s="992">
        <v>4</v>
      </c>
      <c r="M549" s="992">
        <v>3</v>
      </c>
      <c r="N549" s="1262">
        <v>2</v>
      </c>
      <c r="O549" s="992">
        <v>3</v>
      </c>
      <c r="P549" s="1262">
        <v>1</v>
      </c>
      <c r="Q549" s="992">
        <v>0</v>
      </c>
      <c r="R549" s="1262">
        <v>1</v>
      </c>
      <c r="S549" s="992">
        <v>0</v>
      </c>
      <c r="T549" s="1262"/>
      <c r="U549" s="992"/>
      <c r="V549" s="985">
        <v>2</v>
      </c>
      <c r="W549" s="985">
        <v>4</v>
      </c>
      <c r="X549" s="985">
        <v>2</v>
      </c>
      <c r="Y549" s="985"/>
      <c r="Z549" s="985"/>
      <c r="AA549" s="985"/>
      <c r="AB549" s="985"/>
      <c r="AC549" s="985"/>
      <c r="AD549" s="985"/>
      <c r="AE549" s="985"/>
      <c r="AF549" s="985"/>
      <c r="AG549" s="985"/>
      <c r="AH549" s="985"/>
      <c r="AI549" s="985"/>
      <c r="AJ549" s="985"/>
      <c r="AK549" s="985">
        <v>15</v>
      </c>
      <c r="AL549" s="985">
        <v>6.47</v>
      </c>
      <c r="AM549" s="985" t="s">
        <v>2407</v>
      </c>
      <c r="AN549" s="8"/>
      <c r="AO549" s="983">
        <v>1</v>
      </c>
      <c r="AP549" s="983">
        <v>2</v>
      </c>
      <c r="AQ549" s="983">
        <v>1</v>
      </c>
      <c r="AR549" s="983"/>
      <c r="AS549" s="983"/>
      <c r="AT549" s="983"/>
      <c r="AU549" s="983">
        <v>1</v>
      </c>
      <c r="AV549" s="983"/>
      <c r="AW549" s="983"/>
      <c r="AX549" s="983"/>
      <c r="AY549" s="983"/>
      <c r="AZ549" s="983"/>
      <c r="BA549" s="983"/>
      <c r="BB549" s="983"/>
      <c r="BC549" s="983"/>
      <c r="BD549" s="983">
        <v>28</v>
      </c>
      <c r="BE549" s="983">
        <v>2.12</v>
      </c>
      <c r="BF549" s="983"/>
      <c r="BH549" s="1002">
        <f t="shared" si="228"/>
        <v>0</v>
      </c>
      <c r="BI549" s="1002">
        <f t="shared" si="229"/>
        <v>0</v>
      </c>
      <c r="BJ549" s="1002">
        <f t="shared" si="230"/>
        <v>0</v>
      </c>
      <c r="BK549" s="1002">
        <f t="shared" si="231"/>
        <v>0</v>
      </c>
      <c r="BL549" s="1002">
        <f t="shared" si="232"/>
        <v>0</v>
      </c>
    </row>
    <row r="550" spans="2:64" x14ac:dyDescent="0.3">
      <c r="B550" s="1280">
        <v>329</v>
      </c>
      <c r="C550" s="977" t="s">
        <v>2372</v>
      </c>
      <c r="D550" s="977" t="s">
        <v>1829</v>
      </c>
      <c r="E550" s="977" t="s">
        <v>1554</v>
      </c>
      <c r="F550" s="977" t="s">
        <v>2395</v>
      </c>
      <c r="G550" s="977" t="s">
        <v>796</v>
      </c>
      <c r="H550" s="991" t="str">
        <f t="shared" si="227"/>
        <v>Voitto</v>
      </c>
      <c r="I550" s="991" t="s">
        <v>1515</v>
      </c>
      <c r="J550" s="991" t="s">
        <v>0</v>
      </c>
      <c r="K550" s="991" t="s">
        <v>1195</v>
      </c>
      <c r="L550" s="992">
        <v>9</v>
      </c>
      <c r="M550" s="992">
        <v>0</v>
      </c>
      <c r="N550" s="1262">
        <v>0</v>
      </c>
      <c r="O550" s="992">
        <v>0</v>
      </c>
      <c r="P550" s="1262">
        <v>5</v>
      </c>
      <c r="Q550" s="992">
        <v>0</v>
      </c>
      <c r="R550" s="1262">
        <v>4</v>
      </c>
      <c r="S550" s="992">
        <v>0</v>
      </c>
      <c r="T550" s="1262"/>
      <c r="U550" s="992"/>
      <c r="V550" s="985">
        <v>0</v>
      </c>
      <c r="W550" s="985">
        <v>0</v>
      </c>
      <c r="X550" s="985"/>
      <c r="Y550" s="985"/>
      <c r="Z550" s="985"/>
      <c r="AA550" s="985"/>
      <c r="AB550" s="985"/>
      <c r="AC550" s="985"/>
      <c r="AD550" s="985"/>
      <c r="AE550" s="985"/>
      <c r="AF550" s="985"/>
      <c r="AG550" s="985"/>
      <c r="AH550" s="985"/>
      <c r="AI550" s="985"/>
      <c r="AJ550" s="985"/>
      <c r="AK550" s="985">
        <v>6</v>
      </c>
      <c r="AL550" s="985">
        <v>18.27</v>
      </c>
      <c r="AM550" s="985" t="s">
        <v>2406</v>
      </c>
      <c r="AN550" s="8"/>
      <c r="AO550" s="983">
        <v>1</v>
      </c>
      <c r="AP550" s="983">
        <v>2</v>
      </c>
      <c r="AQ550" s="983">
        <v>1</v>
      </c>
      <c r="AR550" s="983"/>
      <c r="AS550" s="983"/>
      <c r="AT550" s="983"/>
      <c r="AU550" s="983"/>
      <c r="AV550" s="983"/>
      <c r="AW550" s="983"/>
      <c r="AX550" s="983"/>
      <c r="AY550" s="983"/>
      <c r="AZ550" s="983"/>
      <c r="BA550" s="983"/>
      <c r="BB550" s="983"/>
      <c r="BC550" s="983"/>
      <c r="BD550" s="983">
        <v>13</v>
      </c>
      <c r="BE550" s="983" t="s">
        <v>107</v>
      </c>
      <c r="BF550" s="983"/>
      <c r="BH550" s="1002">
        <f t="shared" si="228"/>
        <v>1</v>
      </c>
      <c r="BI550" s="1002">
        <f t="shared" si="229"/>
        <v>0</v>
      </c>
      <c r="BJ550" s="1002">
        <f t="shared" si="230"/>
        <v>0</v>
      </c>
      <c r="BK550" s="1002">
        <f t="shared" si="231"/>
        <v>1</v>
      </c>
      <c r="BL550" s="1002">
        <f t="shared" si="232"/>
        <v>0</v>
      </c>
    </row>
    <row r="551" spans="2:64" x14ac:dyDescent="0.3">
      <c r="B551" s="1280">
        <v>330</v>
      </c>
      <c r="C551" s="977" t="s">
        <v>2372</v>
      </c>
      <c r="D551" s="977" t="s">
        <v>1829</v>
      </c>
      <c r="E551" s="977" t="s">
        <v>1555</v>
      </c>
      <c r="F551" s="977" t="s">
        <v>2396</v>
      </c>
      <c r="G551" s="977" t="s">
        <v>796</v>
      </c>
      <c r="H551" s="991" t="str">
        <f t="shared" si="227"/>
        <v>Häviö</v>
      </c>
      <c r="I551" s="991" t="s">
        <v>1514</v>
      </c>
      <c r="J551" s="991" t="s">
        <v>0</v>
      </c>
      <c r="K551" s="991" t="s">
        <v>2404</v>
      </c>
      <c r="L551" s="992">
        <v>5</v>
      </c>
      <c r="M551" s="992">
        <v>13</v>
      </c>
      <c r="N551" s="1262">
        <v>2</v>
      </c>
      <c r="O551" s="992">
        <v>1</v>
      </c>
      <c r="P551" s="1262">
        <v>2</v>
      </c>
      <c r="Q551" s="992">
        <v>6</v>
      </c>
      <c r="R551" s="1262">
        <v>1</v>
      </c>
      <c r="S551" s="992">
        <v>6</v>
      </c>
      <c r="T551" s="1262"/>
      <c r="U551" s="992"/>
      <c r="V551" s="985">
        <v>3</v>
      </c>
      <c r="W551" s="985">
        <v>6</v>
      </c>
      <c r="X551" s="985">
        <v>3</v>
      </c>
      <c r="Y551" s="985"/>
      <c r="Z551" s="985"/>
      <c r="AA551" s="985"/>
      <c r="AB551" s="985">
        <v>1</v>
      </c>
      <c r="AC551" s="985"/>
      <c r="AD551" s="985"/>
      <c r="AE551" s="985"/>
      <c r="AF551" s="985"/>
      <c r="AG551" s="985"/>
      <c r="AH551" s="985"/>
      <c r="AI551" s="985"/>
      <c r="AJ551" s="985"/>
      <c r="AK551" s="985">
        <v>15</v>
      </c>
      <c r="AL551" s="985">
        <v>1.57</v>
      </c>
      <c r="AM551" s="985" t="s">
        <v>2407</v>
      </c>
      <c r="AN551" s="8"/>
      <c r="AO551" s="983">
        <v>3</v>
      </c>
      <c r="AP551" s="983">
        <v>16</v>
      </c>
      <c r="AQ551" s="983">
        <v>3</v>
      </c>
      <c r="AR551" s="983"/>
      <c r="AS551" s="983">
        <v>1</v>
      </c>
      <c r="AT551" s="983"/>
      <c r="AU551" s="983">
        <v>2</v>
      </c>
      <c r="AV551" s="983"/>
      <c r="AW551" s="983"/>
      <c r="AX551" s="983"/>
      <c r="AY551" s="983"/>
      <c r="AZ551" s="983"/>
      <c r="BA551" s="983"/>
      <c r="BB551" s="983"/>
      <c r="BC551" s="983"/>
      <c r="BD551" s="983">
        <v>9</v>
      </c>
      <c r="BE551" s="983">
        <v>10.039999999999999</v>
      </c>
      <c r="BF551" s="983"/>
      <c r="BH551" s="1002">
        <f t="shared" si="228"/>
        <v>0</v>
      </c>
      <c r="BI551" s="1002">
        <f t="shared" si="229"/>
        <v>0</v>
      </c>
      <c r="BJ551" s="1002">
        <f t="shared" si="230"/>
        <v>0</v>
      </c>
      <c r="BK551" s="1002">
        <f t="shared" si="231"/>
        <v>0</v>
      </c>
      <c r="BL551" s="1002">
        <f t="shared" si="232"/>
        <v>0</v>
      </c>
    </row>
    <row r="552" spans="2:64" x14ac:dyDescent="0.3">
      <c r="B552" s="1280">
        <v>331</v>
      </c>
      <c r="C552" s="977" t="s">
        <v>2372</v>
      </c>
      <c r="D552" s="977" t="s">
        <v>2378</v>
      </c>
      <c r="E552" s="977" t="s">
        <v>1871</v>
      </c>
      <c r="F552" s="977" t="s">
        <v>2397</v>
      </c>
      <c r="G552" s="977" t="s">
        <v>796</v>
      </c>
      <c r="H552" s="991" t="str">
        <f t="shared" si="227"/>
        <v>Voitto</v>
      </c>
      <c r="I552" s="991" t="s">
        <v>1514</v>
      </c>
      <c r="J552" s="991" t="s">
        <v>0</v>
      </c>
      <c r="K552" s="991" t="s">
        <v>2405</v>
      </c>
      <c r="L552" s="992">
        <v>7</v>
      </c>
      <c r="M552" s="992">
        <v>2</v>
      </c>
      <c r="N552" s="1262">
        <v>2</v>
      </c>
      <c r="O552" s="992">
        <v>1</v>
      </c>
      <c r="P552" s="1262">
        <v>3</v>
      </c>
      <c r="Q552" s="992">
        <v>0</v>
      </c>
      <c r="R552" s="1262">
        <v>2</v>
      </c>
      <c r="S552" s="992">
        <v>1</v>
      </c>
      <c r="T552" s="1262"/>
      <c r="U552" s="992"/>
      <c r="V552" s="985">
        <v>0</v>
      </c>
      <c r="W552" s="985">
        <v>0</v>
      </c>
      <c r="X552" s="985"/>
      <c r="Y552" s="985"/>
      <c r="Z552" s="985"/>
      <c r="AA552" s="985"/>
      <c r="AB552" s="985"/>
      <c r="AC552" s="985"/>
      <c r="AD552" s="985"/>
      <c r="AE552" s="985"/>
      <c r="AF552" s="985"/>
      <c r="AG552" s="985"/>
      <c r="AH552" s="985"/>
      <c r="AI552" s="985"/>
      <c r="AJ552" s="985"/>
      <c r="AK552" s="985">
        <v>27</v>
      </c>
      <c r="AL552" s="985">
        <v>11.27</v>
      </c>
      <c r="AM552" s="985" t="s">
        <v>2406</v>
      </c>
      <c r="AN552" s="8"/>
      <c r="AO552" s="983">
        <v>0</v>
      </c>
      <c r="AP552" s="983">
        <v>0</v>
      </c>
      <c r="AQ552" s="983"/>
      <c r="AR552" s="983"/>
      <c r="AS552" s="983"/>
      <c r="AT552" s="983"/>
      <c r="AU552" s="983"/>
      <c r="AV552" s="983"/>
      <c r="AW552" s="983"/>
      <c r="AX552" s="983"/>
      <c r="AY552" s="983"/>
      <c r="AZ552" s="983"/>
      <c r="BA552" s="983"/>
      <c r="BB552" s="983"/>
      <c r="BC552" s="983"/>
      <c r="BD552" s="983">
        <v>19</v>
      </c>
      <c r="BE552" s="983">
        <v>2.56</v>
      </c>
      <c r="BF552" s="983"/>
      <c r="BH552" s="1002">
        <f t="shared" si="228"/>
        <v>1</v>
      </c>
      <c r="BI552" s="1002">
        <f t="shared" si="229"/>
        <v>1</v>
      </c>
      <c r="BJ552" s="1002">
        <f t="shared" si="230"/>
        <v>1</v>
      </c>
      <c r="BK552" s="1002">
        <f t="shared" si="231"/>
        <v>0</v>
      </c>
      <c r="BL552" s="1002">
        <f t="shared" si="232"/>
        <v>0</v>
      </c>
    </row>
    <row r="553" spans="2:64" x14ac:dyDescent="0.3">
      <c r="B553" s="1280">
        <v>332</v>
      </c>
      <c r="C553" s="977" t="s">
        <v>2372</v>
      </c>
      <c r="D553" s="977" t="s">
        <v>2378</v>
      </c>
      <c r="E553" s="977" t="s">
        <v>1902</v>
      </c>
      <c r="F553" s="977" t="s">
        <v>2398</v>
      </c>
      <c r="G553" s="977" t="s">
        <v>1027</v>
      </c>
      <c r="H553" s="991" t="str">
        <f t="shared" si="227"/>
        <v>Voitto</v>
      </c>
      <c r="I553" s="991" t="s">
        <v>1515</v>
      </c>
      <c r="J553" s="991" t="s">
        <v>0</v>
      </c>
      <c r="K553" s="991" t="s">
        <v>2405</v>
      </c>
      <c r="L553" s="992">
        <v>8</v>
      </c>
      <c r="M553" s="992">
        <v>2</v>
      </c>
      <c r="N553" s="1262">
        <v>2</v>
      </c>
      <c r="O553" s="992">
        <v>1</v>
      </c>
      <c r="P553" s="1262">
        <v>5</v>
      </c>
      <c r="Q553" s="992">
        <v>0</v>
      </c>
      <c r="R553" s="1262">
        <v>1</v>
      </c>
      <c r="S553" s="992">
        <v>1</v>
      </c>
      <c r="T553" s="1262"/>
      <c r="U553" s="992"/>
      <c r="V553" s="985">
        <v>3</v>
      </c>
      <c r="W553" s="985">
        <v>6</v>
      </c>
      <c r="X553" s="985">
        <v>2</v>
      </c>
      <c r="Y553" s="985"/>
      <c r="Z553" s="985"/>
      <c r="AA553" s="985"/>
      <c r="AB553" s="985"/>
      <c r="AC553" s="985"/>
      <c r="AD553" s="985"/>
      <c r="AE553" s="985"/>
      <c r="AF553" s="985"/>
      <c r="AG553" s="985"/>
      <c r="AH553" s="985"/>
      <c r="AI553" s="985"/>
      <c r="AJ553" s="985"/>
      <c r="AK553" s="985">
        <v>27</v>
      </c>
      <c r="AL553" s="985">
        <v>6.03</v>
      </c>
      <c r="AM553" s="985" t="s">
        <v>2406</v>
      </c>
      <c r="AN553" s="8"/>
      <c r="AO553" s="983">
        <v>3</v>
      </c>
      <c r="AP553" s="983">
        <v>6</v>
      </c>
      <c r="AQ553" s="983">
        <v>3</v>
      </c>
      <c r="AR553" s="983"/>
      <c r="AS553" s="983"/>
      <c r="AT553" s="983"/>
      <c r="AU553" s="983"/>
      <c r="AV553" s="983"/>
      <c r="AW553" s="983"/>
      <c r="AX553" s="983"/>
      <c r="AY553" s="983"/>
      <c r="AZ553" s="983"/>
      <c r="BA553" s="983"/>
      <c r="BB553" s="983"/>
      <c r="BC553" s="983"/>
      <c r="BD553" s="983">
        <v>12</v>
      </c>
      <c r="BE553" s="983">
        <v>13.34</v>
      </c>
      <c r="BF553" s="983"/>
      <c r="BH553" s="1002">
        <f t="shared" si="228"/>
        <v>0</v>
      </c>
      <c r="BI553" s="1002">
        <f t="shared" si="229"/>
        <v>0</v>
      </c>
      <c r="BJ553" s="1002">
        <f t="shared" si="230"/>
        <v>0</v>
      </c>
      <c r="BK553" s="1002">
        <f t="shared" si="231"/>
        <v>0</v>
      </c>
      <c r="BL553" s="1002">
        <f t="shared" si="232"/>
        <v>0</v>
      </c>
    </row>
    <row r="554" spans="2:64" x14ac:dyDescent="0.3">
      <c r="B554" s="1280">
        <v>333</v>
      </c>
      <c r="C554" s="977" t="s">
        <v>2372</v>
      </c>
      <c r="D554" s="977" t="s">
        <v>2378</v>
      </c>
      <c r="E554" s="977" t="s">
        <v>1903</v>
      </c>
      <c r="F554" s="977" t="s">
        <v>2399</v>
      </c>
      <c r="G554" s="977" t="s">
        <v>1593</v>
      </c>
      <c r="H554" s="991" t="str">
        <f t="shared" si="227"/>
        <v>Voitto</v>
      </c>
      <c r="I554" s="991" t="s">
        <v>1515</v>
      </c>
      <c r="J554" s="991" t="s">
        <v>0</v>
      </c>
      <c r="K554" s="991" t="s">
        <v>2272</v>
      </c>
      <c r="L554" s="992">
        <v>8</v>
      </c>
      <c r="M554" s="992">
        <v>2</v>
      </c>
      <c r="N554" s="1262">
        <v>0</v>
      </c>
      <c r="O554" s="992">
        <v>1</v>
      </c>
      <c r="P554" s="1262">
        <v>2</v>
      </c>
      <c r="Q554" s="992">
        <v>1</v>
      </c>
      <c r="R554" s="1262">
        <v>6</v>
      </c>
      <c r="S554" s="992">
        <v>0</v>
      </c>
      <c r="T554" s="1262"/>
      <c r="U554" s="992"/>
      <c r="V554" s="985">
        <v>1</v>
      </c>
      <c r="W554" s="985">
        <v>2</v>
      </c>
      <c r="X554" s="985">
        <v>1</v>
      </c>
      <c r="Y554" s="985"/>
      <c r="Z554" s="985"/>
      <c r="AA554" s="985"/>
      <c r="AB554" s="985"/>
      <c r="AC554" s="985"/>
      <c r="AD554" s="985">
        <v>1</v>
      </c>
      <c r="AE554" s="985">
        <v>1</v>
      </c>
      <c r="AF554" s="985">
        <v>1</v>
      </c>
      <c r="AG554" s="985"/>
      <c r="AH554" s="1090"/>
      <c r="AI554" s="985"/>
      <c r="AJ554" s="985"/>
      <c r="AK554" s="985">
        <v>10</v>
      </c>
      <c r="AL554" s="985">
        <v>19.18</v>
      </c>
      <c r="AM554" s="985" t="s">
        <v>2406</v>
      </c>
      <c r="AN554" s="8"/>
      <c r="AO554" s="983">
        <v>0</v>
      </c>
      <c r="AP554" s="983">
        <v>0</v>
      </c>
      <c r="AQ554" s="983"/>
      <c r="AR554" s="983"/>
      <c r="AS554" s="983"/>
      <c r="AT554" s="983"/>
      <c r="AU554" s="983"/>
      <c r="AV554" s="983">
        <v>1</v>
      </c>
      <c r="AW554" s="983"/>
      <c r="AX554" s="983"/>
      <c r="AY554" s="983"/>
      <c r="AZ554" s="983"/>
      <c r="BA554" s="983"/>
      <c r="BB554" s="983"/>
      <c r="BC554" s="983"/>
      <c r="BD554" s="983">
        <v>16</v>
      </c>
      <c r="BE554" s="983">
        <v>6.52</v>
      </c>
      <c r="BF554" s="983"/>
      <c r="BH554" s="1002">
        <f t="shared" si="228"/>
        <v>0</v>
      </c>
      <c r="BI554" s="1002">
        <f t="shared" si="229"/>
        <v>1</v>
      </c>
      <c r="BJ554" s="1002">
        <f t="shared" si="230"/>
        <v>0</v>
      </c>
      <c r="BK554" s="1002">
        <f t="shared" si="231"/>
        <v>0</v>
      </c>
      <c r="BL554" s="1002">
        <f t="shared" si="232"/>
        <v>1</v>
      </c>
    </row>
    <row r="555" spans="2:64" x14ac:dyDescent="0.3">
      <c r="B555" s="1280">
        <v>334</v>
      </c>
      <c r="C555" s="977" t="s">
        <v>2372</v>
      </c>
      <c r="D555" s="977" t="s">
        <v>2378</v>
      </c>
      <c r="E555" s="977" t="s">
        <v>1904</v>
      </c>
      <c r="F555" s="977" t="s">
        <v>2400</v>
      </c>
      <c r="G555" s="977" t="s">
        <v>796</v>
      </c>
      <c r="H555" s="991" t="str">
        <f t="shared" si="227"/>
        <v>Tasapeli</v>
      </c>
      <c r="I555" s="991" t="s">
        <v>1514</v>
      </c>
      <c r="J555" s="991" t="s">
        <v>0</v>
      </c>
      <c r="K555" s="991" t="s">
        <v>2272</v>
      </c>
      <c r="L555" s="992">
        <v>2</v>
      </c>
      <c r="M555" s="992">
        <v>2</v>
      </c>
      <c r="N555" s="1262">
        <v>1</v>
      </c>
      <c r="O555" s="992">
        <v>1</v>
      </c>
      <c r="P555" s="1262">
        <v>0</v>
      </c>
      <c r="Q555" s="992">
        <v>1</v>
      </c>
      <c r="R555" s="1262">
        <v>1</v>
      </c>
      <c r="S555" s="992">
        <v>0</v>
      </c>
      <c r="T555" s="1262"/>
      <c r="U555" s="992"/>
      <c r="V555" s="985">
        <v>0</v>
      </c>
      <c r="W555" s="985">
        <v>0</v>
      </c>
      <c r="X555" s="985"/>
      <c r="Y555" s="985"/>
      <c r="Z555" s="985"/>
      <c r="AA555" s="985"/>
      <c r="AB555" s="985">
        <v>1</v>
      </c>
      <c r="AC555" s="985"/>
      <c r="AD555" s="985"/>
      <c r="AE555" s="985"/>
      <c r="AF555" s="985"/>
      <c r="AG555" s="985"/>
      <c r="AH555" s="985"/>
      <c r="AI555" s="985"/>
      <c r="AJ555" s="985"/>
      <c r="AK555" s="985">
        <v>24</v>
      </c>
      <c r="AL555" s="985">
        <v>10.5</v>
      </c>
      <c r="AM555" s="985" t="s">
        <v>2406</v>
      </c>
      <c r="AN555" s="8"/>
      <c r="AO555" s="983">
        <v>2</v>
      </c>
      <c r="AP555" s="983">
        <v>14</v>
      </c>
      <c r="AQ555" s="983">
        <v>2</v>
      </c>
      <c r="AR555" s="983"/>
      <c r="AS555" s="983">
        <v>1</v>
      </c>
      <c r="AT555" s="983"/>
      <c r="AU555" s="983"/>
      <c r="AV555" s="983"/>
      <c r="AW555" s="983"/>
      <c r="AX555" s="983"/>
      <c r="AY555" s="983"/>
      <c r="AZ555" s="983"/>
      <c r="BA555" s="983"/>
      <c r="BB555" s="983"/>
      <c r="BC555" s="983"/>
      <c r="BD555" s="983">
        <v>9</v>
      </c>
      <c r="BE555" s="983">
        <v>12.12</v>
      </c>
      <c r="BF555" s="983"/>
      <c r="BH555" s="1002">
        <f t="shared" si="228"/>
        <v>1</v>
      </c>
      <c r="BI555" s="1002">
        <f t="shared" si="229"/>
        <v>0</v>
      </c>
      <c r="BJ555" s="1002">
        <f t="shared" si="230"/>
        <v>0</v>
      </c>
      <c r="BK555" s="1002">
        <f t="shared" si="231"/>
        <v>1</v>
      </c>
      <c r="BL555" s="1002">
        <f t="shared" si="232"/>
        <v>0</v>
      </c>
    </row>
    <row r="557" spans="2:64" x14ac:dyDescent="0.3">
      <c r="F557" s="975"/>
      <c r="G557" s="975" t="s">
        <v>2036</v>
      </c>
      <c r="H557" s="975"/>
      <c r="I557" s="1003"/>
      <c r="J557" s="1003"/>
      <c r="K557" s="1003"/>
      <c r="L557" s="1003" t="s">
        <v>2037</v>
      </c>
      <c r="M557" s="1003" t="s">
        <v>2038</v>
      </c>
      <c r="O557" s="1003" t="s">
        <v>1409</v>
      </c>
      <c r="P557" s="1003" t="s">
        <v>1410</v>
      </c>
      <c r="Q557" s="1003" t="s">
        <v>1411</v>
      </c>
      <c r="V557" s="981" t="s">
        <v>1557</v>
      </c>
      <c r="W557" s="981" t="s">
        <v>1556</v>
      </c>
      <c r="X557" s="981" t="s">
        <v>501</v>
      </c>
      <c r="Y557" s="981" t="s">
        <v>2408</v>
      </c>
      <c r="Z557" s="981" t="s">
        <v>82</v>
      </c>
      <c r="AA557" s="981" t="s">
        <v>709</v>
      </c>
      <c r="AB557" s="981" t="s">
        <v>1419</v>
      </c>
      <c r="AC557" s="981" t="s">
        <v>1420</v>
      </c>
      <c r="AD557" s="982" t="s">
        <v>1827</v>
      </c>
      <c r="AE557" s="981" t="s">
        <v>1828</v>
      </c>
      <c r="AF557" s="981" t="s">
        <v>1425</v>
      </c>
      <c r="AG557" s="981" t="s">
        <v>1535</v>
      </c>
      <c r="AH557" s="981" t="s">
        <v>1536</v>
      </c>
      <c r="AI557" s="981" t="s">
        <v>1559</v>
      </c>
      <c r="AJ557" s="981" t="s">
        <v>1896</v>
      </c>
      <c r="AK557" s="981" t="s">
        <v>1967</v>
      </c>
      <c r="AL557" s="981" t="s">
        <v>19</v>
      </c>
      <c r="AM557" s="981"/>
      <c r="AO557" s="979" t="s">
        <v>1557</v>
      </c>
      <c r="AP557" s="979" t="s">
        <v>1556</v>
      </c>
      <c r="AQ557" s="979" t="s">
        <v>501</v>
      </c>
      <c r="AR557" s="979" t="s">
        <v>708</v>
      </c>
      <c r="AS557" s="979" t="s">
        <v>82</v>
      </c>
      <c r="AT557" s="979" t="s">
        <v>709</v>
      </c>
      <c r="AU557" s="979" t="s">
        <v>1419</v>
      </c>
      <c r="AV557" s="979" t="s">
        <v>1420</v>
      </c>
      <c r="AW557" s="980" t="s">
        <v>1827</v>
      </c>
      <c r="AX557" s="979" t="s">
        <v>1828</v>
      </c>
      <c r="AY557" s="979" t="s">
        <v>1425</v>
      </c>
      <c r="AZ557" s="979" t="s">
        <v>1535</v>
      </c>
      <c r="BA557" s="979" t="s">
        <v>1536</v>
      </c>
      <c r="BB557" s="979" t="s">
        <v>1559</v>
      </c>
      <c r="BC557" s="979" t="s">
        <v>1896</v>
      </c>
      <c r="BD557" s="979" t="s">
        <v>1967</v>
      </c>
      <c r="BE557" s="979" t="s">
        <v>19</v>
      </c>
      <c r="BF557" s="979"/>
      <c r="BH557" s="1001" t="s">
        <v>2045</v>
      </c>
      <c r="BI557" s="1001"/>
      <c r="BJ557" s="1001" t="s">
        <v>1913</v>
      </c>
      <c r="BK557" s="1001" t="s">
        <v>537</v>
      </c>
      <c r="BL557" s="1001" t="s">
        <v>1128</v>
      </c>
    </row>
    <row r="558" spans="2:64" x14ac:dyDescent="0.3">
      <c r="F558" s="977"/>
      <c r="G558" s="977" t="s">
        <v>1829</v>
      </c>
      <c r="H558" s="977"/>
      <c r="I558" s="1004"/>
      <c r="J558" s="1004"/>
      <c r="K558" s="1004"/>
      <c r="L558" s="1004">
        <f>SUM(L532:L551)</f>
        <v>109</v>
      </c>
      <c r="M558" s="1004">
        <f>SUM(M532:M551)</f>
        <v>56</v>
      </c>
      <c r="N558" s="8"/>
      <c r="O558" s="1004">
        <f>COUNTIF(H532:H551,"Voitto")</f>
        <v>14</v>
      </c>
      <c r="P558" s="1004">
        <f>COUNTIF(H532:H551,"Tasapeli")</f>
        <v>4</v>
      </c>
      <c r="Q558" s="1004">
        <f>COUNTIF(H532:H551,"Häviö")</f>
        <v>2</v>
      </c>
      <c r="V558" s="8">
        <f>SUM(V532:V551)</f>
        <v>25</v>
      </c>
      <c r="W558" s="8">
        <f t="shared" ref="W558:AI558" si="235">SUM(W532:W551)</f>
        <v>72</v>
      </c>
      <c r="X558" s="8">
        <f t="shared" si="235"/>
        <v>24</v>
      </c>
      <c r="Y558" s="8">
        <f t="shared" si="235"/>
        <v>0</v>
      </c>
      <c r="Z558" s="8">
        <f t="shared" si="235"/>
        <v>0</v>
      </c>
      <c r="AA558" s="8">
        <f t="shared" si="235"/>
        <v>1</v>
      </c>
      <c r="AB558" s="8">
        <f t="shared" si="235"/>
        <v>1</v>
      </c>
      <c r="AC558" s="8">
        <f t="shared" si="235"/>
        <v>0</v>
      </c>
      <c r="AD558" s="8">
        <f t="shared" si="235"/>
        <v>0</v>
      </c>
      <c r="AE558" s="8">
        <f t="shared" si="235"/>
        <v>0</v>
      </c>
      <c r="AF558" s="8">
        <f t="shared" si="235"/>
        <v>1</v>
      </c>
      <c r="AG558" s="8">
        <f t="shared" si="235"/>
        <v>1</v>
      </c>
      <c r="AH558" s="8">
        <f t="shared" si="235"/>
        <v>1</v>
      </c>
      <c r="AI558" s="8">
        <f t="shared" si="235"/>
        <v>1</v>
      </c>
      <c r="AJ558" s="8">
        <f>SUM(AJ532:AJ551)</f>
        <v>0</v>
      </c>
      <c r="AK558" s="8">
        <f>SUM(AK532:AK551)</f>
        <v>228</v>
      </c>
      <c r="AL558" s="8">
        <f>MIN(AL532:AL551)</f>
        <v>0.24</v>
      </c>
      <c r="AM558" s="8">
        <f>MAX(AL532:AL551)</f>
        <v>27.12</v>
      </c>
      <c r="AO558" s="8">
        <f>SUM(AO532:AO551)</f>
        <v>17</v>
      </c>
      <c r="AP558" s="8">
        <f t="shared" ref="AP558:BB558" si="236">SUM(AP532:AP551)</f>
        <v>44</v>
      </c>
      <c r="AQ558" s="8">
        <f t="shared" si="236"/>
        <v>17</v>
      </c>
      <c r="AR558" s="8">
        <f t="shared" si="236"/>
        <v>0</v>
      </c>
      <c r="AS558" s="8">
        <f t="shared" si="236"/>
        <v>1</v>
      </c>
      <c r="AT558" s="8">
        <f t="shared" si="236"/>
        <v>0</v>
      </c>
      <c r="AU558" s="8">
        <f t="shared" si="236"/>
        <v>6</v>
      </c>
      <c r="AV558" s="8">
        <f t="shared" si="236"/>
        <v>0</v>
      </c>
      <c r="AW558" s="8">
        <f t="shared" si="236"/>
        <v>0</v>
      </c>
      <c r="AX558" s="8">
        <f t="shared" si="236"/>
        <v>0</v>
      </c>
      <c r="AY558" s="8">
        <f t="shared" si="236"/>
        <v>0</v>
      </c>
      <c r="AZ558" s="8">
        <f t="shared" si="236"/>
        <v>0</v>
      </c>
      <c r="BA558" s="8">
        <f t="shared" si="236"/>
        <v>0</v>
      </c>
      <c r="BB558" s="8">
        <f t="shared" si="236"/>
        <v>0</v>
      </c>
      <c r="BC558" s="8">
        <f>SUM(BC532:BC551)</f>
        <v>0</v>
      </c>
      <c r="BD558" s="8">
        <f>SUM(BD532:BD551)</f>
        <v>261</v>
      </c>
      <c r="BE558" s="897">
        <f>MIN(BE532:BE551)</f>
        <v>1.1000000000000001</v>
      </c>
      <c r="BF558" s="8">
        <f>MAX(BE532:BE551)</f>
        <v>37.22</v>
      </c>
      <c r="BJ558" s="8">
        <f>SUM(BJ532:BJ555)</f>
        <v>5</v>
      </c>
      <c r="BK558" s="8">
        <f>SUM(BK532:BK555)</f>
        <v>4</v>
      </c>
      <c r="BL558" s="8">
        <f>SUM(BL532:BL555)</f>
        <v>5</v>
      </c>
    </row>
    <row r="559" spans="2:64" x14ac:dyDescent="0.3">
      <c r="F559" s="977"/>
      <c r="G559" s="977" t="s">
        <v>2378</v>
      </c>
      <c r="H559" s="977"/>
      <c r="I559" s="1004"/>
      <c r="J559" s="1004"/>
      <c r="K559" s="1004"/>
      <c r="L559" s="1004">
        <f>SUM(L552:L556)</f>
        <v>25</v>
      </c>
      <c r="M559" s="1004">
        <f>SUM(M552:M556)</f>
        <v>8</v>
      </c>
      <c r="N559" s="8"/>
      <c r="O559" s="1004">
        <f>COUNTIF(H552:H556,"Voitto")</f>
        <v>3</v>
      </c>
      <c r="P559" s="1004">
        <f>COUNTIF(H552:H556,"Tasapeli")</f>
        <v>1</v>
      </c>
      <c r="Q559" s="1004">
        <f>COUNTIF(H552:H556,"Häviö")</f>
        <v>0</v>
      </c>
      <c r="V559" s="8">
        <f>SUM(V552:V555)</f>
        <v>4</v>
      </c>
      <c r="W559" s="8">
        <f t="shared" ref="W559:AK559" si="237">SUM(W552:W555)</f>
        <v>8</v>
      </c>
      <c r="X559" s="8">
        <f t="shared" si="237"/>
        <v>3</v>
      </c>
      <c r="Y559" s="8">
        <f t="shared" si="237"/>
        <v>0</v>
      </c>
      <c r="Z559" s="8">
        <f t="shared" si="237"/>
        <v>0</v>
      </c>
      <c r="AA559" s="8">
        <f t="shared" si="237"/>
        <v>0</v>
      </c>
      <c r="AB559" s="8">
        <f t="shared" si="237"/>
        <v>1</v>
      </c>
      <c r="AC559" s="8">
        <f t="shared" si="237"/>
        <v>0</v>
      </c>
      <c r="AD559" s="8">
        <f t="shared" si="237"/>
        <v>1</v>
      </c>
      <c r="AE559" s="8">
        <f t="shared" si="237"/>
        <v>1</v>
      </c>
      <c r="AF559" s="8">
        <f t="shared" si="237"/>
        <v>1</v>
      </c>
      <c r="AG559" s="8">
        <f t="shared" si="237"/>
        <v>0</v>
      </c>
      <c r="AH559" s="8">
        <f t="shared" si="237"/>
        <v>0</v>
      </c>
      <c r="AI559" s="8">
        <f t="shared" si="237"/>
        <v>0</v>
      </c>
      <c r="AJ559" s="8">
        <f t="shared" si="237"/>
        <v>0</v>
      </c>
      <c r="AK559" s="8">
        <f t="shared" si="237"/>
        <v>88</v>
      </c>
      <c r="AL559" s="8">
        <f>MIN(AL552:AL555)</f>
        <v>6.03</v>
      </c>
      <c r="AM559" s="8">
        <f>MAX(AL552:AL555)</f>
        <v>19.18</v>
      </c>
      <c r="AO559" s="8">
        <f>SUM(AO552:AO555)</f>
        <v>5</v>
      </c>
      <c r="AP559" s="8">
        <f t="shared" ref="AP559:BD559" si="238">SUM(AP552:AP555)</f>
        <v>20</v>
      </c>
      <c r="AQ559" s="8">
        <f t="shared" si="238"/>
        <v>5</v>
      </c>
      <c r="AR559" s="8">
        <f t="shared" si="238"/>
        <v>0</v>
      </c>
      <c r="AS559" s="8">
        <f t="shared" si="238"/>
        <v>1</v>
      </c>
      <c r="AT559" s="8">
        <f t="shared" si="238"/>
        <v>0</v>
      </c>
      <c r="AU559" s="8">
        <f t="shared" si="238"/>
        <v>0</v>
      </c>
      <c r="AV559" s="8">
        <f t="shared" si="238"/>
        <v>1</v>
      </c>
      <c r="AW559" s="8">
        <f t="shared" si="238"/>
        <v>0</v>
      </c>
      <c r="AX559" s="8">
        <f t="shared" si="238"/>
        <v>0</v>
      </c>
      <c r="AY559" s="8">
        <f t="shared" si="238"/>
        <v>0</v>
      </c>
      <c r="AZ559" s="8">
        <f t="shared" si="238"/>
        <v>0</v>
      </c>
      <c r="BA559" s="8">
        <f t="shared" si="238"/>
        <v>0</v>
      </c>
      <c r="BB559" s="8">
        <f t="shared" si="238"/>
        <v>0</v>
      </c>
      <c r="BC559" s="8">
        <f t="shared" si="238"/>
        <v>0</v>
      </c>
      <c r="BD559" s="8">
        <f t="shared" si="238"/>
        <v>56</v>
      </c>
      <c r="BE559" s="8">
        <f>MIN(BE552:BE555)</f>
        <v>2.56</v>
      </c>
      <c r="BF559" s="8">
        <f>MAX(BE552:BE555)</f>
        <v>13.34</v>
      </c>
    </row>
    <row r="560" spans="2:64" x14ac:dyDescent="0.3">
      <c r="F560" s="977" t="str">
        <f>C530</f>
        <v>2023-2024</v>
      </c>
      <c r="G560" s="977" t="s">
        <v>2710</v>
      </c>
      <c r="H560" s="977"/>
      <c r="I560" s="1004"/>
      <c r="J560" s="1004"/>
      <c r="K560" s="1004"/>
      <c r="L560" s="1004">
        <f>SUM(L558:L559)</f>
        <v>134</v>
      </c>
      <c r="M560" s="1004">
        <f>SUM(M558:M559)</f>
        <v>64</v>
      </c>
      <c r="N560" s="8"/>
      <c r="O560" s="1004">
        <f>SUM(O558:O559)</f>
        <v>17</v>
      </c>
      <c r="P560" s="1004">
        <f>SUM(P558:P559)</f>
        <v>5</v>
      </c>
      <c r="Q560" s="1004">
        <f>SUM(Q558:Q559)</f>
        <v>2</v>
      </c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</row>
    <row r="565" spans="2:77" x14ac:dyDescent="0.3">
      <c r="C565" s="265" t="s">
        <v>2489</v>
      </c>
      <c r="D565" s="205" t="s">
        <v>2531</v>
      </c>
      <c r="V565" s="205" t="s">
        <v>0</v>
      </c>
      <c r="AO565" s="265" t="s">
        <v>1895</v>
      </c>
      <c r="BP565" s="265" t="s">
        <v>2489</v>
      </c>
      <c r="BQ565" s="205" t="s">
        <v>2531</v>
      </c>
    </row>
    <row r="566" spans="2:77" x14ac:dyDescent="0.3">
      <c r="B566" s="1003" t="s">
        <v>1393</v>
      </c>
      <c r="C566" s="975" t="s">
        <v>1831</v>
      </c>
      <c r="D566" s="975" t="s">
        <v>1830</v>
      </c>
      <c r="E566" s="975" t="s">
        <v>1832</v>
      </c>
      <c r="F566" s="975" t="s">
        <v>1836</v>
      </c>
      <c r="G566" s="975" t="s">
        <v>1835</v>
      </c>
      <c r="H566" s="989" t="s">
        <v>1407</v>
      </c>
      <c r="I566" s="990" t="s">
        <v>2019</v>
      </c>
      <c r="J566" s="990" t="s">
        <v>0</v>
      </c>
      <c r="K566" s="990" t="s">
        <v>1128</v>
      </c>
      <c r="L566" s="1324" t="s">
        <v>1407</v>
      </c>
      <c r="M566" s="1325"/>
      <c r="N566" s="1326" t="s">
        <v>1822</v>
      </c>
      <c r="O566" s="1325"/>
      <c r="P566" s="1326" t="s">
        <v>1823</v>
      </c>
      <c r="Q566" s="1325"/>
      <c r="R566" s="1326" t="s">
        <v>1824</v>
      </c>
      <c r="S566" s="1325"/>
      <c r="T566" s="1326" t="s">
        <v>2706</v>
      </c>
      <c r="U566" s="1324"/>
      <c r="V566" s="981" t="s">
        <v>1557</v>
      </c>
      <c r="W566" s="981" t="s">
        <v>1556</v>
      </c>
      <c r="X566" s="981" t="s">
        <v>501</v>
      </c>
      <c r="Y566" s="981" t="s">
        <v>2408</v>
      </c>
      <c r="Z566" s="981" t="s">
        <v>82</v>
      </c>
      <c r="AA566" s="981" t="s">
        <v>2410</v>
      </c>
      <c r="AB566" s="981" t="s">
        <v>1419</v>
      </c>
      <c r="AC566" s="981" t="s">
        <v>1420</v>
      </c>
      <c r="AD566" s="982" t="s">
        <v>1827</v>
      </c>
      <c r="AE566" s="981" t="s">
        <v>1828</v>
      </c>
      <c r="AF566" s="981" t="s">
        <v>1425</v>
      </c>
      <c r="AG566" s="981" t="s">
        <v>1535</v>
      </c>
      <c r="AH566" s="981" t="s">
        <v>1536</v>
      </c>
      <c r="AI566" s="981" t="s">
        <v>1559</v>
      </c>
      <c r="AJ566" s="981" t="s">
        <v>1896</v>
      </c>
      <c r="AK566" s="981" t="s">
        <v>1967</v>
      </c>
      <c r="AL566" s="981" t="s">
        <v>19</v>
      </c>
      <c r="AM566" s="981"/>
      <c r="AN566" s="265"/>
      <c r="AO566" s="979" t="s">
        <v>1557</v>
      </c>
      <c r="AP566" s="979" t="s">
        <v>1556</v>
      </c>
      <c r="AQ566" s="979" t="s">
        <v>501</v>
      </c>
      <c r="AR566" s="979" t="s">
        <v>2408</v>
      </c>
      <c r="AS566" s="979" t="s">
        <v>82</v>
      </c>
      <c r="AT566" s="979" t="s">
        <v>709</v>
      </c>
      <c r="AU566" s="979" t="s">
        <v>1419</v>
      </c>
      <c r="AV566" s="979" t="s">
        <v>1420</v>
      </c>
      <c r="AW566" s="980" t="s">
        <v>1827</v>
      </c>
      <c r="AX566" s="979" t="s">
        <v>1828</v>
      </c>
      <c r="AY566" s="979" t="s">
        <v>1425</v>
      </c>
      <c r="AZ566" s="979" t="s">
        <v>1535</v>
      </c>
      <c r="BA566" s="979" t="s">
        <v>1536</v>
      </c>
      <c r="BB566" s="979" t="s">
        <v>1559</v>
      </c>
      <c r="BC566" s="979" t="s">
        <v>1896</v>
      </c>
      <c r="BD566" s="979" t="s">
        <v>1967</v>
      </c>
      <c r="BE566" s="979" t="s">
        <v>19</v>
      </c>
      <c r="BF566" s="979"/>
      <c r="BH566" s="1001" t="s">
        <v>1911</v>
      </c>
      <c r="BI566" s="1001" t="s">
        <v>1912</v>
      </c>
      <c r="BJ566" s="1001" t="s">
        <v>1913</v>
      </c>
      <c r="BK566" s="1001" t="s">
        <v>537</v>
      </c>
      <c r="BL566" s="1001" t="s">
        <v>1128</v>
      </c>
    </row>
    <row r="567" spans="2:77" x14ac:dyDescent="0.3">
      <c r="B567" s="1280">
        <v>335</v>
      </c>
      <c r="C567" s="977" t="s">
        <v>2489</v>
      </c>
      <c r="D567" s="977" t="s">
        <v>2116</v>
      </c>
      <c r="E567" s="977" t="s">
        <v>1516</v>
      </c>
      <c r="F567" s="978" t="s">
        <v>2532</v>
      </c>
      <c r="G567" s="977" t="s">
        <v>2533</v>
      </c>
      <c r="H567" s="991" t="str">
        <f>IF(L567=M567,"Tasapeli",IF(L567&lt;M567,"Häviö","Voitto"))</f>
        <v>Häviö</v>
      </c>
      <c r="I567" s="991" t="s">
        <v>1515</v>
      </c>
      <c r="J567" s="991" t="s">
        <v>0</v>
      </c>
      <c r="K567" s="991" t="s">
        <v>2121</v>
      </c>
      <c r="L567" s="992">
        <f t="shared" ref="L567:L580" si="239">N567+P567+R567</f>
        <v>2</v>
      </c>
      <c r="M567" s="992">
        <f t="shared" ref="M567:M580" si="240">O567+Q567+S567</f>
        <v>3</v>
      </c>
      <c r="N567" s="1262">
        <v>1</v>
      </c>
      <c r="O567" s="992">
        <v>0</v>
      </c>
      <c r="P567" s="1262">
        <v>1</v>
      </c>
      <c r="Q567" s="992">
        <v>2</v>
      </c>
      <c r="R567" s="1262">
        <v>0</v>
      </c>
      <c r="S567" s="992">
        <v>1</v>
      </c>
      <c r="T567" s="1262"/>
      <c r="U567" s="992"/>
      <c r="V567" s="985">
        <v>2</v>
      </c>
      <c r="W567" s="985">
        <v>4</v>
      </c>
      <c r="X567" s="985">
        <v>2</v>
      </c>
      <c r="Y567" s="985"/>
      <c r="Z567" s="985"/>
      <c r="AA567" s="985"/>
      <c r="AB567" s="985"/>
      <c r="AC567" s="985"/>
      <c r="AD567" s="985"/>
      <c r="AE567" s="985"/>
      <c r="AF567" s="985"/>
      <c r="AG567" s="985"/>
      <c r="AH567" s="985"/>
      <c r="AI567" s="985"/>
      <c r="AJ567" s="985"/>
      <c r="AK567" s="985">
        <v>8</v>
      </c>
      <c r="AL567" s="985">
        <v>12.15</v>
      </c>
      <c r="AM567" s="985" t="s">
        <v>2406</v>
      </c>
      <c r="AN567" s="8"/>
      <c r="AO567" s="983">
        <v>1</v>
      </c>
      <c r="AP567" s="983">
        <v>2</v>
      </c>
      <c r="AQ567" s="983">
        <v>1</v>
      </c>
      <c r="AR567" s="983"/>
      <c r="AS567" s="983"/>
      <c r="AT567" s="983"/>
      <c r="AU567" s="983"/>
      <c r="AV567" s="983"/>
      <c r="AW567" s="983"/>
      <c r="AX567" s="983"/>
      <c r="AY567" s="983"/>
      <c r="AZ567" s="983"/>
      <c r="BA567" s="983"/>
      <c r="BB567" s="983"/>
      <c r="BC567" s="983"/>
      <c r="BD567" s="983">
        <v>10</v>
      </c>
      <c r="BE567" s="983">
        <v>18.2</v>
      </c>
      <c r="BF567" s="983"/>
      <c r="BH567" s="1002">
        <f>IF(V567=0,1,0)</f>
        <v>0</v>
      </c>
      <c r="BI567" s="1002">
        <f>IF(AO567=0,1,0)</f>
        <v>0</v>
      </c>
      <c r="BJ567" s="1002">
        <f>IF(V567+AO567=0,1,0)</f>
        <v>0</v>
      </c>
      <c r="BK567" s="1002">
        <f>IF(BH567&gt;BI567,1,0)</f>
        <v>0</v>
      </c>
      <c r="BL567" s="1002">
        <f>IF(BI567&gt;BH567,1,0)</f>
        <v>0</v>
      </c>
      <c r="BO567" s="1282" t="s">
        <v>1393</v>
      </c>
      <c r="BP567" s="1281" t="s">
        <v>989</v>
      </c>
      <c r="BQ567" s="1282" t="s">
        <v>877</v>
      </c>
      <c r="BR567" s="1282" t="s">
        <v>990</v>
      </c>
      <c r="BS567" s="1282" t="s">
        <v>991</v>
      </c>
      <c r="BT567" s="1282" t="s">
        <v>992</v>
      </c>
      <c r="BU567" s="1282" t="s">
        <v>139</v>
      </c>
      <c r="BV567" s="1282" t="s">
        <v>993</v>
      </c>
      <c r="BW567" s="1282" t="s">
        <v>994</v>
      </c>
      <c r="BX567" s="1282" t="s">
        <v>610</v>
      </c>
      <c r="BY567" s="1282" t="s">
        <v>2139</v>
      </c>
    </row>
    <row r="568" spans="2:77" x14ac:dyDescent="0.3">
      <c r="B568" s="1280">
        <v>336</v>
      </c>
      <c r="C568" s="977" t="s">
        <v>2489</v>
      </c>
      <c r="D568" s="977" t="s">
        <v>2116</v>
      </c>
      <c r="E568" s="977" t="s">
        <v>1537</v>
      </c>
      <c r="F568" s="978" t="s">
        <v>2534</v>
      </c>
      <c r="G568" s="977" t="s">
        <v>2533</v>
      </c>
      <c r="H568" s="991" t="str">
        <f t="shared" ref="H568:H588" si="241">IF(L568=M568,"Tasapeli",IF(L568&lt;M568,"Häviö","Voitto"))</f>
        <v>Häviö</v>
      </c>
      <c r="I568" s="991" t="s">
        <v>1514</v>
      </c>
      <c r="J568" s="991" t="s">
        <v>0</v>
      </c>
      <c r="K568" s="991" t="s">
        <v>1404</v>
      </c>
      <c r="L568" s="992">
        <f t="shared" si="239"/>
        <v>3</v>
      </c>
      <c r="M568" s="992">
        <f t="shared" si="240"/>
        <v>5</v>
      </c>
      <c r="N568" s="1262">
        <v>1</v>
      </c>
      <c r="O568" s="992">
        <v>1</v>
      </c>
      <c r="P568" s="1262">
        <v>1</v>
      </c>
      <c r="Q568" s="992">
        <v>1</v>
      </c>
      <c r="R568" s="1262">
        <v>1</v>
      </c>
      <c r="S568" s="992">
        <v>3</v>
      </c>
      <c r="T568" s="1262"/>
      <c r="U568" s="992"/>
      <c r="V568" s="985">
        <v>0</v>
      </c>
      <c r="W568" s="985">
        <v>0</v>
      </c>
      <c r="X568" s="985"/>
      <c r="Y568" s="985"/>
      <c r="Z568" s="985"/>
      <c r="AA568" s="985"/>
      <c r="AB568" s="985"/>
      <c r="AC568" s="985"/>
      <c r="AD568" s="985"/>
      <c r="AE568" s="985"/>
      <c r="AF568" s="985"/>
      <c r="AG568" s="985"/>
      <c r="AH568" s="985">
        <v>1</v>
      </c>
      <c r="AI568" s="985"/>
      <c r="AJ568" s="985"/>
      <c r="AK568" s="985">
        <v>19</v>
      </c>
      <c r="AL568" s="986">
        <v>14.38</v>
      </c>
      <c r="AM568" s="985" t="s">
        <v>2407</v>
      </c>
      <c r="AN568" s="8"/>
      <c r="AO568" s="983">
        <v>0</v>
      </c>
      <c r="AP568" s="983">
        <v>0</v>
      </c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983"/>
      <c r="BB568" s="983">
        <v>1</v>
      </c>
      <c r="BC568" s="983"/>
      <c r="BD568" s="983">
        <v>23</v>
      </c>
      <c r="BE568" s="988">
        <v>14.16</v>
      </c>
      <c r="BF568" s="988"/>
      <c r="BH568" s="1002">
        <f t="shared" ref="BH568:BH588" si="242">IF(V568=0,1,0)</f>
        <v>1</v>
      </c>
      <c r="BI568" s="1002">
        <f t="shared" ref="BI568:BI588" si="243">IF(AO568=0,1,0)</f>
        <v>1</v>
      </c>
      <c r="BJ568" s="1002">
        <f t="shared" ref="BJ568:BJ588" si="244">IF(V568+AO568=0,1,0)</f>
        <v>1</v>
      </c>
      <c r="BK568" s="1002">
        <f t="shared" ref="BK568:BK588" si="245">IF(BH568&gt;BI568,1,0)</f>
        <v>0</v>
      </c>
      <c r="BL568" s="1002">
        <f t="shared" ref="BL568:BL588" si="246">IF(BI568&gt;BH568,1,0)</f>
        <v>0</v>
      </c>
      <c r="BO568" s="119">
        <v>1</v>
      </c>
      <c r="BP568" s="128" t="s">
        <v>2543</v>
      </c>
      <c r="BQ568" s="119">
        <f>SUM(BR568:BT568)</f>
        <v>22</v>
      </c>
      <c r="BR568" s="119">
        <v>21</v>
      </c>
      <c r="BS568" s="119">
        <v>0</v>
      </c>
      <c r="BT568" s="119">
        <v>1</v>
      </c>
      <c r="BU568" s="119">
        <v>175</v>
      </c>
      <c r="BV568" s="119">
        <v>62</v>
      </c>
      <c r="BW568" s="119">
        <f>BU568-BV568</f>
        <v>113</v>
      </c>
      <c r="BX568" s="119">
        <v>42</v>
      </c>
      <c r="BY568" s="1294">
        <f>BX568/BQ568</f>
        <v>1.9090909090909092</v>
      </c>
    </row>
    <row r="569" spans="2:77" x14ac:dyDescent="0.3">
      <c r="B569" s="1280">
        <v>337</v>
      </c>
      <c r="C569" s="977" t="s">
        <v>2489</v>
      </c>
      <c r="D569" s="977" t="s">
        <v>2116</v>
      </c>
      <c r="E569" s="977" t="s">
        <v>1538</v>
      </c>
      <c r="F569" s="978" t="s">
        <v>2535</v>
      </c>
      <c r="G569" s="977" t="s">
        <v>796</v>
      </c>
      <c r="H569" s="991" t="str">
        <f t="shared" si="241"/>
        <v>Voitto</v>
      </c>
      <c r="I569" s="991" t="s">
        <v>1514</v>
      </c>
      <c r="J569" s="991" t="s">
        <v>0</v>
      </c>
      <c r="K569" s="991" t="s">
        <v>2177</v>
      </c>
      <c r="L569" s="992">
        <f t="shared" si="239"/>
        <v>2</v>
      </c>
      <c r="M569" s="992">
        <f t="shared" si="240"/>
        <v>1</v>
      </c>
      <c r="N569" s="1262">
        <v>0</v>
      </c>
      <c r="O569" s="992">
        <v>0</v>
      </c>
      <c r="P569" s="1262">
        <v>2</v>
      </c>
      <c r="Q569" s="992">
        <v>1</v>
      </c>
      <c r="R569" s="1262">
        <v>0</v>
      </c>
      <c r="S569" s="992">
        <v>0</v>
      </c>
      <c r="T569" s="1262"/>
      <c r="U569" s="992"/>
      <c r="V569" s="985">
        <v>1</v>
      </c>
      <c r="W569" s="985">
        <v>2</v>
      </c>
      <c r="X569" s="985">
        <v>1</v>
      </c>
      <c r="Y569" s="985"/>
      <c r="Z569" s="985"/>
      <c r="AA569" s="985"/>
      <c r="AB569" s="985"/>
      <c r="AC569" s="985"/>
      <c r="AD569" s="985"/>
      <c r="AE569" s="985"/>
      <c r="AF569" s="985"/>
      <c r="AG569" s="985"/>
      <c r="AH569" s="985"/>
      <c r="AI569" s="985"/>
      <c r="AJ569" s="985"/>
      <c r="AK569" s="985">
        <v>29</v>
      </c>
      <c r="AL569" s="986">
        <v>19.13</v>
      </c>
      <c r="AM569" s="986" t="s">
        <v>2406</v>
      </c>
      <c r="AN569" s="8"/>
      <c r="AO569" s="983">
        <v>1</v>
      </c>
      <c r="AP569" s="983">
        <v>2</v>
      </c>
      <c r="AQ569" s="983">
        <v>1</v>
      </c>
      <c r="AR569" s="983"/>
      <c r="AS569" s="983"/>
      <c r="AT569" s="983"/>
      <c r="AU569" s="983"/>
      <c r="AV569" s="983"/>
      <c r="AW569" s="983"/>
      <c r="AX569" s="983"/>
      <c r="AY569" s="983"/>
      <c r="AZ569" s="983"/>
      <c r="BA569" s="983"/>
      <c r="BB569" s="983"/>
      <c r="BC569" s="983"/>
      <c r="BD569" s="983">
        <v>23</v>
      </c>
      <c r="BE569" s="988">
        <v>23.21</v>
      </c>
      <c r="BF569" s="988"/>
      <c r="BH569" s="1002">
        <f t="shared" si="242"/>
        <v>0</v>
      </c>
      <c r="BI569" s="1002">
        <f t="shared" si="243"/>
        <v>0</v>
      </c>
      <c r="BJ569" s="1002">
        <f t="shared" si="244"/>
        <v>0</v>
      </c>
      <c r="BK569" s="1002">
        <f t="shared" si="245"/>
        <v>0</v>
      </c>
      <c r="BL569" s="1002">
        <f t="shared" si="246"/>
        <v>0</v>
      </c>
      <c r="BO569" s="119">
        <v>2</v>
      </c>
      <c r="BP569" s="128" t="s">
        <v>2404</v>
      </c>
      <c r="BQ569" s="119">
        <f t="shared" ref="BQ569:BQ579" si="247">SUM(BR569:BT569)</f>
        <v>22</v>
      </c>
      <c r="BR569" s="119">
        <v>19</v>
      </c>
      <c r="BS569" s="119">
        <v>1</v>
      </c>
      <c r="BT569" s="119">
        <v>2</v>
      </c>
      <c r="BU569" s="119">
        <v>231</v>
      </c>
      <c r="BV569" s="119">
        <v>74</v>
      </c>
      <c r="BW569" s="119">
        <f t="shared" ref="BW569:BW579" si="248">BU569-BV569</f>
        <v>157</v>
      </c>
      <c r="BX569" s="119">
        <v>39</v>
      </c>
      <c r="BY569" s="119">
        <f t="shared" ref="BY569:BY579" si="249">BX569/BQ569</f>
        <v>1.7727272727272727</v>
      </c>
    </row>
    <row r="570" spans="2:77" x14ac:dyDescent="0.3">
      <c r="B570" s="1280">
        <v>338</v>
      </c>
      <c r="C570" s="977" t="s">
        <v>2489</v>
      </c>
      <c r="D570" s="977" t="s">
        <v>2116</v>
      </c>
      <c r="E570" s="977" t="s">
        <v>1539</v>
      </c>
      <c r="F570" s="978" t="s">
        <v>2536</v>
      </c>
      <c r="G570" s="977" t="s">
        <v>796</v>
      </c>
      <c r="H570" s="991" t="str">
        <f t="shared" si="241"/>
        <v>Voitto</v>
      </c>
      <c r="I570" s="991" t="s">
        <v>1515</v>
      </c>
      <c r="J570" s="991" t="s">
        <v>0</v>
      </c>
      <c r="K570" s="991" t="s">
        <v>2540</v>
      </c>
      <c r="L570" s="992">
        <f t="shared" si="239"/>
        <v>8</v>
      </c>
      <c r="M570" s="992">
        <f t="shared" si="240"/>
        <v>1</v>
      </c>
      <c r="N570" s="1262">
        <v>4</v>
      </c>
      <c r="O570" s="992">
        <v>0</v>
      </c>
      <c r="P570" s="1262">
        <v>2</v>
      </c>
      <c r="Q570" s="992">
        <v>1</v>
      </c>
      <c r="R570" s="1262">
        <v>2</v>
      </c>
      <c r="S570" s="992">
        <v>0</v>
      </c>
      <c r="T570" s="1262"/>
      <c r="U570" s="992"/>
      <c r="V570" s="985">
        <v>0</v>
      </c>
      <c r="W570" s="985">
        <v>0</v>
      </c>
      <c r="X570" s="985"/>
      <c r="Y570" s="985"/>
      <c r="Z570" s="985"/>
      <c r="AA570" s="985"/>
      <c r="AB570" s="985">
        <v>1</v>
      </c>
      <c r="AC570" s="985"/>
      <c r="AD570" s="985"/>
      <c r="AE570" s="985"/>
      <c r="AF570" s="985"/>
      <c r="AG570" s="985"/>
      <c r="AH570" s="985">
        <v>1</v>
      </c>
      <c r="AI570" s="985"/>
      <c r="AJ570" s="985"/>
      <c r="AK570" s="985">
        <v>20</v>
      </c>
      <c r="AL570" s="985">
        <v>0.33</v>
      </c>
      <c r="AM570" s="985" t="s">
        <v>2406</v>
      </c>
      <c r="AO570" s="983">
        <v>3</v>
      </c>
      <c r="AP570" s="983">
        <v>6</v>
      </c>
      <c r="AQ570" s="983">
        <v>3</v>
      </c>
      <c r="AR570" s="976"/>
      <c r="AS570" s="976"/>
      <c r="AT570" s="976"/>
      <c r="AU570" s="976"/>
      <c r="AV570" s="976"/>
      <c r="AW570" s="976"/>
      <c r="AX570" s="976"/>
      <c r="AY570" s="976"/>
      <c r="AZ570" s="976"/>
      <c r="BA570" s="976"/>
      <c r="BB570" s="976"/>
      <c r="BC570" s="976"/>
      <c r="BD570" s="983">
        <v>19</v>
      </c>
      <c r="BE570" s="984">
        <v>17.170000000000002</v>
      </c>
      <c r="BF570" s="984"/>
      <c r="BH570" s="1002">
        <f t="shared" si="242"/>
        <v>1</v>
      </c>
      <c r="BI570" s="1002">
        <f t="shared" si="243"/>
        <v>0</v>
      </c>
      <c r="BJ570" s="1002">
        <f t="shared" si="244"/>
        <v>0</v>
      </c>
      <c r="BK570" s="1002">
        <f t="shared" si="245"/>
        <v>1</v>
      </c>
      <c r="BL570" s="1002">
        <f t="shared" si="246"/>
        <v>0</v>
      </c>
      <c r="BO570" s="119">
        <v>3</v>
      </c>
      <c r="BP570" s="128" t="s">
        <v>998</v>
      </c>
      <c r="BQ570" s="119">
        <f t="shared" si="247"/>
        <v>22</v>
      </c>
      <c r="BR570" s="119">
        <v>13</v>
      </c>
      <c r="BS570" s="119">
        <v>1</v>
      </c>
      <c r="BT570" s="119">
        <v>8</v>
      </c>
      <c r="BU570" s="119">
        <v>142</v>
      </c>
      <c r="BV570" s="119">
        <v>127</v>
      </c>
      <c r="BW570" s="119">
        <f t="shared" si="248"/>
        <v>15</v>
      </c>
      <c r="BX570" s="119">
        <v>27</v>
      </c>
      <c r="BY570" s="119">
        <f t="shared" si="249"/>
        <v>1.2272727272727273</v>
      </c>
    </row>
    <row r="571" spans="2:77" x14ac:dyDescent="0.3">
      <c r="B571" s="1280">
        <v>339</v>
      </c>
      <c r="C571" s="977" t="s">
        <v>2489</v>
      </c>
      <c r="D571" s="977" t="s">
        <v>2116</v>
      </c>
      <c r="E571" s="977" t="s">
        <v>1540</v>
      </c>
      <c r="F571" s="978" t="s">
        <v>2537</v>
      </c>
      <c r="G571" s="977" t="s">
        <v>2539</v>
      </c>
      <c r="H571" s="991" t="str">
        <f t="shared" si="241"/>
        <v>Voitto</v>
      </c>
      <c r="I571" s="991" t="s">
        <v>1515</v>
      </c>
      <c r="J571" s="991" t="s">
        <v>0</v>
      </c>
      <c r="K571" s="991" t="s">
        <v>2178</v>
      </c>
      <c r="L571" s="992">
        <f t="shared" si="239"/>
        <v>8</v>
      </c>
      <c r="M571" s="992">
        <f t="shared" si="240"/>
        <v>3</v>
      </c>
      <c r="N571" s="1262">
        <v>4</v>
      </c>
      <c r="O571" s="992">
        <v>0</v>
      </c>
      <c r="P571" s="1262">
        <v>1</v>
      </c>
      <c r="Q571" s="992">
        <v>3</v>
      </c>
      <c r="R571" s="1262">
        <v>3</v>
      </c>
      <c r="S571" s="992">
        <v>0</v>
      </c>
      <c r="T571" s="1262"/>
      <c r="U571" s="992"/>
      <c r="V571" s="985">
        <v>1</v>
      </c>
      <c r="W571" s="985">
        <v>2</v>
      </c>
      <c r="X571" s="985">
        <v>1</v>
      </c>
      <c r="Y571" s="985"/>
      <c r="Z571" s="985"/>
      <c r="AA571" s="985"/>
      <c r="AB571" s="985">
        <v>1</v>
      </c>
      <c r="AC571" s="985"/>
      <c r="AD571" s="985"/>
      <c r="AE571" s="985"/>
      <c r="AF571" s="985"/>
      <c r="AG571" s="985"/>
      <c r="AH571" s="985"/>
      <c r="AI571" s="985">
        <v>1</v>
      </c>
      <c r="AJ571" s="985"/>
      <c r="AK571" s="985">
        <v>20</v>
      </c>
      <c r="AL571" s="985">
        <v>3.57</v>
      </c>
      <c r="AM571" s="985" t="s">
        <v>2406</v>
      </c>
      <c r="AO571" s="983">
        <v>2</v>
      </c>
      <c r="AP571" s="983">
        <v>6</v>
      </c>
      <c r="AQ571" s="983">
        <v>1</v>
      </c>
      <c r="AR571" s="976">
        <v>1</v>
      </c>
      <c r="AS571" s="976"/>
      <c r="AT571" s="976"/>
      <c r="AU571" s="983"/>
      <c r="AV571" s="976"/>
      <c r="AW571" s="983"/>
      <c r="AX571" s="983"/>
      <c r="AY571" s="976"/>
      <c r="AZ571" s="976"/>
      <c r="BA571" s="976"/>
      <c r="BB571" s="976"/>
      <c r="BC571" s="976"/>
      <c r="BD571" s="983">
        <v>24</v>
      </c>
      <c r="BE571" s="984">
        <v>18.22</v>
      </c>
      <c r="BF571" s="983"/>
      <c r="BH571" s="1002">
        <f t="shared" si="242"/>
        <v>0</v>
      </c>
      <c r="BI571" s="1002">
        <f t="shared" si="243"/>
        <v>0</v>
      </c>
      <c r="BJ571" s="1002">
        <f t="shared" si="244"/>
        <v>0</v>
      </c>
      <c r="BK571" s="1002">
        <f t="shared" si="245"/>
        <v>0</v>
      </c>
      <c r="BL571" s="1002">
        <f t="shared" si="246"/>
        <v>0</v>
      </c>
      <c r="BO571" s="119">
        <v>4</v>
      </c>
      <c r="BP571" s="128" t="s">
        <v>1394</v>
      </c>
      <c r="BQ571" s="119">
        <f t="shared" si="247"/>
        <v>22</v>
      </c>
      <c r="BR571" s="119">
        <v>11</v>
      </c>
      <c r="BS571" s="119">
        <v>4</v>
      </c>
      <c r="BT571" s="119">
        <v>7</v>
      </c>
      <c r="BU571" s="119">
        <v>105</v>
      </c>
      <c r="BV571" s="119">
        <v>88</v>
      </c>
      <c r="BW571" s="119">
        <f t="shared" si="248"/>
        <v>17</v>
      </c>
      <c r="BX571" s="119">
        <v>26</v>
      </c>
      <c r="BY571" s="119">
        <f t="shared" si="249"/>
        <v>1.1818181818181819</v>
      </c>
    </row>
    <row r="572" spans="2:77" x14ac:dyDescent="0.3">
      <c r="B572" s="1280">
        <v>340</v>
      </c>
      <c r="C572" s="977" t="s">
        <v>2489</v>
      </c>
      <c r="D572" s="977" t="s">
        <v>2116</v>
      </c>
      <c r="E572" s="977" t="s">
        <v>1541</v>
      </c>
      <c r="F572" s="978" t="s">
        <v>2538</v>
      </c>
      <c r="G572" s="977" t="s">
        <v>2539</v>
      </c>
      <c r="H572" s="991" t="str">
        <f t="shared" si="241"/>
        <v>Häviö</v>
      </c>
      <c r="I572" s="991" t="s">
        <v>1514</v>
      </c>
      <c r="J572" s="991" t="s">
        <v>0</v>
      </c>
      <c r="K572" s="991" t="s">
        <v>2176</v>
      </c>
      <c r="L572" s="992">
        <f t="shared" si="239"/>
        <v>4</v>
      </c>
      <c r="M572" s="992">
        <f t="shared" si="240"/>
        <v>7</v>
      </c>
      <c r="N572" s="1262">
        <v>1</v>
      </c>
      <c r="O572" s="992">
        <v>2</v>
      </c>
      <c r="P572" s="1262">
        <v>1</v>
      </c>
      <c r="Q572" s="992">
        <v>2</v>
      </c>
      <c r="R572" s="1262">
        <v>2</v>
      </c>
      <c r="S572" s="992">
        <v>3</v>
      </c>
      <c r="T572" s="1262"/>
      <c r="U572" s="992"/>
      <c r="V572" s="985">
        <v>0</v>
      </c>
      <c r="W572" s="985">
        <v>0</v>
      </c>
      <c r="X572" s="985"/>
      <c r="Y572" s="985"/>
      <c r="Z572" s="985"/>
      <c r="AA572" s="985"/>
      <c r="AB572" s="985"/>
      <c r="AC572" s="985"/>
      <c r="AD572" s="985"/>
      <c r="AE572" s="985"/>
      <c r="AF572" s="985"/>
      <c r="AG572" s="985"/>
      <c r="AH572" s="985"/>
      <c r="AI572" s="985"/>
      <c r="AJ572" s="985"/>
      <c r="AK572" s="985">
        <v>17</v>
      </c>
      <c r="AL572" s="985">
        <v>10.43</v>
      </c>
      <c r="AM572" s="985" t="s">
        <v>2407</v>
      </c>
      <c r="AO572" s="983">
        <v>1</v>
      </c>
      <c r="AP572" s="983">
        <v>2</v>
      </c>
      <c r="AQ572" s="983">
        <v>1</v>
      </c>
      <c r="AR572" s="976"/>
      <c r="AS572" s="976"/>
      <c r="AT572" s="976"/>
      <c r="AU572" s="983"/>
      <c r="AV572" s="976"/>
      <c r="AW572" s="976"/>
      <c r="AX572" s="976"/>
      <c r="AY572" s="976"/>
      <c r="AZ572" s="976"/>
      <c r="BA572" s="976"/>
      <c r="BB572" s="976"/>
      <c r="BC572" s="976"/>
      <c r="BD572" s="983">
        <v>21</v>
      </c>
      <c r="BE572" s="983">
        <v>1.53</v>
      </c>
      <c r="BF572" s="983"/>
      <c r="BH572" s="1002">
        <f t="shared" si="242"/>
        <v>1</v>
      </c>
      <c r="BI572" s="1002">
        <f t="shared" si="243"/>
        <v>0</v>
      </c>
      <c r="BJ572" s="1002">
        <f t="shared" si="244"/>
        <v>0</v>
      </c>
      <c r="BK572" s="1002">
        <f t="shared" si="245"/>
        <v>1</v>
      </c>
      <c r="BL572" s="1002">
        <f t="shared" si="246"/>
        <v>0</v>
      </c>
      <c r="BO572" s="119">
        <v>5</v>
      </c>
      <c r="BP572" s="128" t="s">
        <v>2176</v>
      </c>
      <c r="BQ572" s="119">
        <f t="shared" si="247"/>
        <v>22</v>
      </c>
      <c r="BR572" s="119">
        <v>11</v>
      </c>
      <c r="BS572" s="119">
        <v>4</v>
      </c>
      <c r="BT572" s="119">
        <v>7</v>
      </c>
      <c r="BU572" s="119">
        <v>137</v>
      </c>
      <c r="BV572" s="119">
        <v>125</v>
      </c>
      <c r="BW572" s="119">
        <f t="shared" si="248"/>
        <v>12</v>
      </c>
      <c r="BX572" s="119">
        <v>26</v>
      </c>
      <c r="BY572" s="1294">
        <f t="shared" si="249"/>
        <v>1.1818181818181819</v>
      </c>
    </row>
    <row r="573" spans="2:77" x14ac:dyDescent="0.3">
      <c r="B573" s="1280">
        <v>341</v>
      </c>
      <c r="C573" s="977" t="s">
        <v>2489</v>
      </c>
      <c r="D573" s="977" t="s">
        <v>2116</v>
      </c>
      <c r="E573" s="977" t="s">
        <v>1542</v>
      </c>
      <c r="F573" s="978" t="s">
        <v>2541</v>
      </c>
      <c r="G573" s="977" t="s">
        <v>2523</v>
      </c>
      <c r="H573" s="991" t="str">
        <f t="shared" si="241"/>
        <v>Häviö</v>
      </c>
      <c r="I573" s="991" t="s">
        <v>1515</v>
      </c>
      <c r="J573" s="991" t="s">
        <v>0</v>
      </c>
      <c r="K573" s="991" t="s">
        <v>2543</v>
      </c>
      <c r="L573" s="992">
        <f t="shared" si="239"/>
        <v>3</v>
      </c>
      <c r="M573" s="992">
        <f t="shared" si="240"/>
        <v>5</v>
      </c>
      <c r="N573" s="1262">
        <v>1</v>
      </c>
      <c r="O573" s="992">
        <v>1</v>
      </c>
      <c r="P573" s="1262">
        <v>2</v>
      </c>
      <c r="Q573" s="992">
        <v>3</v>
      </c>
      <c r="R573" s="1262">
        <v>0</v>
      </c>
      <c r="S573" s="992">
        <v>1</v>
      </c>
      <c r="T573" s="1262"/>
      <c r="U573" s="992"/>
      <c r="V573" s="985">
        <v>1</v>
      </c>
      <c r="W573" s="985">
        <v>2</v>
      </c>
      <c r="X573" s="985">
        <v>1</v>
      </c>
      <c r="Y573" s="985"/>
      <c r="Z573" s="985"/>
      <c r="AA573" s="985"/>
      <c r="AB573" s="985"/>
      <c r="AC573" s="985"/>
      <c r="AD573" s="985"/>
      <c r="AE573" s="985"/>
      <c r="AF573" s="985"/>
      <c r="AG573" s="985"/>
      <c r="AH573" s="985"/>
      <c r="AI573" s="985"/>
      <c r="AJ573" s="985"/>
      <c r="AK573" s="985">
        <v>14</v>
      </c>
      <c r="AL573" s="986">
        <v>1.03</v>
      </c>
      <c r="AM573" s="986" t="s">
        <v>2407</v>
      </c>
      <c r="AO573" s="983">
        <v>1</v>
      </c>
      <c r="AP573" s="983">
        <v>2</v>
      </c>
      <c r="AQ573" s="983">
        <v>1</v>
      </c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83"/>
      <c r="BB573" s="976"/>
      <c r="BC573" s="976"/>
      <c r="BD573" s="983">
        <v>10</v>
      </c>
      <c r="BE573" s="983">
        <v>3.49</v>
      </c>
      <c r="BF573" s="983"/>
      <c r="BH573" s="1002">
        <f t="shared" si="242"/>
        <v>0</v>
      </c>
      <c r="BI573" s="1002">
        <f t="shared" si="243"/>
        <v>0</v>
      </c>
      <c r="BJ573" s="1002">
        <f t="shared" si="244"/>
        <v>0</v>
      </c>
      <c r="BK573" s="1002">
        <f t="shared" si="245"/>
        <v>0</v>
      </c>
      <c r="BL573" s="1002">
        <f t="shared" si="246"/>
        <v>0</v>
      </c>
      <c r="BO573" s="119">
        <v>6</v>
      </c>
      <c r="BP573" s="128" t="s">
        <v>1220</v>
      </c>
      <c r="BQ573" s="119">
        <f t="shared" si="247"/>
        <v>22</v>
      </c>
      <c r="BR573" s="119">
        <v>11</v>
      </c>
      <c r="BS573" s="119">
        <v>1</v>
      </c>
      <c r="BT573" s="119">
        <v>10</v>
      </c>
      <c r="BU573" s="119">
        <v>122</v>
      </c>
      <c r="BV573" s="119">
        <v>137</v>
      </c>
      <c r="BW573" s="119">
        <f t="shared" si="248"/>
        <v>-15</v>
      </c>
      <c r="BX573" s="119">
        <v>23</v>
      </c>
      <c r="BY573" s="1294">
        <f t="shared" si="249"/>
        <v>1.0454545454545454</v>
      </c>
    </row>
    <row r="574" spans="2:77" x14ac:dyDescent="0.3">
      <c r="B574" s="1280">
        <v>342</v>
      </c>
      <c r="C574" s="977" t="s">
        <v>2489</v>
      </c>
      <c r="D574" s="977" t="s">
        <v>2116</v>
      </c>
      <c r="E574" s="977" t="s">
        <v>1543</v>
      </c>
      <c r="F574" s="977" t="s">
        <v>2542</v>
      </c>
      <c r="G574" s="977" t="s">
        <v>2523</v>
      </c>
      <c r="H574" s="991" t="str">
        <f t="shared" si="241"/>
        <v>Häviö</v>
      </c>
      <c r="I574" s="991" t="s">
        <v>1514</v>
      </c>
      <c r="J574" s="991" t="s">
        <v>0</v>
      </c>
      <c r="K574" s="991" t="s">
        <v>1394</v>
      </c>
      <c r="L574" s="992">
        <f t="shared" si="239"/>
        <v>3</v>
      </c>
      <c r="M574" s="992">
        <f t="shared" si="240"/>
        <v>4</v>
      </c>
      <c r="N574" s="1262">
        <v>0</v>
      </c>
      <c r="O574" s="992">
        <v>2</v>
      </c>
      <c r="P574" s="1262">
        <v>1</v>
      </c>
      <c r="Q574" s="992">
        <v>1</v>
      </c>
      <c r="R574" s="1262">
        <v>2</v>
      </c>
      <c r="S574" s="992">
        <v>1</v>
      </c>
      <c r="T574" s="1262"/>
      <c r="U574" s="992"/>
      <c r="V574" s="985">
        <v>1</v>
      </c>
      <c r="W574" s="985">
        <v>2</v>
      </c>
      <c r="X574" s="985">
        <v>1</v>
      </c>
      <c r="Y574" s="985"/>
      <c r="Z574" s="985"/>
      <c r="AA574" s="985"/>
      <c r="AB574" s="985"/>
      <c r="AC574" s="985"/>
      <c r="AD574" s="985"/>
      <c r="AE574" s="985"/>
      <c r="AF574" s="985"/>
      <c r="AG574" s="985"/>
      <c r="AH574" s="985"/>
      <c r="AI574" s="985"/>
      <c r="AJ574" s="985"/>
      <c r="AK574" s="985">
        <v>14</v>
      </c>
      <c r="AL574" s="985">
        <v>15.11</v>
      </c>
      <c r="AM574" s="985" t="s">
        <v>2406</v>
      </c>
      <c r="AN574" s="8"/>
      <c r="AO574" s="983">
        <v>0</v>
      </c>
      <c r="AP574" s="983">
        <v>0</v>
      </c>
      <c r="AQ574" s="983"/>
      <c r="AR574" s="983"/>
      <c r="AS574" s="983"/>
      <c r="AT574" s="983"/>
      <c r="AU574" s="983">
        <v>1</v>
      </c>
      <c r="AV574" s="983"/>
      <c r="AW574" s="983"/>
      <c r="AX574" s="983"/>
      <c r="AY574" s="983"/>
      <c r="AZ574" s="983"/>
      <c r="BA574" s="983"/>
      <c r="BB574" s="983"/>
      <c r="BC574" s="983"/>
      <c r="BD574" s="983">
        <v>11</v>
      </c>
      <c r="BE574" s="983">
        <v>4.2699999999999996</v>
      </c>
      <c r="BF574" s="983"/>
      <c r="BH574" s="1002">
        <f t="shared" si="242"/>
        <v>0</v>
      </c>
      <c r="BI574" s="1002">
        <f t="shared" si="243"/>
        <v>1</v>
      </c>
      <c r="BJ574" s="1002">
        <f t="shared" si="244"/>
        <v>0</v>
      </c>
      <c r="BK574" s="1002">
        <f t="shared" si="245"/>
        <v>0</v>
      </c>
      <c r="BL574" s="1002">
        <f t="shared" si="246"/>
        <v>1</v>
      </c>
      <c r="BO574" s="119">
        <v>7</v>
      </c>
      <c r="BP574" s="128" t="s">
        <v>2121</v>
      </c>
      <c r="BQ574" s="119">
        <f t="shared" si="247"/>
        <v>22</v>
      </c>
      <c r="BR574" s="119">
        <v>10</v>
      </c>
      <c r="BS574" s="119">
        <v>1</v>
      </c>
      <c r="BT574" s="119">
        <v>11</v>
      </c>
      <c r="BU574" s="119">
        <v>98</v>
      </c>
      <c r="BV574" s="119">
        <v>117</v>
      </c>
      <c r="BW574" s="119">
        <f t="shared" si="248"/>
        <v>-19</v>
      </c>
      <c r="BX574" s="119">
        <v>21</v>
      </c>
      <c r="BY574" s="119">
        <f t="shared" si="249"/>
        <v>0.95454545454545459</v>
      </c>
    </row>
    <row r="575" spans="2:77" x14ac:dyDescent="0.3">
      <c r="B575" s="1280">
        <v>343</v>
      </c>
      <c r="C575" s="977" t="s">
        <v>2489</v>
      </c>
      <c r="D575" s="977" t="s">
        <v>2116</v>
      </c>
      <c r="E575" s="977" t="s">
        <v>1544</v>
      </c>
      <c r="F575" s="977" t="s">
        <v>2737</v>
      </c>
      <c r="G575" s="977" t="s">
        <v>2174</v>
      </c>
      <c r="H575" s="991" t="str">
        <f t="shared" si="241"/>
        <v>Häviö</v>
      </c>
      <c r="I575" s="991" t="s">
        <v>1515</v>
      </c>
      <c r="J575" s="991" t="s">
        <v>0</v>
      </c>
      <c r="K575" s="991" t="s">
        <v>2177</v>
      </c>
      <c r="L575" s="992">
        <f t="shared" si="239"/>
        <v>2</v>
      </c>
      <c r="M575" s="992">
        <f t="shared" si="240"/>
        <v>5</v>
      </c>
      <c r="N575" s="1262">
        <v>2</v>
      </c>
      <c r="O575" s="992">
        <v>3</v>
      </c>
      <c r="P575" s="1262">
        <v>0</v>
      </c>
      <c r="Q575" s="992">
        <v>0</v>
      </c>
      <c r="R575" s="1262">
        <v>0</v>
      </c>
      <c r="S575" s="992">
        <v>2</v>
      </c>
      <c r="T575" s="1262"/>
      <c r="U575" s="992"/>
      <c r="V575" s="985">
        <v>0</v>
      </c>
      <c r="W575" s="985">
        <v>0</v>
      </c>
      <c r="X575" s="985"/>
      <c r="Y575" s="985"/>
      <c r="Z575" s="985"/>
      <c r="AA575" s="985"/>
      <c r="AB575" s="985"/>
      <c r="AC575" s="985"/>
      <c r="AD575" s="985"/>
      <c r="AE575" s="985"/>
      <c r="AF575" s="985"/>
      <c r="AG575" s="985"/>
      <c r="AH575" s="985"/>
      <c r="AI575" s="985"/>
      <c r="AJ575" s="985"/>
      <c r="AK575" s="985">
        <v>16</v>
      </c>
      <c r="AL575" s="985">
        <v>3.05</v>
      </c>
      <c r="AM575" s="985" t="s">
        <v>2406</v>
      </c>
      <c r="AN575" s="8"/>
      <c r="AO575" s="983">
        <v>0</v>
      </c>
      <c r="AP575" s="983">
        <v>0</v>
      </c>
      <c r="AQ575" s="983"/>
      <c r="AR575" s="983"/>
      <c r="AS575" s="983"/>
      <c r="AT575" s="983"/>
      <c r="AU575" s="983"/>
      <c r="AV575" s="983"/>
      <c r="AW575" s="983"/>
      <c r="AX575" s="983"/>
      <c r="AY575" s="983"/>
      <c r="AZ575" s="983"/>
      <c r="BA575" s="983"/>
      <c r="BB575" s="983"/>
      <c r="BC575" s="983"/>
      <c r="BD575" s="983">
        <v>22</v>
      </c>
      <c r="BE575" s="984">
        <v>4.5599999999999996</v>
      </c>
      <c r="BF575" s="983"/>
      <c r="BH575" s="1002">
        <f t="shared" si="242"/>
        <v>1</v>
      </c>
      <c r="BI575" s="1002">
        <f t="shared" si="243"/>
        <v>1</v>
      </c>
      <c r="BJ575" s="1002">
        <f t="shared" si="244"/>
        <v>1</v>
      </c>
      <c r="BK575" s="1002">
        <f t="shared" si="245"/>
        <v>0</v>
      </c>
      <c r="BL575" s="1002">
        <f t="shared" si="246"/>
        <v>0</v>
      </c>
      <c r="BO575" s="1284">
        <v>8</v>
      </c>
      <c r="BP575" s="1283" t="s">
        <v>0</v>
      </c>
      <c r="BQ575" s="1284">
        <f t="shared" si="247"/>
        <v>22</v>
      </c>
      <c r="BR575" s="1284">
        <v>9</v>
      </c>
      <c r="BS575" s="1284">
        <v>1</v>
      </c>
      <c r="BT575" s="1284">
        <v>12</v>
      </c>
      <c r="BU575" s="1284">
        <v>91</v>
      </c>
      <c r="BV575" s="1284">
        <v>90</v>
      </c>
      <c r="BW575" s="1284">
        <f t="shared" si="248"/>
        <v>1</v>
      </c>
      <c r="BX575" s="1284">
        <v>19</v>
      </c>
      <c r="BY575" s="1284">
        <f t="shared" si="249"/>
        <v>0.86363636363636365</v>
      </c>
    </row>
    <row r="576" spans="2:77" x14ac:dyDescent="0.3">
      <c r="B576" s="1280">
        <v>344</v>
      </c>
      <c r="C576" s="977" t="s">
        <v>2489</v>
      </c>
      <c r="D576" s="977" t="s">
        <v>2116</v>
      </c>
      <c r="E576" s="977" t="s">
        <v>1545</v>
      </c>
      <c r="F576" s="977" t="s">
        <v>2544</v>
      </c>
      <c r="G576" s="977" t="s">
        <v>796</v>
      </c>
      <c r="H576" s="991" t="str">
        <f t="shared" si="241"/>
        <v>Voitto</v>
      </c>
      <c r="I576" s="991" t="s">
        <v>1515</v>
      </c>
      <c r="J576" s="991" t="s">
        <v>0</v>
      </c>
      <c r="K576" s="991" t="s">
        <v>1220</v>
      </c>
      <c r="L576" s="992">
        <f t="shared" si="239"/>
        <v>5</v>
      </c>
      <c r="M576" s="992">
        <f t="shared" si="240"/>
        <v>4</v>
      </c>
      <c r="N576" s="1262">
        <v>1</v>
      </c>
      <c r="O576" s="992">
        <v>1</v>
      </c>
      <c r="P576" s="1262">
        <v>3</v>
      </c>
      <c r="Q576" s="992">
        <v>2</v>
      </c>
      <c r="R576" s="1262">
        <v>1</v>
      </c>
      <c r="S576" s="992">
        <v>1</v>
      </c>
      <c r="T576" s="1262"/>
      <c r="U576" s="992"/>
      <c r="V576" s="985">
        <v>2</v>
      </c>
      <c r="W576" s="985">
        <v>6</v>
      </c>
      <c r="X576" s="985">
        <v>1</v>
      </c>
      <c r="Y576" s="985">
        <v>1</v>
      </c>
      <c r="Z576" s="985"/>
      <c r="AA576" s="985"/>
      <c r="AB576" s="985"/>
      <c r="AC576" s="985"/>
      <c r="AD576" s="985"/>
      <c r="AE576" s="985"/>
      <c r="AF576" s="985"/>
      <c r="AG576" s="985"/>
      <c r="AH576" s="985"/>
      <c r="AI576" s="985"/>
      <c r="AJ576" s="985"/>
      <c r="AK576" s="985">
        <v>26</v>
      </c>
      <c r="AL576" s="985">
        <v>0.36</v>
      </c>
      <c r="AM576" s="985" t="s">
        <v>2406</v>
      </c>
      <c r="AN576" s="8"/>
      <c r="AO576" s="983">
        <v>3</v>
      </c>
      <c r="AP576" s="983">
        <v>6</v>
      </c>
      <c r="AQ576" s="983">
        <v>3</v>
      </c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83"/>
      <c r="BB576" s="1091"/>
      <c r="BC576" s="983"/>
      <c r="BD576" s="983">
        <v>24</v>
      </c>
      <c r="BE576" s="984">
        <v>3.09</v>
      </c>
      <c r="BF576" s="983"/>
      <c r="BH576" s="1002">
        <f t="shared" si="242"/>
        <v>0</v>
      </c>
      <c r="BI576" s="1002">
        <f t="shared" si="243"/>
        <v>0</v>
      </c>
      <c r="BJ576" s="1002">
        <f t="shared" si="244"/>
        <v>0</v>
      </c>
      <c r="BK576" s="1002">
        <f t="shared" si="245"/>
        <v>0</v>
      </c>
      <c r="BL576" s="1002">
        <f t="shared" si="246"/>
        <v>0</v>
      </c>
      <c r="BO576" s="119">
        <v>9</v>
      </c>
      <c r="BP576" s="128" t="s">
        <v>1404</v>
      </c>
      <c r="BQ576" s="119">
        <f t="shared" si="247"/>
        <v>22</v>
      </c>
      <c r="BR576" s="119">
        <v>8</v>
      </c>
      <c r="BS576" s="119">
        <v>1</v>
      </c>
      <c r="BT576" s="119">
        <v>13</v>
      </c>
      <c r="BU576" s="119">
        <v>147</v>
      </c>
      <c r="BV576" s="119">
        <v>184</v>
      </c>
      <c r="BW576" s="119">
        <f t="shared" si="248"/>
        <v>-37</v>
      </c>
      <c r="BX576" s="119">
        <v>17</v>
      </c>
      <c r="BY576" s="119">
        <f t="shared" si="249"/>
        <v>0.77272727272727271</v>
      </c>
    </row>
    <row r="577" spans="2:77" x14ac:dyDescent="0.3">
      <c r="B577" s="1280">
        <v>345</v>
      </c>
      <c r="C577" s="977" t="s">
        <v>2489</v>
      </c>
      <c r="D577" s="977" t="s">
        <v>2116</v>
      </c>
      <c r="E577" s="977" t="s">
        <v>1546</v>
      </c>
      <c r="F577" s="977" t="s">
        <v>2545</v>
      </c>
      <c r="G577" s="977" t="s">
        <v>796</v>
      </c>
      <c r="H577" s="991" t="str">
        <f t="shared" si="241"/>
        <v>Tasapeli</v>
      </c>
      <c r="I577" s="991" t="s">
        <v>1514</v>
      </c>
      <c r="J577" s="991" t="s">
        <v>0</v>
      </c>
      <c r="K577" s="991" t="s">
        <v>2404</v>
      </c>
      <c r="L577" s="992">
        <f t="shared" si="239"/>
        <v>5</v>
      </c>
      <c r="M577" s="992">
        <f t="shared" si="240"/>
        <v>5</v>
      </c>
      <c r="N577" s="1262">
        <v>1</v>
      </c>
      <c r="O577" s="992">
        <v>1</v>
      </c>
      <c r="P577" s="1262">
        <v>1</v>
      </c>
      <c r="Q577" s="992">
        <v>2</v>
      </c>
      <c r="R577" s="1262">
        <v>3</v>
      </c>
      <c r="S577" s="992">
        <v>2</v>
      </c>
      <c r="T577" s="1262"/>
      <c r="U577" s="992"/>
      <c r="V577" s="985">
        <v>0</v>
      </c>
      <c r="W577" s="985">
        <v>0</v>
      </c>
      <c r="X577" s="985"/>
      <c r="Y577" s="985"/>
      <c r="Z577" s="985"/>
      <c r="AA577" s="985"/>
      <c r="AB577" s="985"/>
      <c r="AC577" s="985"/>
      <c r="AD577" s="985"/>
      <c r="AE577" s="985"/>
      <c r="AF577" s="985"/>
      <c r="AG577" s="985"/>
      <c r="AH577" s="985"/>
      <c r="AI577" s="985"/>
      <c r="AJ577" s="985"/>
      <c r="AK577" s="985">
        <v>24</v>
      </c>
      <c r="AL577" s="985">
        <v>10.59</v>
      </c>
      <c r="AM577" s="985" t="s">
        <v>2407</v>
      </c>
      <c r="AN577" s="8"/>
      <c r="AO577" s="983">
        <v>1</v>
      </c>
      <c r="AP577" s="983">
        <v>2</v>
      </c>
      <c r="AQ577" s="983">
        <v>1</v>
      </c>
      <c r="AR577" s="983"/>
      <c r="AS577" s="983"/>
      <c r="AT577" s="983"/>
      <c r="AU577" s="983"/>
      <c r="AV577" s="983"/>
      <c r="AW577" s="983"/>
      <c r="AX577" s="983"/>
      <c r="AY577" s="983"/>
      <c r="AZ577" s="983"/>
      <c r="BA577" s="983"/>
      <c r="BB577" s="983"/>
      <c r="BC577" s="983"/>
      <c r="BD577" s="983">
        <v>11</v>
      </c>
      <c r="BE577" s="983">
        <v>12.49</v>
      </c>
      <c r="BF577" s="983"/>
      <c r="BH577" s="1002">
        <f t="shared" si="242"/>
        <v>1</v>
      </c>
      <c r="BI577" s="1002">
        <f t="shared" si="243"/>
        <v>0</v>
      </c>
      <c r="BJ577" s="1002">
        <f t="shared" si="244"/>
        <v>0</v>
      </c>
      <c r="BK577" s="1002">
        <f t="shared" si="245"/>
        <v>1</v>
      </c>
      <c r="BL577" s="1002">
        <f t="shared" si="246"/>
        <v>0</v>
      </c>
      <c r="BO577" s="119">
        <v>10</v>
      </c>
      <c r="BP577" s="128" t="s">
        <v>2177</v>
      </c>
      <c r="BQ577" s="119">
        <f t="shared" si="247"/>
        <v>22</v>
      </c>
      <c r="BR577" s="119">
        <v>7</v>
      </c>
      <c r="BS577" s="119">
        <v>3</v>
      </c>
      <c r="BT577" s="119">
        <v>12</v>
      </c>
      <c r="BU577" s="119">
        <v>106</v>
      </c>
      <c r="BV577" s="119">
        <v>117</v>
      </c>
      <c r="BW577" s="119">
        <f t="shared" si="248"/>
        <v>-11</v>
      </c>
      <c r="BX577" s="119">
        <v>17</v>
      </c>
      <c r="BY577" s="119">
        <f t="shared" si="249"/>
        <v>0.77272727272727271</v>
      </c>
    </row>
    <row r="578" spans="2:77" x14ac:dyDescent="0.3">
      <c r="B578" s="1280">
        <v>346</v>
      </c>
      <c r="C578" s="977" t="s">
        <v>2489</v>
      </c>
      <c r="D578" s="977" t="s">
        <v>2116</v>
      </c>
      <c r="E578" s="977" t="s">
        <v>1547</v>
      </c>
      <c r="F578" s="977" t="s">
        <v>2546</v>
      </c>
      <c r="G578" s="977" t="s">
        <v>796</v>
      </c>
      <c r="H578" s="991" t="str">
        <f t="shared" si="241"/>
        <v>Häviö</v>
      </c>
      <c r="I578" s="991" t="s">
        <v>1514</v>
      </c>
      <c r="J578" s="991" t="s">
        <v>0</v>
      </c>
      <c r="K578" s="991" t="s">
        <v>998</v>
      </c>
      <c r="L578" s="992">
        <f t="shared" si="239"/>
        <v>3</v>
      </c>
      <c r="M578" s="992">
        <f t="shared" si="240"/>
        <v>6</v>
      </c>
      <c r="N578" s="1262">
        <v>2</v>
      </c>
      <c r="O578" s="992">
        <v>0</v>
      </c>
      <c r="P578" s="1262">
        <v>0</v>
      </c>
      <c r="Q578" s="992">
        <v>3</v>
      </c>
      <c r="R578" s="1262">
        <v>1</v>
      </c>
      <c r="S578" s="992">
        <v>3</v>
      </c>
      <c r="T578" s="1262"/>
      <c r="U578" s="992"/>
      <c r="V578" s="985">
        <v>1</v>
      </c>
      <c r="W578" s="985">
        <v>2</v>
      </c>
      <c r="X578" s="985">
        <v>1</v>
      </c>
      <c r="Y578" s="985"/>
      <c r="Z578" s="985"/>
      <c r="AA578" s="985"/>
      <c r="AB578" s="985"/>
      <c r="AC578" s="985"/>
      <c r="AD578" s="985"/>
      <c r="AE578" s="985"/>
      <c r="AF578" s="985"/>
      <c r="AG578" s="985"/>
      <c r="AH578" s="985"/>
      <c r="AI578" s="985"/>
      <c r="AJ578" s="985">
        <v>1</v>
      </c>
      <c r="AK578" s="985">
        <v>17</v>
      </c>
      <c r="AL578" s="986">
        <v>4.4400000000000004</v>
      </c>
      <c r="AM578" s="985" t="s">
        <v>2406</v>
      </c>
      <c r="AN578" s="8"/>
      <c r="AO578" s="983">
        <v>1</v>
      </c>
      <c r="AP578" s="983">
        <v>2</v>
      </c>
      <c r="AQ578" s="983">
        <v>1</v>
      </c>
      <c r="AR578" s="983"/>
      <c r="AS578" s="983"/>
      <c r="AT578" s="983"/>
      <c r="AU578" s="983">
        <v>1</v>
      </c>
      <c r="AV578" s="983"/>
      <c r="AW578" s="983"/>
      <c r="AX578" s="983"/>
      <c r="AY578" s="983"/>
      <c r="AZ578" s="983"/>
      <c r="BA578" s="983"/>
      <c r="BB578" s="983"/>
      <c r="BC578" s="983"/>
      <c r="BD578" s="983">
        <v>10</v>
      </c>
      <c r="BE578" s="983">
        <v>19.489999999999998</v>
      </c>
      <c r="BF578" s="983"/>
      <c r="BH578" s="1002">
        <f t="shared" si="242"/>
        <v>0</v>
      </c>
      <c r="BI578" s="1002">
        <f t="shared" si="243"/>
        <v>0</v>
      </c>
      <c r="BJ578" s="1002">
        <f t="shared" si="244"/>
        <v>0</v>
      </c>
      <c r="BK578" s="1002">
        <f t="shared" si="245"/>
        <v>0</v>
      </c>
      <c r="BL578" s="1002">
        <f t="shared" si="246"/>
        <v>0</v>
      </c>
      <c r="BO578" s="119">
        <v>11</v>
      </c>
      <c r="BP578" s="128" t="s">
        <v>2178</v>
      </c>
      <c r="BQ578" s="119">
        <f t="shared" si="247"/>
        <v>22</v>
      </c>
      <c r="BR578" s="119">
        <v>3</v>
      </c>
      <c r="BS578" s="119">
        <v>1</v>
      </c>
      <c r="BT578" s="119">
        <v>18</v>
      </c>
      <c r="BU578" s="119">
        <v>83</v>
      </c>
      <c r="BV578" s="119">
        <v>205</v>
      </c>
      <c r="BW578" s="119">
        <f t="shared" si="248"/>
        <v>-122</v>
      </c>
      <c r="BX578" s="119">
        <v>7</v>
      </c>
      <c r="BY578" s="1294">
        <f t="shared" si="249"/>
        <v>0.31818181818181818</v>
      </c>
    </row>
    <row r="579" spans="2:77" x14ac:dyDescent="0.3">
      <c r="B579" s="1280">
        <v>347</v>
      </c>
      <c r="C579" s="977" t="s">
        <v>2489</v>
      </c>
      <c r="D579" s="977" t="s">
        <v>2116</v>
      </c>
      <c r="E579" s="977" t="s">
        <v>1548</v>
      </c>
      <c r="F579" s="977" t="s">
        <v>2547</v>
      </c>
      <c r="G579" s="977" t="s">
        <v>796</v>
      </c>
      <c r="H579" s="991" t="str">
        <f t="shared" si="241"/>
        <v>Häviö</v>
      </c>
      <c r="I579" s="991" t="s">
        <v>1514</v>
      </c>
      <c r="J579" s="991" t="s">
        <v>0</v>
      </c>
      <c r="K579" s="991" t="s">
        <v>2121</v>
      </c>
      <c r="L579" s="992">
        <f t="shared" si="239"/>
        <v>2</v>
      </c>
      <c r="M579" s="992">
        <f t="shared" si="240"/>
        <v>5</v>
      </c>
      <c r="N579" s="1262">
        <v>0</v>
      </c>
      <c r="O579" s="992">
        <v>2</v>
      </c>
      <c r="P579" s="1262">
        <v>1</v>
      </c>
      <c r="Q579" s="992">
        <v>2</v>
      </c>
      <c r="R579" s="1262">
        <v>1</v>
      </c>
      <c r="S579" s="992">
        <v>1</v>
      </c>
      <c r="T579" s="1262"/>
      <c r="U579" s="992"/>
      <c r="V579" s="985">
        <v>1</v>
      </c>
      <c r="W579" s="985">
        <v>4</v>
      </c>
      <c r="X579" s="985"/>
      <c r="Y579" s="985">
        <v>1</v>
      </c>
      <c r="Z579" s="985"/>
      <c r="AA579" s="985"/>
      <c r="AB579" s="985"/>
      <c r="AC579" s="985"/>
      <c r="AD579" s="985"/>
      <c r="AE579" s="985"/>
      <c r="AF579" s="985"/>
      <c r="AG579" s="985"/>
      <c r="AH579" s="985"/>
      <c r="AI579" s="985"/>
      <c r="AJ579" s="985"/>
      <c r="AK579" s="985">
        <v>14</v>
      </c>
      <c r="AL579" s="985">
        <v>24.58</v>
      </c>
      <c r="AM579" s="985" t="s">
        <v>2406</v>
      </c>
      <c r="AN579" s="8"/>
      <c r="AO579" s="983">
        <v>1</v>
      </c>
      <c r="AP579" s="983">
        <v>2</v>
      </c>
      <c r="AQ579" s="983">
        <v>1</v>
      </c>
      <c r="AR579" s="983"/>
      <c r="AS579" s="983"/>
      <c r="AT579" s="983"/>
      <c r="AU579" s="983"/>
      <c r="AV579" s="983"/>
      <c r="AW579" s="983"/>
      <c r="AX579" s="983"/>
      <c r="AY579" s="983"/>
      <c r="AZ579" s="983"/>
      <c r="BA579" s="983"/>
      <c r="BB579" s="983">
        <v>1</v>
      </c>
      <c r="BC579" s="983"/>
      <c r="BD579" s="983">
        <v>20</v>
      </c>
      <c r="BE579" s="983">
        <v>3.46</v>
      </c>
      <c r="BF579" s="983"/>
      <c r="BH579" s="1002">
        <f t="shared" si="242"/>
        <v>0</v>
      </c>
      <c r="BI579" s="1002">
        <f t="shared" si="243"/>
        <v>0</v>
      </c>
      <c r="BJ579" s="1002">
        <f t="shared" si="244"/>
        <v>0</v>
      </c>
      <c r="BK579" s="1002">
        <f t="shared" si="245"/>
        <v>0</v>
      </c>
      <c r="BL579" s="1002">
        <f t="shared" si="246"/>
        <v>0</v>
      </c>
      <c r="BO579" s="119">
        <v>12</v>
      </c>
      <c r="BP579" s="128" t="s">
        <v>2540</v>
      </c>
      <c r="BQ579" s="119">
        <f t="shared" si="247"/>
        <v>22</v>
      </c>
      <c r="BR579" s="119">
        <v>0</v>
      </c>
      <c r="BS579" s="119">
        <v>0</v>
      </c>
      <c r="BT579" s="119">
        <v>22</v>
      </c>
      <c r="BU579" s="119">
        <v>56</v>
      </c>
      <c r="BV579" s="119">
        <v>167</v>
      </c>
      <c r="BW579" s="119">
        <f t="shared" si="248"/>
        <v>-111</v>
      </c>
      <c r="BX579" s="119">
        <v>0</v>
      </c>
      <c r="BY579" s="1294">
        <f t="shared" si="249"/>
        <v>0</v>
      </c>
    </row>
    <row r="580" spans="2:77" x14ac:dyDescent="0.3">
      <c r="B580" s="1280">
        <v>348</v>
      </c>
      <c r="C580" s="977" t="s">
        <v>2489</v>
      </c>
      <c r="D580" s="977" t="s">
        <v>2116</v>
      </c>
      <c r="E580" s="977" t="s">
        <v>1549</v>
      </c>
      <c r="F580" s="977" t="s">
        <v>2548</v>
      </c>
      <c r="G580" s="977" t="s">
        <v>796</v>
      </c>
      <c r="H580" s="991" t="str">
        <f t="shared" si="241"/>
        <v>Voitto</v>
      </c>
      <c r="I580" s="991" t="s">
        <v>1515</v>
      </c>
      <c r="J580" s="991" t="s">
        <v>0</v>
      </c>
      <c r="K580" s="991" t="s">
        <v>1404</v>
      </c>
      <c r="L580" s="992">
        <f t="shared" si="239"/>
        <v>6</v>
      </c>
      <c r="M580" s="992">
        <f t="shared" si="240"/>
        <v>4</v>
      </c>
      <c r="N580" s="1262">
        <v>2</v>
      </c>
      <c r="O580" s="992">
        <v>4</v>
      </c>
      <c r="P580" s="1262">
        <v>1</v>
      </c>
      <c r="Q580" s="992">
        <v>0</v>
      </c>
      <c r="R580" s="1262">
        <v>3</v>
      </c>
      <c r="S580" s="992">
        <v>0</v>
      </c>
      <c r="T580" s="1262"/>
      <c r="U580" s="992"/>
      <c r="V580" s="985">
        <v>1</v>
      </c>
      <c r="W580" s="985">
        <v>2</v>
      </c>
      <c r="X580" s="985">
        <v>1</v>
      </c>
      <c r="Y580" s="985"/>
      <c r="Z580" s="985"/>
      <c r="AA580" s="985"/>
      <c r="AB580" s="985"/>
      <c r="AC580" s="985"/>
      <c r="AD580" s="985"/>
      <c r="AE580" s="985"/>
      <c r="AF580" s="985"/>
      <c r="AG580" s="985"/>
      <c r="AH580" s="985"/>
      <c r="AI580" s="985">
        <v>1</v>
      </c>
      <c r="AJ580" s="985"/>
      <c r="AK580" s="985">
        <v>21</v>
      </c>
      <c r="AL580" s="985">
        <v>3.03</v>
      </c>
      <c r="AM580" s="985" t="s">
        <v>2406</v>
      </c>
      <c r="AN580" s="8"/>
      <c r="AO580" s="983">
        <v>2</v>
      </c>
      <c r="AP580" s="983">
        <v>4</v>
      </c>
      <c r="AQ580" s="983">
        <v>2</v>
      </c>
      <c r="AR580" s="983"/>
      <c r="AS580" s="983"/>
      <c r="AT580" s="983"/>
      <c r="AU580" s="983"/>
      <c r="AV580" s="983"/>
      <c r="AW580" s="983"/>
      <c r="AX580" s="983"/>
      <c r="AY580" s="983"/>
      <c r="AZ580" s="983"/>
      <c r="BA580" s="983"/>
      <c r="BB580" s="983"/>
      <c r="BC580" s="983"/>
      <c r="BD580" s="983">
        <v>17</v>
      </c>
      <c r="BE580" s="983">
        <v>1.31</v>
      </c>
      <c r="BF580" s="983"/>
      <c r="BH580" s="1002">
        <f t="shared" si="242"/>
        <v>0</v>
      </c>
      <c r="BI580" s="1002">
        <f t="shared" si="243"/>
        <v>0</v>
      </c>
      <c r="BJ580" s="1002">
        <f t="shared" si="244"/>
        <v>0</v>
      </c>
      <c r="BK580" s="1002">
        <f t="shared" si="245"/>
        <v>0</v>
      </c>
      <c r="BL580" s="1002">
        <f t="shared" si="246"/>
        <v>0</v>
      </c>
    </row>
    <row r="581" spans="2:77" x14ac:dyDescent="0.3">
      <c r="B581" s="1280">
        <v>349</v>
      </c>
      <c r="C581" s="977" t="s">
        <v>2489</v>
      </c>
      <c r="D581" s="977" t="s">
        <v>2116</v>
      </c>
      <c r="E581" s="977" t="s">
        <v>1550</v>
      </c>
      <c r="F581" s="977" t="s">
        <v>2549</v>
      </c>
      <c r="G581" s="977" t="s">
        <v>796</v>
      </c>
      <c r="H581" s="991" t="str">
        <f t="shared" si="241"/>
        <v>Voitto</v>
      </c>
      <c r="I581" s="991" t="s">
        <v>1514</v>
      </c>
      <c r="J581" s="991" t="s">
        <v>0</v>
      </c>
      <c r="K581" s="991" t="s">
        <v>2540</v>
      </c>
      <c r="L581" s="992">
        <f>N581+P581+R581</f>
        <v>7</v>
      </c>
      <c r="M581" s="992">
        <f>O581+Q581+S581</f>
        <v>1</v>
      </c>
      <c r="N581" s="1262">
        <v>1</v>
      </c>
      <c r="O581" s="992">
        <v>0</v>
      </c>
      <c r="P581" s="1262">
        <v>3</v>
      </c>
      <c r="Q581" s="992">
        <v>0</v>
      </c>
      <c r="R581" s="1262">
        <v>3</v>
      </c>
      <c r="S581" s="992">
        <v>1</v>
      </c>
      <c r="T581" s="1262"/>
      <c r="U581" s="992"/>
      <c r="V581" s="985">
        <v>1</v>
      </c>
      <c r="W581" s="985">
        <v>2</v>
      </c>
      <c r="X581" s="985">
        <v>1</v>
      </c>
      <c r="Y581" s="985"/>
      <c r="Z581" s="985"/>
      <c r="AA581" s="985"/>
      <c r="AB581" s="985"/>
      <c r="AC581" s="985"/>
      <c r="AD581" s="985"/>
      <c r="AE581" s="985">
        <v>1</v>
      </c>
      <c r="AF581" s="985"/>
      <c r="AG581" s="985"/>
      <c r="AH581" s="985"/>
      <c r="AI581" s="985"/>
      <c r="AJ581" s="985"/>
      <c r="AK581" s="985">
        <v>19</v>
      </c>
      <c r="AL581" s="986">
        <v>4.5599999999999996</v>
      </c>
      <c r="AM581" s="985" t="s">
        <v>2406</v>
      </c>
      <c r="AN581" s="8"/>
      <c r="AO581" s="983">
        <v>1</v>
      </c>
      <c r="AP581" s="983">
        <v>2</v>
      </c>
      <c r="AQ581" s="983">
        <v>1</v>
      </c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>
        <v>19</v>
      </c>
      <c r="BE581" s="983">
        <v>36.19</v>
      </c>
      <c r="BF581" s="983"/>
      <c r="BH581" s="1002">
        <f t="shared" si="242"/>
        <v>0</v>
      </c>
      <c r="BI581" s="1002">
        <f t="shared" si="243"/>
        <v>0</v>
      </c>
      <c r="BJ581" s="1002">
        <f t="shared" si="244"/>
        <v>0</v>
      </c>
      <c r="BK581" s="1002">
        <f t="shared" si="245"/>
        <v>0</v>
      </c>
      <c r="BL581" s="1002">
        <f t="shared" si="246"/>
        <v>0</v>
      </c>
    </row>
    <row r="582" spans="2:77" x14ac:dyDescent="0.3">
      <c r="B582" s="1280">
        <v>350</v>
      </c>
      <c r="C582" s="977" t="s">
        <v>2489</v>
      </c>
      <c r="D582" s="977" t="s">
        <v>2116</v>
      </c>
      <c r="E582" s="977" t="s">
        <v>1551</v>
      </c>
      <c r="F582" s="977" t="s">
        <v>2550</v>
      </c>
      <c r="G582" s="977" t="s">
        <v>2173</v>
      </c>
      <c r="H582" s="991" t="str">
        <f t="shared" si="241"/>
        <v>Voitto</v>
      </c>
      <c r="I582" s="991" t="s">
        <v>1514</v>
      </c>
      <c r="J582" s="991" t="s">
        <v>0</v>
      </c>
      <c r="K582" s="991" t="s">
        <v>2178</v>
      </c>
      <c r="L582" s="992">
        <f t="shared" ref="L582:L588" si="250">N582+P582+R582</f>
        <v>8</v>
      </c>
      <c r="M582" s="992">
        <f t="shared" ref="M582:M588" si="251">O582+Q582+S582</f>
        <v>3</v>
      </c>
      <c r="N582" s="1262">
        <v>3</v>
      </c>
      <c r="O582" s="992">
        <v>1</v>
      </c>
      <c r="P582" s="1262">
        <v>2</v>
      </c>
      <c r="Q582" s="992">
        <v>1</v>
      </c>
      <c r="R582" s="1262">
        <v>3</v>
      </c>
      <c r="S582" s="992">
        <v>1</v>
      </c>
      <c r="T582" s="1262"/>
      <c r="U582" s="992"/>
      <c r="V582" s="985">
        <v>4</v>
      </c>
      <c r="W582" s="985">
        <v>8</v>
      </c>
      <c r="X582" s="985">
        <v>4</v>
      </c>
      <c r="Y582" s="985"/>
      <c r="Z582" s="985"/>
      <c r="AA582" s="985"/>
      <c r="AB582" s="985">
        <v>1</v>
      </c>
      <c r="AC582" s="985"/>
      <c r="AD582" s="985"/>
      <c r="AE582" s="985"/>
      <c r="AF582" s="985">
        <v>1</v>
      </c>
      <c r="AG582" s="985"/>
      <c r="AH582" s="985"/>
      <c r="AI582" s="985"/>
      <c r="AJ582" s="985"/>
      <c r="AK582" s="985">
        <v>20</v>
      </c>
      <c r="AL582" s="985">
        <v>6.03</v>
      </c>
      <c r="AM582" s="985" t="s">
        <v>2407</v>
      </c>
      <c r="AN582" s="8"/>
      <c r="AO582" s="983">
        <v>2</v>
      </c>
      <c r="AP582" s="983">
        <v>4</v>
      </c>
      <c r="AQ582" s="983">
        <v>2</v>
      </c>
      <c r="AR582" s="983"/>
      <c r="AS582" s="983"/>
      <c r="AT582" s="983"/>
      <c r="AU582" s="983">
        <v>1</v>
      </c>
      <c r="AV582" s="983"/>
      <c r="AW582" s="983"/>
      <c r="AX582" s="983"/>
      <c r="AY582" s="983"/>
      <c r="AZ582" s="983"/>
      <c r="BA582" s="983"/>
      <c r="BB582" s="983"/>
      <c r="BC582" s="983"/>
      <c r="BD582" s="983">
        <v>23</v>
      </c>
      <c r="BE582" s="983">
        <v>9.0399999999999991</v>
      </c>
      <c r="BF582" s="983"/>
      <c r="BH582" s="1002">
        <f t="shared" si="242"/>
        <v>0</v>
      </c>
      <c r="BI582" s="1002">
        <f t="shared" si="243"/>
        <v>0</v>
      </c>
      <c r="BJ582" s="1002">
        <f t="shared" si="244"/>
        <v>0</v>
      </c>
      <c r="BK582" s="1002">
        <f t="shared" si="245"/>
        <v>0</v>
      </c>
      <c r="BL582" s="1002">
        <f t="shared" si="246"/>
        <v>0</v>
      </c>
    </row>
    <row r="583" spans="2:77" x14ac:dyDescent="0.3">
      <c r="B583" s="1280">
        <v>351</v>
      </c>
      <c r="C583" s="977" t="s">
        <v>2489</v>
      </c>
      <c r="D583" s="977" t="s">
        <v>2116</v>
      </c>
      <c r="E583" s="977" t="s">
        <v>1552</v>
      </c>
      <c r="F583" s="977" t="s">
        <v>2551</v>
      </c>
      <c r="G583" s="977" t="s">
        <v>2173</v>
      </c>
      <c r="H583" s="991" t="str">
        <f t="shared" si="241"/>
        <v>Häviö</v>
      </c>
      <c r="I583" s="991" t="s">
        <v>1515</v>
      </c>
      <c r="J583" s="991" t="s">
        <v>0</v>
      </c>
      <c r="K583" s="991" t="s">
        <v>2176</v>
      </c>
      <c r="L583" s="992">
        <f t="shared" si="250"/>
        <v>6</v>
      </c>
      <c r="M583" s="992">
        <f t="shared" si="251"/>
        <v>7</v>
      </c>
      <c r="N583" s="1262">
        <v>0</v>
      </c>
      <c r="O583" s="992">
        <v>2</v>
      </c>
      <c r="P583" s="1262">
        <v>3</v>
      </c>
      <c r="Q583" s="992">
        <v>4</v>
      </c>
      <c r="R583" s="1262">
        <v>3</v>
      </c>
      <c r="S583" s="992">
        <v>1</v>
      </c>
      <c r="T583" s="1262"/>
      <c r="U583" s="992"/>
      <c r="V583" s="985">
        <v>3</v>
      </c>
      <c r="W583" s="985">
        <v>6</v>
      </c>
      <c r="X583" s="985">
        <v>3</v>
      </c>
      <c r="Y583" s="985"/>
      <c r="Z583" s="985"/>
      <c r="AA583" s="985"/>
      <c r="AB583" s="985">
        <v>1</v>
      </c>
      <c r="AC583" s="985"/>
      <c r="AD583" s="985"/>
      <c r="AE583" s="985"/>
      <c r="AF583" s="985"/>
      <c r="AG583" s="985"/>
      <c r="AH583" s="985"/>
      <c r="AI583" s="985"/>
      <c r="AJ583" s="985"/>
      <c r="AK583" s="985">
        <v>27</v>
      </c>
      <c r="AL583" s="986">
        <v>26.42</v>
      </c>
      <c r="AM583" s="985" t="s">
        <v>2406</v>
      </c>
      <c r="AN583" s="8"/>
      <c r="AO583" s="983">
        <v>1</v>
      </c>
      <c r="AP583" s="983">
        <v>2</v>
      </c>
      <c r="AQ583" s="983">
        <v>1</v>
      </c>
      <c r="AR583" s="983"/>
      <c r="AS583" s="983"/>
      <c r="AT583" s="983"/>
      <c r="AU583" s="983">
        <v>1</v>
      </c>
      <c r="AV583" s="983"/>
      <c r="AW583" s="983"/>
      <c r="AX583" s="983"/>
      <c r="AY583" s="983"/>
      <c r="AZ583" s="983"/>
      <c r="BA583" s="983"/>
      <c r="BB583" s="983"/>
      <c r="BC583" s="983"/>
      <c r="BD583" s="983">
        <v>12</v>
      </c>
      <c r="BE583" s="983">
        <v>7.12</v>
      </c>
      <c r="BF583" s="983"/>
      <c r="BH583" s="1002">
        <f t="shared" si="242"/>
        <v>0</v>
      </c>
      <c r="BI583" s="1002">
        <f t="shared" si="243"/>
        <v>0</v>
      </c>
      <c r="BJ583" s="1002">
        <f t="shared" si="244"/>
        <v>0</v>
      </c>
      <c r="BK583" s="1002">
        <f t="shared" si="245"/>
        <v>0</v>
      </c>
      <c r="BL583" s="1002">
        <f t="shared" si="246"/>
        <v>0</v>
      </c>
    </row>
    <row r="584" spans="2:77" x14ac:dyDescent="0.3">
      <c r="B584" s="1280">
        <v>352</v>
      </c>
      <c r="C584" s="977" t="s">
        <v>2489</v>
      </c>
      <c r="D584" s="977" t="s">
        <v>2116</v>
      </c>
      <c r="E584" s="977" t="s">
        <v>1553</v>
      </c>
      <c r="F584" s="977" t="s">
        <v>2552</v>
      </c>
      <c r="G584" s="977" t="s">
        <v>796</v>
      </c>
      <c r="H584" s="991" t="str">
        <f t="shared" si="241"/>
        <v>Häviö</v>
      </c>
      <c r="I584" s="991" t="s">
        <v>1514</v>
      </c>
      <c r="J584" s="991" t="s">
        <v>0</v>
      </c>
      <c r="K584" s="991" t="s">
        <v>2543</v>
      </c>
      <c r="L584" s="992">
        <f t="shared" si="250"/>
        <v>1</v>
      </c>
      <c r="M584" s="992">
        <f t="shared" si="251"/>
        <v>3</v>
      </c>
      <c r="N584" s="1262">
        <v>1</v>
      </c>
      <c r="O584" s="992">
        <v>0</v>
      </c>
      <c r="P584" s="1262">
        <v>0</v>
      </c>
      <c r="Q584" s="992">
        <v>1</v>
      </c>
      <c r="R584" s="1262">
        <v>0</v>
      </c>
      <c r="S584" s="992">
        <v>2</v>
      </c>
      <c r="T584" s="1262"/>
      <c r="U584" s="992"/>
      <c r="V584" s="985">
        <v>0</v>
      </c>
      <c r="W584" s="985">
        <v>0</v>
      </c>
      <c r="X584" s="985"/>
      <c r="Y584" s="985"/>
      <c r="Z584" s="985"/>
      <c r="AA584" s="985"/>
      <c r="AB584" s="985"/>
      <c r="AC584" s="985"/>
      <c r="AD584" s="985"/>
      <c r="AE584" s="985">
        <v>1</v>
      </c>
      <c r="AF584" s="985"/>
      <c r="AG584" s="985"/>
      <c r="AH584" s="985"/>
      <c r="AI584" s="985"/>
      <c r="AJ584" s="985"/>
      <c r="AK584" s="985">
        <v>19</v>
      </c>
      <c r="AL584" s="985">
        <v>0.08</v>
      </c>
      <c r="AM584" s="985" t="s">
        <v>2407</v>
      </c>
      <c r="AN584" s="8"/>
      <c r="AO584" s="983">
        <v>1</v>
      </c>
      <c r="AP584" s="983">
        <v>2</v>
      </c>
      <c r="AQ584" s="983">
        <v>1</v>
      </c>
      <c r="AR584" s="983"/>
      <c r="AS584" s="983"/>
      <c r="AT584" s="983"/>
      <c r="AU584" s="983"/>
      <c r="AV584" s="983"/>
      <c r="AW584" s="983"/>
      <c r="AX584" s="983"/>
      <c r="AY584" s="983"/>
      <c r="AZ584" s="983"/>
      <c r="BA584" s="983"/>
      <c r="BB584" s="983"/>
      <c r="BC584" s="983"/>
      <c r="BD584" s="983">
        <v>14</v>
      </c>
      <c r="BE584" s="983">
        <v>20.14</v>
      </c>
      <c r="BF584" s="983"/>
      <c r="BH584" s="1002">
        <f t="shared" si="242"/>
        <v>1</v>
      </c>
      <c r="BI584" s="1002">
        <f t="shared" si="243"/>
        <v>0</v>
      </c>
      <c r="BJ584" s="1002">
        <f t="shared" si="244"/>
        <v>0</v>
      </c>
      <c r="BK584" s="1002">
        <f t="shared" si="245"/>
        <v>1</v>
      </c>
      <c r="BL584" s="1002">
        <f t="shared" si="246"/>
        <v>0</v>
      </c>
    </row>
    <row r="585" spans="2:77" x14ac:dyDescent="0.3">
      <c r="B585" s="1280">
        <v>353</v>
      </c>
      <c r="C585" s="977" t="s">
        <v>2489</v>
      </c>
      <c r="D585" s="977" t="s">
        <v>2116</v>
      </c>
      <c r="E585" s="977" t="s">
        <v>1554</v>
      </c>
      <c r="F585" s="977" t="s">
        <v>2553</v>
      </c>
      <c r="G585" s="977" t="s">
        <v>796</v>
      </c>
      <c r="H585" s="991" t="str">
        <f t="shared" si="241"/>
        <v>Voitto</v>
      </c>
      <c r="I585" s="991" t="s">
        <v>1515</v>
      </c>
      <c r="J585" s="991" t="s">
        <v>0</v>
      </c>
      <c r="K585" s="991" t="s">
        <v>1394</v>
      </c>
      <c r="L585" s="992">
        <f t="shared" si="250"/>
        <v>5</v>
      </c>
      <c r="M585" s="992">
        <f t="shared" si="251"/>
        <v>2</v>
      </c>
      <c r="N585" s="1262">
        <v>3</v>
      </c>
      <c r="O585" s="992">
        <v>1</v>
      </c>
      <c r="P585" s="1262">
        <v>1</v>
      </c>
      <c r="Q585" s="992">
        <v>1</v>
      </c>
      <c r="R585" s="1262">
        <v>1</v>
      </c>
      <c r="S585" s="992">
        <v>0</v>
      </c>
      <c r="T585" s="1262"/>
      <c r="U585" s="992"/>
      <c r="V585" s="985">
        <v>2</v>
      </c>
      <c r="W585" s="985">
        <v>4</v>
      </c>
      <c r="X585" s="985">
        <v>2</v>
      </c>
      <c r="Y585" s="985"/>
      <c r="Z585" s="985"/>
      <c r="AA585" s="985"/>
      <c r="AB585" s="985"/>
      <c r="AC585" s="985"/>
      <c r="AD585" s="985"/>
      <c r="AE585" s="985"/>
      <c r="AF585" s="985"/>
      <c r="AG585" s="985"/>
      <c r="AH585" s="985"/>
      <c r="AI585" s="985"/>
      <c r="AJ585" s="985"/>
      <c r="AK585" s="985">
        <v>15</v>
      </c>
      <c r="AL585" s="985">
        <v>4.46</v>
      </c>
      <c r="AM585" s="985" t="s">
        <v>2406</v>
      </c>
      <c r="AN585" s="8"/>
      <c r="AO585" s="983">
        <v>3</v>
      </c>
      <c r="AP585" s="983">
        <v>6</v>
      </c>
      <c r="AQ585" s="983">
        <v>3</v>
      </c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>
        <v>6</v>
      </c>
      <c r="BE585" s="983">
        <v>11.1</v>
      </c>
      <c r="BF585" s="983"/>
      <c r="BH585" s="1002">
        <f t="shared" si="242"/>
        <v>0</v>
      </c>
      <c r="BI585" s="1002">
        <f t="shared" si="243"/>
        <v>0</v>
      </c>
      <c r="BJ585" s="1002">
        <f t="shared" si="244"/>
        <v>0</v>
      </c>
      <c r="BK585" s="1002">
        <f t="shared" si="245"/>
        <v>0</v>
      </c>
      <c r="BL585" s="1002">
        <f t="shared" si="246"/>
        <v>0</v>
      </c>
    </row>
    <row r="586" spans="2:77" x14ac:dyDescent="0.3">
      <c r="B586" s="1280">
        <v>354</v>
      </c>
      <c r="C586" s="977" t="s">
        <v>2489</v>
      </c>
      <c r="D586" s="977" t="s">
        <v>2116</v>
      </c>
      <c r="E586" s="977" t="s">
        <v>1555</v>
      </c>
      <c r="F586" s="977" t="s">
        <v>2554</v>
      </c>
      <c r="G586" s="977" t="s">
        <v>796</v>
      </c>
      <c r="H586" s="991" t="str">
        <f t="shared" si="241"/>
        <v>Voitto</v>
      </c>
      <c r="I586" s="991" t="s">
        <v>1514</v>
      </c>
      <c r="J586" s="991" t="s">
        <v>0</v>
      </c>
      <c r="K586" s="991" t="s">
        <v>1220</v>
      </c>
      <c r="L586" s="992">
        <f t="shared" si="250"/>
        <v>6</v>
      </c>
      <c r="M586" s="992">
        <f t="shared" si="251"/>
        <v>3</v>
      </c>
      <c r="N586" s="1262">
        <v>1</v>
      </c>
      <c r="O586" s="992">
        <v>1</v>
      </c>
      <c r="P586" s="1262">
        <v>3</v>
      </c>
      <c r="Q586" s="992">
        <v>1</v>
      </c>
      <c r="R586" s="1262">
        <v>2</v>
      </c>
      <c r="S586" s="992">
        <v>1</v>
      </c>
      <c r="T586" s="1262"/>
      <c r="U586" s="992"/>
      <c r="V586" s="985">
        <v>1</v>
      </c>
      <c r="W586" s="985">
        <v>2</v>
      </c>
      <c r="X586" s="985">
        <v>1</v>
      </c>
      <c r="Y586" s="985"/>
      <c r="Z586" s="985"/>
      <c r="AA586" s="985"/>
      <c r="AB586" s="985"/>
      <c r="AC586" s="985"/>
      <c r="AD586" s="985"/>
      <c r="AE586" s="985"/>
      <c r="AF586" s="985"/>
      <c r="AG586" s="985"/>
      <c r="AH586" s="985"/>
      <c r="AI586" s="985"/>
      <c r="AJ586" s="985"/>
      <c r="AK586" s="985">
        <v>19</v>
      </c>
      <c r="AL586" s="985">
        <v>10.29</v>
      </c>
      <c r="AM586" s="985" t="s">
        <v>2406</v>
      </c>
      <c r="AN586" s="8"/>
      <c r="AO586" s="983">
        <v>1</v>
      </c>
      <c r="AP586" s="983">
        <v>2</v>
      </c>
      <c r="AQ586" s="983">
        <v>1</v>
      </c>
      <c r="AR586" s="983"/>
      <c r="AS586" s="983"/>
      <c r="AT586" s="983"/>
      <c r="AU586" s="983"/>
      <c r="AV586" s="983"/>
      <c r="AW586" s="983"/>
      <c r="AX586" s="983"/>
      <c r="AY586" s="983"/>
      <c r="AZ586" s="983"/>
      <c r="BA586" s="983"/>
      <c r="BB586" s="983"/>
      <c r="BC586" s="983"/>
      <c r="BD586" s="983">
        <v>11</v>
      </c>
      <c r="BE586" s="983">
        <v>3.4</v>
      </c>
      <c r="BF586" s="983"/>
      <c r="BH586" s="1002">
        <f t="shared" si="242"/>
        <v>0</v>
      </c>
      <c r="BI586" s="1002">
        <f t="shared" si="243"/>
        <v>0</v>
      </c>
      <c r="BJ586" s="1002">
        <f t="shared" si="244"/>
        <v>0</v>
      </c>
      <c r="BK586" s="1002">
        <f t="shared" si="245"/>
        <v>0</v>
      </c>
      <c r="BL586" s="1002">
        <f t="shared" si="246"/>
        <v>0</v>
      </c>
    </row>
    <row r="587" spans="2:77" x14ac:dyDescent="0.3">
      <c r="B587" s="1280">
        <v>355</v>
      </c>
      <c r="C587" s="977" t="s">
        <v>2372</v>
      </c>
      <c r="D587" s="977" t="s">
        <v>2116</v>
      </c>
      <c r="E587" s="977" t="s">
        <v>1871</v>
      </c>
      <c r="F587" s="977" t="s">
        <v>2555</v>
      </c>
      <c r="G587" s="977" t="s">
        <v>796</v>
      </c>
      <c r="H587" s="991" t="str">
        <f t="shared" si="241"/>
        <v>Häviö</v>
      </c>
      <c r="I587" s="991" t="s">
        <v>1515</v>
      </c>
      <c r="J587" s="991" t="s">
        <v>0</v>
      </c>
      <c r="K587" s="991" t="s">
        <v>2404</v>
      </c>
      <c r="L587" s="992">
        <f t="shared" si="250"/>
        <v>1</v>
      </c>
      <c r="M587" s="992">
        <f t="shared" si="251"/>
        <v>6</v>
      </c>
      <c r="N587" s="1262">
        <v>1</v>
      </c>
      <c r="O587" s="992">
        <v>1</v>
      </c>
      <c r="P587" s="1262">
        <v>0</v>
      </c>
      <c r="Q587" s="992">
        <v>3</v>
      </c>
      <c r="R587" s="1262">
        <v>0</v>
      </c>
      <c r="S587" s="992">
        <v>2</v>
      </c>
      <c r="T587" s="1262"/>
      <c r="U587" s="992"/>
      <c r="V587" s="985">
        <v>1</v>
      </c>
      <c r="W587" s="985">
        <v>2</v>
      </c>
      <c r="X587" s="985">
        <v>1</v>
      </c>
      <c r="Y587" s="985"/>
      <c r="Z587" s="985"/>
      <c r="AA587" s="985"/>
      <c r="AB587" s="985"/>
      <c r="AC587" s="985"/>
      <c r="AD587" s="985"/>
      <c r="AE587" s="985"/>
      <c r="AF587" s="985"/>
      <c r="AG587" s="985"/>
      <c r="AH587" s="985"/>
      <c r="AI587" s="985"/>
      <c r="AJ587" s="985"/>
      <c r="AK587" s="985">
        <v>19</v>
      </c>
      <c r="AL587" s="985">
        <v>6.24</v>
      </c>
      <c r="AM587" s="985" t="s">
        <v>2407</v>
      </c>
      <c r="AN587" s="8"/>
      <c r="AO587" s="983">
        <v>0</v>
      </c>
      <c r="AP587" s="983">
        <v>0</v>
      </c>
      <c r="AQ587" s="983"/>
      <c r="AR587" s="983"/>
      <c r="AS587" s="983"/>
      <c r="AT587" s="983"/>
      <c r="AU587" s="983"/>
      <c r="AV587" s="983"/>
      <c r="AW587" s="983"/>
      <c r="AX587" s="983"/>
      <c r="AY587" s="983"/>
      <c r="AZ587" s="983"/>
      <c r="BA587" s="983"/>
      <c r="BB587" s="983"/>
      <c r="BC587" s="983"/>
      <c r="BD587" s="983">
        <v>14</v>
      </c>
      <c r="BE587" s="983">
        <v>0.17</v>
      </c>
      <c r="BF587" s="983"/>
      <c r="BH587" s="1002">
        <f t="shared" si="242"/>
        <v>0</v>
      </c>
      <c r="BI587" s="1002">
        <f t="shared" si="243"/>
        <v>1</v>
      </c>
      <c r="BJ587" s="1002">
        <f t="shared" si="244"/>
        <v>0</v>
      </c>
      <c r="BK587" s="1002">
        <f t="shared" si="245"/>
        <v>0</v>
      </c>
      <c r="BL587" s="1002">
        <f t="shared" si="246"/>
        <v>1</v>
      </c>
    </row>
    <row r="588" spans="2:77" x14ac:dyDescent="0.3">
      <c r="B588" s="1280">
        <v>356</v>
      </c>
      <c r="C588" s="977" t="s">
        <v>2372</v>
      </c>
      <c r="D588" s="977" t="s">
        <v>2116</v>
      </c>
      <c r="E588" s="977" t="s">
        <v>1902</v>
      </c>
      <c r="F588" s="977" t="s">
        <v>2745</v>
      </c>
      <c r="G588" s="977" t="s">
        <v>796</v>
      </c>
      <c r="H588" s="991" t="str">
        <f t="shared" si="241"/>
        <v>Häviö</v>
      </c>
      <c r="I588" s="991" t="s">
        <v>1515</v>
      </c>
      <c r="J588" s="991" t="s">
        <v>0</v>
      </c>
      <c r="K588" s="991" t="s">
        <v>998</v>
      </c>
      <c r="L588" s="992">
        <f t="shared" si="250"/>
        <v>1</v>
      </c>
      <c r="M588" s="992">
        <f t="shared" si="251"/>
        <v>7</v>
      </c>
      <c r="N588" s="1262">
        <v>1</v>
      </c>
      <c r="O588" s="992">
        <v>4</v>
      </c>
      <c r="P588" s="1262">
        <v>0</v>
      </c>
      <c r="Q588" s="992">
        <v>2</v>
      </c>
      <c r="R588" s="1262">
        <v>0</v>
      </c>
      <c r="S588" s="992">
        <v>1</v>
      </c>
      <c r="T588" s="1262"/>
      <c r="U588" s="992"/>
      <c r="V588" s="985">
        <v>4</v>
      </c>
      <c r="W588" s="985">
        <v>8</v>
      </c>
      <c r="X588" s="985">
        <v>4</v>
      </c>
      <c r="Y588" s="985"/>
      <c r="Z588" s="985"/>
      <c r="AA588" s="985"/>
      <c r="AB588" s="985"/>
      <c r="AC588" s="985"/>
      <c r="AD588" s="985"/>
      <c r="AE588" s="985"/>
      <c r="AF588" s="985"/>
      <c r="AG588" s="985"/>
      <c r="AH588" s="985"/>
      <c r="AI588" s="985"/>
      <c r="AJ588" s="985"/>
      <c r="AK588" s="985">
        <v>27</v>
      </c>
      <c r="AL588" s="985">
        <v>13.19</v>
      </c>
      <c r="AM588" s="985" t="s">
        <v>2407</v>
      </c>
      <c r="AN588" s="8"/>
      <c r="AO588" s="983">
        <v>1</v>
      </c>
      <c r="AP588" s="983">
        <v>2</v>
      </c>
      <c r="AQ588" s="983">
        <v>1</v>
      </c>
      <c r="AR588" s="983"/>
      <c r="AS588" s="983"/>
      <c r="AT588" s="983"/>
      <c r="AU588" s="983">
        <v>2</v>
      </c>
      <c r="AV588" s="983"/>
      <c r="AW588" s="983"/>
      <c r="AX588" s="983"/>
      <c r="AY588" s="983"/>
      <c r="AZ588" s="983"/>
      <c r="BA588" s="983"/>
      <c r="BB588" s="983"/>
      <c r="BC588" s="983"/>
      <c r="BD588" s="983">
        <v>19</v>
      </c>
      <c r="BE588" s="983">
        <v>1.4</v>
      </c>
      <c r="BF588" s="983"/>
      <c r="BH588" s="1002">
        <f t="shared" si="242"/>
        <v>0</v>
      </c>
      <c r="BI588" s="1002">
        <f t="shared" si="243"/>
        <v>0</v>
      </c>
      <c r="BJ588" s="1002">
        <f t="shared" si="244"/>
        <v>0</v>
      </c>
      <c r="BK588" s="1002">
        <f t="shared" si="245"/>
        <v>0</v>
      </c>
      <c r="BL588" s="1002">
        <f t="shared" si="246"/>
        <v>0</v>
      </c>
    </row>
    <row r="590" spans="2:77" x14ac:dyDescent="0.3">
      <c r="F590" s="975"/>
      <c r="G590" s="975" t="s">
        <v>2036</v>
      </c>
      <c r="H590" s="975"/>
      <c r="I590" s="1003"/>
      <c r="J590" s="1003"/>
      <c r="K590" s="1003"/>
      <c r="L590" s="1003" t="s">
        <v>2037</v>
      </c>
      <c r="M590" s="1003" t="s">
        <v>2038</v>
      </c>
      <c r="O590" s="1003" t="s">
        <v>1409</v>
      </c>
      <c r="P590" s="1003" t="s">
        <v>1410</v>
      </c>
      <c r="Q590" s="1003" t="s">
        <v>1411</v>
      </c>
      <c r="V590" s="981" t="s">
        <v>1557</v>
      </c>
      <c r="W590" s="981" t="s">
        <v>1556</v>
      </c>
      <c r="X590" s="981" t="s">
        <v>501</v>
      </c>
      <c r="Y590" s="981" t="s">
        <v>2408</v>
      </c>
      <c r="Z590" s="981" t="s">
        <v>82</v>
      </c>
      <c r="AA590" s="981" t="s">
        <v>709</v>
      </c>
      <c r="AB590" s="981" t="s">
        <v>1419</v>
      </c>
      <c r="AC590" s="981" t="s">
        <v>1420</v>
      </c>
      <c r="AD590" s="982" t="s">
        <v>1827</v>
      </c>
      <c r="AE590" s="981" t="s">
        <v>1828</v>
      </c>
      <c r="AF590" s="981" t="s">
        <v>1425</v>
      </c>
      <c r="AG590" s="981" t="s">
        <v>1535</v>
      </c>
      <c r="AH590" s="981" t="s">
        <v>1536</v>
      </c>
      <c r="AI590" s="981" t="s">
        <v>1559</v>
      </c>
      <c r="AJ590" s="981" t="s">
        <v>1896</v>
      </c>
      <c r="AK590" s="981" t="s">
        <v>1967</v>
      </c>
      <c r="AL590" s="981" t="s">
        <v>19</v>
      </c>
      <c r="AM590" s="981"/>
      <c r="AO590" s="979" t="s">
        <v>1557</v>
      </c>
      <c r="AP590" s="979" t="s">
        <v>1556</v>
      </c>
      <c r="AQ590" s="979" t="s">
        <v>501</v>
      </c>
      <c r="AR590" s="979" t="s">
        <v>2408</v>
      </c>
      <c r="AS590" s="979" t="s">
        <v>82</v>
      </c>
      <c r="AT590" s="979" t="s">
        <v>709</v>
      </c>
      <c r="AU590" s="979" t="s">
        <v>1419</v>
      </c>
      <c r="AV590" s="979" t="s">
        <v>1420</v>
      </c>
      <c r="AW590" s="980" t="s">
        <v>1827</v>
      </c>
      <c r="AX590" s="979" t="s">
        <v>1828</v>
      </c>
      <c r="AY590" s="979" t="s">
        <v>1425</v>
      </c>
      <c r="AZ590" s="979" t="s">
        <v>1535</v>
      </c>
      <c r="BA590" s="979" t="s">
        <v>1536</v>
      </c>
      <c r="BB590" s="979" t="s">
        <v>1559</v>
      </c>
      <c r="BC590" s="979" t="s">
        <v>1896</v>
      </c>
      <c r="BD590" s="979" t="s">
        <v>1967</v>
      </c>
      <c r="BE590" s="979" t="s">
        <v>19</v>
      </c>
      <c r="BF590" s="979"/>
      <c r="BH590" s="1001" t="s">
        <v>2045</v>
      </c>
      <c r="BI590" s="1001"/>
      <c r="BJ590" s="1001" t="s">
        <v>1913</v>
      </c>
      <c r="BK590" s="1001" t="s">
        <v>537</v>
      </c>
      <c r="BL590" s="1001" t="s">
        <v>1128</v>
      </c>
    </row>
    <row r="591" spans="2:77" x14ac:dyDescent="0.3">
      <c r="F591" s="977" t="str">
        <f>C565</f>
        <v>2024-2025</v>
      </c>
      <c r="G591" s="977" t="s">
        <v>2116</v>
      </c>
      <c r="H591" s="977"/>
      <c r="I591" s="1004"/>
      <c r="J591" s="1004"/>
      <c r="K591" s="1004"/>
      <c r="L591" s="1004">
        <f>SUM(L567:L588)</f>
        <v>91</v>
      </c>
      <c r="M591" s="1004">
        <f>SUM(M567:M588)</f>
        <v>90</v>
      </c>
      <c r="N591" s="8"/>
      <c r="O591" s="1004">
        <f>COUNTIF(H567:H588,"Voitto")</f>
        <v>9</v>
      </c>
      <c r="P591" s="1004">
        <f>COUNTIF(H567:H588,"Tasapeli")</f>
        <v>1</v>
      </c>
      <c r="Q591" s="1004">
        <f>COUNTIF(H567:H588,"Häviö")</f>
        <v>12</v>
      </c>
      <c r="V591" s="8">
        <f>SUM(V567:V588)</f>
        <v>27</v>
      </c>
      <c r="W591" s="8">
        <f t="shared" ref="W591:AK591" si="252">SUM(W567:W588)</f>
        <v>58</v>
      </c>
      <c r="X591" s="8">
        <f t="shared" si="252"/>
        <v>25</v>
      </c>
      <c r="Y591" s="8">
        <f t="shared" si="252"/>
        <v>2</v>
      </c>
      <c r="Z591" s="8">
        <f t="shared" si="252"/>
        <v>0</v>
      </c>
      <c r="AA591" s="8">
        <f t="shared" si="252"/>
        <v>0</v>
      </c>
      <c r="AB591" s="8">
        <f t="shared" si="252"/>
        <v>4</v>
      </c>
      <c r="AC591" s="8">
        <f t="shared" si="252"/>
        <v>0</v>
      </c>
      <c r="AD591" s="8">
        <f t="shared" si="252"/>
        <v>0</v>
      </c>
      <c r="AE591" s="8">
        <f t="shared" si="252"/>
        <v>2</v>
      </c>
      <c r="AF591" s="8">
        <f t="shared" si="252"/>
        <v>1</v>
      </c>
      <c r="AG591" s="8">
        <f t="shared" si="252"/>
        <v>0</v>
      </c>
      <c r="AH591" s="8">
        <f t="shared" si="252"/>
        <v>2</v>
      </c>
      <c r="AI591" s="8">
        <f t="shared" si="252"/>
        <v>2</v>
      </c>
      <c r="AJ591" s="8">
        <f t="shared" si="252"/>
        <v>1</v>
      </c>
      <c r="AK591" s="8">
        <f t="shared" si="252"/>
        <v>424</v>
      </c>
      <c r="AL591" s="8">
        <f>MIN(AL567:AL588)</f>
        <v>0.08</v>
      </c>
      <c r="AM591" s="8">
        <f>MAX(AL567:AL588)</f>
        <v>26.42</v>
      </c>
      <c r="AO591" s="8">
        <f>SUM(AO567:AO588)</f>
        <v>27</v>
      </c>
      <c r="AP591" s="8">
        <f t="shared" ref="AP591:BD591" si="253">SUM(AP567:AP588)</f>
        <v>56</v>
      </c>
      <c r="AQ591" s="8">
        <f t="shared" si="253"/>
        <v>26</v>
      </c>
      <c r="AR591" s="8">
        <f t="shared" si="253"/>
        <v>1</v>
      </c>
      <c r="AS591" s="8">
        <f t="shared" si="253"/>
        <v>0</v>
      </c>
      <c r="AT591" s="8">
        <f t="shared" si="253"/>
        <v>0</v>
      </c>
      <c r="AU591" s="8">
        <f t="shared" si="253"/>
        <v>6</v>
      </c>
      <c r="AV591" s="8">
        <f t="shared" si="253"/>
        <v>0</v>
      </c>
      <c r="AW591" s="8">
        <f t="shared" si="253"/>
        <v>0</v>
      </c>
      <c r="AX591" s="8">
        <f t="shared" si="253"/>
        <v>0</v>
      </c>
      <c r="AY591" s="8">
        <f t="shared" si="253"/>
        <v>0</v>
      </c>
      <c r="AZ591" s="8">
        <f t="shared" si="253"/>
        <v>0</v>
      </c>
      <c r="BA591" s="8">
        <f t="shared" si="253"/>
        <v>0</v>
      </c>
      <c r="BB591" s="8">
        <f t="shared" si="253"/>
        <v>2</v>
      </c>
      <c r="BC591" s="8">
        <f t="shared" si="253"/>
        <v>0</v>
      </c>
      <c r="BD591" s="8">
        <f t="shared" si="253"/>
        <v>363</v>
      </c>
      <c r="BE591" s="897">
        <f>MIN(BE567:BE588)</f>
        <v>0.17</v>
      </c>
      <c r="BF591" s="8">
        <f>MAX(BE567:BE588)</f>
        <v>36.19</v>
      </c>
      <c r="BJ591" s="8">
        <f>SUM(BJ567:BJ588)</f>
        <v>2</v>
      </c>
      <c r="BK591" s="8">
        <f>SUM(BK567:BK588)</f>
        <v>4</v>
      </c>
      <c r="BL591" s="8">
        <f>SUM(BL567:BL588)</f>
        <v>2</v>
      </c>
    </row>
  </sheetData>
  <mergeCells count="95">
    <mergeCell ref="L566:M566"/>
    <mergeCell ref="N566:O566"/>
    <mergeCell ref="P566:Q566"/>
    <mergeCell ref="R566:S566"/>
    <mergeCell ref="T566:U566"/>
    <mergeCell ref="L498:M498"/>
    <mergeCell ref="N498:O498"/>
    <mergeCell ref="P498:Q498"/>
    <mergeCell ref="R498:S498"/>
    <mergeCell ref="T498:U498"/>
    <mergeCell ref="L531:M531"/>
    <mergeCell ref="N531:O531"/>
    <mergeCell ref="P531:Q531"/>
    <mergeCell ref="R531:S531"/>
    <mergeCell ref="T531:U531"/>
    <mergeCell ref="L438:M438"/>
    <mergeCell ref="N438:O438"/>
    <mergeCell ref="P438:Q438"/>
    <mergeCell ref="R438:S438"/>
    <mergeCell ref="T438:U438"/>
    <mergeCell ref="L468:M468"/>
    <mergeCell ref="N468:O468"/>
    <mergeCell ref="P468:Q468"/>
    <mergeCell ref="R468:S468"/>
    <mergeCell ref="T468:U468"/>
    <mergeCell ref="L370:M370"/>
    <mergeCell ref="N370:O370"/>
    <mergeCell ref="P370:Q370"/>
    <mergeCell ref="R370:S370"/>
    <mergeCell ref="T370:U370"/>
    <mergeCell ref="L406:M406"/>
    <mergeCell ref="N406:O406"/>
    <mergeCell ref="P406:Q406"/>
    <mergeCell ref="R406:S406"/>
    <mergeCell ref="T406:U406"/>
    <mergeCell ref="L317:M317"/>
    <mergeCell ref="N317:O317"/>
    <mergeCell ref="P317:Q317"/>
    <mergeCell ref="R317:S317"/>
    <mergeCell ref="T317:U317"/>
    <mergeCell ref="L342:M342"/>
    <mergeCell ref="N342:O342"/>
    <mergeCell ref="P342:Q342"/>
    <mergeCell ref="R342:S342"/>
    <mergeCell ref="T342:U342"/>
    <mergeCell ref="L256:M256"/>
    <mergeCell ref="N256:O256"/>
    <mergeCell ref="P256:Q256"/>
    <mergeCell ref="R256:S256"/>
    <mergeCell ref="T256:U256"/>
    <mergeCell ref="L288:M288"/>
    <mergeCell ref="N288:O288"/>
    <mergeCell ref="P288:Q288"/>
    <mergeCell ref="R288:S288"/>
    <mergeCell ref="T288:U288"/>
    <mergeCell ref="L199:M199"/>
    <mergeCell ref="N199:O199"/>
    <mergeCell ref="P199:Q199"/>
    <mergeCell ref="R199:S199"/>
    <mergeCell ref="T199:U199"/>
    <mergeCell ref="L229:M229"/>
    <mergeCell ref="N229:O229"/>
    <mergeCell ref="P229:Q229"/>
    <mergeCell ref="R229:S229"/>
    <mergeCell ref="T229:U229"/>
    <mergeCell ref="L145:M145"/>
    <mergeCell ref="N145:O145"/>
    <mergeCell ref="P145:Q145"/>
    <mergeCell ref="R145:S145"/>
    <mergeCell ref="T145:U145"/>
    <mergeCell ref="L172:M172"/>
    <mergeCell ref="N172:O172"/>
    <mergeCell ref="P172:Q172"/>
    <mergeCell ref="R172:S172"/>
    <mergeCell ref="T172:U172"/>
    <mergeCell ref="L91:M91"/>
    <mergeCell ref="N91:O91"/>
    <mergeCell ref="P91:Q91"/>
    <mergeCell ref="R91:S91"/>
    <mergeCell ref="T91:U91"/>
    <mergeCell ref="L118:M118"/>
    <mergeCell ref="N118:O118"/>
    <mergeCell ref="P118:Q118"/>
    <mergeCell ref="R118:S118"/>
    <mergeCell ref="T118:U118"/>
    <mergeCell ref="L34:M34"/>
    <mergeCell ref="N34:O34"/>
    <mergeCell ref="P34:Q34"/>
    <mergeCell ref="R34:S34"/>
    <mergeCell ref="T34:U34"/>
    <mergeCell ref="L64:M64"/>
    <mergeCell ref="N64:O64"/>
    <mergeCell ref="P64:Q64"/>
    <mergeCell ref="R64:S64"/>
    <mergeCell ref="T64:U64"/>
  </mergeCells>
  <phoneticPr fontId="98" type="noConversion"/>
  <hyperlinks>
    <hyperlink ref="B532" r:id="rId1" display="Ottelupöytäkirjat\Kausi 23-24 - 4Div\311-O01-721458-2023-09-23-1200-Påminne_Halli-SBS_Lieto2-SekTa.pdf" xr:uid="{FCF94088-4FCC-4DB3-92B8-0961A2098EA2}"/>
    <hyperlink ref="B533" r:id="rId2" display="Ottelupöytäkirjat\Kausi 23-24 - 4Div\312-O02-721456-2023-09-23-1400-Påminne_Halli-SekTa-KiKi.pdf" xr:uid="{44CBB00B-FC03-4D37-B4B4-CC7FFE2DB1E8}"/>
    <hyperlink ref="B534" r:id="rId3" display="Ottelupöytäkirjat\Kausi 23-24 - 4Div\313-O03-721447-2023-10-14-1100-Leaf_Areena-TVA2-SekTa.pdf" xr:uid="{61E1E141-F84D-4D36-A002-99252270F980}"/>
    <hyperlink ref="B535" r:id="rId4" display="Ottelupöytäkirjat\Kausi 23-24 - 4Div\314-O04-721445-2023-10-14-1300-Leaf_Areena-SekTa-TuTo.pdf" xr:uid="{3E8BE78A-8341-4F93-9F0E-859A9CADBD11}"/>
    <hyperlink ref="B536" r:id="rId5" display="Ottelupöytäkirjat\Kausi 23-24 - 4Div\315-O05-721437-2023-11-04-1100-Leaf_Areena-SekTa-Mammutti.pdf" xr:uid="{E5224E4F-4311-4ADB-A836-B88088989824}"/>
    <hyperlink ref="B537" r:id="rId6" display="Ottelupöytäkirjat\Kausi 23-24 - 4Div\316-O06-721434-2023-11-04-1400-Leaf_Areena-Flames-SekTa.pdf" xr:uid="{3DD6CCEE-ADCD-40C8-B051-DDF020D96451}"/>
    <hyperlink ref="B538" r:id="rId7" display="Ottelupöytäkirjat\Kausi 23-24 - 4Div\317-O07-721430-2023-11-25-1200-Lietohalli-FBC_Feelings-SekTa.pdf" xr:uid="{6586F576-018A-4783-98FC-95C24698CFA1}"/>
    <hyperlink ref="B539" r:id="rId8" display="Ottelupöytäkirjat\Kausi 23-24 - 4Div\318-O08-721428-2023-11-25-1400-Lietohalli-SekTa-SB_Somero.pdf" xr:uid="{D867FBE0-AAAE-4820-BBCC-0978BB93C913}"/>
    <hyperlink ref="B540" r:id="rId9" display="Ottelupöytäkirjat\Kausi 23-24 - 4Div\319-O09-721420-2023-12-17-1100-Leaf_Areena-Velehot-SekTa.pdf" xr:uid="{D53BF3D7-9C24-4F6F-9227-8750C6AC4DE9}"/>
    <hyperlink ref="B541" r:id="rId10" display="Ottelupöytäkirjat\Kausi 23-24 - 4Div\320-O10-721417-2023-12-17-1400-Leaf_Areena-SekTa-PaPeNu.pdf" xr:uid="{900DAC26-B907-4495-AB87-B180D01DC695}"/>
    <hyperlink ref="B542" r:id="rId11" display="Ottelupöytäkirjat\Kausi 23-24 - 4Div\321-O11-721403-2024-01-06-1200-Lietohalli-KiKi-SekTa.pdf" xr:uid="{FF15B8E6-E252-4EAA-A8CF-7CA3DE1A8E06}"/>
    <hyperlink ref="B543" r:id="rId12" display="Ottelupöytäkirjat\Kausi 23-24 - 4Div\322-O12-721401-2024-01-06-1400-Lietohalli-SekTa-SBS_Lieto2.pdf" xr:uid="{31F8A6DA-47E5-43EC-9C22-D3CE7CA08A2D}"/>
    <hyperlink ref="B544" r:id="rId13" display="Ottelupöytäkirjat\Kausi 23-24 - 4Div\323-O13-721392-2024-01-27-1100-Leaf_Areena-TuTo-SekTa.pdf" xr:uid="{974C227D-DBFA-465F-8636-5E4D89324DC4}"/>
    <hyperlink ref="B545" r:id="rId14" display="Ottelupöytäkirjat\Kausi 23-24 - 4Div\324-O14-721390-2024-01-27-1300-Leaf_Areena-SekTa-TVA2.pdf" xr:uid="{79045C45-9C59-470E-AF4C-020212B538FC}"/>
    <hyperlink ref="B546" r:id="rId15" display="Ottelupöytäkirjat\Kausi 23-24 - 4Div\325-O15-721382-2024-02-17-1000-Leaf_Areena-SekTa-Flames.pdf" xr:uid="{DBC8A7DC-EC8D-45A1-82D5-4D20DA05C613}"/>
    <hyperlink ref="B547" r:id="rId16" display="Ottelupöytäkirjat\Kausi 23-24 - 4Div\326-O16-721379-2024-02-17-1300-Leaf_Areena-Mammutti-SekTa.pdf" xr:uid="{324B76CA-014E-42AC-B5A5-927F5703C75E}"/>
    <hyperlink ref="B548" r:id="rId17" display="Ottelupöytäkirjat\Kausi 23-24 - 4Div\327-O17-721373-2024-03-02-1300-Someron_MH-SekTa-FBC_Feelings.pdf" xr:uid="{926ADBC5-5A50-47D1-8D07-0915560A067A}"/>
    <hyperlink ref="B549" r:id="rId18" display="Ottelupöytäkirjat\Kausi 23-24 - 4Div\328-O18-721375-2024-03-02-1500-Someron_MH-SB_Somero-SekTa.pdf" xr:uid="{69CA8696-CD8F-4925-B3ED-9DAD2D2D6101}"/>
    <hyperlink ref="B550" r:id="rId19" display="Ottelupöytäkirjat\Kausi 23-24 - 4Div\329-O19-721365-2024-03-23-1100-Leaf_Areena-PaPeNu-SekTa.pdf" xr:uid="{73AD781D-F812-4226-8630-CD84E53BDF48}"/>
    <hyperlink ref="B551" r:id="rId20" display="Ottelupöytäkirjat\Kausi 23-24 - 4Div\330-O20-721362-2024-03-23-1400-Leaf_Areena-SekTa-Velehot.pdf" xr:uid="{E0576494-8FA8-4AFC-A612-FC609B881555}"/>
    <hyperlink ref="B552" r:id="rId21" display="Ottelupöytäkirjat\Kausi 23-24 - 4Div\331-O21-810859-2024-04-06-1545-Leaf_Areena-SekTa-SC_Wolves2.pdf" xr:uid="{7695DBA7-F9C1-40EF-A6BA-F8AD4B9FFDEA}"/>
    <hyperlink ref="B553" r:id="rId22" display="Ottelupöytäkirjat\Kausi 23-24 - 4Div\332-O22-810860-2024-04-07-1230-Punt_Parainen-SC_Wolves2-SekTa.pdf" xr:uid="{C41A863C-67DD-458B-A1C3-D8D751EA6D5B}"/>
    <hyperlink ref="B554" r:id="rId23" display="Ottelupöytäkirjat\Kausi 23-24 - 4Div\333-O23-814539-2024-04-13-1830-Kisariihi_Pöytyä-FC_KYPS-SekTa.pdf" xr:uid="{B1B3CE9A-DBF3-4E0E-99D0-6C0E46D8CE20}"/>
    <hyperlink ref="B555" r:id="rId24" display="Ottelupöytäkirjat\Kausi 23-24 - 4Div\334-O24-814540-2024-04-14-1230-Leaf_Areena-SekTa-FC_KYPS.pdf" xr:uid="{8DFA42AE-030F-4BE0-B78B-0B9B5B9C3F80}"/>
    <hyperlink ref="B35" r:id="rId25" display="Ottelupöytäkirjat\Kausi 06-07 - 5Div\001-O01-SekTa-FBCBlueRiver-01102006-Räntämäki.pdf" xr:uid="{DA950534-CEBC-4F3D-AD4F-C14890FE6046}"/>
    <hyperlink ref="B36" r:id="rId26" display="Ottelupöytäkirjat\Kausi 06-07 - 5Div\002-O02-Bulls-SekTa-01102006-Räntämäki.pdf" xr:uid="{4F024650-E835-401E-9963-004D431E68EC}"/>
    <hyperlink ref="B37" r:id="rId27" display="Ottelupöytäkirjat\Kausi 06-07 - 5Div\003-O03-SekTa-TuWe3-05112006-Räntämäki.pdf" xr:uid="{A1039356-B151-445D-A325-F07C11D8B74C}"/>
    <hyperlink ref="B38" r:id="rId28" display="Ottelupöytäkirjat\Kausi 06-07 - 5Div\004-O04-SBTAakkerit-SekTa-05112006-Räntämäki.pdf" xr:uid="{26EF51DD-ED0E-4994-A0BB-B52C2EFFE86B}"/>
    <hyperlink ref="B39" r:id="rId29" display="Ottelupöytäkirjat\Kausi 06-07 - 5Div\005-O05-SekTa-PenaltyBoys2-25112006-Räntämäki.pdf" xr:uid="{1C0FCE87-FDE5-44A3-982C-75BBFF78FC6C}"/>
    <hyperlink ref="B40" r:id="rId30" display="Ottelupöytäkirjat\Kausi 06-07 - 5Div\006-O06-SBB-SekTa-25112006-Räntämäki.pdf" xr:uid="{26F480A6-619B-4FA3-B9A3-CEA1365D0B25}"/>
    <hyperlink ref="B41" r:id="rId31" display="Ottelupöytäkirjat\Kausi 06-07 - 5Div\007-O07-PaPeNu-SekTa-09122006-Räntämäki.pdf" xr:uid="{E227CC0C-F975-444A-A2DB-1B974A9B2149}"/>
    <hyperlink ref="B42" r:id="rId32" display="Ottelupöytäkirjat\Kausi 06-07 - 5Div\008-O08-SekTa-Bulls-09122006-Räntämäki.pdf" xr:uid="{22A47816-451D-41B8-BFB0-D8645411A83F}"/>
    <hyperlink ref="B43" r:id="rId33" display="Ottelupöytäkirjat\Kausi 06-07 - 5Div\009-O09-FBCBlueRiver-SekTa-17122006-SB-Areena.pdf" xr:uid="{A45D93B5-D68C-4C37-9272-36E438C13C91}"/>
    <hyperlink ref="B44" r:id="rId34" display="Ottelupöytäkirjat\Kausi 06-07 - 5Div\010-O10-SekTa-SBTAakkerit-17122006-SB-Areena.pdf" xr:uid="{2824A656-3005-4384-B8B0-109F1F0AC64E}"/>
    <hyperlink ref="B45" r:id="rId35" display="Ottelupöytäkirjat\Kausi 06-07 - 5Div\011-O11-TuWe3-SekTa-06012007-Räntämäki.pdf" xr:uid="{E35332B4-B266-4432-856C-8FE3840FAFDD}"/>
    <hyperlink ref="B46" r:id="rId36" display="Ottelupöytäkirjat\Kausi 06-07 - 5Div\012-O12-SekTa-SBB-06012007-Räntämäki.pdf" xr:uid="{12F53F17-FF99-4B36-A57D-D1D60A9DF133}"/>
    <hyperlink ref="B47" r:id="rId37" display="Ottelupöytäkirjat\Kausi 06-07 - 5Div\013-O13-PenaltyBoys2-SekTa-21012007-Räntämäki.pdf" xr:uid="{AF5CFBBE-0913-4422-B1A5-5EF3BADC5A28}"/>
    <hyperlink ref="B48" r:id="rId38" display="Ottelupöytäkirjat\Kausi 06-07 - 5Div\014-O14-SekTa-PaPeNu-21012007-Räntämäki.pdf" xr:uid="{50F9F41C-CDE5-45AF-B3D7-46E172E06BFA}"/>
    <hyperlink ref="B49" r:id="rId39" display="Ottelupöytäkirjat\Kausi 06-07 - 5Div\015-O15-Bulls-SekTa-10022007-Räntämäki.pdf" xr:uid="{1819B1CF-F9FF-4C16-840D-4C19EF31362D}"/>
    <hyperlink ref="B50" r:id="rId40" display="Ottelupöytäkirjat\Kausi 06-07 - 5Div\016-O16-SekTa-FBCBlueRiver-10022007-Räntämäki.pdf" xr:uid="{4A3C2C9F-E466-47D6-8089-8B00735C3F1B}"/>
    <hyperlink ref="B51" r:id="rId41" display="Ottelupöytäkirjat\Kausi 06-07 - 5Div\017-O17-SekTa-TuWe3-24022007-Räntämäki.pdf" xr:uid="{C3BBA86C-B283-497A-80D6-10C05B547225}"/>
    <hyperlink ref="B52" r:id="rId42" display="Ottelupöytäkirjat\Kausi 06-07 - 5Div\018-O18-SBTAakkerit-SekTa-24022007-Räntämäki.pdf" xr:uid="{41093BCC-BE25-4905-8D08-A6E55395BAFA}"/>
    <hyperlink ref="B53" r:id="rId43" display="Ottelupöytäkirjat\Kausi 06-07 - 5Div\019-O19-SekTa-PenaltyBoys2-17032007-Räntämäki.pdf" xr:uid="{EBA459E7-330D-4B0A-9732-F74F18A42066}"/>
    <hyperlink ref="B54" r:id="rId44" display="Ottelupöytäkirjat\Kausi 06-07 - 5Div\020-O20-SBB-SekTa-17032007-Räntämäki.pdf" xr:uid="{4FB835B0-4795-4136-A392-71EC6DF27FA4}"/>
    <hyperlink ref="B55" r:id="rId45" display="Ottelupöytäkirjat\Kausi 06-07 - 5Div\021-O21-PaPeNu-SekTa-31032007-SB-Areena.pdf" xr:uid="{02F20889-00E8-4FD7-AABC-CA3A1AE77A47}"/>
    <hyperlink ref="B65" r:id="rId46" display="Ottelupöytäkirjat\Kausi 07-08 - 4Div\022-O01-AFC_Campus_6-SekTa-22092007-SB-Areena.pdf" xr:uid="{98F381EF-A623-4518-A4F3-289B6753A19D}"/>
    <hyperlink ref="B66" r:id="rId47" display="Ottelupöytäkirjat\Kausi 07-08 - 4Div\023-O02-SBT_Shadows-SekTa-13102007-Pohitulli.pdf" xr:uid="{66F7DDBE-5B18-4832-A38F-1E3043A1CA83}"/>
    <hyperlink ref="B67" r:id="rId48" display="Ottelupöytäkirjat\Kausi 07-08 - 4Div\024-O03-SekTa-Phantoms-28102007-SB-Areena.pdf" xr:uid="{D27AFABE-F546-424B-9D31-2443F77C80DC}"/>
    <hyperlink ref="B68" r:id="rId49" display="Ottelupöytäkirjat\Kausi 07-08 - 4Div\025-O04-SekTa-TuWe-28102007-SB-Areena.pdf" xr:uid="{831FC737-32B2-4810-9257-892620BD4CFD}"/>
    <hyperlink ref="B69" r:id="rId50" display="Ottelupöytäkirjat\Kausi 07-08 - 4Div\026-O05-TBM-SekTa-11112007-Maijamäen-LH.pdf" xr:uid="{2F2FB9E4-ABA7-40C7-8EEF-151CF3AB764B}"/>
    <hyperlink ref="B70" r:id="rId51" display="Ottelupöytäkirjat\Kausi 07-08 - 4Div\027-O06-Wankers-SekTa-25112007-SB-Areena.pdf" xr:uid="{8AD584B4-BEC4-4937-995A-A6E985177A88}"/>
    <hyperlink ref="B71" r:id="rId52" display="Ottelupöytäkirjat\Kausi 07-08 - 4Div\028-O07-SekTa-TVA-15122007-Räntämäen-LK.pdf" xr:uid="{7E1BB09A-D1DB-45E9-9B44-BCC3443AE2CE}"/>
    <hyperlink ref="B72" r:id="rId53" display="Ottelupöytäkirjat\Kausi 07-08 - 4Div\029-O08-SekTa-SB_Naantali-15122007-Räntämäen-LK.pdf" xr:uid="{9780695C-37B2-41E8-9AAC-EF42212B72E6}"/>
    <hyperlink ref="B73" r:id="rId54" display="Ottelupöytäkirjat\Kausi 07-08 - 4Div\030-O09-Gremlins-SekTa-05012008-Räntämäen-LK.pdf" xr:uid="{AACE51B8-ACEE-4C75-83A7-DED64576FCD0}"/>
    <hyperlink ref="B74" r:id="rId55" display="Ottelupöytäkirjat\Kausi 07-08 - 4Div\031-O10-TuWe-SekTa-20012008-SB-Areena.pdf" xr:uid="{364086F0-5462-4FA9-88E2-2EF06B2BCEB4}"/>
    <hyperlink ref="B75" r:id="rId56" display="Ottelupöytäkirjat\Kausi 07-08 - 4Div\032-O11-SekTa-AFC_Campus_6-10022008-SB-Areena.pdf" xr:uid="{188D20B5-83BA-4CDE-933A-B57E88069D14}"/>
    <hyperlink ref="B76" r:id="rId57" display="Ottelupöytäkirjat\Kausi 07-08 - 4Div\033-O12-SekTa-SBT_Shadows-10022008-SB-Areena.pdf" xr:uid="{0BA0A80B-ECF1-4812-B673-CF66DCB06A78}"/>
    <hyperlink ref="B77" r:id="rId58" display="Ottelupöytäkirjat\Kausi 07-08 - 4Div\034-O13-Phantoms-SekTa-24022008-SB-Areena.pdf" xr:uid="{E201771A-9A4D-4D27-8AF1-6C5D6C78A0CC}"/>
    <hyperlink ref="B78" r:id="rId59" display="Ottelupöytäkirjat\Kausi 07-08 - 4Div\035-O14-TVA-SekTa-01032008-Maijamäen-LH.pdf" xr:uid="{153F49AF-60B0-4F38-A2DB-A9F9E6D3ADC4}"/>
    <hyperlink ref="B79" r:id="rId60" display="Ottelupöytäkirjat\Kausi 07-08 - 4Div\036-O15-SekTa-TBM-16032008-Räntämäen-LK.pdf" xr:uid="{B15A2C22-15F8-4941-910E-D5C5C781A84E}"/>
    <hyperlink ref="B80" r:id="rId61" display="Ottelupöytäkirjat\Kausi 07-08 - 4Div\037-O16-SekTa-Wankers-16032008-Räntämäen-LK.pdf" xr:uid="{B28ED056-56E3-4361-B645-B94686218F45}"/>
    <hyperlink ref="B81" r:id="rId62" display="Ottelupöytäkirjat\Kausi 07-08 - 4Div\038-O17-SB_Naantali-SekTa-29032008-Maijamäen-LH.pdf" xr:uid="{810CF1C7-B1AF-413F-9337-F3489ADC0577}"/>
    <hyperlink ref="B92" r:id="rId63" display="Ottelupöytäkirjat\Kausi 08-09 - 5Div\040-O01-SekTa-Eligere-18102008-SBAreena.pdf" xr:uid="{9FE55C79-26AE-4BD1-BD2E-A8033C6F06A5}"/>
    <hyperlink ref="B93" r:id="rId64" display="Ottelupöytäkirjat\Kausi 08-09 - 5Div\041-O02-SekTa-FBCTurku3-01112008-Laurinkoulu.pdf" xr:uid="{4E15C8B0-CFEC-4247-BC6C-8296833C44F1}"/>
    <hyperlink ref="B94" r:id="rId65" display="Ottelupöytäkirjat\Kausi 08-09 - 5Div\042-O03-SBSWirmo2-SekTa-01112008-Laurinkoulu.pdf" xr:uid="{644F7870-CB94-47F5-BE59-ACF6CA910863}"/>
    <hyperlink ref="B95" r:id="rId66" display="Ottelupöytäkirjat\Kausi 08-09 - 5Div\043-O04-SekTa-Yrmyt-15112008-SBAreena.pdf" xr:uid="{39E0DF9C-881B-47AA-BA39-237C3DCF01B0}"/>
    <hyperlink ref="B96" r:id="rId67" display="Ottelupöytäkirjat\Kausi 08-09 - 5Div\044-O05-Ponteva-SekTa-30112008-SBAreena.pdf" xr:uid="{A1E9EA74-EF1B-4DBF-8089-9B401282764C}"/>
    <hyperlink ref="B97" r:id="rId68" display="Ottelupöytäkirjat\Kausi 08-09 - 5Div\045-O06-SekTa-Pyövelit-30112008-SBAreena.pdf" xr:uid="{12F2FEEC-8D57-4FA1-A680-CE9EE2A6417B}"/>
    <hyperlink ref="B98" r:id="rId69" display="Ottelupöytäkirjat\Kausi 08-09 - 5Div\046-O07-FBCParainen-SekTa-14122008-SportGarden.pdf" xr:uid="{BD838877-8722-45F6-9A68-8A4F784DB029}"/>
    <hyperlink ref="B99" r:id="rId70" display="Ottelupöytäkirjat\Kausi 08-09 - 5Div\047-O08-SekTa-Sheriffs3-10012009-Räntämäki.pdf" xr:uid="{D0F8545F-CD03-45E1-88D2-C1907ADD99B9}"/>
    <hyperlink ref="B100" r:id="rId71" display="Ottelupöytäkirjat\Kausi 08-09 - 5Div\048-O09-Salamanders2-SekTa-10012009-Räntämäki.pdf" xr:uid="{47B6039F-E887-4CEF-9107-7AA2E77DA3FC}"/>
    <hyperlink ref="B101" r:id="rId72" display="Ottelupöytäkirjat\Kausi 08-09 - 5Div\049-O10-Eligere-SekTa-24012009-KilosportPaimio.pdf" xr:uid="{9E5C6AD2-9B66-452B-B6F3-A36984010F5C}"/>
    <hyperlink ref="B102" r:id="rId73" display="Ottelupöytäkirjat\Kausi 08-09 - 5Div\050-O11-FBCTurku3-SekTa-07022009-Räntämäki.pdf" xr:uid="{EF8DDB0F-7651-44EB-B728-14361A164715}"/>
    <hyperlink ref="B103" r:id="rId74" display="Ottelupöytäkirjat\Kausi 08-09 - 5Div\051-O12-SekTa-SBSWirmo2-07022009-Räntämäki.pdf" xr:uid="{824C02A6-9CFC-4736-B022-04097D119520}"/>
    <hyperlink ref="B104" r:id="rId75" display="Ottelupöytäkirjat\Kausi 08-09 - 5Div\052-O13-Yrmyt-SekTa-21022009-Räntämäki.pdf" xr:uid="{BAE97238-97FB-4A02-86A3-D0430BE4609B}"/>
    <hyperlink ref="B105" r:id="rId76" display="Ottelupöytäkirjat\Kausi 08-09 - 5Div\053-O14-SekTa-Ponteva-07032009-Räntämäki.pdf" xr:uid="{2DED5CA0-FD4A-4AD3-A532-6B8F9953789F}"/>
    <hyperlink ref="B106" r:id="rId77" display="Ottelupöytäkirjat\Kausi 08-09 - 5Div\054-O15-Pyövelit-SekTa-07032009-Räntämäki.pdf" xr:uid="{B28E074D-6FC8-4924-B3E0-65DC6A305D79}"/>
    <hyperlink ref="B107" r:id="rId78" display="Ottelupöytäkirjat\Kausi 08-09 - 5Div\055-O16-SekTa-FBCParainen-14032009-KilosportPaimio.pdf" xr:uid="{FA093559-C388-4F36-B506-DFF739BCAEFA}"/>
    <hyperlink ref="B108" r:id="rId79" display="Ottelupöytäkirjat\Kausi 08-09 - 5Div\056-O17-Sheriffs-SekTa-29032009-SportGarden.pdf" xr:uid="{CE846503-9011-47CF-8C09-DBF1FA185B1C}"/>
    <hyperlink ref="B109" r:id="rId80" display="Ottelupöytäkirjat\Kausi 08-09 - 5Div\057-O18-SekTa-Salamanders2-29032009-SportGarden.pdf" xr:uid="{7AC98156-6FA4-4857-BE49-108E3D4291CE}"/>
    <hyperlink ref="B119" r:id="rId81" display="Ottelupöytäkirjat\Kausi 09-10 - 4Div\058-O01-ÅIK-SekTa-26092009-LaurinKoulu.pdf" xr:uid="{DB3C4F01-7E09-4D74-BD49-00AFA47A44B8}"/>
    <hyperlink ref="B120" r:id="rId82" display="Ottelupöytäkirjat\Kausi 09-10 - 4Div\059-O02-SekTa-AFCCampus6-26092009-LaurinKoulu.pdf" xr:uid="{714BE047-8FD8-489B-AEDB-F200AB44426D}"/>
    <hyperlink ref="B121" r:id="rId83" display="Ottelupöytäkirjat\Kausi 09-10 - 4Div\060-O03-SekTa-SBSMasku2-10102009-SBAreena.pdf" xr:uid="{731C30E2-1D0C-4A7A-9C52-16C93EAF5822}"/>
    <hyperlink ref="B122" r:id="rId84" display="Ottelupöytäkirjat\Kausi 09-10 - 4Div\061-O04-SCToivo-SekTa-25102009-HemminginKoulu.pdf" xr:uid="{E8360E41-C7AE-4C49-9EFB-EF20D9796D20}"/>
    <hyperlink ref="B123" r:id="rId85" display="Ottelupöytäkirjat\Kausi 09-10 - 4Div\062-O05-SekTa-LeVi-25102009-HemminginKoulu.pdf" xr:uid="{92705E49-5E5E-4B6C-835A-1E269E2427E3}"/>
    <hyperlink ref="B124" r:id="rId86" display="Ottelupöytäkirjat\Kausi 09-10 - 4Div\063-O06-Pyövelit-SekTa-15112009-SBAreena.pdf" xr:uid="{1FE4092B-C1FB-4536-B16B-7F673CFB1B39}"/>
    <hyperlink ref="B125" r:id="rId87" display="Ottelupöytäkirjat\Kausi 09-10 - 4Div\064-O07-SekTa-UHWBulls-28112009-SportGarden.pdf" xr:uid="{8641B901-9DFB-4F72-BC43-F7D5FBCAB077}"/>
    <hyperlink ref="B126" r:id="rId88" display="Ottelupöytäkirjat\Kausi 09-10 - 4Div\065-O08-SekTa-SBSWirmo2-28112009-SportGarden.pdf" xr:uid="{E4AF64F4-103D-4FED-925C-905EB2897B34}"/>
    <hyperlink ref="B127" r:id="rId89" display="Ottelupöytäkirjat\Kausi 09-10 - 4Div\066-O09-Team17-SekTa-13122009-LeafAreena.pdf" xr:uid="{751147D6-65D2-4BC2-876C-FC3243603061}"/>
    <hyperlink ref="B128" r:id="rId90" display="Ottelupöytäkirjat\Kausi 09-10 - 4Div\067-O10-AFCCampus6-SekTa-09012010-LeafAreena.pdf" xr:uid="{2E75FF51-AA36-4532-BF90-6CE9BFD7DD9F}"/>
    <hyperlink ref="B129" r:id="rId91" display="Ottelupöytäkirjat\Kausi 09-10 - 4Div\068-O11-SekTa-ÅIK-09012010-LeafAreena.pdf" xr:uid="{723BEE37-623F-4EF2-B51E-D7DFA64CF965}"/>
    <hyperlink ref="B130" r:id="rId92" display="Ottelupöytäkirjat\Kausi 09-10 - 4Div\069-O12-SBSMasku2-SekTa-27012010-LeafAreena.pdf" xr:uid="{7861E402-E79B-44AB-AC0E-F3BF816CD593}"/>
    <hyperlink ref="B131" r:id="rId93" display="Ottelupöytäkirjat\Kausi 09-10 - 4Div\070-O13-LeVi-SekTa-06022010-SBAreena.pdf" xr:uid="{D25E7343-C518-478C-B566-0599B7D243A9}"/>
    <hyperlink ref="B132" r:id="rId94" display="Ottelupöytäkirjat\Kausi 09-10 - 4Div\071-O14-SekTa-SCToivo-06022010-SBAreena.pdf" xr:uid="{8FA006C0-B998-45F8-A3C4-243BF52D66E3}"/>
    <hyperlink ref="B133" r:id="rId95" display="Ottelupöytäkirjat\Kausi 09-10 - 4Div\072-O15-SekTa-Pyövelit-21022010-HemminginKoulu.pdf" xr:uid="{7B7BAF87-5843-49F5-9AF6-E18981689970}"/>
    <hyperlink ref="B134" r:id="rId96" display="Ottelupöytäkirjat\Kausi 09-10 - 4Div\073-O16-SBSWirmo2-SekTa-07032010-LeafAreena.pdf" xr:uid="{72DE1E58-08C4-41EB-9E03-CBFF93DEB363}"/>
    <hyperlink ref="B135" r:id="rId97" display="Ottelupöytäkirjat\Kausi 09-10 - 4Div\074-O17-UHWBulls-SekTa-07032010-LeafAreena.pdf" xr:uid="{B45C292E-4C41-4122-8DCE-CC6DF1C6BE9A}"/>
    <hyperlink ref="B136" r:id="rId98" display="Ottelupöytäkirjat\Kausi 09-10 - 4Div\075-O18-SekTa-Team17-20032010-LeafAreena.pdf" xr:uid="{0CB260C0-F68A-49E1-9D3E-4F1E4B8A408A}"/>
    <hyperlink ref="B146" r:id="rId99" display="Ottelupöytäkirjat\Kausi 10-11 - 4Div\076-O01-SU-SekTa-19092010-Lietohalli.pdf" xr:uid="{3711EF4A-762D-4DB6-B767-EB8DB6AAE418}"/>
    <hyperlink ref="B147" r:id="rId100" display="Ottelupöytäkirjat\Kausi 10-11 - 4Div\077-O02-ElPantera-SekTa-19092010-Lietohalli.pdf" xr:uid="{F689B497-88E2-401C-ABF2-8B2D6928C996}"/>
    <hyperlink ref="B148" r:id="rId101" display="Ottelupöytäkirjat\Kausi 10-11 - 4Div\078-O03-SekTa-Ruoska3-23102010-LeafAreena.pdf" xr:uid="{539B1037-35D7-4920-B8A0-B2E6CB14A001}"/>
    <hyperlink ref="B149" r:id="rId102" display="Ottelupöytäkirjat\Kausi 10-11 - 4Div\079-O04-SBSLieto3-SekTa-23102010-LeafAreena.pdf" xr:uid="{F300CC14-1CAF-45BA-8A81-CB22BE9379DD}"/>
    <hyperlink ref="B150" r:id="rId103" display="Ottelupöytäkirjat\Kausi 10-11 - 4Div\080-O05-SekTa-KiU-20112010-KilosportPaimio.pdf" xr:uid="{DC7D4360-00BA-4D57-A106-208C8DC6C79C}"/>
    <hyperlink ref="B151" r:id="rId104" display="Ottelupöytäkirjat\Kausi 10-11 - 4Div\081-O06-SekTa-KemKi-20112010-KilosportPaimio.pdf" xr:uid="{1A83775B-28E5-45C6-BC47-84E83312FCBE}"/>
    <hyperlink ref="B152" r:id="rId105" display="Ottelupöytäkirjat\Kausi 10-11 - 4Div\082-O07-Ruoska2-SekTa-19122010-LeafAreena.pdf" xr:uid="{4621CB48-C339-47E4-ACF6-04359B7820FD}"/>
    <hyperlink ref="B153" r:id="rId106" display="Ottelupöytäkirjat\Kausi 10-11 - 4Div\083-O08-SekTa-KoKa-19122010-LeafAreena.pdf" xr:uid="{0208FCA1-C84D-4FB1-9347-132BB4F98B6B}"/>
    <hyperlink ref="B154" r:id="rId107" display="Ottelupöytäkirjat\Kausi 10-11 - 4Div\084-O09-Ruoska3-SekTa-09012011-Lietohalli.pdf" xr:uid="{D9CEE8B9-3D15-419B-90F8-7CC43FBCC0D5}"/>
    <hyperlink ref="B155" r:id="rId108" display="Ottelupöytäkirjat\Kausi 10-11 - 4Div\085-O10-SekTa-SBSLieto3-09012011-Lietohalli.pdf" xr:uid="{0AFC051D-1C95-4F83-8716-5FD48A63BE39}"/>
    <hyperlink ref="B156" r:id="rId109" display="Ottelupöytäkirjat\Kausi 10-11 - 4Div\086-O11-SekTa-SU-29012011-HalikonLH.pdf" xr:uid="{0EA646A2-CB99-4D3E-A612-9C8EFE4ACE22}"/>
    <hyperlink ref="B157" r:id="rId110" display="Ottelupöytäkirjat\Kausi 10-11 - 4Div\087-O12-SoVo-SekTa-29012011-HalikonLH.pdf" xr:uid="{6187731B-2148-441E-A7E3-CE544B0C309D}"/>
    <hyperlink ref="B158" r:id="rId111" display="Ottelupöytäkirjat\Kausi 10-11 - 4Div\088-O13-KoKa-SekTa-19022011-KilosportPaimio.pdf" xr:uid="{FA01528B-0DDB-486B-82E3-2CCD760BAFBD}"/>
    <hyperlink ref="B159" r:id="rId112" display="Ottelupöytäkirjat\Kausi 10-11 - 4Div\089-O14-SekTa-Ruoska2-19022011-KilosportPaimio.pdf" xr:uid="{2C376C2B-4EF8-406D-8BDF-DC83248267FD}"/>
    <hyperlink ref="B160" r:id="rId113" display="Ottelupöytäkirjat\Kausi 10-11 - 4Div\090-O15-SekTa-ElPantera-12032011-Taalintehdas.pdf" xr:uid="{82B39A5F-D616-4D48-97F8-F925C4700C30}"/>
    <hyperlink ref="B161" r:id="rId114" display="Ottelupöytäkirjat\Kausi 10-11 - 4Div\091-O16-KemKi-SekTa-12032011-Taalintehdas.pdf" xr:uid="{84B85405-95BD-48C2-9B1E-E20C0950884A}"/>
    <hyperlink ref="B162" r:id="rId115" display="Ottelupöytäkirjat\Kausi 10-11 - 4Div\092-O17-SekTa-SoVo-02042011-KilosportPaimio.pdf" xr:uid="{8623DE24-98E8-42E3-84DB-DE259A72BCCB}"/>
    <hyperlink ref="B163" r:id="rId116" display="Ottelupöytäkirjat\Kausi 10-11 - 4Div\093-O18-KiU-SekTa-02042011-KilosportPaimio.pdf" xr:uid="{BB10606C-0F84-4B78-9B76-14A395C2156C}"/>
    <hyperlink ref="B173" r:id="rId117" display="Ottelupöytäkirjat\Kausi 11-12 - 4Div\094-O01-SekTa-Ryhti-25092011-LeafAreena.pdf" xr:uid="{5C94A565-C66D-4E64-A4DC-BE0FB9AE3A75}"/>
    <hyperlink ref="B174" r:id="rId118" display="Ottelupöytäkirjat\Kausi 11-12 - 4Div\095-O02-TA631-SekTa-25092011-LeafAreena.pdf" xr:uid="{6EA3D20D-9F93-4D1C-B31E-E8660B66DF17}"/>
    <hyperlink ref="B175" r:id="rId119" display="Ottelupöytäkirjat\Kausi 11-12 - 4Div\096-O03-SBSMasku2-SekTa-08102011-Hemminki.pdf" xr:uid="{1ACA83EF-138A-492C-A9A7-B2B5A3A702B4}"/>
    <hyperlink ref="B176" r:id="rId120" display="Ottelupöytäkirjat\Kausi 11-12 - 4Div\097-O04-FBCTSP-SekTa-22102011-KilosportTurku.pdf" xr:uid="{618C3EEA-4410-4CCF-BAC5-6048A21A73F7}"/>
    <hyperlink ref="B177" r:id="rId121" display="Ottelupöytäkirjat\Kausi 11-12 - 4Div\098-O05-SekTa-AFCCampus4-22102011-KilosportTurku.pdf" xr:uid="{F0D2805C-BE14-43B4-94D7-DEAB9BC14FF5}"/>
    <hyperlink ref="B178" r:id="rId122" display="Ottelupöytäkirjat\Kausi 11-12 - 4Div\099-O06-GrimReapers-SekTa-12112011-LeafAreena.pdf" xr:uid="{8B990C13-09ED-4FC5-9F7A-922F7F33E83E}"/>
    <hyperlink ref="B179" r:id="rId123" display="Ottelupöytäkirjat\Kausi 11-12 - 4Div\100-O07-Musketeers-SekTa-26112011-KilosportTurku.pdf" xr:uid="{8B8C16A5-4B16-4861-84A1-2FFEBC1A36B3}"/>
    <hyperlink ref="B180" r:id="rId124" display="Ottelupöytäkirjat\Kausi 11-12 - 4Div\101-O08-SekTa-Team17-26112011-KilosportTurku.pdf" xr:uid="{16368639-B371-4398-9578-5336BBEE7061}"/>
    <hyperlink ref="B181" r:id="rId125" display="Ottelupöytäkirjat\Kausi 11-12 - 4Div\102-O09-SekTa-Bulls-11122011-LeafAreena.pdf" xr:uid="{8FC3AC21-5CAC-4570-A210-DC8851B2887C}"/>
    <hyperlink ref="B182" r:id="rId126" display="Ottelupöytäkirjat\Kausi 11-12 - 4Div\103-O10-SekTa-TA631-07012012-LeafAreena.pdf" xr:uid="{D6F5D5AF-B863-4458-B71F-F740F9977776}"/>
    <hyperlink ref="B183" r:id="rId127" display="Ottelupöytäkirjat\Kausi 11-12 - 4Div\104-O11-Ryhti-SekTa-21012012-SportGarden.pdf" xr:uid="{75FA3AE0-220D-4267-8599-75FDFA39E8CD}"/>
    <hyperlink ref="B184" r:id="rId128" display="Ottelupöytäkirjat\Kausi 11-12 - 4Div\105-O12-SekTa-SBSMasku2-21012012-SportGarden.pdf" xr:uid="{727FB516-F13A-475A-98F3-AE380E08AD1C}"/>
    <hyperlink ref="B185" r:id="rId129" display="Ottelupöytäkirjat\Kausi 11-12 - 4Div\106-O13-SekTa-FBCTSP-04022012-KilosportTurku.pdf" xr:uid="{B585C40D-5BDB-4DAD-B5B6-AEFBBC8D8130}"/>
    <hyperlink ref="B186" r:id="rId130" display="Ottelupöytäkirjat\Kausi 11-12 - 4Div\107-O14-AFCCampus4-SekTa-04022012-KilosportTurku.pdf" xr:uid="{596CB29A-E068-4B20-A1D4-1C249F700603}"/>
    <hyperlink ref="B187" r:id="rId131" display="Ottelupöytäkirjat\Kausi 11-12 - 4Div\108-O15-SekTa-GrimReapers-18022012-Hemminki.pdf" xr:uid="{806171FA-7D44-4F13-B996-100B4702A874}"/>
    <hyperlink ref="B188" r:id="rId132" display="Ottelupöytäkirjat\Kausi 11-12 - 4Div\109-O16-Team17-SekTa-03032012-KilosportTurku.pdf" xr:uid="{DE447624-E455-4352-9E08-32601B1D76C7}"/>
    <hyperlink ref="B189" r:id="rId133" display="Ottelupöytäkirjat\Kausi 11-12 - 4Div\110-O17-SekTa-Musketeers-03032012-KilosportTurku.pdf" xr:uid="{E8B1205F-3993-4323-ABEB-967BAEB745E3}"/>
    <hyperlink ref="B190" r:id="rId134" display="Ottelupöytäkirjat\Kausi 11-12 - 4Div\111-O18-Bulls-SekTa-17032012-SportGarden.pdf" xr:uid="{68CD9FAD-14BA-442E-AB5B-7E62EEDAB60D}"/>
    <hyperlink ref="B200" r:id="rId135" display="Ottelupöytäkirjat\Kausi 12-13 - 5Div\112-O01-SekTa-Musketeers2-30092012-KilosportTurku.pdf" xr:uid="{FE91CDB9-E044-4380-8888-011277B4CB85}"/>
    <hyperlink ref="B201" r:id="rId136" display="Ottelupöytäkirjat\Kausi 12-13 - 5Div\113-O02-FBTMarlins-SekTa-30092012-KilosportTurku.pdf" xr:uid="{DDC673A7-6B28-4F0C-992D-DB925DDFFA18}"/>
    <hyperlink ref="B202" r:id="rId137" display="Ottelupöytäkirjat\Kausi 12-13 - 5Div\114-O03-SekTa-SBSKesäterä-20102012-LeafAreena.pdf" xr:uid="{C0718541-A320-4DFE-AE34-FC7CC528C1BB}"/>
    <hyperlink ref="B203" r:id="rId138" display="Ottelupöytäkirjat\Kausi 12-13 - 5Div\115-O04-HTV-SekTa-20102012-LeafAreena.pdf" xr:uid="{595E89AE-7929-42C2-996E-E8D14B1BCCD6}"/>
    <hyperlink ref="B204" r:id="rId139" display="Ottelupöytäkirjat\Kausi 12-13 - 5Div\116-O05-SekTa-RiverRats-03112012-KilosportTurku.pdf" xr:uid="{2936FFC1-EB38-42CF-9801-A3D4E130554B}"/>
    <hyperlink ref="B205" r:id="rId140" display="Ottelupöytäkirjat\Kausi 12-13 - 5Div\117-Luovutus-AFCCampus5-SekTa-03112012-KilosportTurku.pdf" xr:uid="{BF8A2BCC-3134-40E9-BFB9-B4D86080EC31}"/>
    <hyperlink ref="B206" r:id="rId141" display="Ottelupöytäkirjat\Kausi 12-13 - 5Div\118-O06-SekTa-RiverRats-25112012-LeafAreena.pdf" xr:uid="{92A4EDC3-1316-4C2C-B797-E42F6423F49D}"/>
    <hyperlink ref="B207" r:id="rId142" display="Ottelupöytäkirjat\Kausi 12-13 - 5Div\119-O07-HIF-SekTa-25112012-LeafAreena.pdf" xr:uid="{102799F1-6CE2-4A7F-B9C0-BD08307358E4}"/>
    <hyperlink ref="B208" r:id="rId143" display="Ottelupöytäkirjat\Kausi 12-13 - 5Div\120-O08-HTV-SekTa-08122012-LeafAreena.pdf" xr:uid="{2BEDA60A-3EF6-4166-A7E2-AD414A931A7B}"/>
    <hyperlink ref="B209" r:id="rId144" display="Ottelupöytäkirjat\Kausi 12-13 - 5Div\121-O09-SekTa-Musketeers2-08122012-LeafAreena.pdf" xr:uid="{C665686D-85D2-420A-9BB1-103F62356F7B}"/>
    <hyperlink ref="B210" r:id="rId145" display="Ottelupöytäkirjat\Kausi 12-13 - 5Div\122-O10-SekTa-HIF-05012013-LeafAreena.pdf" xr:uid="{87FBC7F1-0622-430C-81B5-A077A49C7F7F}"/>
    <hyperlink ref="B211" r:id="rId146" display="Ottelupöytäkirjat\Kausi 12-13 - 5Div\123-O11-FBTMarlins-SekTa-19012013-KilosportTurku.pdf" xr:uid="{258B2947-11A0-420A-A1F1-63673D40CD71}"/>
    <hyperlink ref="B212" r:id="rId147" display="Ottelupöytäkirjat\Kausi 12-13 - 5Div\124-O12-SekTa-SBSKesäterä-19012013-KilosportTurku.pdf" xr:uid="{9DBA812A-B354-42A8-A7EC-FB94D0648595}"/>
    <hyperlink ref="B213" r:id="rId148" display="Ottelupöytäkirjat\Kausi 12-13 - 5Div\125-O13-SekTa-HIF-02022013-LeafAreena.pdf" xr:uid="{5744DC51-C2C3-456F-A37B-B66A3E06CB86}"/>
    <hyperlink ref="B214" r:id="rId149" display="Ottelupöytäkirjat\Kausi 12-13 - 5Div\126-O14-RiverRats-SekTa-02022013-LeafAreena.pdf" xr:uid="{42A91E25-C89C-438F-B376-3F01B0FAAAAE}"/>
    <hyperlink ref="B215" r:id="rId150" display="Ottelupöytäkirjat\Kausi 12-13 - 5Div\127-O15-Musketeers2-SekTa-17022013-LeafAreena.pdf" xr:uid="{017385EC-6333-460F-8488-1E00F00A4F23}"/>
    <hyperlink ref="B216" r:id="rId151" display="Ottelupöytäkirjat\Kausi 12-13 - 5Div\128-O16-SekTa-HTV-17022013-LeafAreena.pdf" xr:uid="{10E1CE7D-3332-47BC-A303-103C0B1851F5}"/>
    <hyperlink ref="B217" r:id="rId152" display="Ottelupöytäkirjat\Kausi 12-13 - 5Div\129-O17-SekTa-FBTMarlins-23032013-KilosportTurku.pdf" xr:uid="{A2CFB699-999D-40F1-9DC6-CA76F993952C}"/>
    <hyperlink ref="B218" r:id="rId153" display="Ottelupöytäkirjat\Kausi 12-13 - 5Div\130-O18-SBSKesäterä-SekTa-23032013-KilosportTurku.pdf" xr:uid="{C0FB9DCB-481B-42F4-97D8-D04934FD363E}"/>
    <hyperlink ref="B230" r:id="rId154" display="Ottelupöytäkirjat\Kausi 13-14 - 4Div\131-O01-SekTa-FBCTurku2-29092013-LeafAreena.pdf" xr:uid="{9A240908-3F40-4C34-B02D-CE3641550097}"/>
    <hyperlink ref="B231" r:id="rId155" display="Ottelupöytäkirjat\Kausi 13-14 - 4Div\132-O02-TVA-SekTa-19102013-SBAreena.pdf" xr:uid="{2BFB179D-B1A3-441F-BA91-E52E41E33EBE}"/>
    <hyperlink ref="B233" r:id="rId156" display="Ottelupöytäkirjat\Kausi 13-14 - 4Div\134-O04-SekTa-Gremlins-02112013-SportGarden.pdf" xr:uid="{F9D6E0D3-153E-4DFD-8FC0-49D35D5D02D1}"/>
    <hyperlink ref="B234" r:id="rId157" display="Ottelupöytäkirjat\Kausi 13-14 - 4Div\135-O05-SekTa-SBNaantali2-23112013-PuntParainen.pdf" xr:uid="{AC7CFADE-ECDC-4A5D-B788-5BAB584AE2DF}"/>
    <hyperlink ref="B235" r:id="rId158" display="Ottelupöytäkirjat\Kausi 13-14 - 4Div\136-O06-KIK-SekTa-23112013-PuntParainen.pdf" xr:uid="{5CB4B33B-AB68-4D2D-B657-19D020ACB330}"/>
    <hyperlink ref="B236" r:id="rId159" display="Ottelupöytäkirjat\Kausi 13-14 - 4Div\137-O07-PIF-SekTa-01122013-LeafAreena.pdf" xr:uid="{E0F48370-A833-4DF4-974A-06474B3F796F}"/>
    <hyperlink ref="B237" r:id="rId160" display="Ottelupöytäkirjat\Kausi 13-14 - 4Div\138-O08-SekTa-FBCParainen-15122013-SBAreena.pdf" xr:uid="{572B5B53-F346-406C-AA21-ABBDEA75F4A7}"/>
    <hyperlink ref="B238" r:id="rId161" display="Ottelupöytäkirjat\Kausi 13-14 - 4Div\139-O09-SekTa-TVA-15122013-SBAreena.pdf" xr:uid="{FC5CD09A-133C-4198-9254-3B157066E5E1}"/>
    <hyperlink ref="B239" r:id="rId162" display="Ottelupöytäkirjat\Kausi 13-14 - 4Div\140-O10-TVV-SekTa-11012014-SportGarden.pdf" xr:uid="{6A81893E-B0CE-4AD1-B5A1-B76FB093D3ED}"/>
    <hyperlink ref="B240" r:id="rId163" display="Ottelupöytäkirjat\Kausi 13-14 - 4Div\141-O11-TPS2-SekTa-25012014-PuntParainen.pdf" xr:uid="{14D8687D-893E-4DD1-81AB-657B4D9B3D48}"/>
    <hyperlink ref="B241" r:id="rId164" display="Ottelupöytäkirjat\Kausi 13-14 - 4Div\142-O12-FBCTurku2-SekTa-25012014-PuntParainen.pdf" xr:uid="{268FBA88-D26F-42CA-9FDA-F2A15FEE1515}"/>
    <hyperlink ref="B242" r:id="rId165" display="Ottelupöytäkirjat\Kausi 13-14 - 4Div\143-O13-Gremlins-SekTa-09022014-Maijamäki.pdf" xr:uid="{6188F168-C00E-423A-B7BA-0DB4C5668D5F}"/>
    <hyperlink ref="B243" r:id="rId166" display="Ottelupöytäkirjat\Kausi 13-14 - 4Div\144-O14-SekTa-PIF-22022014-LeafAreena.pdf" xr:uid="{AE0193BC-15D1-44C2-A03E-7F59D5143FCA}"/>
    <hyperlink ref="B244" r:id="rId167" display="Ottelupöytäkirjat\Kausi 13-14 - 4Div\145-O15-FBCParainen-SekTa-22022014-LeafAreena.pdf" xr:uid="{EBE4FBF4-22C4-47C3-BB09-8CE26F547E37}"/>
    <hyperlink ref="B245" r:id="rId168" display="Ottelupöytäkirjat\Kausi 13-14 - 4Div\146-O16-SekTa-KIK-02032014-Maijamäki.pdf" xr:uid="{8F57613E-8FD4-4A52-B4A2-8355D0379A94}"/>
    <hyperlink ref="B246" r:id="rId169" display="Ottelupöytäkirjat\Kausi 13-14 - 4Div\147-O17-SBNaantali2-SekTa-15032014-LeafAreena.pdf" xr:uid="{0B4C03B0-9771-4E64-B172-93F663CA94A6}"/>
    <hyperlink ref="B247" r:id="rId170" display="Ottelupöytäkirjat\Kausi 13-14 - 4Div\148-O18-SekTa-TPS2-15032014-LeafAreena.pdf" xr:uid="{0F0E75CD-B889-42AD-BA8B-1A21DA77EC2E}"/>
    <hyperlink ref="B257" r:id="rId171" display="Ottelupöytäkirjat\Kausi 14-15 - 4Div\149-O01-SekTa-SCWolves-04102014-Leaf.pdf" xr:uid="{C0F937D4-C9C4-4C34-B226-B266CDC0D47C}"/>
    <hyperlink ref="B258" r:id="rId172" display="Ottelupöytäkirjat\Kausi 14-15 - 4Div\150-O02-IKA-SekTa-04102014-Leaf.pdf" xr:uid="{C5D839F6-154C-490E-B994-31DF10FE3FAD}"/>
    <hyperlink ref="B259" r:id="rId173" display="Ottelupöytäkirjat\Kausi 14-15 - 4Div\151-O03-SCWolves-SekTa-25102014-PuntParainen.pdf" xr:uid="{4952D5D6-347A-4B43-8A7F-0483AD83A735}"/>
    <hyperlink ref="B260" r:id="rId174" display="Ottelupöytäkirjat\Kausi 14-15 - 4Div\152-O04-SekTa-AFCCampus4-25102014-PuntParainen.pdf" xr:uid="{85FA6CC8-5E45-41E3-A6F2-1D90906F0E10}"/>
    <hyperlink ref="B261" r:id="rId175" display="Ottelupöytäkirjat\Kausi 14-15 - 4Div\153-O05-SBSWirmo3-SekTa-08112014-SBAreena.pdf" xr:uid="{C9FBA191-4186-446E-A81C-FF39F334BEC1}"/>
    <hyperlink ref="B262" r:id="rId176" display="Ottelupöytäkirjat\Kausi 14-15 - 4Div\154-O06-SekTa-PaPeNu-08112014-SBAreena.pdf" xr:uid="{1AC70777-3E64-48E9-A57D-35EB59479E4D}"/>
    <hyperlink ref="B263" r:id="rId177" display="Ottelupöytäkirjat\Kausi 14-15 - 4Div\155-O07-FBCTurku2-SekTa-29112014-SBAreena.pdf" xr:uid="{8F9E1651-CCC8-4A81-AB30-B137B7127C7E}"/>
    <hyperlink ref="B264" r:id="rId178" display="Ottelupöytäkirjat\Kausi 14-15 - 4Div\156-O08-SekTa-TBS-29112014-SBAreena.pdf" xr:uid="{538494FC-0EA9-49CC-BB0C-C1994B674C6C}"/>
    <hyperlink ref="B265" r:id="rId179" display="Ottelupöytäkirjat\Kausi 14-15 - 4Div\157-O09-KIK-SekTa-20122014-Leaf.pdf" xr:uid="{8486AA9F-0B18-4C7A-90CF-E765855AA883}"/>
    <hyperlink ref="B266" r:id="rId180" display="Ottelupöytäkirjat\Kausi 14-15 - 4Div\158-O10-SekTa-Yrmyt-20122014-Leaf.pdf" xr:uid="{199F53D2-D22A-4BA1-B5FC-8094D2A616E2}"/>
    <hyperlink ref="B267" r:id="rId181" display="Ottelupöytäkirjat\Kausi 14-15 - 4Div\159-O11-SekTa-IKA-10012015-PuntParainen.pdf" xr:uid="{2A5B6DEF-5C8C-40C7-9E06-852BEAB21B8D}"/>
    <hyperlink ref="B268" r:id="rId182" display="Ottelupöytäkirjat\Kausi 14-15 - 4Div\160-O12-FBCFeelings-SekTa-10012015-PuntParainen.pdf" xr:uid="{F4A9DE65-ED32-42AE-97A4-6A94E8C7CA0D}"/>
    <hyperlink ref="B269" r:id="rId183" display="Ottelupöytäkirjat\Kausi 14-15 - 4Div\161-O13-PaPeNu-SekTa-24012015-Leaf.pdf" xr:uid="{AEE4BA0E-22A0-4B67-8142-61944E16BDF7}"/>
    <hyperlink ref="B270" r:id="rId184" display="Ottelupöytäkirjat\Kausi 14-15 - 4Div\162-O14-SekTa-FBCTurku2-24012015-Leaf.pdf" xr:uid="{93F48C2B-777F-47F3-80B8-009FB327E32C}"/>
    <hyperlink ref="B271" r:id="rId185" display="Ottelupöytäkirjat\Kausi 14-15 - 4Div\163-O15-SekTa-SBSWirmo3-14022015-Leaf.pdf" xr:uid="{A70553AE-E45A-4A49-ABB0-3FC3E6A34C77}"/>
    <hyperlink ref="B272" r:id="rId186" display="Ottelupöytäkirjat\Kausi 14-15 - 4Div\164-O16-SekTa-FBCFeelings-14022015-Leaf.pdf" xr:uid="{22B91369-23C7-418D-9887-71D9D1A1CFB0}"/>
    <hyperlink ref="B273" r:id="rId187" display="Ottelupöytäkirjat\Kausi 14-15 - 4Div\165-O17-SekTa-KIK-28022015-HaniHalliMynämäki.pdf" xr:uid="{51C37439-56CB-484F-8EED-CC0F5451B727}"/>
    <hyperlink ref="B274" r:id="rId188" display="Ottelupöytäkirjat\Kausi 14-15 - 4Div\166-O18-TBS-SekTa-28022015-HaniHalliMynämäki.pdf" xr:uid="{7752F4C8-39F3-44C7-9152-419B92332CC8}"/>
    <hyperlink ref="B275" r:id="rId189" display="Ottelupöytäkirjat\Kausi 14-15 - 4Div\167-O19-AFCCampus4-SekTa-21032015-SportGarden.pdf" xr:uid="{7E1E9664-E09B-4C86-AE6B-8C4AD4B9BA21}"/>
    <hyperlink ref="B276" r:id="rId190" display="Ottelupöytäkirjat\Kausi 14-15 - 4Div\168-O20-Yrmyt-SekTa-21032015-SportGarden.pdf" xr:uid="{1BF8A088-78E1-4CED-BD7A-9B0C82B34643}"/>
    <hyperlink ref="B289" r:id="rId191" display="Ottelupöytäkirjat\Kausi 15-16 - 4Div\170-O01-TA631-SekTa-26092015-Leaf.pdf" xr:uid="{E840E450-9E29-453E-858A-57C4760A38F2}"/>
    <hyperlink ref="B290" r:id="rId192" display="Ottelupöytäkirjat\Kausi 15-16 - 4Div\171-O02-AFCCampus4-SekTa-26092015-Leaf.pdf" xr:uid="{07411DE8-D366-4C91-9F06-1B3EEF660C14}"/>
    <hyperlink ref="B291" r:id="rId193" display="Ottelupöytäkirjat\Kausi 15-16 - 4Div\172-O03-SekTa-SBNaantali3-17102015-Taivassalo.pdf" xr:uid="{13C8242E-3E88-4519-9169-D7DF22A5A027}"/>
    <hyperlink ref="B293" r:id="rId194" display="Ottelupöytäkirjat\Kausi 15-16 - 4Div\174-O05-HirvHe-SekTa-01112015-Leaf.pdf" xr:uid="{F6555816-148B-427C-8698-C9992FF5A0CA}"/>
    <hyperlink ref="B294" r:id="rId195" display="Ottelupöytäkirjat\Kausi 15-16 - 4Div\175-O06-Yrmyt-SekTa-01112015-Leaf.pdf" xr:uid="{2D88474D-5C48-411A-BAC6-EEE0452B008B}"/>
    <hyperlink ref="B295" r:id="rId196" display="Ottelupöytäkirjat\Kausi 15-16 - 4Div\176-O07-SekTa-Pyövelit2-29112015-Leaf.pdf" xr:uid="{3DAA261A-76E5-4D86-B312-207BB05B8FDD}"/>
    <hyperlink ref="B297" r:id="rId197" display="Ottelupöytäkirjat\Kausi 15-16 - 4Div\178-O09-SekTa-AFCCampus4-20122015-Leaf.pdf" xr:uid="{ACE82BE5-39F3-4AB3-AB03-A51071D949B2}"/>
    <hyperlink ref="B299" r:id="rId198" display="Ottelupöytäkirjat\Kausi 15-16 - 4Div\180-O11-SekTa-HirvHe-10012016-SBAreena.pdf" xr:uid="{9369326E-04C6-432B-9B76-F851DD9F1A29}"/>
    <hyperlink ref="B300" r:id="rId199" display="Ottelupöytäkirjat\Kausi 15-16 - 4Div\181-O12-SekTa-TA631-10012016-SBAreena.pdf" xr:uid="{615507A8-88FD-45DB-9452-14EAF2C48684}"/>
    <hyperlink ref="B301" r:id="rId200" display="Ottelupöytäkirjat\Kausi 15-16 - 4Div\182-O13-SBNaantali3-SekTa-30012016-SBAreena.pdf" xr:uid="{758A5122-2416-4695-ACF7-28C63A2ED546}"/>
    <hyperlink ref="B302" r:id="rId201" display="Ottelupöytäkirjat\Kausi 15-16 - 4Div\183-O14-PaPeNu-SekTa-30012016-SBAreena.pdf" xr:uid="{81CE2FD3-882E-42EC-B4B7-B0FD09D27688}"/>
    <hyperlink ref="B305" r:id="rId202" display="Ottelupöytäkirjat\Kausi 15-16 - 4Div\186-O17-SekTa-TuTo-05032016-Taivassalo.pdf" xr:uid="{2889FB6E-F4E3-4DBF-9683-D69A6CCFC8C3}"/>
    <hyperlink ref="B307" r:id="rId203" display="Ottelupöytäkirjat\Kausi 15-16 - 4Div\188-O19-Pyövelit2-SekTa-13032016-Leaf.pdf" xr:uid="{17574D52-7C5E-4979-AAC4-DCD2AEC5B147}"/>
    <hyperlink ref="B318" r:id="rId204" display="Ottelupöytäkirjat\Kausi 16-17 - 4Div\190-O01-PöU-SekTa-09102016-SBAreena.pdf" xr:uid="{63686FC3-572A-4045-A7D4-02ECC220AC47}"/>
    <hyperlink ref="B319" r:id="rId205" display="Ottelupöytäkirjat\Kausi 16-17 - 4Div\191-O02-SekTa-RunU-09102016-SBAreena.pdf" xr:uid="{3267F347-692C-42E3-B560-AE0C98EEE18D}"/>
    <hyperlink ref="B320" r:id="rId206" display="Ottelupöytäkirjat\Kausi 16-17 - 4Div\192-O03-Gremlins-SekTa-29102016-SBAreena.pdf" xr:uid="{DCDDE6D5-2EB2-4355-B8BA-1D7296CA9120}"/>
    <hyperlink ref="B321" r:id="rId207" display="Ottelupöytäkirjat\Kausi 16-17 - 4Div\193-O04-TVA-SekTa-29102016-SBAreena.pdf" xr:uid="{422EA921-A6A3-4BEE-BBA4-8713FE005D08}"/>
    <hyperlink ref="B322" r:id="rId208" display="Ottelupöytäkirjat\Kausi 16-17 - 4Div\194-O05-SekTa-HirvHe-20112016-SBAreena.pdf" xr:uid="{1891BCFC-A24A-4185-AB29-DB06D3A9D815}"/>
    <hyperlink ref="B323" r:id="rId209" display="Ottelupöytäkirjat\Kausi 16-17 - 4Div\195-O06-Pyövelit2-SekTa-20112016-SBAreena.pdf" xr:uid="{C0BB8932-0B7A-4F57-9805-DEB4D1F8E765}"/>
    <hyperlink ref="B324" r:id="rId210" display="Ottelupöytäkirjat\Kausi 16-17 - 4Div\196-O07-SekTa-RKRangers-18122016-SBAreena.pdf" xr:uid="{361DC1A0-A3BC-4EA3-8AEE-C417B6A0AC86}"/>
    <hyperlink ref="B325" r:id="rId211" display="Ottelupöytäkirjat\Kausi 16-17 - 4Div\197-O08-SekTa-Yrmyt-18122016-SBAreena.pdf" xr:uid="{D3A06DD3-B2AF-4FD6-9B55-26335F8C2485}"/>
    <hyperlink ref="B326" r:id="rId212" display="Ottelupöytäkirjat\Kausi 16-17 - 4Div\198-O09-SekTa-PöU-07012017-Leaf.pdf" xr:uid="{FA2C9BDD-8F38-4B53-8756-4D68AEFCFFD4}"/>
    <hyperlink ref="B327" r:id="rId213" display="Ottelupöytäkirjat\Kausi 16-17 - 4Div\199-O10-RunU-SekTa-07012017-Leaf.pdf" xr:uid="{00AB0B7F-025F-42C5-BCD8-F709A3725FDC}"/>
    <hyperlink ref="B328" r:id="rId214" display="Ottelupöytäkirjat\Kausi 16-17 - 4Div\200-O11-SekTa-TVA-28012017-KisariihiPöytyä.pdf" xr:uid="{6CA55AAD-2102-46F8-B006-48B6D075EAE8}"/>
    <hyperlink ref="B329" r:id="rId215" display="Ottelupöytäkirjat\Kausi 16-17 - 4Div\201-O12-SekTa-Gremlins-28012017-KisariihiPöytyä.pdf" xr:uid="{146D6872-8DAC-4AA8-B205-9D397663525E}"/>
    <hyperlink ref="B330" r:id="rId216" display="Ottelupöytäkirjat\Kausi 16-17 - 4Div\202-O13-HirvHe-SekTa-26022017-SBAreena.pdf" xr:uid="{58C3FFDD-5598-43B0-8002-4BEA74FFD3D9}"/>
    <hyperlink ref="B331" r:id="rId217" display="Ottelupöytäkirjat\Kausi 16-17 - 4Div\203-O14-SekTa-Pyövelit2-26022017-SBAreena.pdf" xr:uid="{9B63D72F-E615-4745-9984-0784FBB4D98D}"/>
    <hyperlink ref="B332" r:id="rId218" display="Ottelupöytäkirjat\Kausi 16-17 - 4Div\204-O15-Yrmyt-SekTa-18032017-SBAreena-A.pdf" xr:uid="{42E9F53D-0977-4CBB-AB59-911B65990341}"/>
    <hyperlink ref="B333" r:id="rId219" display="Ottelupöytäkirjat\Kausi 16-17 - 4Div\205-O16-RKRangers-SekTa-18032017-SBAreena.pdf" xr:uid="{BFFB2078-CB16-4B36-82B5-EF8C837B2AB5}"/>
    <hyperlink ref="B292" r:id="rId220" display="Ottelupöytäkirjat\Kausi 15-16 - 4Div\173-O04-SekTa-PaPeNu-17102015-Taivassalo.pdf" xr:uid="{1D7F3E86-8173-41FC-8B43-48213E8880D8}"/>
    <hyperlink ref="B343" r:id="rId221" display="Ottelupöytäkirjat\Kausi 17-18 - 4Div\206-O01-2017-10-14-SekTa-Pyövelit2_4-6_SB-Areena.jpg" xr:uid="{F6540FB3-9091-4827-9D9B-6BA400FBE241}"/>
    <hyperlink ref="B344" r:id="rId222" display="Ottelupöytäkirjat\Kausi 17-18 - 4Div\207-O02-2017-10-14-TBS-SekTa_10-4_SB-Areena.jpg" xr:uid="{33169D88-03FB-4F75-BA18-919E39694BD9}"/>
    <hyperlink ref="B345" r:id="rId223" display="Ottelupöytäkirjat\Kausi 17-18 - 4Div\208-O03-2017-11-04-RK-Rangers-SekTa_4-4_Pohitullin-Palloiluhalli.jpg" xr:uid="{CD1FA96E-4748-4F2F-8675-2E5CAE660D62}"/>
    <hyperlink ref="B346" r:id="rId224" display="Ottelupöytäkirjat\Kausi 17-18 - 4Div\209-O04-2017-11-04-SekTa-Yrmyt_7-1_Pohitullin-Palloiluhalli.jpg" xr:uid="{E85F59CE-4088-4319-8376-D40016AF78D3}"/>
    <hyperlink ref="B347" r:id="rId225" display="Ottelupöytäkirjat\Kausi 17-18 - 4Div\210-O05-2017-11-26-SekTa-KaPa-65_6-3_Maijamäen-Liikuntahalli.jpg" xr:uid="{FDCF8DD0-2498-4DBD-8F75-E488A33F7166}"/>
    <hyperlink ref="B348" r:id="rId226" display="Ottelupöytäkirjat\Kausi 17-18 - 4Div\211-O06-2017-11-26-SB-Naantali-SekTa_5-1_Maijamäen-Liikuntahalli.jpg" xr:uid="{710F387B-87FB-43C3-95A3-75D45DF5DF27}"/>
    <hyperlink ref="B350" r:id="rId227" display="Ottelupöytäkirjat\Kausi 17-18 - 4Div\213-O08-2017-12-16-SekTa-SBT-Shadows_3-5_Leaf-Areena.jpg" xr:uid="{B43BEC55-F5ED-4E29-AAF5-8D9FE0E59A55}"/>
    <hyperlink ref="B351" r:id="rId228" display="Ottelupöytäkirjat\Kausi 17-18 - 4Div\214-O09-2018-01-07-SekTa-TBS_3-4_Leaf-Areena.jpg" xr:uid="{A21A8A53-A66C-40FB-87B0-34B1B81A4128}"/>
    <hyperlink ref="B352" r:id="rId229" display="Ottelupöytäkirjat\Kausi 17-18 - 4Div\215-O10-2018-01-07-Pyövelit2-SekTa_6-3_Leaf-Areena.jpg" xr:uid="{0E6BDA75-C4F6-4206-AE56-2E96D9A900F1}"/>
    <hyperlink ref="B353" r:id="rId230" display="Ottelupöytäkirjat\Kausi 17-18 - 4Div\216-O11-2018-01-27-Yrmyt-SekTa_11-4_Pohitullin-Palloiluhalli.jpg" xr:uid="{CB4E8A21-7E8B-4AC5-8EBB-5A2CA28EAD7B}"/>
    <hyperlink ref="B354" r:id="rId231" display="Ottelupöytäkirjat\Kausi 17-18 - 4Div\217-O12-2018-01-27-SekTa-RK-Rangers_1-2_Pohitullin-Palloiluhalli.jpg" xr:uid="{6387853B-74D4-4C4F-A8DE-61A993055B67}"/>
    <hyperlink ref="B355" r:id="rId232" display="Ottelupöytäkirjat\Kausi 17-18 - 4Div\218-O13-2018-02-17-SekTa-SB-Naantali3_3-4_SB-Areena.jpg" xr:uid="{2A6A6B3E-879D-4237-92D6-48F857C198A0}"/>
    <hyperlink ref="B356" r:id="rId233" display="Ottelupöytäkirjat\Kausi 17-18 - 4Div\219-O14-2018-02-17-KaPa-65-SekTa_4-8_SB-Areena.jpg" xr:uid="{012F1E84-2CC3-47AA-806D-11CF9B34CF2F}"/>
    <hyperlink ref="B357" r:id="rId234" display="Ottelupöytäkirjat\Kausi 17-18 - 4Div\220-O15-2018-03-10-SekTa-TA-631_4-1_Taivassalo.jpg" xr:uid="{07FAF64C-00B9-442B-A4B7-5C1E08A39A83}"/>
    <hyperlink ref="B358" r:id="rId235" display="Ottelupöytäkirjat\Kausi 17-18 - 4Div\221-O16-2018-03-10-SBT-Shadows-SekTa_4-5_Taivassalo.jpg" xr:uid="{4346DF91-BE6B-4220-A25A-98D08B6186B2}"/>
    <hyperlink ref="B359" r:id="rId236" display="Ottelupöytäkirjat\Kausi 17-18 - 4Div\222-O17-2018-04-07-SekTa-SB-NaantaliM2_4-3_SB-Areena-Karsintaottelu.jpg" xr:uid="{06CA5CFF-5CF6-4E09-8F78-7D347CB28A6C}"/>
    <hyperlink ref="B371" r:id="rId237" display="Ottelupöytäkirjat\Kausi 18-19 - 4Div\223-O01-Phantoms-SekTa-KisariihiPöytyä-522373-2024-08-30-10-36-22.pdf" xr:uid="{A0A4037A-AA0C-4DC5-9180-F2C83DE8EEA0}"/>
    <hyperlink ref="B372" r:id="rId238" display="Ottelupöytäkirjat\Kausi 18-19 - 4Div\224-O02-SekTa-TA631-KisariihiPöytyä-522379-2024-08-30-10-37-55.pdf" xr:uid="{A8241C1B-E40B-45E0-97F1-3AF9EB84B384}"/>
    <hyperlink ref="B373" r:id="rId239" display="Ottelupöytäkirjat\Kausi 18-19 - 4Div\225-O03-KIK-SekTa-PuntParainen-522395-2024-08-30-10-39-03.pdf" xr:uid="{94F1F67F-58BB-4246-AD42-639B2B370333}"/>
    <hyperlink ref="B374" r:id="rId240" display="Ottelupöytäkirjat\Kausi 18-19 - 4Div\226-O04-SekTa-PöU-PuntParainen-522399-2024-08-30-10-39-45.pdf" xr:uid="{34C923AB-73B4-4EA4-ACBA-BCDB9CD690DA}"/>
    <hyperlink ref="B375" r:id="rId241" display="Ottelupöytäkirjat\Kausi 18-19 - 4Div\227-O05-SekTa-PIF1-LeafAreena-522407-2024-08-30-10-40-44.pdf" xr:uid="{A5057034-125B-43C6-8527-4353A90F113C}"/>
    <hyperlink ref="B376" r:id="rId242" display="Ottelupöytäkirjat\Kausi 18-19 - 4Div\228-O06-AFCCampus2-SekTa-LeafAreena-522415-2024-08-30-10-41-29.pdf" xr:uid="{35F36452-3835-4E9A-8D60-543EEA30B545}"/>
    <hyperlink ref="B377" r:id="rId243" display="Ottelupöytäkirjat\Kausi 18-19 - 4Div\229-O07-SekTa-Gremlins-LeafAreena-522429-2024-08-30-10-42-23.pdf" xr:uid="{DD7AD621-D6CD-4F69-8DC7-34BC0A379E24}"/>
    <hyperlink ref="B378" r:id="rId244" display="Ottelupöytäkirjat\Kausi 18-19 - 4Div\230-O08-SekTa-KIK-SBAreena-522434-2024-08-30-10-43-07.pdf" xr:uid="{9EFD510B-3EAF-440E-8B95-E23961309B1E}"/>
    <hyperlink ref="B379" r:id="rId245" display="Ottelupöytäkirjat\Kausi 18-19 - 4Div\231-O09-TA631-SekTa-SBAreena-522441-2024-08-30-10-43-50.pdf" xr:uid="{BD3108A4-DCAB-42EC-BCBD-D1A19826B93C}"/>
    <hyperlink ref="B380" r:id="rId246" display="Ottelupöytäkirjat\Kausi 18-19 - 4Div\232-O10-PöU-SekTa-KisariihiPöytyä-522447-2024-08-30-10-44-37.pdf" xr:uid="{90AAAD47-CAF0-451A-9717-3D12073D52B1}"/>
    <hyperlink ref="B381" r:id="rId247" display="Ottelupöytäkirjat\Kausi 18-19 - 4Div\233-O11-PIF1-SekTa-KisariihiPöytyä-522452-2024-08-30-10-45-23.pdf" xr:uid="{01C996D4-7B68-414E-A4C2-5E99B879B551}"/>
    <hyperlink ref="B382" r:id="rId248" display="Ottelupöytäkirjat\Kausi 18-19 - 4Div\234-O12-SekTa-AFCCampus2-PuntParainen-522468-2024-08-30-10-46-20.pdf" xr:uid="{30D39A43-E919-45CA-80FA-E7431CA04B5D}"/>
    <hyperlink ref="B383" r:id="rId249" display="Ottelupöytäkirjat\Kausi 18-19 - 4Div\235-O13-Gremlins-SekTa-PuntParainen-522472-2024-08-30-10-47-04.pdf" xr:uid="{E4BF0BFD-FBC3-4167-834F-EFF0D83A7D83}"/>
    <hyperlink ref="B384" r:id="rId250" display="Ottelupöytäkirjat\Kausi 18-19 - 4Div\236-O14-SekTa-Phantoms-SBAreena-522482-2024-08-30-10-47-45.pdf" xr:uid="{EFC3BF29-C33E-4830-AAE3-3546A5522E8D}"/>
    <hyperlink ref="B385" r:id="rId251" display="Ottelupöytäkirjat\Kausi 18-19 - 4Div\237-O15-KIK-SekTa-SBAreena-522495-2024-08-30-10-48-35.pdf" xr:uid="{851E85B6-17D5-4C1A-A743-A0480E18971D}"/>
    <hyperlink ref="B386" r:id="rId252" display="Ottelupöytäkirjat\Kausi 18-19 - 4Div\238-O16-SekTa-TA631-PuntParainen-522501-2024-08-30-10-49-50.pdf" xr:uid="{CA128CEE-6B0C-4B08-9942-319321C358BB}"/>
    <hyperlink ref="B387" r:id="rId253" display="Ottelupöytäkirjat\Kausi 18-19 - 4Div\239-O17-SekTa-PöU-PuntParainen-522505-2024-08-30-10-50-35.pdf" xr:uid="{FC228AF6-B11E-40BB-93FE-B94F1DC08FDD}"/>
    <hyperlink ref="B388" r:id="rId254" display="Ottelupöytäkirjat\Kausi 18-19 - 4Div\240-O18-Phantoms-SekTa-LeafAreena-522515-2024-08-30-10-51-19.pdf" xr:uid="{71D5E4B5-028C-46F0-A3C7-4F0DC1739617}"/>
    <hyperlink ref="B389" r:id="rId255" display="Ottelupöytäkirjat\Kausi 18-19 - 4Div\241-O19-SekTa-Gremlins-LeafAreena-522519-2024-08-30-10-52-21.pdf" xr:uid="{7B2D94B2-D490-48A5-B043-3964BFA7ED60}"/>
    <hyperlink ref="B390" r:id="rId256" display="Ottelupöytäkirjat\Kausi 18-19 - 4Div\242-O20-SekTa-PIF1-Taivassalo-522535-2024-08-30-10-53-11.pdf" xr:uid="{1F030EE4-6BFA-4354-A10E-33FFEDD44CDE}"/>
    <hyperlink ref="B391" r:id="rId257" display="Ottelupöytäkirjat\Kausi 18-19 - 4Div\243-O21-AFCCampus2-SekTa-Taivassalo-522543-2024-08-30-10-54-21.pdf" xr:uid="{31F7320F-9B07-49EE-BD35-7133DF5BF175}"/>
    <hyperlink ref="B392" r:id="rId258" display="Ottelupöytäkirjat\Kausi 18-19 - 4Div\244-O22-Karsinta-TeamLSM-SekTa-MomentumPori-571604-2024-08-30-10-55-41.pdf" xr:uid="{BF198AB6-02A4-4934-94FA-AB620A977D1E}"/>
    <hyperlink ref="B393" r:id="rId259" display="Ottelupöytäkirjat\Kausi 18-19 - 4Div\245-O23-Karsinta-SekTa-SBNaantali3-MomentumPori-571610-2024-08-30-10-56-37.pdf" xr:uid="{BA3A478F-918C-49C6-BB9E-1911EA23C3F1}"/>
    <hyperlink ref="B394" r:id="rId260" display="Ottelupöytäkirjat\Kausi 18-19 - 4Div\246-O24-Karsinta-SekTa-SBHirvensalo2-LeafAreena-571764-2024-08-30-10-57-21.pdf" xr:uid="{046671B0-4C41-43E3-8592-F3DE9EE327EF}"/>
    <hyperlink ref="B407" r:id="rId261" display="Ottelupöytäkirjat\Kausi 19-20 - 4Div\247-O01-Suomen-Cup-SekTa-KaPa65-Leaf-1754-2019-08-31.pdf" xr:uid="{47CD461C-4A0A-4F3C-80A9-42A395DC31C1}"/>
    <hyperlink ref="B408" r:id="rId262" display="Ottelupöytäkirjat\Kausi 19-20 - 4Div\248-O02-Suomen-Cup-PRM-SekTa-Leaf-1756-2019-08-31.pdf" xr:uid="{DCEF365B-F570-4A07-9596-4C93E0063AF2}"/>
    <hyperlink ref="B409" r:id="rId263" display="Ottelupöytäkirjat\Kausi 19-20 - 4Div\249-O03-Suomen-Cup-TPS3-SekTa-Leaf-1757-2019-08-31.pdf" xr:uid="{16588775-2719-4B6A-A0F3-80AF2F1FC25C}"/>
    <hyperlink ref="B410" r:id="rId264" display="Ottelupöytäkirjat\Kausi 19-20 - 4Div\250-O04-4DIV-SekTa-PöU-Taivassalo-7054-2019-10-12.pdf" xr:uid="{1A74E15F-6B4D-422A-8CD8-3E98BD56D059}"/>
    <hyperlink ref="B411" r:id="rId265" display="Ottelupöytäkirjat\Kausi 19-20 - 4Div\251-O05-4DIV-RKRangers-SekTa-Taivassalo-7056-2019-10-12.pdf" xr:uid="{34782A2F-E2F6-44EA-93F8-468E64B551FD}"/>
    <hyperlink ref="B412" r:id="rId266" display="Ottelupöytäkirjat\Kausi 19-20 - 4Div\252-O06-4DIV-SekTa-USB-Leaf-7063-2019-10-27.pdf" xr:uid="{CB14045F-A7D8-431E-8A99-56709C68B53E}"/>
    <hyperlink ref="B413" r:id="rId267" display="Ottelupöytäkirjat\Kausi 19-20 - 4Div\253-O07-4DIV-Wankers-SekTa-Leaf-7066-2019-10-27.pdf" xr:uid="{7D67BF88-B9FB-449F-8CA2-43E7CAC56286}"/>
    <hyperlink ref="B414" r:id="rId268" display="Ottelupöytäkirjat\Kausi 19-20 - 4Div\254-O08-4DIV-SBNaantali3-SekTa-Leaf-7070-2019-11-16.pdf" xr:uid="{88FE9292-35D8-4382-ABB3-D0627F9DD6CF}"/>
    <hyperlink ref="B415" r:id="rId269" display="Ottelupöytäkirjat\Kausi 19-20 - 4Div\255-O09-4DIV-TuTo-SekTa-Leaf-7072-2019-11-16.pdf" xr:uid="{4C8EF21A-0B05-43CA-A526-BEA71BD766C8}"/>
    <hyperlink ref="B416" r:id="rId270" display="Ottelupöytäkirjat\Kausi 19-20 - 4Div\256-O10-4DIV-TA631-SekTa-SportGarden-7081-2019-12-07.pdf" xr:uid="{0298D096-8F09-4784-B489-D94BA8CA919D}"/>
    <hyperlink ref="B417" r:id="rId271" display="Ottelupöytäkirjat\Kausi 19-20 - 4Div\257-O11-4DIV-SekTa-SBKM-SportGarden-7084-2019-12-07.pdf" xr:uid="{0A23C393-7436-484F-AC87-03E0785BB1AB}"/>
    <hyperlink ref="B418" r:id="rId272" display="Ottelupöytäkirjat\Kausi 19-20 - 4Div\258-O12-4DIV-SekTa-RKRangers-Maijamäki-7090-2020-01-05.pdf" xr:uid="{A97B1DFB-1FFC-4DF2-AD4E-069D84106556}"/>
    <hyperlink ref="B419" r:id="rId273" display="Ottelupöytäkirjat\Kausi 19-20 - 4Div\259-O13-4DIV-SekTa-Phantoms-Maijamäki-7092-2020-01-05.pdf" xr:uid="{5D96CD4D-1C83-4FAC-A759-876BA5D668C2}"/>
    <hyperlink ref="B420" r:id="rId274" display="Ottelupöytäkirjat\Kausi 19-20 - 4Div\260-O14-4DIV-SekTa-Wankers-Leaf-7098-2020-01-26.pdf" xr:uid="{9CB767F9-12C0-4CD9-B53B-79ECFF6454F9}"/>
    <hyperlink ref="B421" r:id="rId275" display="Ottelupöytäkirjat\Kausi 19-20 - 4Div\261-O15-4DIV-PöU-SekTa-Leaf-7107-2020-01-26.pdf" xr:uid="{10FC4737-6C26-4F75-992F-48E8261CAD03}"/>
    <hyperlink ref="B422" r:id="rId276" display="Ottelupöytäkirjat\Kausi 19-20 - 4Div\262-O16-4DIV-USB-SekTa-Pohitulli-7108-2020-02-15.pdf" xr:uid="{6C13EFE9-D7EC-407D-ACD9-AF386B17D8CF}"/>
    <hyperlink ref="B423" r:id="rId277" display="Ottelupöytäkirjat\Kausi 19-20 - 4Div\263-O17-4DIV-SekTa-SBNaantali3-Pohitulli-7110-2020-02-15.pdf" xr:uid="{4A55979F-04F3-4FD7-AE73-CE2A3907EB4F}"/>
    <hyperlink ref="B424" r:id="rId278" display="Ottelupöytäkirjat\Kausi 19-20 - 4Div\264-O18-4DIV-SekTa-TuTo-SBAreena-7119-2020-02-29.pdf" xr:uid="{4D627003-F737-4597-AFF6-41E5469514A8}"/>
    <hyperlink ref="B425" r:id="rId279" display="Ottelupöytäkirjat\Kausi 19-20 - 4Div\265-O19-4DIV-SBSKM-SekTa-SBAreena-7121-2020-02-29.pdf" xr:uid="{2D309F43-4EEF-42D5-B6D3-B34D7CFA02A7}"/>
    <hyperlink ref="B439" r:id="rId280" display="Ottelupöytäkirjat\Kausi 20-21 - 3Div\266-O01-3DIV-AFCCampus-SekTa-HaNihalli-5628-2020-10-11.pdf" xr:uid="{C6AE01BA-4F68-47F2-92CB-BDE493F4C2E8}"/>
    <hyperlink ref="B440" r:id="rId281" display="Ottelupöytäkirjat\Kausi 20-21 - 3Div\267-O02-3DIV-SekTa-SBSWirmo2-HaNihalli-5630-2020-10-11.pdf" xr:uid="{7E6E328B-CF72-46DF-BADC-1DBF37CD750E}"/>
    <hyperlink ref="B469" r:id="rId282" display="Ottelupöytäkirjat\Kausi 21-22 - 3Div\268-O01-3DIV-3577-SekTa-Flames-Oripää-2021-09-25.pdf" xr:uid="{FEB92B07-F555-499F-A202-ADFB1F68DFCD}"/>
    <hyperlink ref="B470" r:id="rId283" display="Ottelupöytäkirjat\Kausi 21-22 - 3Div\269-O02-3DIV-3579-SekTa-OU-Oripää-2021-09-25.pdf" xr:uid="{1E16A424-ED25-444D-B4A0-C57DCA3F3737}"/>
    <hyperlink ref="B471" r:id="rId284" display="Ottelupöytäkirjat\Kausi 21-22 - 3Div\270-O03-3DIV-3584-PöU-SekTa-SBAreena-2021-10-16.pdf" xr:uid="{B3C9116A-8779-416A-9DF5-EE8AF6C44975}"/>
    <hyperlink ref="B472" r:id="rId285" display="Ottelupöytäkirjat\Kausi 21-22 - 3Div\271-O04-3DIV-3586-SekTa-TBS-SBAreena-2021-10-16.pdf" xr:uid="{E8890354-7D6D-46BC-855A-A8CEA379B442}"/>
    <hyperlink ref="B473" r:id="rId286" display="Ottelupöytäkirjat\Kausi 21-22 - 3Div\272-O05-3DIV-3591-SalPa-SekTa-Salohalli-2021-11-13.pdf" xr:uid="{39D0B7EB-96BC-4458-A3B4-B7B4DE7B12F4}"/>
    <hyperlink ref="B474" r:id="rId287" display="Ottelupöytäkirjat\Kausi 21-22 - 3Div\273-O06-3DIV-3593-SekTa-FoSu-Akatemia-Salohalli-2021-11-13.pdf" xr:uid="{F24AFDBC-7B3C-4DB1-B72D-60FD9796C3C5}"/>
    <hyperlink ref="B475" r:id="rId288" display="Ottelupöytäkirjat\Kausi 21-22 - 3Div\274-O07-3DIV-3605-SC-Toivo-SekTa-Leaf-2021-12-19.pdf" xr:uid="{93E57850-BEEA-46DC-9F9D-5CCDC3DDD5CA}"/>
    <hyperlink ref="B476" r:id="rId289" display="Ottelupöytäkirjat\Kausi 21-22 - 3Div\275-O08-3DIV-3610-SekTa-TVA-Leaf-2021-12-19.pdf" xr:uid="{19A54474-6111-4F11-B2E2-FE72B6615A7F}"/>
    <hyperlink ref="B477" r:id="rId290" display="Ottelupöytäkirjat\Kausi 21-22 - 3Div\276-O09-3DIV-3627-SekTa-PöU-SBAreena-2022-02-05.pdf" xr:uid="{E43AF6BA-4DC7-44EC-A809-05014F1D2780}"/>
    <hyperlink ref="B478" r:id="rId291" display="Ottelupöytäkirjat\Kausi 21-22 - 3Div\277-O10-3DIV-3629-AFC-Campus-SekTa-SBAreena-2022-02-05.pdf" xr:uid="{243F8A92-CA87-4BE9-B924-1B894096472A}"/>
    <hyperlink ref="B479" r:id="rId292" display="Ottelupöytäkirjat\Kausi 21-22 - 3Div\278-O11-3DIV-3635-TBS-SekTa-SBAreena-2022-02-19.pdf" xr:uid="{22A26BB1-6693-4A67-94EA-F41946639875}"/>
    <hyperlink ref="B480" r:id="rId293" display="Ottelupöytäkirjat\Kausi 21-22 - 3Div\279-O12-3DIV-3637-TVA-SekTa-SBAreena-2022-02-19.pdf" xr:uid="{B863F6FD-8F5F-4121-AAEB-F93CD5AF1C53}"/>
    <hyperlink ref="B481" r:id="rId294" display="Ottelupöytäkirjat\Kausi 21-22 - 3Div\280-O13-3DIV-3638-FoSu-Akatemia-SekTa-SBAreena-2022-02-26.pdf" xr:uid="{716334D3-9A00-416B-8F00-603145A87F4C}"/>
    <hyperlink ref="B482" r:id="rId295" display="Ottelupöytäkirjat\Kausi 21-22 - 3Div\281-O14-3DIV-3641-SekTa-SalPa-SBAreena-2022-02-26.pdf" xr:uid="{F9B31B09-BECA-4306-860A-7488CB4E371D}"/>
    <hyperlink ref="B483" r:id="rId296" display="Ottelupöytäkirjat\Kausi 21-22 - 3Div\282-O15-3DIV-3618-Flames-SekTa-Oripää-2022-03-12.pdf" xr:uid="{4BFD4690-B6EE-489C-AC4E-55008DBAFC2F}"/>
    <hyperlink ref="B484" r:id="rId297" display="Ottelupöytäkirjat\Kausi 21-22 - 3Div\283-O16-3DIV-3620-OU-SekTa-Oripää-2022-03-12.pdf" xr:uid="{9781479E-69A8-4171-9DC0-0FC750985D85}"/>
    <hyperlink ref="B485" r:id="rId298" display="Ottelupöytäkirjat\Kausi 21-22 - 3Div\284-O17-3DIV-3655-SekTa-AFC-Campus-Leaf-2022-03-19.pdf" xr:uid="{E427BE3B-A231-4FC7-ADD1-CB56C7628AF5}"/>
    <hyperlink ref="B486" r:id="rId299" display="Ottelupöytäkirjat\Kausi 21-22 - 3Div\285-O18-3DIV-3657-SekTa-SC-Toivo-Leaf-2022-03-19.pdf" xr:uid="{D24A62C3-CCF9-42F1-92FF-5C63A615F639}"/>
    <hyperlink ref="B487" r:id="rId300" display="Ottelupöytäkirjat\Kausi 21-22 - 3Div\286-O19-Karsinta-29662-SekTa-TVV-SportGarden-2022-04-23.pdf" xr:uid="{84359920-D029-4E9F-93C2-F675BB7B250E}"/>
    <hyperlink ref="B499" r:id="rId301" display="Ottelupöytäkirjat\Kausi 22-23 - 4Div\287-O01-4DIV-SekTa-TVA2-Leaf-2889-2022-09-24.pdf" xr:uid="{7E547DEA-94F3-4C92-9F99-BC75A2A4241F}"/>
    <hyperlink ref="B500" r:id="rId302" display="Ottelupöytäkirjat\Kausi 22-23 - 4Div\288-O02-4DIV-FBCTurku3-SekTa-Leaf-2892-2022-09-24.pdf" xr:uid="{17FCFC93-3439-4CCE-ABEF-A24657FC3095}"/>
    <hyperlink ref="B501" r:id="rId303" display="Ottelupöytäkirjat\Kausi 22-23 - 4Div\289-O03-4DIV-Ahto-SekTa-Leaf-2896-2022-10-16.pdf" xr:uid="{39A364F3-B9F7-473A-B39E-12BED6582BDD}"/>
    <hyperlink ref="B502" r:id="rId304" display="Ottelupöytäkirjat\Kausi 22-23 - 4Div\290-O04-4DIV-SekTa-FCKYPS-Leaf-2899-2022-10-16.pdf" xr:uid="{C476B1ED-68BB-4CE1-85BD-20DB75C25A3E}"/>
    <hyperlink ref="B503" r:id="rId305" display="Ottelupöytäkirjat\Kausi 22-23 - 4Div\291-O05-4DIV-SekTa-SBSLieto2-Kisariihi-2903-2022-10-29.pdf" xr:uid="{FA1A68BD-DE83-449A-8107-32BB59028932}"/>
    <hyperlink ref="B504" r:id="rId306" display="Ottelupöytäkirjat\Kausi 22-23 - 4Div\292-O06-4DIV-AFCCampus2-SekTa-Kisariihi-2905-2022-10-29.pdf" xr:uid="{4A5A8410-1C21-46E3-B5BC-42355C51B067}"/>
    <hyperlink ref="B505" r:id="rId307" display="Ottelupöytäkirjat\Kausi 22-23 - 4Div\293-O07-4DIV-Flames-SekTa-Lietohalli-2913-2022-11-20.pdf" xr:uid="{73D694A0-1579-4D54-869C-AA42143FF8BC}"/>
    <hyperlink ref="B506" r:id="rId308" display="Ottelupöytäkirjat\Kausi 22-23 - 4Div\294-O08-4DIV-SekTa-Ruoska4-Lietohalli-2916-2022-11-20.pdf" xr:uid="{9BFA32BB-C975-4C05-81CA-D59B9DF3C42D}"/>
    <hyperlink ref="B507" r:id="rId309" display="Ottelupöytäkirjat\Kausi 22-23 - 4Div\295-O09-4DIV-SekTa-FBCTurku3-NousteAreena-2923-2022-12-03.pdf" xr:uid="{0BF37338-5565-4D06-B37C-39931D17B6B5}"/>
    <hyperlink ref="B508" r:id="rId310" display="Ottelupöytäkirjat\Kausi 22-23 - 4Div\296-O10-4DIV-TVA2-SekTa-NousteAreena-2926-2022-12-03.pdf" xr:uid="{D86E9D36-B693-4FDC-BF44-663E9C05A20F}"/>
    <hyperlink ref="B509" r:id="rId311" display="Ottelupöytäkirjat\Kausi 22-23 - 4Div\297-O11-4DIV-SekTa-Ahto-SportGarden-2930-2022-12-18.pdf" xr:uid="{28593B47-BDA3-466E-B85D-C40803453C48}"/>
    <hyperlink ref="B510" r:id="rId312" display="Ottelupöytäkirjat\Kausi 22-23 - 4Div\298-O12-4DIV-FCKYPS-SekTa-SportGarden-2933-2022-12-18.pdf" xr:uid="{C2662B6E-1673-4930-9258-4932D6FB8226}"/>
    <hyperlink ref="B511" r:id="rId313" display="Ottelupöytäkirjat\Kausi 22-23 - 4Div\299-O13-4DIV-SBSLieto2-SekTa-SportGarden-2941-2023-01-08.pdf" xr:uid="{17FA5D4D-B1F8-4C3B-9C3B-04EE7B30FAF9}"/>
    <hyperlink ref="B512" r:id="rId314" display="Ottelupöytäkirjat\Kausi 22-23 - 4Div\300-O14-4DIV-SekTa-AFCCampus2-SportGarden-2944-2023-01-08.pdf" xr:uid="{00BF9776-1FD4-4C38-B6F5-F3D87096CC12}"/>
    <hyperlink ref="B513" r:id="rId315" display="Ottelupöytäkirjat\Kausi 22-23 - 4Div\301-O15-4DIV-Ruoska4-SekTa-NousteAreena-2948-2023-01-21.pdf" xr:uid="{CE5AC7E9-193D-4E6D-AE6B-CFEC94053277}"/>
    <hyperlink ref="B514" r:id="rId316" display="Ottelupöytäkirjat\Kausi 22-23 - 4Div\302-O16-4DIV-SekTa-Flames-NousteAreena-2950-2023-01-21.pdf" xr:uid="{73C10991-F068-4579-8AA4-9B4E6BE41C2C}"/>
    <hyperlink ref="B515" r:id="rId317" display="Ottelupöytäkirjat\Kausi 22-23 - 4Div\303-O17-4DIV-FBCTurku3-SekTa-Leaf-2956-2023-02-12.pdf" xr:uid="{6AAAA1BA-8AAA-4A3C-A79B-91069CD2E0DD}"/>
    <hyperlink ref="B516" r:id="rId318" display="Ottelupöytäkirjat\Kausi 22-23 - 4Div\304-O18-4DIV-SekTa-TVA2-Leaf-2963-2023-02-12.pdf" xr:uid="{16E99EF4-C5B3-40EA-A668-3D08B71AF13E}"/>
    <hyperlink ref="B517" r:id="rId319" display="Ottelupöytäkirjat\Kausi 22-23 - 4Div\305-O19-4DIV-Ahto-SekTa-Leaf-2970-2023-02-26.pdf" xr:uid="{CC3C7164-5828-415B-948D-C72325FFF7FF}"/>
    <hyperlink ref="B518" r:id="rId320" display="Ottelupöytäkirjat\Kausi 22-23 - 4Div\306-O20-4DIV-SekTa-FCKYPS-Leaf-2973-2023-02-26.pdf" xr:uid="{60EB9378-5E8E-4108-925D-7AB15DFA3983}"/>
    <hyperlink ref="B519" r:id="rId321" display="Ottelupöytäkirjat\Kausi 22-23 - 4Div\307-O21-4DIV-SekTa-SBSLieto2-Kisariihi-2975-2023-03-18.pdf" xr:uid="{063ABE35-D678-49F2-AED9-419C87053689}"/>
    <hyperlink ref="B520" r:id="rId322" display="Ottelupöytäkirjat\Kausi 22-23 - 4Div\308-O22-4DIV-AFCCampus2-SekTa-Kisariihi-2978-2023-03-18.pdf" xr:uid="{86CE5E5A-7876-4FD8-B4D1-72886C321EB5}"/>
    <hyperlink ref="B521" r:id="rId323" display="Ottelupöytäkirjat\Kausi 22-23 - 4Div\309-O23-4DIV-SekTa-Ruoska4-SportGarden-2989-2023-04-01.pdf" xr:uid="{11D81C7D-0B1B-4146-8FF3-AEB66EEC7EB1}"/>
    <hyperlink ref="B522" r:id="rId324" display="Ottelupöytäkirjat\Kausi 22-23 - 4Div\310-O24-4DIV-Flames-SekTa-SportGarden-2991-2023-04-01.pdf" xr:uid="{270A0D89-778E-42FB-B8AF-9CA780F02BFB}"/>
    <hyperlink ref="B567" r:id="rId325" display="Ottelupöytäkirjat\Kausi 24-25 - 3Div\335-O01-SBSWirmo2-SekTa-3-2-HaNiHalli-824514-20240907.pdf" xr:uid="{6A06EB33-5790-4DE2-9FC2-6EDD47404573}"/>
    <hyperlink ref="B568" r:id="rId326" display="Ottelupöytäkirjat\Kausi 24-25 - 3Div\336-O02-SekTa-Phantoms-3-5-HaNiHalli-824512-20240907.pdf" xr:uid="{66BBA9F3-1FF4-466A-BA0C-B3B146949659}"/>
    <hyperlink ref="B569" r:id="rId327" display="Ottelupöytäkirjat\Kausi 24-25 - 3Div\337-O03-SekTa-SalPa-2-1-Leaf-824506-20240920.pdf" xr:uid="{A144A76A-38EF-4501-8E1C-DA4D6DC37470}"/>
    <hyperlink ref="B570" r:id="rId328" display="Ottelupöytäkirjat\Kausi 24-25 - 3Div\338-O04-SBHirvensalo-SekTa-1-8-Leaf-824496-20240927.pdf" xr:uid="{16E00E14-5248-417A-93D2-E1D0A156AC6B}"/>
    <hyperlink ref="B571" r:id="rId329" display="Ottelupöytäkirjat\Kausi 24-25 - 3Div\339-O05-FosuAkatemia-SekTa-3-8-JokioistenLeipäAreena-824494-20241012.pdf" xr:uid="{E4096103-07AD-4B48-B23F-34284AC105D8}"/>
    <hyperlink ref="B572" r:id="rId330" display="Ottelupöytäkirjat\Kausi 24-25 - 3Div\340-O06-SekTa-OU-4-7-JokioistenLeipäAreena-824492-20241012.pdf" xr:uid="{C876CC7C-9B7B-499A-8EEC-22B00BD48734}"/>
    <hyperlink ref="B573" r:id="rId331" display="Ottelupöytäkirjat\Kausi 24-25 - 3Div\341-O07-AjT-SekTa-5-3-Taivassalo-824477-20241109.pdf" xr:uid="{6F718358-DAAE-4B12-AB86-5217CA63977E}"/>
    <hyperlink ref="B574" r:id="rId332" display="Ottelupöytäkirjat\Kausi 24-25 - 3Div\342-O08-SekTa-TA631-3-4-Taivassalo-824475-20241109.pdf" xr:uid="{BFF53D19-717A-4D59-A888-0BBEF801EAB4}"/>
    <hyperlink ref="B575" r:id="rId333" display="Ottelupöytäkirjat\Kausi 24-25 - 3Div\343-O09-SalPa-SekTa-5-2-Taivassalo-824388-20241124.pdf" xr:uid="{1C2AE681-1A55-4CF5-BFC4-598D3097ECE5}"/>
    <hyperlink ref="B576" r:id="rId334" display="Ottelupöytäkirjat\Kausi 24-25 - 3Div\344-O10-TBS-SekTa-4-5-Leaf-824469-20241130.pdf" xr:uid="{951982A1-F571-4833-8B6F-DC671FED9CB9}"/>
    <hyperlink ref="B577" r:id="rId335" display="Ottelupöytäkirjat\Kausi 24-25 - 3Div\345-O11-SekTa-Velehot-5-5-Leaf-824468-20241130.pdf" xr:uid="{B39CCE40-8200-42B7-B3FF-19433AEEDED8}"/>
    <hyperlink ref="B578" r:id="rId336" display="Ottelupöytäkirjat\Kausi 24-25 - 3Div\346-O12-SekTa-TVV-3-6-Leaf-824456-20241213.pdf" xr:uid="{701F66F7-3094-4ECA-91FE-5AB82B047D76}"/>
    <hyperlink ref="B579" r:id="rId337" display="Ottelupöytäkirjat\Kausi 24-25 - 3Div\347-O13-SekTa-SBSWirmo2-2-5-Leaf-824446-20250118.pdf" xr:uid="{68D581CA-6850-4EC2-8F11-B5C14FD09ED7}"/>
    <hyperlink ref="B580" r:id="rId338" display="Ottelupöytäkirjat\Kausi 24-25 - 3Div\348-O14-Phantoms-SekTa-4-6-Leaf-824443-20250118.pdf" xr:uid="{4E626A28-253A-464C-90F4-B742F0314238}"/>
    <hyperlink ref="B581" r:id="rId339" display="Ottelupöytäkirjat\Kausi 24-25 - 3Div\349-O15-SekTa-SBHirvensalo-7-1-Leaf-824433-20250207.pdf" xr:uid="{292779A2-F482-43D0-AB93-684BC672B94D}"/>
    <hyperlink ref="B582" r:id="rId340" display="Ottelupöytäkirjat\Kausi 24-25 - 3Div\350-O16-SekTa-FoSuAkatemia-8-3-OripäänLH-824417-20250215.pdf" xr:uid="{029F18AC-11FD-4B5B-AAD0-427B160DF248}"/>
    <hyperlink ref="B583" r:id="rId341" display="Ottelupöytäkirjat\Kausi 24-25 - 3Div\351-O17-OU-SekTa-7-6-OripäänLH-824415-20250215.pdf" xr:uid="{0F8FB76C-C3AF-4AF4-9B67-C64F719D3751}"/>
    <hyperlink ref="B584" r:id="rId342" display="Ottelupöytäkirjat\Kausi 24-25 - 3Div\352-O18-SekTa-AJT-1-3-Leaf-824409-20250301.pdf" xr:uid="{C0D9BC7A-C57D-4A6D-B8F7-F8636C96A902}"/>
    <hyperlink ref="B585" r:id="rId343" display="Ottelupöytäkirjat\Kausi 24-25 - 3Div\353-O19-TA631-SekTa-2-5-Leaf-824408-20250301.pdf" xr:uid="{384A9DB8-7FA2-4E0A-A85F-6602B49D8117}"/>
    <hyperlink ref="B586" r:id="rId344" display="Ottelupöytäkirjat\Kausi 24-25 - 3Div\354-O20-SekTa-TBS-6-3-Leaf-824394-20250309.pdf" xr:uid="{D4C20359-47F6-4484-80CF-4E133219E0A7}"/>
    <hyperlink ref="B587" r:id="rId345" display="Ottelupöytäkirjat\Kausi 24-25 - 3Div\355-O21-Velehot-SekTa-6-1-Leaf-824391-20250309.pdf" xr:uid="{783E6534-B776-4F6C-BEFF-E8260A5E4EA4}"/>
    <hyperlink ref="B588" r:id="rId346" display="Ottelupöytäkirjat\Kausi 24-25 - 3Div\356-O22-TVV-SekTa-7-1-Leaf-824430-20250329.pdf" xr:uid="{65607B08-FA6F-46A5-A025-8CD9FC6EEC56}"/>
  </hyperlinks>
  <pageMargins left="0.25" right="0.25" top="0.75" bottom="0.75" header="0.3" footer="0.3"/>
  <pageSetup paperSize="9" scale="26" orientation="landscape" r:id="rId347"/>
  <drawing r:id="rId34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AJ291"/>
  <sheetViews>
    <sheetView topLeftCell="A274" zoomScaleNormal="100" workbookViewId="0">
      <selection activeCell="M296" sqref="M296"/>
    </sheetView>
  </sheetViews>
  <sheetFormatPr defaultRowHeight="14.4" x14ac:dyDescent="0.3"/>
  <cols>
    <col min="2" max="2" width="17.77734375" bestFit="1" customWidth="1"/>
    <col min="3" max="3" width="25" customWidth="1"/>
    <col min="4" max="17" width="5.6640625" customWidth="1"/>
    <col min="18" max="18" width="5.6640625" style="357" customWidth="1"/>
    <col min="19" max="21" width="9.109375" style="357"/>
    <col min="22" max="22" width="25.109375" style="357" customWidth="1"/>
    <col min="23" max="30" width="5.88671875" style="357" customWidth="1"/>
    <col min="31" max="36" width="5.88671875" customWidth="1"/>
    <col min="37" max="37" width="6" customWidth="1"/>
    <col min="41" max="41" width="23.6640625" bestFit="1" customWidth="1"/>
    <col min="42" max="56" width="6" customWidth="1"/>
  </cols>
  <sheetData>
    <row r="1" spans="1:18" s="357" customFormat="1" ht="21" customHeight="1" thickBot="1" x14ac:dyDescent="0.35">
      <c r="A1" s="357" t="s">
        <v>2820</v>
      </c>
      <c r="B1" s="357" t="s">
        <v>2821</v>
      </c>
      <c r="C1"/>
      <c r="D1" s="480" t="s">
        <v>877</v>
      </c>
      <c r="E1" s="481" t="s">
        <v>533</v>
      </c>
      <c r="F1" s="481" t="s">
        <v>534</v>
      </c>
      <c r="G1" s="481" t="s">
        <v>610</v>
      </c>
      <c r="H1" s="481" t="s">
        <v>535</v>
      </c>
      <c r="I1" s="481" t="s">
        <v>2229</v>
      </c>
      <c r="J1" s="481" t="s">
        <v>540</v>
      </c>
      <c r="K1" s="481" t="s">
        <v>545</v>
      </c>
      <c r="L1" s="481" t="s">
        <v>557</v>
      </c>
      <c r="M1" s="481" t="s">
        <v>556</v>
      </c>
      <c r="N1" s="481" t="s">
        <v>637</v>
      </c>
      <c r="O1" s="481" t="s">
        <v>693</v>
      </c>
      <c r="P1" s="481" t="s">
        <v>992</v>
      </c>
      <c r="Q1" s="481" t="s">
        <v>139</v>
      </c>
      <c r="R1" s="482" t="s">
        <v>669</v>
      </c>
    </row>
    <row r="2" spans="1:18" s="357" customFormat="1" ht="21" customHeight="1" x14ac:dyDescent="0.3">
      <c r="A2" s="357" t="s">
        <v>2489</v>
      </c>
      <c r="B2" s="357" t="s">
        <v>2759</v>
      </c>
      <c r="C2" s="478" t="s">
        <v>1798</v>
      </c>
      <c r="D2" s="687">
        <v>21</v>
      </c>
      <c r="E2" s="687">
        <v>14</v>
      </c>
      <c r="F2" s="687">
        <v>4</v>
      </c>
      <c r="G2" s="687">
        <v>18</v>
      </c>
      <c r="H2" s="687">
        <v>1</v>
      </c>
      <c r="I2" s="687">
        <v>1</v>
      </c>
      <c r="J2" s="687">
        <v>2</v>
      </c>
      <c r="K2" s="687">
        <v>0</v>
      </c>
      <c r="L2" s="1023">
        <v>0</v>
      </c>
      <c r="M2" s="687">
        <v>0</v>
      </c>
      <c r="N2" s="687">
        <v>0</v>
      </c>
      <c r="O2" s="687">
        <v>0</v>
      </c>
      <c r="P2" s="687">
        <v>1</v>
      </c>
      <c r="Q2" s="687">
        <v>1</v>
      </c>
      <c r="R2" s="687">
        <v>0</v>
      </c>
    </row>
    <row r="3" spans="1:18" s="357" customFormat="1" ht="21" customHeight="1" x14ac:dyDescent="0.3">
      <c r="A3" s="357" t="s">
        <v>2489</v>
      </c>
      <c r="B3" s="357" t="s">
        <v>2759</v>
      </c>
      <c r="C3" s="479" t="s">
        <v>2364</v>
      </c>
      <c r="D3" s="688">
        <v>22</v>
      </c>
      <c r="E3" s="688">
        <v>0</v>
      </c>
      <c r="F3" s="688">
        <v>0</v>
      </c>
      <c r="G3" s="688">
        <v>0</v>
      </c>
      <c r="H3" s="688">
        <v>0</v>
      </c>
      <c r="I3" s="688">
        <v>0</v>
      </c>
      <c r="J3" s="688">
        <v>0</v>
      </c>
      <c r="K3" s="688">
        <v>0</v>
      </c>
      <c r="L3" s="688">
        <v>0</v>
      </c>
      <c r="M3" s="688">
        <v>0</v>
      </c>
      <c r="N3" s="688">
        <v>0</v>
      </c>
      <c r="O3" s="688">
        <v>0</v>
      </c>
      <c r="P3" s="688">
        <v>0</v>
      </c>
      <c r="Q3" s="688">
        <v>0</v>
      </c>
      <c r="R3" s="688">
        <v>0</v>
      </c>
    </row>
    <row r="4" spans="1:18" s="357" customFormat="1" ht="21" customHeight="1" x14ac:dyDescent="0.3">
      <c r="A4" s="357" t="s">
        <v>2489</v>
      </c>
      <c r="B4" s="357" t="s">
        <v>2759</v>
      </c>
      <c r="C4" s="478" t="s">
        <v>2716</v>
      </c>
      <c r="D4" s="687">
        <v>19</v>
      </c>
      <c r="E4" s="687">
        <v>2</v>
      </c>
      <c r="F4" s="687">
        <v>5</v>
      </c>
      <c r="G4" s="687">
        <v>7</v>
      </c>
      <c r="H4" s="687">
        <v>4</v>
      </c>
      <c r="I4" s="687">
        <v>0</v>
      </c>
      <c r="J4" s="687">
        <v>0</v>
      </c>
      <c r="K4" s="687">
        <v>0</v>
      </c>
      <c r="L4" s="1023">
        <v>0</v>
      </c>
      <c r="M4" s="687">
        <v>0</v>
      </c>
      <c r="N4" s="687">
        <v>0</v>
      </c>
      <c r="O4" s="687">
        <v>0</v>
      </c>
      <c r="P4" s="687">
        <v>0</v>
      </c>
      <c r="Q4" s="687">
        <v>0</v>
      </c>
      <c r="R4" s="687">
        <v>1</v>
      </c>
    </row>
    <row r="5" spans="1:18" s="357" customFormat="1" ht="21" customHeight="1" x14ac:dyDescent="0.3">
      <c r="A5" s="357" t="s">
        <v>2489</v>
      </c>
      <c r="B5" s="357" t="s">
        <v>2759</v>
      </c>
      <c r="C5" s="479" t="s">
        <v>1800</v>
      </c>
      <c r="D5" s="688">
        <v>5</v>
      </c>
      <c r="E5" s="688">
        <v>1</v>
      </c>
      <c r="F5" s="688">
        <v>1</v>
      </c>
      <c r="G5" s="688">
        <v>2</v>
      </c>
      <c r="H5" s="688">
        <v>1</v>
      </c>
      <c r="I5" s="688">
        <v>1</v>
      </c>
      <c r="J5" s="688">
        <v>1</v>
      </c>
      <c r="K5" s="688">
        <v>0</v>
      </c>
      <c r="L5" s="688">
        <v>0</v>
      </c>
      <c r="M5" s="688">
        <v>0</v>
      </c>
      <c r="N5" s="688">
        <v>0</v>
      </c>
      <c r="O5" s="688">
        <v>0</v>
      </c>
      <c r="P5" s="688">
        <v>0</v>
      </c>
      <c r="Q5" s="688">
        <v>0</v>
      </c>
      <c r="R5" s="688">
        <v>0</v>
      </c>
    </row>
    <row r="6" spans="1:18" s="357" customFormat="1" ht="21" customHeight="1" x14ac:dyDescent="0.3">
      <c r="A6" s="357" t="s">
        <v>2489</v>
      </c>
      <c r="B6" s="357" t="s">
        <v>2759</v>
      </c>
      <c r="C6" s="478" t="s">
        <v>2361</v>
      </c>
      <c r="D6" s="687">
        <v>22</v>
      </c>
      <c r="E6" s="687">
        <v>1</v>
      </c>
      <c r="F6" s="687">
        <v>3</v>
      </c>
      <c r="G6" s="687">
        <v>4</v>
      </c>
      <c r="H6" s="687">
        <v>2</v>
      </c>
      <c r="I6" s="687">
        <v>0</v>
      </c>
      <c r="J6" s="687">
        <v>0</v>
      </c>
      <c r="K6" s="687">
        <v>0</v>
      </c>
      <c r="L6" s="687">
        <v>0</v>
      </c>
      <c r="M6" s="687">
        <v>0</v>
      </c>
      <c r="N6" s="687">
        <v>0</v>
      </c>
      <c r="O6" s="687">
        <v>0</v>
      </c>
      <c r="P6" s="687">
        <v>0</v>
      </c>
      <c r="Q6" s="687">
        <v>0</v>
      </c>
      <c r="R6" s="687">
        <v>0</v>
      </c>
    </row>
    <row r="7" spans="1:18" s="357" customFormat="1" ht="21" customHeight="1" x14ac:dyDescent="0.3">
      <c r="A7" s="357" t="s">
        <v>2489</v>
      </c>
      <c r="B7" s="357" t="s">
        <v>2759</v>
      </c>
      <c r="C7" s="479" t="s">
        <v>2715</v>
      </c>
      <c r="D7" s="688">
        <v>17</v>
      </c>
      <c r="E7" s="688">
        <v>3</v>
      </c>
      <c r="F7" s="688">
        <v>1</v>
      </c>
      <c r="G7" s="688">
        <v>4</v>
      </c>
      <c r="H7" s="688">
        <v>0</v>
      </c>
      <c r="I7" s="688">
        <v>0</v>
      </c>
      <c r="J7" s="688">
        <v>0</v>
      </c>
      <c r="K7" s="688">
        <v>0</v>
      </c>
      <c r="L7" s="688">
        <v>0</v>
      </c>
      <c r="M7" s="688">
        <v>0</v>
      </c>
      <c r="N7" s="688">
        <v>0</v>
      </c>
      <c r="O7" s="688">
        <v>0</v>
      </c>
      <c r="P7" s="688">
        <v>0</v>
      </c>
      <c r="Q7" s="688">
        <v>0</v>
      </c>
      <c r="R7" s="688">
        <v>0</v>
      </c>
    </row>
    <row r="8" spans="1:18" s="357" customFormat="1" ht="21" customHeight="1" x14ac:dyDescent="0.3">
      <c r="A8" s="357" t="s">
        <v>2489</v>
      </c>
      <c r="B8" s="357" t="s">
        <v>2759</v>
      </c>
      <c r="C8" s="478" t="s">
        <v>2362</v>
      </c>
      <c r="D8" s="687">
        <v>22</v>
      </c>
      <c r="E8" s="687">
        <v>1</v>
      </c>
      <c r="F8" s="687">
        <v>1</v>
      </c>
      <c r="G8" s="687">
        <v>2</v>
      </c>
      <c r="H8" s="687">
        <v>5</v>
      </c>
      <c r="I8" s="687">
        <v>0</v>
      </c>
      <c r="J8" s="687">
        <v>0</v>
      </c>
      <c r="K8" s="687">
        <v>0</v>
      </c>
      <c r="L8" s="687">
        <v>0</v>
      </c>
      <c r="M8" s="687">
        <v>0</v>
      </c>
      <c r="N8" s="687">
        <v>0</v>
      </c>
      <c r="O8" s="687">
        <v>0</v>
      </c>
      <c r="P8" s="687">
        <v>0</v>
      </c>
      <c r="Q8" s="687">
        <v>0</v>
      </c>
      <c r="R8" s="687">
        <v>0</v>
      </c>
    </row>
    <row r="9" spans="1:18" s="357" customFormat="1" ht="21" customHeight="1" x14ac:dyDescent="0.3">
      <c r="A9" s="357" t="s">
        <v>2489</v>
      </c>
      <c r="B9" s="357" t="s">
        <v>2759</v>
      </c>
      <c r="C9" s="479" t="s">
        <v>2734</v>
      </c>
      <c r="D9" s="688">
        <v>13</v>
      </c>
      <c r="E9" s="688">
        <v>5</v>
      </c>
      <c r="F9" s="688">
        <v>2</v>
      </c>
      <c r="G9" s="688">
        <v>7</v>
      </c>
      <c r="H9" s="688">
        <v>0</v>
      </c>
      <c r="I9" s="688">
        <v>1</v>
      </c>
      <c r="J9" s="688">
        <v>0</v>
      </c>
      <c r="K9" s="688">
        <v>0</v>
      </c>
      <c r="L9" s="688">
        <v>0</v>
      </c>
      <c r="M9" s="688">
        <v>0</v>
      </c>
      <c r="N9" s="688">
        <v>0</v>
      </c>
      <c r="O9" s="688">
        <v>0</v>
      </c>
      <c r="P9" s="688">
        <v>0</v>
      </c>
      <c r="Q9" s="688">
        <v>0</v>
      </c>
      <c r="R9" s="688">
        <v>0</v>
      </c>
    </row>
    <row r="10" spans="1:18" s="357" customFormat="1" ht="21" customHeight="1" x14ac:dyDescent="0.3">
      <c r="A10" s="357" t="s">
        <v>2489</v>
      </c>
      <c r="B10" s="357" t="s">
        <v>2759</v>
      </c>
      <c r="C10" s="478" t="s">
        <v>2740</v>
      </c>
      <c r="D10" s="687">
        <v>14</v>
      </c>
      <c r="E10" s="687">
        <v>13</v>
      </c>
      <c r="F10" s="687">
        <v>2</v>
      </c>
      <c r="G10" s="687">
        <v>15</v>
      </c>
      <c r="H10" s="687">
        <v>0</v>
      </c>
      <c r="I10" s="687">
        <v>0</v>
      </c>
      <c r="J10" s="687">
        <v>0</v>
      </c>
      <c r="K10" s="687">
        <v>0</v>
      </c>
      <c r="L10" s="687">
        <v>0</v>
      </c>
      <c r="M10" s="687">
        <v>0</v>
      </c>
      <c r="N10" s="687">
        <v>0</v>
      </c>
      <c r="O10" s="687">
        <v>0</v>
      </c>
      <c r="P10" s="687">
        <v>2</v>
      </c>
      <c r="Q10" s="687">
        <v>0</v>
      </c>
      <c r="R10" s="687">
        <v>0</v>
      </c>
    </row>
    <row r="11" spans="1:18" s="357" customFormat="1" ht="21" customHeight="1" x14ac:dyDescent="0.3">
      <c r="A11" s="357" t="s">
        <v>2489</v>
      </c>
      <c r="B11" s="357" t="s">
        <v>2759</v>
      </c>
      <c r="C11" s="479" t="s">
        <v>2253</v>
      </c>
      <c r="D11" s="688">
        <v>20</v>
      </c>
      <c r="E11" s="688">
        <v>7</v>
      </c>
      <c r="F11" s="688">
        <v>5</v>
      </c>
      <c r="G11" s="688">
        <v>12</v>
      </c>
      <c r="H11" s="688">
        <v>3</v>
      </c>
      <c r="I11" s="688">
        <v>1</v>
      </c>
      <c r="J11" s="688">
        <v>0</v>
      </c>
      <c r="K11" s="688">
        <v>0</v>
      </c>
      <c r="L11" s="688">
        <v>0</v>
      </c>
      <c r="M11" s="688">
        <v>0</v>
      </c>
      <c r="N11" s="688">
        <v>0</v>
      </c>
      <c r="O11" s="688">
        <v>0</v>
      </c>
      <c r="P11" s="688">
        <v>0</v>
      </c>
      <c r="Q11" s="688">
        <v>0</v>
      </c>
      <c r="R11" s="688">
        <v>0</v>
      </c>
    </row>
    <row r="12" spans="1:18" s="357" customFormat="1" ht="21" customHeight="1" x14ac:dyDescent="0.3">
      <c r="A12" s="357" t="s">
        <v>2489</v>
      </c>
      <c r="B12" s="357" t="s">
        <v>2759</v>
      </c>
      <c r="C12" s="478" t="s">
        <v>1999</v>
      </c>
      <c r="D12" s="687">
        <v>6</v>
      </c>
      <c r="E12" s="687">
        <v>0</v>
      </c>
      <c r="F12" s="687">
        <v>0</v>
      </c>
      <c r="G12" s="687">
        <v>0</v>
      </c>
      <c r="H12" s="687">
        <v>0</v>
      </c>
      <c r="I12" s="687">
        <v>0</v>
      </c>
      <c r="J12" s="687">
        <v>0</v>
      </c>
      <c r="K12" s="687">
        <v>0</v>
      </c>
      <c r="L12" s="1023">
        <v>0</v>
      </c>
      <c r="M12" s="687">
        <v>0</v>
      </c>
      <c r="N12" s="687">
        <v>0</v>
      </c>
      <c r="O12" s="687">
        <v>0</v>
      </c>
      <c r="P12" s="687">
        <v>0</v>
      </c>
      <c r="Q12" s="687">
        <v>0</v>
      </c>
      <c r="R12" s="687">
        <v>0</v>
      </c>
    </row>
    <row r="13" spans="1:18" s="357" customFormat="1" ht="21" customHeight="1" x14ac:dyDescent="0.3">
      <c r="A13" s="357" t="s">
        <v>2489</v>
      </c>
      <c r="B13" s="357" t="s">
        <v>2759</v>
      </c>
      <c r="C13" s="479" t="s">
        <v>2363</v>
      </c>
      <c r="D13" s="688">
        <v>21</v>
      </c>
      <c r="E13" s="688">
        <v>2</v>
      </c>
      <c r="F13" s="688">
        <v>9</v>
      </c>
      <c r="G13" s="688">
        <v>11</v>
      </c>
      <c r="H13" s="688">
        <v>0</v>
      </c>
      <c r="I13" s="688">
        <v>0</v>
      </c>
      <c r="J13" s="688">
        <v>0</v>
      </c>
      <c r="K13" s="688">
        <v>0</v>
      </c>
      <c r="L13" s="688">
        <v>0</v>
      </c>
      <c r="M13" s="688">
        <v>0</v>
      </c>
      <c r="N13" s="688">
        <v>0</v>
      </c>
      <c r="O13" s="688">
        <v>0</v>
      </c>
      <c r="P13" s="688">
        <v>0</v>
      </c>
      <c r="Q13" s="688">
        <v>0</v>
      </c>
      <c r="R13" s="688">
        <v>0</v>
      </c>
    </row>
    <row r="14" spans="1:18" s="357" customFormat="1" ht="21" customHeight="1" x14ac:dyDescent="0.3">
      <c r="A14" s="357" t="s">
        <v>2489</v>
      </c>
      <c r="B14" s="357" t="s">
        <v>2759</v>
      </c>
      <c r="C14" s="478" t="s">
        <v>1812</v>
      </c>
      <c r="D14" s="687">
        <v>21</v>
      </c>
      <c r="E14" s="687">
        <v>5</v>
      </c>
      <c r="F14" s="687">
        <v>10</v>
      </c>
      <c r="G14" s="687">
        <v>15</v>
      </c>
      <c r="H14" s="687">
        <v>0</v>
      </c>
      <c r="I14" s="687">
        <v>2</v>
      </c>
      <c r="J14" s="687">
        <v>0</v>
      </c>
      <c r="K14" s="687">
        <v>0</v>
      </c>
      <c r="L14" s="687">
        <v>0</v>
      </c>
      <c r="M14" s="687">
        <v>0</v>
      </c>
      <c r="N14" s="687">
        <v>0</v>
      </c>
      <c r="O14" s="687">
        <v>0</v>
      </c>
      <c r="P14" s="687">
        <v>0</v>
      </c>
      <c r="Q14" s="687">
        <v>0</v>
      </c>
      <c r="R14" s="687">
        <v>0</v>
      </c>
    </row>
    <row r="15" spans="1:18" s="357" customFormat="1" ht="21" customHeight="1" x14ac:dyDescent="0.3">
      <c r="A15" s="357" t="s">
        <v>2489</v>
      </c>
      <c r="B15" s="357" t="s">
        <v>2759</v>
      </c>
      <c r="C15" s="479" t="s">
        <v>2513</v>
      </c>
      <c r="D15" s="688">
        <v>19</v>
      </c>
      <c r="E15" s="688">
        <v>16</v>
      </c>
      <c r="F15" s="688">
        <v>5</v>
      </c>
      <c r="G15" s="688">
        <v>21</v>
      </c>
      <c r="H15" s="688">
        <v>4</v>
      </c>
      <c r="I15" s="688">
        <v>2</v>
      </c>
      <c r="J15" s="688">
        <v>1</v>
      </c>
      <c r="K15" s="688">
        <v>0</v>
      </c>
      <c r="L15" s="688">
        <v>0</v>
      </c>
      <c r="M15" s="688">
        <v>0</v>
      </c>
      <c r="N15" s="688">
        <v>1</v>
      </c>
      <c r="O15" s="688">
        <v>0</v>
      </c>
      <c r="P15" s="688">
        <v>2</v>
      </c>
      <c r="Q15" s="688">
        <v>1</v>
      </c>
      <c r="R15" s="688">
        <v>0</v>
      </c>
    </row>
    <row r="16" spans="1:18" s="357" customFormat="1" ht="21" customHeight="1" x14ac:dyDescent="0.3">
      <c r="A16" s="357" t="s">
        <v>2489</v>
      </c>
      <c r="B16" s="357" t="s">
        <v>2759</v>
      </c>
      <c r="C16" s="478" t="s">
        <v>2717</v>
      </c>
      <c r="D16" s="687">
        <v>1</v>
      </c>
      <c r="E16" s="687">
        <v>0</v>
      </c>
      <c r="F16" s="687">
        <v>0</v>
      </c>
      <c r="G16" s="687">
        <v>0</v>
      </c>
      <c r="H16" s="687">
        <v>0</v>
      </c>
      <c r="I16" s="687">
        <v>0</v>
      </c>
      <c r="J16" s="687">
        <v>0</v>
      </c>
      <c r="K16" s="687">
        <v>0</v>
      </c>
      <c r="L16" s="687">
        <v>0</v>
      </c>
      <c r="M16" s="687">
        <v>0</v>
      </c>
      <c r="N16" s="687">
        <v>0</v>
      </c>
      <c r="O16" s="687">
        <v>0</v>
      </c>
      <c r="P16" s="687">
        <v>0</v>
      </c>
      <c r="Q16" s="687">
        <v>0</v>
      </c>
      <c r="R16" s="687">
        <v>0</v>
      </c>
    </row>
    <row r="17" spans="1:18" s="357" customFormat="1" ht="21" customHeight="1" x14ac:dyDescent="0.3">
      <c r="A17" s="357" t="s">
        <v>2489</v>
      </c>
      <c r="B17" s="357" t="s">
        <v>2759</v>
      </c>
      <c r="C17" s="479" t="s">
        <v>2251</v>
      </c>
      <c r="D17" s="688">
        <v>21</v>
      </c>
      <c r="E17" s="688">
        <v>6</v>
      </c>
      <c r="F17" s="688">
        <v>7</v>
      </c>
      <c r="G17" s="688">
        <v>13</v>
      </c>
      <c r="H17" s="688">
        <v>4</v>
      </c>
      <c r="I17" s="688">
        <v>0</v>
      </c>
      <c r="J17" s="688">
        <v>0</v>
      </c>
      <c r="K17" s="688">
        <v>1</v>
      </c>
      <c r="L17" s="688">
        <v>1</v>
      </c>
      <c r="M17" s="688">
        <v>0</v>
      </c>
      <c r="N17" s="688">
        <v>0</v>
      </c>
      <c r="O17" s="688">
        <v>0</v>
      </c>
      <c r="P17" s="688">
        <v>0</v>
      </c>
      <c r="Q17" s="688">
        <v>0</v>
      </c>
      <c r="R17" s="688">
        <v>0</v>
      </c>
    </row>
    <row r="18" spans="1:18" s="357" customFormat="1" ht="21" customHeight="1" x14ac:dyDescent="0.3">
      <c r="A18" s="357" t="s">
        <v>2489</v>
      </c>
      <c r="B18" s="357" t="s">
        <v>2759</v>
      </c>
      <c r="C18" s="478" t="s">
        <v>2512</v>
      </c>
      <c r="D18" s="687">
        <v>19</v>
      </c>
      <c r="E18" s="687">
        <v>3</v>
      </c>
      <c r="F18" s="687">
        <v>11</v>
      </c>
      <c r="G18" s="687">
        <v>14</v>
      </c>
      <c r="H18" s="687">
        <v>2</v>
      </c>
      <c r="I18" s="687">
        <v>0</v>
      </c>
      <c r="J18" s="687">
        <v>0</v>
      </c>
      <c r="K18" s="687">
        <v>0</v>
      </c>
      <c r="L18" s="687">
        <v>0</v>
      </c>
      <c r="M18" s="687">
        <v>0</v>
      </c>
      <c r="N18" s="687">
        <v>1</v>
      </c>
      <c r="O18" s="687">
        <v>0</v>
      </c>
      <c r="P18" s="687">
        <v>0</v>
      </c>
      <c r="Q18" s="687">
        <v>0</v>
      </c>
      <c r="R18" s="687">
        <v>0</v>
      </c>
    </row>
    <row r="19" spans="1:18" s="357" customFormat="1" ht="21" customHeight="1" x14ac:dyDescent="0.3">
      <c r="A19" s="357" t="s">
        <v>2489</v>
      </c>
      <c r="B19" s="357" t="s">
        <v>2759</v>
      </c>
      <c r="C19" s="479" t="s">
        <v>1815</v>
      </c>
      <c r="D19" s="688">
        <v>18</v>
      </c>
      <c r="E19" s="688">
        <v>4</v>
      </c>
      <c r="F19" s="688">
        <v>0</v>
      </c>
      <c r="G19" s="688">
        <v>4</v>
      </c>
      <c r="H19" s="688">
        <v>2</v>
      </c>
      <c r="I19" s="688">
        <v>0</v>
      </c>
      <c r="J19" s="688">
        <v>0</v>
      </c>
      <c r="K19" s="688">
        <v>0</v>
      </c>
      <c r="L19" s="688">
        <v>0</v>
      </c>
      <c r="M19" s="688">
        <v>0</v>
      </c>
      <c r="N19" s="688">
        <v>0</v>
      </c>
      <c r="O19" s="688">
        <v>0</v>
      </c>
      <c r="P19" s="688">
        <v>0</v>
      </c>
      <c r="Q19" s="688">
        <v>0</v>
      </c>
      <c r="R19" s="688">
        <v>0</v>
      </c>
    </row>
    <row r="20" spans="1:18" s="357" customFormat="1" ht="21" customHeight="1" x14ac:dyDescent="0.3">
      <c r="A20" s="357" t="s">
        <v>2489</v>
      </c>
      <c r="B20" s="357" t="s">
        <v>2759</v>
      </c>
      <c r="C20" s="478" t="s">
        <v>2511</v>
      </c>
      <c r="D20" s="687">
        <v>4</v>
      </c>
      <c r="E20" s="687">
        <v>0</v>
      </c>
      <c r="F20" s="687">
        <v>0</v>
      </c>
      <c r="G20" s="687">
        <v>0</v>
      </c>
      <c r="H20" s="687">
        <v>0</v>
      </c>
      <c r="I20" s="687">
        <v>0</v>
      </c>
      <c r="J20" s="687">
        <v>0</v>
      </c>
      <c r="K20" s="687">
        <v>0</v>
      </c>
      <c r="L20" s="687">
        <v>0</v>
      </c>
      <c r="M20" s="687">
        <v>0</v>
      </c>
      <c r="N20" s="687">
        <v>0</v>
      </c>
      <c r="O20" s="687">
        <v>0</v>
      </c>
      <c r="P20" s="687">
        <v>0</v>
      </c>
      <c r="Q20" s="687">
        <v>0</v>
      </c>
      <c r="R20" s="687">
        <v>0</v>
      </c>
    </row>
    <row r="21" spans="1:18" s="357" customFormat="1" ht="21" customHeight="1" x14ac:dyDescent="0.3">
      <c r="A21" s="357" t="s">
        <v>2489</v>
      </c>
      <c r="B21" s="357" t="s">
        <v>2759</v>
      </c>
      <c r="C21" s="479" t="s">
        <v>2254</v>
      </c>
      <c r="D21" s="688">
        <v>22</v>
      </c>
      <c r="E21" s="688">
        <v>8</v>
      </c>
      <c r="F21" s="688">
        <v>10</v>
      </c>
      <c r="G21" s="688">
        <v>18</v>
      </c>
      <c r="H21" s="688">
        <v>0</v>
      </c>
      <c r="I21" s="688">
        <v>1</v>
      </c>
      <c r="J21" s="688">
        <v>0</v>
      </c>
      <c r="K21" s="688">
        <v>0</v>
      </c>
      <c r="L21" s="688">
        <v>1</v>
      </c>
      <c r="M21" s="688">
        <v>0</v>
      </c>
      <c r="N21" s="688">
        <v>0</v>
      </c>
      <c r="O21" s="688">
        <v>0</v>
      </c>
      <c r="P21" s="688">
        <v>0</v>
      </c>
      <c r="Q21" s="688">
        <v>0</v>
      </c>
      <c r="R21" s="688">
        <v>0</v>
      </c>
    </row>
    <row r="22" spans="1:18" s="357" customFormat="1" ht="21" customHeight="1" x14ac:dyDescent="0.3">
      <c r="A22" s="357" t="s">
        <v>2489</v>
      </c>
      <c r="B22" s="357" t="s">
        <v>2759</v>
      </c>
      <c r="C22" s="478" t="s">
        <v>2739</v>
      </c>
      <c r="D22" s="687">
        <v>6</v>
      </c>
      <c r="E22" s="687">
        <v>0</v>
      </c>
      <c r="F22" s="687">
        <v>3</v>
      </c>
      <c r="G22" s="687">
        <v>3</v>
      </c>
      <c r="H22" s="687">
        <v>0</v>
      </c>
      <c r="I22" s="687">
        <v>0</v>
      </c>
      <c r="J22" s="687">
        <v>0</v>
      </c>
      <c r="K22" s="687">
        <v>0</v>
      </c>
      <c r="L22" s="687">
        <v>0</v>
      </c>
      <c r="M22" s="687">
        <v>0</v>
      </c>
      <c r="N22" s="687">
        <v>0</v>
      </c>
      <c r="O22" s="687">
        <v>0</v>
      </c>
      <c r="P22" s="687">
        <v>0</v>
      </c>
      <c r="Q22" s="687">
        <v>0</v>
      </c>
      <c r="R22" s="687">
        <v>0</v>
      </c>
    </row>
    <row r="23" spans="1:18" s="357" customFormat="1" ht="21" customHeight="1" x14ac:dyDescent="0.3">
      <c r="A23" s="357" t="s">
        <v>2489</v>
      </c>
      <c r="B23" s="357" t="s">
        <v>2759</v>
      </c>
      <c r="C23" s="479" t="s">
        <v>1816</v>
      </c>
      <c r="D23" s="688">
        <v>22</v>
      </c>
      <c r="E23" s="688">
        <v>0</v>
      </c>
      <c r="F23" s="688">
        <v>0</v>
      </c>
      <c r="G23" s="688">
        <v>0</v>
      </c>
      <c r="H23" s="688">
        <v>0</v>
      </c>
      <c r="I23" s="688">
        <v>0</v>
      </c>
      <c r="J23" s="688">
        <v>0</v>
      </c>
      <c r="K23" s="688">
        <v>0</v>
      </c>
      <c r="L23" s="688">
        <v>0</v>
      </c>
      <c r="M23" s="688">
        <v>0</v>
      </c>
      <c r="N23" s="688">
        <v>0</v>
      </c>
      <c r="O23" s="688">
        <v>0</v>
      </c>
      <c r="P23" s="688">
        <v>0</v>
      </c>
      <c r="Q23" s="688">
        <v>0</v>
      </c>
      <c r="R23" s="688">
        <v>0</v>
      </c>
    </row>
    <row r="24" spans="1:18" s="357" customFormat="1" ht="21" customHeight="1" x14ac:dyDescent="0.3">
      <c r="A24" s="357" t="s">
        <v>2822</v>
      </c>
      <c r="B24" s="357" t="s">
        <v>2486</v>
      </c>
      <c r="C24" s="478" t="s">
        <v>48</v>
      </c>
      <c r="D24" s="687">
        <v>17</v>
      </c>
      <c r="E24" s="687">
        <v>1</v>
      </c>
      <c r="F24" s="687">
        <v>4</v>
      </c>
      <c r="G24" s="687">
        <v>5</v>
      </c>
      <c r="H24" s="687">
        <v>1</v>
      </c>
      <c r="I24" s="687">
        <v>0</v>
      </c>
      <c r="J24" s="687">
        <v>0</v>
      </c>
      <c r="K24" s="687">
        <v>0</v>
      </c>
      <c r="L24" s="1023">
        <v>0</v>
      </c>
      <c r="M24" s="687">
        <v>0</v>
      </c>
      <c r="N24" s="687">
        <v>0</v>
      </c>
      <c r="O24" s="687">
        <v>0</v>
      </c>
      <c r="P24" s="687">
        <v>0</v>
      </c>
      <c r="Q24" s="687">
        <v>0</v>
      </c>
      <c r="R24" s="687">
        <v>0</v>
      </c>
    </row>
    <row r="25" spans="1:18" s="357" customFormat="1" ht="21" customHeight="1" x14ac:dyDescent="0.3">
      <c r="A25" s="357" t="s">
        <v>2822</v>
      </c>
      <c r="B25" s="357" t="s">
        <v>2486</v>
      </c>
      <c r="C25" s="479" t="s">
        <v>2281</v>
      </c>
      <c r="D25" s="688">
        <v>20</v>
      </c>
      <c r="E25" s="688">
        <v>0</v>
      </c>
      <c r="F25" s="688">
        <v>2</v>
      </c>
      <c r="G25" s="688">
        <v>2</v>
      </c>
      <c r="H25" s="688">
        <v>1</v>
      </c>
      <c r="I25" s="688">
        <v>0</v>
      </c>
      <c r="J25" s="688">
        <v>0</v>
      </c>
      <c r="K25" s="688">
        <v>0</v>
      </c>
      <c r="L25" s="688">
        <v>0</v>
      </c>
      <c r="M25" s="688">
        <v>0</v>
      </c>
      <c r="N25" s="688">
        <v>0</v>
      </c>
      <c r="O25" s="688">
        <v>0</v>
      </c>
      <c r="P25" s="688">
        <v>0</v>
      </c>
      <c r="Q25" s="688">
        <v>0</v>
      </c>
      <c r="R25" s="688">
        <v>0</v>
      </c>
    </row>
    <row r="26" spans="1:18" s="357" customFormat="1" ht="21" customHeight="1" x14ac:dyDescent="0.3">
      <c r="A26" s="357" t="s">
        <v>2822</v>
      </c>
      <c r="B26" s="357" t="s">
        <v>2486</v>
      </c>
      <c r="C26" s="478" t="s">
        <v>2441</v>
      </c>
      <c r="D26" s="687">
        <v>20</v>
      </c>
      <c r="E26" s="687">
        <v>3</v>
      </c>
      <c r="F26" s="687">
        <v>3</v>
      </c>
      <c r="G26" s="687">
        <v>6</v>
      </c>
      <c r="H26" s="687">
        <v>0</v>
      </c>
      <c r="I26" s="687">
        <v>1</v>
      </c>
      <c r="J26" s="687">
        <v>0</v>
      </c>
      <c r="K26" s="687">
        <v>0</v>
      </c>
      <c r="L26" s="1023">
        <v>0</v>
      </c>
      <c r="M26" s="687">
        <v>0</v>
      </c>
      <c r="N26" s="687">
        <v>0</v>
      </c>
      <c r="O26" s="687">
        <v>0</v>
      </c>
      <c r="P26" s="687">
        <v>0</v>
      </c>
      <c r="Q26" s="687">
        <v>1</v>
      </c>
      <c r="R26" s="687">
        <v>0</v>
      </c>
    </row>
    <row r="27" spans="1:18" s="357" customFormat="1" ht="21" customHeight="1" x14ac:dyDescent="0.3">
      <c r="A27" s="357" t="s">
        <v>2822</v>
      </c>
      <c r="B27" s="357" t="s">
        <v>2486</v>
      </c>
      <c r="C27" s="479" t="s">
        <v>1459</v>
      </c>
      <c r="D27" s="688">
        <v>18</v>
      </c>
      <c r="E27" s="688">
        <v>6</v>
      </c>
      <c r="F27" s="688">
        <v>3</v>
      </c>
      <c r="G27" s="688">
        <v>9</v>
      </c>
      <c r="H27" s="688">
        <v>0</v>
      </c>
      <c r="I27" s="688">
        <v>1</v>
      </c>
      <c r="J27" s="688">
        <v>0</v>
      </c>
      <c r="K27" s="688">
        <v>0</v>
      </c>
      <c r="L27" s="688">
        <v>0</v>
      </c>
      <c r="M27" s="688">
        <v>0</v>
      </c>
      <c r="N27" s="688">
        <v>0</v>
      </c>
      <c r="O27" s="688">
        <v>0</v>
      </c>
      <c r="P27" s="688">
        <v>0</v>
      </c>
      <c r="Q27" s="688">
        <v>0</v>
      </c>
      <c r="R27" s="688">
        <v>0</v>
      </c>
    </row>
    <row r="28" spans="1:18" s="357" customFormat="1" ht="21" customHeight="1" x14ac:dyDescent="0.3">
      <c r="A28" s="357" t="s">
        <v>2822</v>
      </c>
      <c r="B28" s="357" t="s">
        <v>2486</v>
      </c>
      <c r="C28" s="478" t="s">
        <v>2180</v>
      </c>
      <c r="D28" s="687">
        <v>18</v>
      </c>
      <c r="E28" s="687">
        <v>4</v>
      </c>
      <c r="F28" s="687">
        <v>12</v>
      </c>
      <c r="G28" s="687">
        <v>16</v>
      </c>
      <c r="H28" s="687">
        <v>1</v>
      </c>
      <c r="I28" s="687">
        <v>1</v>
      </c>
      <c r="J28" s="687">
        <v>0</v>
      </c>
      <c r="K28" s="687">
        <v>0</v>
      </c>
      <c r="L28" s="687">
        <v>0</v>
      </c>
      <c r="M28" s="687">
        <v>0</v>
      </c>
      <c r="N28" s="687">
        <v>0</v>
      </c>
      <c r="O28" s="687">
        <v>0</v>
      </c>
      <c r="P28" s="687">
        <v>0</v>
      </c>
      <c r="Q28" s="687">
        <v>0</v>
      </c>
      <c r="R28" s="687">
        <v>0</v>
      </c>
    </row>
    <row r="29" spans="1:18" s="357" customFormat="1" ht="21" customHeight="1" x14ac:dyDescent="0.3">
      <c r="A29" s="357" t="s">
        <v>2822</v>
      </c>
      <c r="B29" s="357" t="s">
        <v>2486</v>
      </c>
      <c r="C29" s="479" t="s">
        <v>1597</v>
      </c>
      <c r="D29" s="688">
        <v>20</v>
      </c>
      <c r="E29" s="688">
        <v>0</v>
      </c>
      <c r="F29" s="688">
        <v>0</v>
      </c>
      <c r="G29" s="688">
        <v>0</v>
      </c>
      <c r="H29" s="688">
        <v>0</v>
      </c>
      <c r="I29" s="688">
        <v>0</v>
      </c>
      <c r="J29" s="688">
        <v>0</v>
      </c>
      <c r="K29" s="688">
        <v>0</v>
      </c>
      <c r="L29" s="688">
        <v>0</v>
      </c>
      <c r="M29" s="688">
        <v>0</v>
      </c>
      <c r="N29" s="688">
        <v>0</v>
      </c>
      <c r="O29" s="688">
        <v>0</v>
      </c>
      <c r="P29" s="688">
        <v>0</v>
      </c>
      <c r="Q29" s="688">
        <v>0</v>
      </c>
      <c r="R29" s="688">
        <v>0</v>
      </c>
    </row>
    <row r="30" spans="1:18" s="357" customFormat="1" ht="21" customHeight="1" x14ac:dyDescent="0.3">
      <c r="A30" s="357" t="s">
        <v>2822</v>
      </c>
      <c r="B30" s="357" t="s">
        <v>2486</v>
      </c>
      <c r="C30" s="478" t="s">
        <v>50</v>
      </c>
      <c r="D30" s="687">
        <v>20</v>
      </c>
      <c r="E30" s="687">
        <v>22</v>
      </c>
      <c r="F30" s="687">
        <v>8</v>
      </c>
      <c r="G30" s="687">
        <v>30</v>
      </c>
      <c r="H30" s="687">
        <v>0</v>
      </c>
      <c r="I30" s="687">
        <v>3</v>
      </c>
      <c r="J30" s="687">
        <v>0</v>
      </c>
      <c r="K30" s="687">
        <v>0</v>
      </c>
      <c r="L30" s="687">
        <v>0</v>
      </c>
      <c r="M30" s="687">
        <v>0</v>
      </c>
      <c r="N30" s="687">
        <v>0</v>
      </c>
      <c r="O30" s="687">
        <v>0</v>
      </c>
      <c r="P30" s="687">
        <v>3</v>
      </c>
      <c r="Q30" s="687">
        <v>0</v>
      </c>
      <c r="R30" s="687">
        <v>0</v>
      </c>
    </row>
    <row r="31" spans="1:18" s="357" customFormat="1" ht="21" customHeight="1" x14ac:dyDescent="0.3">
      <c r="A31" s="357" t="s">
        <v>2822</v>
      </c>
      <c r="B31" s="357" t="s">
        <v>2486</v>
      </c>
      <c r="C31" s="479" t="s">
        <v>2148</v>
      </c>
      <c r="D31" s="688">
        <v>12</v>
      </c>
      <c r="E31" s="688">
        <v>15</v>
      </c>
      <c r="F31" s="688">
        <v>4</v>
      </c>
      <c r="G31" s="688">
        <v>19</v>
      </c>
      <c r="H31" s="688">
        <v>0</v>
      </c>
      <c r="I31" s="688">
        <v>1</v>
      </c>
      <c r="J31" s="688">
        <v>0</v>
      </c>
      <c r="K31" s="688">
        <v>0</v>
      </c>
      <c r="L31" s="688">
        <v>0</v>
      </c>
      <c r="M31" s="688">
        <v>0</v>
      </c>
      <c r="N31" s="688">
        <v>1</v>
      </c>
      <c r="O31" s="688">
        <v>1</v>
      </c>
      <c r="P31" s="688">
        <v>2</v>
      </c>
      <c r="Q31" s="688">
        <v>0</v>
      </c>
      <c r="R31" s="688">
        <v>0</v>
      </c>
    </row>
    <row r="32" spans="1:18" s="357" customFormat="1" ht="21" customHeight="1" x14ac:dyDescent="0.3">
      <c r="A32" s="357" t="s">
        <v>2822</v>
      </c>
      <c r="B32" s="357" t="s">
        <v>2486</v>
      </c>
      <c r="C32" s="478" t="s">
        <v>2184</v>
      </c>
      <c r="D32" s="687">
        <v>18</v>
      </c>
      <c r="E32" s="687">
        <v>7</v>
      </c>
      <c r="F32" s="687">
        <v>17</v>
      </c>
      <c r="G32" s="687">
        <v>24</v>
      </c>
      <c r="H32" s="687">
        <v>2</v>
      </c>
      <c r="I32" s="687">
        <v>1</v>
      </c>
      <c r="J32" s="687">
        <v>0</v>
      </c>
      <c r="K32" s="687">
        <v>0</v>
      </c>
      <c r="L32" s="687">
        <v>0</v>
      </c>
      <c r="M32" s="687">
        <v>0</v>
      </c>
      <c r="N32" s="687">
        <v>0</v>
      </c>
      <c r="O32" s="687">
        <v>0</v>
      </c>
      <c r="P32" s="687">
        <v>0</v>
      </c>
      <c r="Q32" s="687">
        <v>0</v>
      </c>
      <c r="R32" s="687">
        <v>0</v>
      </c>
    </row>
    <row r="33" spans="1:18" s="357" customFormat="1" ht="21" customHeight="1" x14ac:dyDescent="0.3">
      <c r="A33" s="357" t="s">
        <v>2822</v>
      </c>
      <c r="B33" s="357" t="s">
        <v>2486</v>
      </c>
      <c r="C33" s="479" t="s">
        <v>2283</v>
      </c>
      <c r="D33" s="688">
        <v>20</v>
      </c>
      <c r="E33" s="688">
        <v>5</v>
      </c>
      <c r="F33" s="688">
        <v>4</v>
      </c>
      <c r="G33" s="688">
        <v>9</v>
      </c>
      <c r="H33" s="688">
        <v>5</v>
      </c>
      <c r="I33" s="688">
        <v>2</v>
      </c>
      <c r="J33" s="688">
        <v>0</v>
      </c>
      <c r="K33" s="688">
        <v>0</v>
      </c>
      <c r="L33" s="688">
        <v>0</v>
      </c>
      <c r="M33" s="688">
        <v>0</v>
      </c>
      <c r="N33" s="688">
        <v>0</v>
      </c>
      <c r="O33" s="688">
        <v>0</v>
      </c>
      <c r="P33" s="688">
        <v>0</v>
      </c>
      <c r="Q33" s="688">
        <v>0</v>
      </c>
      <c r="R33" s="688">
        <v>0</v>
      </c>
    </row>
    <row r="34" spans="1:18" s="357" customFormat="1" ht="21" customHeight="1" x14ac:dyDescent="0.3">
      <c r="A34" s="357" t="s">
        <v>2822</v>
      </c>
      <c r="B34" s="357" t="s">
        <v>2486</v>
      </c>
      <c r="C34" s="478" t="s">
        <v>2280</v>
      </c>
      <c r="D34" s="687">
        <v>20</v>
      </c>
      <c r="E34" s="687">
        <v>1</v>
      </c>
      <c r="F34" s="687">
        <v>4</v>
      </c>
      <c r="G34" s="687">
        <v>5</v>
      </c>
      <c r="H34" s="687">
        <v>1</v>
      </c>
      <c r="I34" s="687">
        <v>0</v>
      </c>
      <c r="J34" s="687">
        <v>0</v>
      </c>
      <c r="K34" s="687">
        <v>0</v>
      </c>
      <c r="L34" s="1023">
        <v>0</v>
      </c>
      <c r="M34" s="687">
        <v>0</v>
      </c>
      <c r="N34" s="687">
        <v>0</v>
      </c>
      <c r="O34" s="687">
        <v>0</v>
      </c>
      <c r="P34" s="687">
        <v>0</v>
      </c>
      <c r="Q34" s="687">
        <v>0</v>
      </c>
      <c r="R34" s="687">
        <v>0</v>
      </c>
    </row>
    <row r="35" spans="1:18" s="357" customFormat="1" ht="21" customHeight="1" x14ac:dyDescent="0.3">
      <c r="A35" s="357" t="s">
        <v>2822</v>
      </c>
      <c r="B35" s="357" t="s">
        <v>2486</v>
      </c>
      <c r="C35" s="479" t="s">
        <v>1591</v>
      </c>
      <c r="D35" s="688">
        <v>14</v>
      </c>
      <c r="E35" s="688">
        <v>2</v>
      </c>
      <c r="F35" s="688">
        <v>2</v>
      </c>
      <c r="G35" s="688">
        <v>4</v>
      </c>
      <c r="H35" s="688">
        <v>2</v>
      </c>
      <c r="I35" s="688">
        <v>0</v>
      </c>
      <c r="J35" s="688">
        <v>0</v>
      </c>
      <c r="K35" s="688">
        <v>0</v>
      </c>
      <c r="L35" s="688">
        <v>0</v>
      </c>
      <c r="M35" s="688">
        <v>0</v>
      </c>
      <c r="N35" s="688">
        <v>0</v>
      </c>
      <c r="O35" s="688">
        <v>0</v>
      </c>
      <c r="P35" s="688">
        <v>0</v>
      </c>
      <c r="Q35" s="688">
        <v>0</v>
      </c>
      <c r="R35" s="688">
        <v>0</v>
      </c>
    </row>
    <row r="36" spans="1:18" s="357" customFormat="1" ht="21" customHeight="1" x14ac:dyDescent="0.3">
      <c r="A36" s="357" t="s">
        <v>2822</v>
      </c>
      <c r="B36" s="357" t="s">
        <v>2486</v>
      </c>
      <c r="C36" s="478" t="s">
        <v>1379</v>
      </c>
      <c r="D36" s="687">
        <v>18</v>
      </c>
      <c r="E36" s="687">
        <v>10</v>
      </c>
      <c r="F36" s="687">
        <v>15</v>
      </c>
      <c r="G36" s="687">
        <v>25</v>
      </c>
      <c r="H36" s="687">
        <v>2</v>
      </c>
      <c r="I36" s="687">
        <v>0</v>
      </c>
      <c r="J36" s="687">
        <v>1</v>
      </c>
      <c r="K36" s="687">
        <v>1</v>
      </c>
      <c r="L36" s="687">
        <v>0</v>
      </c>
      <c r="M36" s="687">
        <v>0</v>
      </c>
      <c r="N36" s="687">
        <v>0</v>
      </c>
      <c r="O36" s="687">
        <v>0</v>
      </c>
      <c r="P36" s="687">
        <v>0</v>
      </c>
      <c r="Q36" s="687">
        <v>1</v>
      </c>
      <c r="R36" s="687">
        <v>0</v>
      </c>
    </row>
    <row r="37" spans="1:18" s="357" customFormat="1" ht="21" customHeight="1" x14ac:dyDescent="0.3">
      <c r="A37" s="357" t="s">
        <v>2822</v>
      </c>
      <c r="B37" s="357" t="s">
        <v>2486</v>
      </c>
      <c r="C37" s="479" t="s">
        <v>2442</v>
      </c>
      <c r="D37" s="688">
        <v>15</v>
      </c>
      <c r="E37" s="688">
        <v>6</v>
      </c>
      <c r="F37" s="688">
        <v>3</v>
      </c>
      <c r="G37" s="688">
        <v>9</v>
      </c>
      <c r="H37" s="688">
        <v>0</v>
      </c>
      <c r="I37" s="688">
        <v>2</v>
      </c>
      <c r="J37" s="688">
        <v>0</v>
      </c>
      <c r="K37" s="688">
        <v>0</v>
      </c>
      <c r="L37" s="688">
        <v>0</v>
      </c>
      <c r="M37" s="688">
        <v>0</v>
      </c>
      <c r="N37" s="688">
        <v>0</v>
      </c>
      <c r="O37" s="688">
        <v>0</v>
      </c>
      <c r="P37" s="688">
        <v>0</v>
      </c>
      <c r="Q37" s="688">
        <v>0</v>
      </c>
      <c r="R37" s="688">
        <v>0</v>
      </c>
    </row>
    <row r="38" spans="1:18" s="357" customFormat="1" ht="21" customHeight="1" x14ac:dyDescent="0.3">
      <c r="A38" s="357" t="s">
        <v>2822</v>
      </c>
      <c r="B38" s="357" t="s">
        <v>2486</v>
      </c>
      <c r="C38" s="478" t="s">
        <v>2282</v>
      </c>
      <c r="D38" s="687">
        <v>20</v>
      </c>
      <c r="E38" s="687">
        <v>4</v>
      </c>
      <c r="F38" s="687">
        <v>2</v>
      </c>
      <c r="G38" s="687">
        <v>6</v>
      </c>
      <c r="H38" s="687">
        <v>3</v>
      </c>
      <c r="I38" s="687">
        <v>0</v>
      </c>
      <c r="J38" s="687">
        <v>0</v>
      </c>
      <c r="K38" s="687">
        <v>0</v>
      </c>
      <c r="L38" s="687">
        <v>0</v>
      </c>
      <c r="M38" s="687">
        <v>0</v>
      </c>
      <c r="N38" s="687">
        <v>0</v>
      </c>
      <c r="O38" s="687">
        <v>0</v>
      </c>
      <c r="P38" s="687">
        <v>0</v>
      </c>
      <c r="Q38" s="687">
        <v>0</v>
      </c>
      <c r="R38" s="687">
        <v>0</v>
      </c>
    </row>
    <row r="39" spans="1:18" s="357" customFormat="1" ht="21" customHeight="1" x14ac:dyDescent="0.3">
      <c r="A39" s="357" t="s">
        <v>2822</v>
      </c>
      <c r="B39" s="357" t="s">
        <v>2486</v>
      </c>
      <c r="C39" s="479" t="s">
        <v>2443</v>
      </c>
      <c r="D39" s="688">
        <v>19</v>
      </c>
      <c r="E39" s="688">
        <v>6</v>
      </c>
      <c r="F39" s="688">
        <v>9</v>
      </c>
      <c r="G39" s="688">
        <v>15</v>
      </c>
      <c r="H39" s="688">
        <v>3</v>
      </c>
      <c r="I39" s="688">
        <v>0</v>
      </c>
      <c r="J39" s="688">
        <v>0</v>
      </c>
      <c r="K39" s="688">
        <v>0</v>
      </c>
      <c r="L39" s="688">
        <v>0</v>
      </c>
      <c r="M39" s="688">
        <v>0</v>
      </c>
      <c r="N39" s="688">
        <v>0</v>
      </c>
      <c r="O39" s="688">
        <v>0</v>
      </c>
      <c r="P39" s="688">
        <v>0</v>
      </c>
      <c r="Q39" s="688">
        <v>0</v>
      </c>
      <c r="R39" s="688">
        <v>0</v>
      </c>
    </row>
    <row r="40" spans="1:18" s="357" customFormat="1" ht="21" customHeight="1" x14ac:dyDescent="0.3">
      <c r="A40" s="357" t="s">
        <v>2822</v>
      </c>
      <c r="B40" s="357" t="s">
        <v>2486</v>
      </c>
      <c r="C40" s="478" t="s">
        <v>2444</v>
      </c>
      <c r="D40" s="687">
        <v>18</v>
      </c>
      <c r="E40" s="687">
        <v>17</v>
      </c>
      <c r="F40" s="687">
        <v>4</v>
      </c>
      <c r="G40" s="687">
        <v>21</v>
      </c>
      <c r="H40" s="687">
        <v>4</v>
      </c>
      <c r="I40" s="687">
        <v>2</v>
      </c>
      <c r="J40" s="687">
        <v>0</v>
      </c>
      <c r="K40" s="687">
        <v>0</v>
      </c>
      <c r="L40" s="687">
        <v>0</v>
      </c>
      <c r="M40" s="687">
        <v>0</v>
      </c>
      <c r="N40" s="687">
        <v>0</v>
      </c>
      <c r="O40" s="687">
        <v>0</v>
      </c>
      <c r="P40" s="687">
        <v>1</v>
      </c>
      <c r="Q40" s="687">
        <v>0</v>
      </c>
      <c r="R40" s="687">
        <v>0</v>
      </c>
    </row>
    <row r="41" spans="1:18" s="357" customFormat="1" ht="21" customHeight="1" x14ac:dyDescent="0.3">
      <c r="A41" s="357" t="s">
        <v>2372</v>
      </c>
      <c r="B41" s="357" t="s">
        <v>2487</v>
      </c>
      <c r="C41" s="478" t="s">
        <v>48</v>
      </c>
      <c r="D41" s="687">
        <v>4</v>
      </c>
      <c r="E41" s="687">
        <v>1</v>
      </c>
      <c r="F41" s="687">
        <v>0</v>
      </c>
      <c r="G41" s="687">
        <v>1</v>
      </c>
      <c r="H41" s="687">
        <v>0</v>
      </c>
      <c r="I41" s="687">
        <v>0</v>
      </c>
      <c r="J41" s="687">
        <v>0</v>
      </c>
      <c r="K41" s="687">
        <v>0</v>
      </c>
      <c r="L41" s="1023">
        <v>0</v>
      </c>
      <c r="M41" s="687">
        <v>0</v>
      </c>
      <c r="N41" s="687">
        <v>0</v>
      </c>
      <c r="O41" s="687">
        <v>0</v>
      </c>
      <c r="P41" s="687">
        <v>0</v>
      </c>
      <c r="Q41" s="687">
        <v>0</v>
      </c>
      <c r="R41" s="687">
        <v>0</v>
      </c>
    </row>
    <row r="42" spans="1:18" s="357" customFormat="1" ht="21" customHeight="1" x14ac:dyDescent="0.3">
      <c r="A42" s="357" t="s">
        <v>2372</v>
      </c>
      <c r="B42" s="357" t="s">
        <v>2487</v>
      </c>
      <c r="C42" s="478" t="s">
        <v>2441</v>
      </c>
      <c r="D42" s="687">
        <v>4</v>
      </c>
      <c r="E42" s="687">
        <v>1</v>
      </c>
      <c r="F42" s="687">
        <v>0</v>
      </c>
      <c r="G42" s="687">
        <v>1</v>
      </c>
      <c r="H42" s="687">
        <v>1</v>
      </c>
      <c r="I42" s="687">
        <v>1</v>
      </c>
      <c r="J42" s="687">
        <v>0</v>
      </c>
      <c r="K42" s="687">
        <v>0</v>
      </c>
      <c r="L42" s="1023">
        <v>0</v>
      </c>
      <c r="M42" s="687">
        <v>0</v>
      </c>
      <c r="N42" s="687">
        <v>0</v>
      </c>
      <c r="O42" s="687">
        <v>0</v>
      </c>
      <c r="P42" s="687">
        <v>0</v>
      </c>
      <c r="Q42" s="687">
        <v>0</v>
      </c>
      <c r="R42" s="687">
        <v>0</v>
      </c>
    </row>
    <row r="43" spans="1:18" s="357" customFormat="1" ht="21" customHeight="1" x14ac:dyDescent="0.3">
      <c r="A43" s="357" t="s">
        <v>2372</v>
      </c>
      <c r="B43" s="357" t="s">
        <v>2487</v>
      </c>
      <c r="C43" s="479" t="s">
        <v>1459</v>
      </c>
      <c r="D43" s="688">
        <v>3</v>
      </c>
      <c r="E43" s="688">
        <v>0</v>
      </c>
      <c r="F43" s="688">
        <v>0</v>
      </c>
      <c r="G43" s="688">
        <v>0</v>
      </c>
      <c r="H43" s="688">
        <v>0</v>
      </c>
      <c r="I43" s="688">
        <v>0</v>
      </c>
      <c r="J43" s="688">
        <v>0</v>
      </c>
      <c r="K43" s="688">
        <v>0</v>
      </c>
      <c r="L43" s="688">
        <v>0</v>
      </c>
      <c r="M43" s="688">
        <v>0</v>
      </c>
      <c r="N43" s="688">
        <v>0</v>
      </c>
      <c r="O43" s="688">
        <v>0</v>
      </c>
      <c r="P43" s="688">
        <v>0</v>
      </c>
      <c r="Q43" s="688">
        <v>0</v>
      </c>
      <c r="R43" s="688">
        <v>0</v>
      </c>
    </row>
    <row r="44" spans="1:18" s="357" customFormat="1" ht="21" customHeight="1" x14ac:dyDescent="0.3">
      <c r="A44" s="357" t="s">
        <v>2372</v>
      </c>
      <c r="B44" s="357" t="s">
        <v>2487</v>
      </c>
      <c r="C44" s="478" t="s">
        <v>2180</v>
      </c>
      <c r="D44" s="687">
        <v>4</v>
      </c>
      <c r="E44" s="687">
        <v>5</v>
      </c>
      <c r="F44" s="687">
        <v>1</v>
      </c>
      <c r="G44" s="687">
        <v>6</v>
      </c>
      <c r="H44" s="687">
        <v>0</v>
      </c>
      <c r="I44" s="687">
        <v>0</v>
      </c>
      <c r="J44" s="687">
        <v>0</v>
      </c>
      <c r="K44" s="687">
        <v>0</v>
      </c>
      <c r="L44" s="687">
        <v>0</v>
      </c>
      <c r="M44" s="687">
        <v>0</v>
      </c>
      <c r="N44" s="687">
        <v>0</v>
      </c>
      <c r="O44" s="687">
        <v>0</v>
      </c>
      <c r="P44" s="687">
        <v>1</v>
      </c>
      <c r="Q44" s="687">
        <v>0</v>
      </c>
      <c r="R44" s="687">
        <v>0</v>
      </c>
    </row>
    <row r="45" spans="1:18" s="357" customFormat="1" ht="21" customHeight="1" x14ac:dyDescent="0.3">
      <c r="A45" s="357" t="s">
        <v>2372</v>
      </c>
      <c r="B45" s="357" t="s">
        <v>2487</v>
      </c>
      <c r="C45" s="479" t="s">
        <v>1597</v>
      </c>
      <c r="D45" s="688">
        <v>3</v>
      </c>
      <c r="E45" s="688">
        <v>0</v>
      </c>
      <c r="F45" s="688">
        <v>0</v>
      </c>
      <c r="G45" s="688">
        <v>0</v>
      </c>
      <c r="H45" s="688">
        <v>0</v>
      </c>
      <c r="I45" s="688">
        <v>0</v>
      </c>
      <c r="J45" s="688">
        <v>0</v>
      </c>
      <c r="K45" s="688">
        <v>0</v>
      </c>
      <c r="L45" s="688">
        <v>0</v>
      </c>
      <c r="M45" s="688">
        <v>0</v>
      </c>
      <c r="N45" s="688">
        <v>0</v>
      </c>
      <c r="O45" s="688">
        <v>0</v>
      </c>
      <c r="P45" s="688">
        <v>0</v>
      </c>
      <c r="Q45" s="688">
        <v>0</v>
      </c>
      <c r="R45" s="688">
        <v>0</v>
      </c>
    </row>
    <row r="46" spans="1:18" s="357" customFormat="1" ht="21" customHeight="1" x14ac:dyDescent="0.3">
      <c r="A46" s="357" t="s">
        <v>2372</v>
      </c>
      <c r="B46" s="357" t="s">
        <v>2487</v>
      </c>
      <c r="C46" s="478" t="s">
        <v>50</v>
      </c>
      <c r="D46" s="687">
        <v>4</v>
      </c>
      <c r="E46" s="687">
        <v>5</v>
      </c>
      <c r="F46" s="687">
        <v>2</v>
      </c>
      <c r="G46" s="687">
        <v>7</v>
      </c>
      <c r="H46" s="687">
        <v>0</v>
      </c>
      <c r="I46" s="687">
        <v>0</v>
      </c>
      <c r="J46" s="687">
        <v>0</v>
      </c>
      <c r="K46" s="687">
        <v>0</v>
      </c>
      <c r="L46" s="687">
        <v>0</v>
      </c>
      <c r="M46" s="687">
        <v>0</v>
      </c>
      <c r="N46" s="687">
        <v>0</v>
      </c>
      <c r="O46" s="687">
        <v>0</v>
      </c>
      <c r="P46" s="687">
        <v>1</v>
      </c>
      <c r="Q46" s="687">
        <v>0</v>
      </c>
      <c r="R46" s="687">
        <v>0</v>
      </c>
    </row>
    <row r="47" spans="1:18" s="357" customFormat="1" ht="21" customHeight="1" x14ac:dyDescent="0.3">
      <c r="A47" s="357" t="s">
        <v>2372</v>
      </c>
      <c r="B47" s="357" t="s">
        <v>2487</v>
      </c>
      <c r="C47" s="479" t="s">
        <v>2148</v>
      </c>
      <c r="D47" s="688">
        <v>4</v>
      </c>
      <c r="E47" s="688">
        <v>1</v>
      </c>
      <c r="F47" s="688">
        <v>1</v>
      </c>
      <c r="G47" s="688">
        <v>2</v>
      </c>
      <c r="H47" s="688">
        <v>0</v>
      </c>
      <c r="I47" s="688">
        <v>0</v>
      </c>
      <c r="J47" s="688">
        <v>0</v>
      </c>
      <c r="K47" s="688">
        <v>0</v>
      </c>
      <c r="L47" s="688">
        <v>0</v>
      </c>
      <c r="M47" s="688">
        <v>0</v>
      </c>
      <c r="N47" s="688">
        <v>0</v>
      </c>
      <c r="O47" s="688">
        <v>0</v>
      </c>
      <c r="P47" s="688">
        <v>0</v>
      </c>
      <c r="Q47" s="688">
        <v>0</v>
      </c>
      <c r="R47" s="688">
        <v>0</v>
      </c>
    </row>
    <row r="48" spans="1:18" s="357" customFormat="1" ht="21" customHeight="1" x14ac:dyDescent="0.3">
      <c r="A48" s="357" t="s">
        <v>2372</v>
      </c>
      <c r="B48" s="357" t="s">
        <v>2487</v>
      </c>
      <c r="C48" s="478" t="s">
        <v>2184</v>
      </c>
      <c r="D48" s="687">
        <v>4</v>
      </c>
      <c r="E48" s="687">
        <v>1</v>
      </c>
      <c r="F48" s="687">
        <v>1</v>
      </c>
      <c r="G48" s="687">
        <v>2</v>
      </c>
      <c r="H48" s="687">
        <v>0</v>
      </c>
      <c r="I48" s="687">
        <v>1</v>
      </c>
      <c r="J48" s="687">
        <v>0</v>
      </c>
      <c r="K48" s="687">
        <v>0</v>
      </c>
      <c r="L48" s="687">
        <v>0</v>
      </c>
      <c r="M48" s="687">
        <v>0</v>
      </c>
      <c r="N48" s="687">
        <v>0</v>
      </c>
      <c r="O48" s="687">
        <v>0</v>
      </c>
      <c r="P48" s="687">
        <v>0</v>
      </c>
      <c r="Q48" s="687">
        <v>0</v>
      </c>
      <c r="R48" s="687">
        <v>0</v>
      </c>
    </row>
    <row r="49" spans="1:18" s="357" customFormat="1" ht="21" customHeight="1" x14ac:dyDescent="0.3">
      <c r="A49" s="357" t="s">
        <v>2372</v>
      </c>
      <c r="B49" s="357" t="s">
        <v>2487</v>
      </c>
      <c r="C49" s="479" t="s">
        <v>2283</v>
      </c>
      <c r="D49" s="688">
        <v>4</v>
      </c>
      <c r="E49" s="688">
        <v>0</v>
      </c>
      <c r="F49" s="688">
        <v>0</v>
      </c>
      <c r="G49" s="688">
        <v>0</v>
      </c>
      <c r="H49" s="688">
        <v>0</v>
      </c>
      <c r="I49" s="688">
        <v>0</v>
      </c>
      <c r="J49" s="688">
        <v>0</v>
      </c>
      <c r="K49" s="688">
        <v>0</v>
      </c>
      <c r="L49" s="688">
        <v>0</v>
      </c>
      <c r="M49" s="688">
        <v>0</v>
      </c>
      <c r="N49" s="688">
        <v>0</v>
      </c>
      <c r="O49" s="688">
        <v>0</v>
      </c>
      <c r="P49" s="688">
        <v>0</v>
      </c>
      <c r="Q49" s="688">
        <v>0</v>
      </c>
      <c r="R49" s="688">
        <v>0</v>
      </c>
    </row>
    <row r="50" spans="1:18" s="357" customFormat="1" ht="21" customHeight="1" x14ac:dyDescent="0.3">
      <c r="A50" s="357" t="s">
        <v>2372</v>
      </c>
      <c r="B50" s="357" t="s">
        <v>2487</v>
      </c>
      <c r="C50" s="478" t="s">
        <v>2280</v>
      </c>
      <c r="D50" s="687">
        <v>4</v>
      </c>
      <c r="E50" s="687">
        <v>0</v>
      </c>
      <c r="F50" s="687">
        <v>1</v>
      </c>
      <c r="G50" s="687">
        <v>1</v>
      </c>
      <c r="H50" s="687">
        <v>0</v>
      </c>
      <c r="I50" s="687">
        <v>0</v>
      </c>
      <c r="J50" s="687">
        <v>0</v>
      </c>
      <c r="K50" s="687">
        <v>0</v>
      </c>
      <c r="L50" s="1023">
        <v>0</v>
      </c>
      <c r="M50" s="687">
        <v>0</v>
      </c>
      <c r="N50" s="687">
        <v>0</v>
      </c>
      <c r="O50" s="687">
        <v>0</v>
      </c>
      <c r="P50" s="687">
        <v>0</v>
      </c>
      <c r="Q50" s="687">
        <v>0</v>
      </c>
      <c r="R50" s="687">
        <v>0</v>
      </c>
    </row>
    <row r="51" spans="1:18" s="357" customFormat="1" ht="21" customHeight="1" x14ac:dyDescent="0.3">
      <c r="A51" s="357" t="s">
        <v>2372</v>
      </c>
      <c r="B51" s="357" t="s">
        <v>2487</v>
      </c>
      <c r="C51" s="479" t="s">
        <v>1591</v>
      </c>
      <c r="D51" s="688">
        <v>3</v>
      </c>
      <c r="E51" s="688">
        <v>0</v>
      </c>
      <c r="F51" s="688">
        <v>3</v>
      </c>
      <c r="G51" s="688">
        <v>3</v>
      </c>
      <c r="H51" s="688">
        <v>1</v>
      </c>
      <c r="I51" s="688">
        <v>0</v>
      </c>
      <c r="J51" s="688">
        <v>0</v>
      </c>
      <c r="K51" s="688">
        <v>0</v>
      </c>
      <c r="L51" s="688">
        <v>0</v>
      </c>
      <c r="M51" s="688">
        <v>0</v>
      </c>
      <c r="N51" s="688">
        <v>0</v>
      </c>
      <c r="O51" s="688">
        <v>0</v>
      </c>
      <c r="P51" s="688">
        <v>0</v>
      </c>
      <c r="Q51" s="688">
        <v>0</v>
      </c>
      <c r="R51" s="688">
        <v>0</v>
      </c>
    </row>
    <row r="52" spans="1:18" s="357" customFormat="1" ht="21" customHeight="1" x14ac:dyDescent="0.3">
      <c r="A52" s="357" t="s">
        <v>2372</v>
      </c>
      <c r="B52" s="357" t="s">
        <v>2487</v>
      </c>
      <c r="C52" s="478" t="s">
        <v>1379</v>
      </c>
      <c r="D52" s="687">
        <v>3</v>
      </c>
      <c r="E52" s="687">
        <v>2</v>
      </c>
      <c r="F52" s="687">
        <v>3</v>
      </c>
      <c r="G52" s="687">
        <v>5</v>
      </c>
      <c r="H52" s="687">
        <v>0</v>
      </c>
      <c r="I52" s="687">
        <v>0</v>
      </c>
      <c r="J52" s="687">
        <v>1</v>
      </c>
      <c r="K52" s="687">
        <v>0</v>
      </c>
      <c r="L52" s="687">
        <v>0</v>
      </c>
      <c r="M52" s="687">
        <v>0</v>
      </c>
      <c r="N52" s="687">
        <v>0</v>
      </c>
      <c r="O52" s="687">
        <v>0</v>
      </c>
      <c r="P52" s="687">
        <v>0</v>
      </c>
      <c r="Q52" s="687">
        <v>0</v>
      </c>
      <c r="R52" s="687">
        <v>0</v>
      </c>
    </row>
    <row r="53" spans="1:18" s="357" customFormat="1" ht="21" customHeight="1" x14ac:dyDescent="0.3">
      <c r="A53" s="357" t="s">
        <v>2372</v>
      </c>
      <c r="B53" s="357" t="s">
        <v>2487</v>
      </c>
      <c r="C53" s="479" t="s">
        <v>2442</v>
      </c>
      <c r="D53" s="688">
        <v>4</v>
      </c>
      <c r="E53" s="688">
        <v>0</v>
      </c>
      <c r="F53" s="688">
        <v>2</v>
      </c>
      <c r="G53" s="688">
        <v>2</v>
      </c>
      <c r="H53" s="688">
        <v>0</v>
      </c>
      <c r="I53" s="688">
        <v>0</v>
      </c>
      <c r="J53" s="688">
        <v>0</v>
      </c>
      <c r="K53" s="688">
        <v>0</v>
      </c>
      <c r="L53" s="688">
        <v>0</v>
      </c>
      <c r="M53" s="688">
        <v>0</v>
      </c>
      <c r="N53" s="688">
        <v>0</v>
      </c>
      <c r="O53" s="688">
        <v>0</v>
      </c>
      <c r="P53" s="688">
        <v>0</v>
      </c>
      <c r="Q53" s="688">
        <v>0</v>
      </c>
      <c r="R53" s="688">
        <v>0</v>
      </c>
    </row>
    <row r="54" spans="1:18" s="357" customFormat="1" ht="21" customHeight="1" x14ac:dyDescent="0.3">
      <c r="A54" s="357" t="s">
        <v>2372</v>
      </c>
      <c r="B54" s="357" t="s">
        <v>2487</v>
      </c>
      <c r="C54" s="478" t="s">
        <v>2282</v>
      </c>
      <c r="D54" s="687">
        <v>4</v>
      </c>
      <c r="E54" s="687">
        <v>1</v>
      </c>
      <c r="F54" s="687">
        <v>1</v>
      </c>
      <c r="G54" s="687">
        <v>2</v>
      </c>
      <c r="H54" s="687">
        <v>1</v>
      </c>
      <c r="I54" s="687">
        <v>0</v>
      </c>
      <c r="J54" s="687">
        <v>0</v>
      </c>
      <c r="K54" s="687">
        <v>0</v>
      </c>
      <c r="L54" s="687">
        <v>0</v>
      </c>
      <c r="M54" s="687">
        <v>0</v>
      </c>
      <c r="N54" s="687">
        <v>0</v>
      </c>
      <c r="O54" s="687">
        <v>0</v>
      </c>
      <c r="P54" s="687">
        <v>0</v>
      </c>
      <c r="Q54" s="687">
        <v>0</v>
      </c>
      <c r="R54" s="687">
        <v>0</v>
      </c>
    </row>
    <row r="55" spans="1:18" s="357" customFormat="1" ht="21" customHeight="1" x14ac:dyDescent="0.3">
      <c r="A55" s="357" t="s">
        <v>2372</v>
      </c>
      <c r="B55" s="357" t="s">
        <v>2487</v>
      </c>
      <c r="C55" s="479" t="s">
        <v>2443</v>
      </c>
      <c r="D55" s="688">
        <v>4</v>
      </c>
      <c r="E55" s="688">
        <v>1</v>
      </c>
      <c r="F55" s="688">
        <v>2</v>
      </c>
      <c r="G55" s="688">
        <v>3</v>
      </c>
      <c r="H55" s="688">
        <v>1</v>
      </c>
      <c r="I55" s="688">
        <v>0</v>
      </c>
      <c r="J55" s="688">
        <v>0</v>
      </c>
      <c r="K55" s="688">
        <v>0</v>
      </c>
      <c r="L55" s="688">
        <v>0</v>
      </c>
      <c r="M55" s="688">
        <v>0</v>
      </c>
      <c r="N55" s="688">
        <v>0</v>
      </c>
      <c r="O55" s="688">
        <v>0</v>
      </c>
      <c r="P55" s="688">
        <v>0</v>
      </c>
      <c r="Q55" s="688">
        <v>0</v>
      </c>
      <c r="R55" s="688">
        <v>0</v>
      </c>
    </row>
    <row r="56" spans="1:18" s="357" customFormat="1" ht="21" customHeight="1" x14ac:dyDescent="0.3">
      <c r="A56" s="357" t="s">
        <v>2372</v>
      </c>
      <c r="B56" s="357" t="s">
        <v>2487</v>
      </c>
      <c r="C56" s="478" t="s">
        <v>2444</v>
      </c>
      <c r="D56" s="687">
        <v>4</v>
      </c>
      <c r="E56" s="687">
        <v>6</v>
      </c>
      <c r="F56" s="687">
        <v>3</v>
      </c>
      <c r="G56" s="687">
        <v>9</v>
      </c>
      <c r="H56" s="687">
        <v>0</v>
      </c>
      <c r="I56" s="687">
        <v>1</v>
      </c>
      <c r="J56" s="687">
        <v>0</v>
      </c>
      <c r="K56" s="687">
        <v>1</v>
      </c>
      <c r="L56" s="687">
        <v>0</v>
      </c>
      <c r="M56" s="687">
        <v>1</v>
      </c>
      <c r="N56" s="687">
        <v>0</v>
      </c>
      <c r="O56" s="687">
        <v>0</v>
      </c>
      <c r="P56" s="687">
        <v>0</v>
      </c>
      <c r="Q56" s="687">
        <v>0</v>
      </c>
      <c r="R56" s="687">
        <v>0</v>
      </c>
    </row>
    <row r="57" spans="1:18" s="357" customFormat="1" ht="21" customHeight="1" x14ac:dyDescent="0.3">
      <c r="A57" s="357" t="s">
        <v>2372</v>
      </c>
      <c r="B57" s="357" t="s">
        <v>2488</v>
      </c>
      <c r="C57" s="478" t="s">
        <v>48</v>
      </c>
      <c r="D57" s="687">
        <f>D24+D41</f>
        <v>21</v>
      </c>
      <c r="E57" s="687">
        <f>E24+E41</f>
        <v>2</v>
      </c>
      <c r="F57" s="687">
        <f>F24+F41</f>
        <v>4</v>
      </c>
      <c r="G57" s="687">
        <f>G24+G41</f>
        <v>6</v>
      </c>
      <c r="H57" s="687">
        <f>H24+H41</f>
        <v>1</v>
      </c>
      <c r="I57" s="687">
        <f>I24+I41</f>
        <v>0</v>
      </c>
      <c r="J57" s="687">
        <f>J24+J41</f>
        <v>0</v>
      </c>
      <c r="K57" s="687">
        <f>K24+K41</f>
        <v>0</v>
      </c>
      <c r="L57" s="1023">
        <f>L24+L41</f>
        <v>0</v>
      </c>
      <c r="M57" s="687">
        <f>M24+M41</f>
        <v>0</v>
      </c>
      <c r="N57" s="687">
        <f>N24+N41</f>
        <v>0</v>
      </c>
      <c r="O57" s="687">
        <f>O24+O41</f>
        <v>0</v>
      </c>
      <c r="P57" s="687">
        <f>P24+P41</f>
        <v>0</v>
      </c>
      <c r="Q57" s="687">
        <f>Q24+Q41</f>
        <v>0</v>
      </c>
      <c r="R57" s="687">
        <f>R24+R41</f>
        <v>0</v>
      </c>
    </row>
    <row r="58" spans="1:18" s="357" customFormat="1" ht="21" customHeight="1" x14ac:dyDescent="0.3">
      <c r="A58" s="357" t="s">
        <v>2372</v>
      </c>
      <c r="B58" s="357" t="s">
        <v>2488</v>
      </c>
      <c r="C58" s="478" t="s">
        <v>2441</v>
      </c>
      <c r="D58" s="687">
        <f>D26+D42</f>
        <v>24</v>
      </c>
      <c r="E58" s="687">
        <f>E26+E42</f>
        <v>4</v>
      </c>
      <c r="F58" s="687">
        <f>F26+F42</f>
        <v>3</v>
      </c>
      <c r="G58" s="687">
        <f>G26+G42</f>
        <v>7</v>
      </c>
      <c r="H58" s="687">
        <f>H26+H42</f>
        <v>1</v>
      </c>
      <c r="I58" s="687">
        <f>I26+I42</f>
        <v>2</v>
      </c>
      <c r="J58" s="687">
        <f>J26+J42</f>
        <v>0</v>
      </c>
      <c r="K58" s="687">
        <f>K26+K42</f>
        <v>0</v>
      </c>
      <c r="L58" s="1023">
        <f>L26+L42</f>
        <v>0</v>
      </c>
      <c r="M58" s="687">
        <f>M26+M42</f>
        <v>0</v>
      </c>
      <c r="N58" s="687">
        <f>N26+N42</f>
        <v>0</v>
      </c>
      <c r="O58" s="687">
        <f>O26+O42</f>
        <v>0</v>
      </c>
      <c r="P58" s="687">
        <f>P26+P42</f>
        <v>0</v>
      </c>
      <c r="Q58" s="687">
        <f>Q26+Q42</f>
        <v>1</v>
      </c>
      <c r="R58" s="687">
        <f>R26+R42</f>
        <v>0</v>
      </c>
    </row>
    <row r="59" spans="1:18" s="357" customFormat="1" ht="21" customHeight="1" x14ac:dyDescent="0.3">
      <c r="A59" s="357" t="s">
        <v>2372</v>
      </c>
      <c r="B59" s="357" t="s">
        <v>2488</v>
      </c>
      <c r="C59" s="479" t="s">
        <v>1459</v>
      </c>
      <c r="D59" s="688">
        <f>D27+D43</f>
        <v>21</v>
      </c>
      <c r="E59" s="688">
        <f>E27+E43</f>
        <v>6</v>
      </c>
      <c r="F59" s="688">
        <f>F27+F43</f>
        <v>3</v>
      </c>
      <c r="G59" s="688">
        <f>G27+G43</f>
        <v>9</v>
      </c>
      <c r="H59" s="688">
        <f>H27+H43</f>
        <v>0</v>
      </c>
      <c r="I59" s="688">
        <f>I27+I43</f>
        <v>1</v>
      </c>
      <c r="J59" s="688">
        <f>J27+J43</f>
        <v>0</v>
      </c>
      <c r="K59" s="688">
        <f>K27+K43</f>
        <v>0</v>
      </c>
      <c r="L59" s="688">
        <f>L27+L43</f>
        <v>0</v>
      </c>
      <c r="M59" s="688">
        <f>M27+M43</f>
        <v>0</v>
      </c>
      <c r="N59" s="688">
        <f>N27+N43</f>
        <v>0</v>
      </c>
      <c r="O59" s="688">
        <f>O27+O43</f>
        <v>0</v>
      </c>
      <c r="P59" s="688">
        <f>P27+P43</f>
        <v>0</v>
      </c>
      <c r="Q59" s="688">
        <f>Q27+Q43</f>
        <v>0</v>
      </c>
      <c r="R59" s="688">
        <f>R27+R43</f>
        <v>0</v>
      </c>
    </row>
    <row r="60" spans="1:18" s="357" customFormat="1" ht="21" customHeight="1" x14ac:dyDescent="0.3">
      <c r="A60" s="357" t="s">
        <v>2372</v>
      </c>
      <c r="B60" s="357" t="s">
        <v>2488</v>
      </c>
      <c r="C60" s="478" t="s">
        <v>2180</v>
      </c>
      <c r="D60" s="687">
        <f>D28+D44</f>
        <v>22</v>
      </c>
      <c r="E60" s="687">
        <f>E28+E44</f>
        <v>9</v>
      </c>
      <c r="F60" s="687">
        <f>F28+F44</f>
        <v>13</v>
      </c>
      <c r="G60" s="687">
        <f>G28+G44</f>
        <v>22</v>
      </c>
      <c r="H60" s="687">
        <f>H28+H44</f>
        <v>1</v>
      </c>
      <c r="I60" s="687">
        <f>I28+I44</f>
        <v>1</v>
      </c>
      <c r="J60" s="687">
        <f>J28+J44</f>
        <v>0</v>
      </c>
      <c r="K60" s="687">
        <f>K28+K44</f>
        <v>0</v>
      </c>
      <c r="L60" s="687">
        <f>L28+L44</f>
        <v>0</v>
      </c>
      <c r="M60" s="687">
        <f>M28+M44</f>
        <v>0</v>
      </c>
      <c r="N60" s="687">
        <f>N28+N44</f>
        <v>0</v>
      </c>
      <c r="O60" s="687">
        <f>O28+O44</f>
        <v>0</v>
      </c>
      <c r="P60" s="687">
        <f>P28+P44</f>
        <v>1</v>
      </c>
      <c r="Q60" s="687">
        <f>Q28+Q44</f>
        <v>0</v>
      </c>
      <c r="R60" s="687">
        <f>R28+R44</f>
        <v>0</v>
      </c>
    </row>
    <row r="61" spans="1:18" s="357" customFormat="1" ht="21" customHeight="1" x14ac:dyDescent="0.3">
      <c r="A61" s="357" t="s">
        <v>2372</v>
      </c>
      <c r="B61" s="357" t="s">
        <v>2488</v>
      </c>
      <c r="C61" s="479" t="s">
        <v>1597</v>
      </c>
      <c r="D61" s="688">
        <f>D29+D45</f>
        <v>23</v>
      </c>
      <c r="E61" s="688">
        <f>E29+E45</f>
        <v>0</v>
      </c>
      <c r="F61" s="688">
        <f>F29+F45</f>
        <v>0</v>
      </c>
      <c r="G61" s="688">
        <f>G29+G45</f>
        <v>0</v>
      </c>
      <c r="H61" s="688">
        <f>H29+H45</f>
        <v>0</v>
      </c>
      <c r="I61" s="688">
        <f>I29+I45</f>
        <v>0</v>
      </c>
      <c r="J61" s="688">
        <f>J29+J45</f>
        <v>0</v>
      </c>
      <c r="K61" s="688">
        <f>K29+K45</f>
        <v>0</v>
      </c>
      <c r="L61" s="688">
        <f>L29+L45</f>
        <v>0</v>
      </c>
      <c r="M61" s="688">
        <f>M29+M45</f>
        <v>0</v>
      </c>
      <c r="N61" s="688">
        <f>N29+N45</f>
        <v>0</v>
      </c>
      <c r="O61" s="688">
        <f>O29+O45</f>
        <v>0</v>
      </c>
      <c r="P61" s="688">
        <f>P29+P45</f>
        <v>0</v>
      </c>
      <c r="Q61" s="688">
        <f>Q29+Q45</f>
        <v>0</v>
      </c>
      <c r="R61" s="688">
        <f>R29+R45</f>
        <v>0</v>
      </c>
    </row>
    <row r="62" spans="1:18" s="357" customFormat="1" ht="21" customHeight="1" x14ac:dyDescent="0.3">
      <c r="A62" s="357" t="s">
        <v>2372</v>
      </c>
      <c r="B62" s="357" t="s">
        <v>2488</v>
      </c>
      <c r="C62" s="478" t="s">
        <v>50</v>
      </c>
      <c r="D62" s="687">
        <f>D30+D46</f>
        <v>24</v>
      </c>
      <c r="E62" s="687">
        <f>E30+E46</f>
        <v>27</v>
      </c>
      <c r="F62" s="687">
        <f>F30+F46</f>
        <v>10</v>
      </c>
      <c r="G62" s="687">
        <f>G30+G46</f>
        <v>37</v>
      </c>
      <c r="H62" s="687">
        <f>H30+H46</f>
        <v>0</v>
      </c>
      <c r="I62" s="687">
        <f>I30+I46</f>
        <v>3</v>
      </c>
      <c r="J62" s="687">
        <f>J30+J46</f>
        <v>0</v>
      </c>
      <c r="K62" s="687">
        <f>K30+K46</f>
        <v>0</v>
      </c>
      <c r="L62" s="687">
        <f>L30+L46</f>
        <v>0</v>
      </c>
      <c r="M62" s="687">
        <f>M30+M46</f>
        <v>0</v>
      </c>
      <c r="N62" s="687">
        <f>N30+N46</f>
        <v>0</v>
      </c>
      <c r="O62" s="687">
        <f>O30+O46</f>
        <v>0</v>
      </c>
      <c r="P62" s="687">
        <f>P30+P46</f>
        <v>4</v>
      </c>
      <c r="Q62" s="687">
        <f>Q30+Q46</f>
        <v>0</v>
      </c>
      <c r="R62" s="687">
        <f>R30+R46</f>
        <v>0</v>
      </c>
    </row>
    <row r="63" spans="1:18" s="357" customFormat="1" ht="21" customHeight="1" x14ac:dyDescent="0.3">
      <c r="A63" s="357" t="s">
        <v>2372</v>
      </c>
      <c r="B63" s="357" t="s">
        <v>2488</v>
      </c>
      <c r="C63" s="479" t="s">
        <v>2148</v>
      </c>
      <c r="D63" s="688">
        <f>D31+D47</f>
        <v>16</v>
      </c>
      <c r="E63" s="688">
        <f>E31+E47</f>
        <v>16</v>
      </c>
      <c r="F63" s="688">
        <f>F31+F47</f>
        <v>5</v>
      </c>
      <c r="G63" s="688">
        <f>G31+G47</f>
        <v>21</v>
      </c>
      <c r="H63" s="688">
        <f>H31+H47</f>
        <v>0</v>
      </c>
      <c r="I63" s="688">
        <f>I31+I47</f>
        <v>1</v>
      </c>
      <c r="J63" s="688">
        <f>J31+J47</f>
        <v>0</v>
      </c>
      <c r="K63" s="688">
        <f>K31+K47</f>
        <v>0</v>
      </c>
      <c r="L63" s="688">
        <f>L31+L47</f>
        <v>0</v>
      </c>
      <c r="M63" s="688">
        <f>M31+M47</f>
        <v>0</v>
      </c>
      <c r="N63" s="688">
        <f>N31+N47</f>
        <v>1</v>
      </c>
      <c r="O63" s="688">
        <f>O31+O47</f>
        <v>1</v>
      </c>
      <c r="P63" s="688">
        <f>P31+P47</f>
        <v>2</v>
      </c>
      <c r="Q63" s="688">
        <f>Q31+Q47</f>
        <v>0</v>
      </c>
      <c r="R63" s="688">
        <f>R31+R47</f>
        <v>0</v>
      </c>
    </row>
    <row r="64" spans="1:18" s="357" customFormat="1" ht="21" customHeight="1" x14ac:dyDescent="0.3">
      <c r="A64" s="357" t="s">
        <v>2372</v>
      </c>
      <c r="B64" s="357" t="s">
        <v>2488</v>
      </c>
      <c r="C64" s="478" t="s">
        <v>2184</v>
      </c>
      <c r="D64" s="687">
        <f>D32+D48</f>
        <v>22</v>
      </c>
      <c r="E64" s="687">
        <f>E32+E48</f>
        <v>8</v>
      </c>
      <c r="F64" s="687">
        <f>F32+F48</f>
        <v>18</v>
      </c>
      <c r="G64" s="687">
        <f>G32+G48</f>
        <v>26</v>
      </c>
      <c r="H64" s="687">
        <f>H32+H48</f>
        <v>2</v>
      </c>
      <c r="I64" s="687">
        <f>I32+I48</f>
        <v>2</v>
      </c>
      <c r="J64" s="687">
        <f>J32+J48</f>
        <v>0</v>
      </c>
      <c r="K64" s="687">
        <f>K32+K48</f>
        <v>0</v>
      </c>
      <c r="L64" s="687">
        <f>L32+L48</f>
        <v>0</v>
      </c>
      <c r="M64" s="687">
        <f>M32+M48</f>
        <v>0</v>
      </c>
      <c r="N64" s="687">
        <f>N32+N48</f>
        <v>0</v>
      </c>
      <c r="O64" s="687">
        <f>O32+O48</f>
        <v>0</v>
      </c>
      <c r="P64" s="687">
        <f>P32+P48</f>
        <v>0</v>
      </c>
      <c r="Q64" s="687">
        <f>Q32+Q48</f>
        <v>0</v>
      </c>
      <c r="R64" s="687">
        <f>R32+R48</f>
        <v>0</v>
      </c>
    </row>
    <row r="65" spans="1:18" s="357" customFormat="1" ht="21" customHeight="1" x14ac:dyDescent="0.3">
      <c r="A65" s="357" t="s">
        <v>2372</v>
      </c>
      <c r="B65" s="357" t="s">
        <v>2488</v>
      </c>
      <c r="C65" s="479" t="s">
        <v>2283</v>
      </c>
      <c r="D65" s="688">
        <f>D33+D49</f>
        <v>24</v>
      </c>
      <c r="E65" s="688">
        <f>E33+E49</f>
        <v>5</v>
      </c>
      <c r="F65" s="688">
        <f>F33+F49</f>
        <v>4</v>
      </c>
      <c r="G65" s="688">
        <f>G33+G49</f>
        <v>9</v>
      </c>
      <c r="H65" s="688">
        <f>H33+H49</f>
        <v>5</v>
      </c>
      <c r="I65" s="688">
        <f>I33+I49</f>
        <v>2</v>
      </c>
      <c r="J65" s="688">
        <f>J33+J49</f>
        <v>0</v>
      </c>
      <c r="K65" s="688">
        <f>K33+K49</f>
        <v>0</v>
      </c>
      <c r="L65" s="688">
        <f>L33+L49</f>
        <v>0</v>
      </c>
      <c r="M65" s="688">
        <f>M33+M49</f>
        <v>0</v>
      </c>
      <c r="N65" s="688">
        <f>N33+N49</f>
        <v>0</v>
      </c>
      <c r="O65" s="688">
        <f>O33+O49</f>
        <v>0</v>
      </c>
      <c r="P65" s="688">
        <f>P33+P49</f>
        <v>0</v>
      </c>
      <c r="Q65" s="688">
        <f>Q33+Q49</f>
        <v>0</v>
      </c>
      <c r="R65" s="688">
        <f>R33+R49</f>
        <v>0</v>
      </c>
    </row>
    <row r="66" spans="1:18" s="357" customFormat="1" ht="21" customHeight="1" x14ac:dyDescent="0.3">
      <c r="A66" s="357" t="s">
        <v>2372</v>
      </c>
      <c r="B66" s="357" t="s">
        <v>2488</v>
      </c>
      <c r="C66" s="478" t="s">
        <v>2280</v>
      </c>
      <c r="D66" s="687">
        <f>D34+D50</f>
        <v>24</v>
      </c>
      <c r="E66" s="687">
        <f>E34+E50</f>
        <v>1</v>
      </c>
      <c r="F66" s="687">
        <f>F34+F50</f>
        <v>5</v>
      </c>
      <c r="G66" s="687">
        <f>G34+G50</f>
        <v>6</v>
      </c>
      <c r="H66" s="687">
        <f>H34+H50</f>
        <v>1</v>
      </c>
      <c r="I66" s="687">
        <f>I34+I50</f>
        <v>0</v>
      </c>
      <c r="J66" s="687">
        <f>J34+J50</f>
        <v>0</v>
      </c>
      <c r="K66" s="687">
        <f>K34+K50</f>
        <v>0</v>
      </c>
      <c r="L66" s="1023">
        <f>L34+L50</f>
        <v>0</v>
      </c>
      <c r="M66" s="687">
        <f>M34+M50</f>
        <v>0</v>
      </c>
      <c r="N66" s="687">
        <f>N34+N50</f>
        <v>0</v>
      </c>
      <c r="O66" s="687">
        <f>O34+O50</f>
        <v>0</v>
      </c>
      <c r="P66" s="687">
        <f>P34+P50</f>
        <v>0</v>
      </c>
      <c r="Q66" s="687">
        <f>Q34+Q50</f>
        <v>0</v>
      </c>
      <c r="R66" s="687">
        <f>R34+R50</f>
        <v>0</v>
      </c>
    </row>
    <row r="67" spans="1:18" s="357" customFormat="1" ht="21" customHeight="1" x14ac:dyDescent="0.3">
      <c r="A67" s="357" t="s">
        <v>2372</v>
      </c>
      <c r="B67" s="357" t="s">
        <v>2488</v>
      </c>
      <c r="C67" s="479" t="s">
        <v>1591</v>
      </c>
      <c r="D67" s="688">
        <f>D35+D51</f>
        <v>17</v>
      </c>
      <c r="E67" s="688">
        <f>E35+E51</f>
        <v>2</v>
      </c>
      <c r="F67" s="688">
        <f>F35+F51</f>
        <v>5</v>
      </c>
      <c r="G67" s="688">
        <f>G35+G51</f>
        <v>7</v>
      </c>
      <c r="H67" s="688">
        <f>H35+H51</f>
        <v>3</v>
      </c>
      <c r="I67" s="688">
        <f>I35+I51</f>
        <v>0</v>
      </c>
      <c r="J67" s="688">
        <f>J35+J51</f>
        <v>0</v>
      </c>
      <c r="K67" s="688">
        <f>K35+K51</f>
        <v>0</v>
      </c>
      <c r="L67" s="688">
        <f>L35+L51</f>
        <v>0</v>
      </c>
      <c r="M67" s="688">
        <f>M35+M51</f>
        <v>0</v>
      </c>
      <c r="N67" s="688">
        <f>N35+N51</f>
        <v>0</v>
      </c>
      <c r="O67" s="688">
        <f>O35+O51</f>
        <v>0</v>
      </c>
      <c r="P67" s="688">
        <f>P35+P51</f>
        <v>0</v>
      </c>
      <c r="Q67" s="688">
        <f>Q35+Q51</f>
        <v>0</v>
      </c>
      <c r="R67" s="688">
        <f>R35+R51</f>
        <v>0</v>
      </c>
    </row>
    <row r="68" spans="1:18" s="357" customFormat="1" ht="21" customHeight="1" x14ac:dyDescent="0.3">
      <c r="A68" s="357" t="s">
        <v>2372</v>
      </c>
      <c r="B68" s="357" t="s">
        <v>2488</v>
      </c>
      <c r="C68" s="478" t="s">
        <v>1379</v>
      </c>
      <c r="D68" s="687">
        <f>D36+D52</f>
        <v>21</v>
      </c>
      <c r="E68" s="687">
        <f>E36+E52</f>
        <v>12</v>
      </c>
      <c r="F68" s="687">
        <f>F36+F52</f>
        <v>18</v>
      </c>
      <c r="G68" s="687">
        <f>G36+G52</f>
        <v>30</v>
      </c>
      <c r="H68" s="687">
        <f>H36+H52</f>
        <v>2</v>
      </c>
      <c r="I68" s="687">
        <f>I36+I52</f>
        <v>0</v>
      </c>
      <c r="J68" s="687">
        <f>J36+J52</f>
        <v>2</v>
      </c>
      <c r="K68" s="687">
        <f>K36+K52</f>
        <v>1</v>
      </c>
      <c r="L68" s="687">
        <f>L36+L52</f>
        <v>0</v>
      </c>
      <c r="M68" s="687">
        <f>M36+M52</f>
        <v>0</v>
      </c>
      <c r="N68" s="687">
        <f>N36+N52</f>
        <v>0</v>
      </c>
      <c r="O68" s="687">
        <f>O36+O52</f>
        <v>0</v>
      </c>
      <c r="P68" s="687">
        <f>P36+P52</f>
        <v>0</v>
      </c>
      <c r="Q68" s="687">
        <f>Q36+Q52</f>
        <v>1</v>
      </c>
      <c r="R68" s="687">
        <f>R36+R52</f>
        <v>0</v>
      </c>
    </row>
    <row r="69" spans="1:18" s="357" customFormat="1" ht="21" customHeight="1" x14ac:dyDescent="0.3">
      <c r="A69" s="357" t="s">
        <v>2372</v>
      </c>
      <c r="B69" s="357" t="s">
        <v>2488</v>
      </c>
      <c r="C69" s="479" t="s">
        <v>2442</v>
      </c>
      <c r="D69" s="688">
        <f>D37+D53</f>
        <v>19</v>
      </c>
      <c r="E69" s="688">
        <f>E37+E53</f>
        <v>6</v>
      </c>
      <c r="F69" s="688">
        <f>F37+F53</f>
        <v>5</v>
      </c>
      <c r="G69" s="688">
        <f>G37+G53</f>
        <v>11</v>
      </c>
      <c r="H69" s="688">
        <f>H37+H53</f>
        <v>0</v>
      </c>
      <c r="I69" s="688">
        <f>I37+I53</f>
        <v>2</v>
      </c>
      <c r="J69" s="688">
        <f>J37+J53</f>
        <v>0</v>
      </c>
      <c r="K69" s="688">
        <f>K37+K53</f>
        <v>0</v>
      </c>
      <c r="L69" s="688">
        <f>L37+L53</f>
        <v>0</v>
      </c>
      <c r="M69" s="688">
        <f>M37+M53</f>
        <v>0</v>
      </c>
      <c r="N69" s="688">
        <f>N37+N53</f>
        <v>0</v>
      </c>
      <c r="O69" s="688">
        <f>O37+O53</f>
        <v>0</v>
      </c>
      <c r="P69" s="688">
        <f>P37+P53</f>
        <v>0</v>
      </c>
      <c r="Q69" s="688">
        <f>Q37+Q53</f>
        <v>0</v>
      </c>
      <c r="R69" s="688">
        <f>R37+R53</f>
        <v>0</v>
      </c>
    </row>
    <row r="70" spans="1:18" s="357" customFormat="1" ht="21" customHeight="1" x14ac:dyDescent="0.3">
      <c r="A70" s="357" t="s">
        <v>2372</v>
      </c>
      <c r="B70" s="357" t="s">
        <v>2488</v>
      </c>
      <c r="C70" s="478" t="s">
        <v>2282</v>
      </c>
      <c r="D70" s="687">
        <f>D38+D54</f>
        <v>24</v>
      </c>
      <c r="E70" s="687">
        <f>E38+E54</f>
        <v>5</v>
      </c>
      <c r="F70" s="687">
        <f>F38+F54</f>
        <v>3</v>
      </c>
      <c r="G70" s="687">
        <f>G38+G54</f>
        <v>8</v>
      </c>
      <c r="H70" s="687">
        <f>H38+H54</f>
        <v>4</v>
      </c>
      <c r="I70" s="687">
        <f>I38+I54</f>
        <v>0</v>
      </c>
      <c r="J70" s="687">
        <f>J38+J54</f>
        <v>0</v>
      </c>
      <c r="K70" s="687">
        <f>K38+K54</f>
        <v>0</v>
      </c>
      <c r="L70" s="687">
        <f>L38+L54</f>
        <v>0</v>
      </c>
      <c r="M70" s="687">
        <f>M38+M54</f>
        <v>0</v>
      </c>
      <c r="N70" s="687">
        <f>N38+N54</f>
        <v>0</v>
      </c>
      <c r="O70" s="687">
        <f>O38+O54</f>
        <v>0</v>
      </c>
      <c r="P70" s="687">
        <f>P38+P54</f>
        <v>0</v>
      </c>
      <c r="Q70" s="687">
        <f>Q38+Q54</f>
        <v>0</v>
      </c>
      <c r="R70" s="687">
        <f>R38+R54</f>
        <v>0</v>
      </c>
    </row>
    <row r="71" spans="1:18" s="357" customFormat="1" ht="21" customHeight="1" x14ac:dyDescent="0.3">
      <c r="A71" s="357" t="s">
        <v>2372</v>
      </c>
      <c r="B71" s="357" t="s">
        <v>2488</v>
      </c>
      <c r="C71" s="479" t="s">
        <v>2443</v>
      </c>
      <c r="D71" s="688">
        <f>D39+D55</f>
        <v>23</v>
      </c>
      <c r="E71" s="688">
        <f>E39+E55</f>
        <v>7</v>
      </c>
      <c r="F71" s="688">
        <f>F39+F55</f>
        <v>11</v>
      </c>
      <c r="G71" s="688">
        <f>G39+G55</f>
        <v>18</v>
      </c>
      <c r="H71" s="688">
        <f>H39+H55</f>
        <v>4</v>
      </c>
      <c r="I71" s="688">
        <f>I39+I55</f>
        <v>0</v>
      </c>
      <c r="J71" s="688">
        <f>J39+J55</f>
        <v>0</v>
      </c>
      <c r="K71" s="688">
        <f>K39+K55</f>
        <v>0</v>
      </c>
      <c r="L71" s="688">
        <f>L39+L55</f>
        <v>0</v>
      </c>
      <c r="M71" s="688">
        <f>M39+M55</f>
        <v>0</v>
      </c>
      <c r="N71" s="688">
        <f>N39+N55</f>
        <v>0</v>
      </c>
      <c r="O71" s="688">
        <f>O39+O55</f>
        <v>0</v>
      </c>
      <c r="P71" s="688">
        <f>P39+P55</f>
        <v>0</v>
      </c>
      <c r="Q71" s="688">
        <f>Q39+Q55</f>
        <v>0</v>
      </c>
      <c r="R71" s="688">
        <f>R39+R55</f>
        <v>0</v>
      </c>
    </row>
    <row r="72" spans="1:18" s="357" customFormat="1" ht="21" customHeight="1" x14ac:dyDescent="0.3">
      <c r="A72" s="357" t="s">
        <v>2372</v>
      </c>
      <c r="B72" s="357" t="s">
        <v>2488</v>
      </c>
      <c r="C72" s="478" t="s">
        <v>2444</v>
      </c>
      <c r="D72" s="687">
        <f>D40+D56</f>
        <v>22</v>
      </c>
      <c r="E72" s="687">
        <f>E40+E56</f>
        <v>23</v>
      </c>
      <c r="F72" s="687">
        <f>F40+F56</f>
        <v>7</v>
      </c>
      <c r="G72" s="687">
        <f>G40+G56</f>
        <v>30</v>
      </c>
      <c r="H72" s="687">
        <f>H40+H56</f>
        <v>4</v>
      </c>
      <c r="I72" s="687">
        <f>I40+I56</f>
        <v>3</v>
      </c>
      <c r="J72" s="687">
        <f>J40+J56</f>
        <v>0</v>
      </c>
      <c r="K72" s="687">
        <f>K40+K56</f>
        <v>1</v>
      </c>
      <c r="L72" s="687">
        <f>L40+L56</f>
        <v>0</v>
      </c>
      <c r="M72" s="687">
        <f>M40+M56</f>
        <v>1</v>
      </c>
      <c r="N72" s="687">
        <f>N40+N56</f>
        <v>0</v>
      </c>
      <c r="O72" s="687">
        <f>O40+O56</f>
        <v>0</v>
      </c>
      <c r="P72" s="687">
        <f>P40+P56</f>
        <v>1</v>
      </c>
      <c r="Q72" s="687">
        <f>Q40+Q56</f>
        <v>0</v>
      </c>
      <c r="R72" s="687">
        <f>R40+R56</f>
        <v>0</v>
      </c>
    </row>
    <row r="73" spans="1:18" s="357" customFormat="1" ht="21" customHeight="1" x14ac:dyDescent="0.3">
      <c r="A73" s="357" t="s">
        <v>2153</v>
      </c>
      <c r="B73" s="357" t="s">
        <v>1946</v>
      </c>
      <c r="C73" s="478" t="s">
        <v>50</v>
      </c>
      <c r="D73" s="687">
        <v>22</v>
      </c>
      <c r="E73" s="687">
        <v>20</v>
      </c>
      <c r="F73" s="687">
        <v>14</v>
      </c>
      <c r="G73" s="687">
        <v>34</v>
      </c>
      <c r="H73" s="687">
        <v>4</v>
      </c>
      <c r="I73" s="687">
        <v>3</v>
      </c>
      <c r="J73" s="687">
        <v>4</v>
      </c>
      <c r="K73" s="687"/>
      <c r="L73" s="1023">
        <v>1</v>
      </c>
      <c r="M73" s="687"/>
      <c r="N73" s="687"/>
      <c r="O73" s="687">
        <v>1</v>
      </c>
      <c r="P73" s="687"/>
      <c r="Q73" s="687"/>
    </row>
    <row r="74" spans="1:18" s="357" customFormat="1" ht="21" customHeight="1" x14ac:dyDescent="0.3">
      <c r="A74" s="357" t="s">
        <v>2153</v>
      </c>
      <c r="B74" s="357" t="s">
        <v>1946</v>
      </c>
      <c r="C74" s="479" t="s">
        <v>1459</v>
      </c>
      <c r="D74" s="688">
        <v>24</v>
      </c>
      <c r="E74" s="688">
        <v>17</v>
      </c>
      <c r="F74" s="688">
        <v>9</v>
      </c>
      <c r="G74" s="688">
        <v>26</v>
      </c>
      <c r="H74" s="688">
        <v>6</v>
      </c>
      <c r="I74" s="688">
        <v>1</v>
      </c>
      <c r="J74" s="688"/>
      <c r="K74" s="688"/>
      <c r="L74" s="688"/>
      <c r="M74" s="688"/>
      <c r="N74" s="688"/>
      <c r="O74" s="688"/>
      <c r="P74" s="688"/>
      <c r="Q74" s="688"/>
    </row>
    <row r="75" spans="1:18" s="357" customFormat="1" ht="21" customHeight="1" x14ac:dyDescent="0.3">
      <c r="A75" s="357" t="s">
        <v>2153</v>
      </c>
      <c r="B75" s="357" t="s">
        <v>1946</v>
      </c>
      <c r="C75" s="478" t="s">
        <v>2184</v>
      </c>
      <c r="D75" s="687">
        <v>22</v>
      </c>
      <c r="E75" s="687">
        <v>16</v>
      </c>
      <c r="F75" s="687">
        <v>7</v>
      </c>
      <c r="G75" s="687">
        <v>23</v>
      </c>
      <c r="H75" s="687">
        <v>2</v>
      </c>
      <c r="I75" s="687"/>
      <c r="J75" s="687">
        <v>1</v>
      </c>
      <c r="K75" s="687"/>
      <c r="L75" s="1023">
        <v>2</v>
      </c>
      <c r="M75" s="687"/>
      <c r="N75" s="687"/>
      <c r="O75" s="687">
        <v>1</v>
      </c>
      <c r="P75" s="687"/>
      <c r="Q75" s="687"/>
    </row>
    <row r="76" spans="1:18" s="357" customFormat="1" ht="21" customHeight="1" x14ac:dyDescent="0.3">
      <c r="A76" s="357" t="s">
        <v>2153</v>
      </c>
      <c r="B76" s="357" t="s">
        <v>1946</v>
      </c>
      <c r="C76" s="479" t="s">
        <v>2180</v>
      </c>
      <c r="D76" s="688">
        <v>18</v>
      </c>
      <c r="E76" s="688">
        <v>8</v>
      </c>
      <c r="F76" s="688">
        <v>15</v>
      </c>
      <c r="G76" s="688">
        <v>23</v>
      </c>
      <c r="H76" s="688">
        <v>4</v>
      </c>
      <c r="I76" s="688">
        <v>2</v>
      </c>
      <c r="J76" s="688"/>
      <c r="K76" s="688"/>
      <c r="L76" s="1018"/>
      <c r="M76" s="688">
        <v>1</v>
      </c>
      <c r="N76" s="688"/>
      <c r="O76" s="688"/>
      <c r="P76" s="688"/>
      <c r="Q76" s="688"/>
    </row>
    <row r="77" spans="1:18" s="357" customFormat="1" ht="21" customHeight="1" x14ac:dyDescent="0.3">
      <c r="A77" s="357" t="s">
        <v>2153</v>
      </c>
      <c r="B77" s="357" t="s">
        <v>1946</v>
      </c>
      <c r="C77" s="478" t="s">
        <v>1379</v>
      </c>
      <c r="D77" s="687">
        <v>20</v>
      </c>
      <c r="E77" s="687">
        <v>9</v>
      </c>
      <c r="F77" s="687">
        <v>10</v>
      </c>
      <c r="G77" s="687">
        <v>19</v>
      </c>
      <c r="H77" s="687">
        <v>4</v>
      </c>
      <c r="I77" s="687">
        <v>1</v>
      </c>
      <c r="J77" s="687"/>
      <c r="K77" s="687"/>
      <c r="L77" s="687"/>
      <c r="M77" s="687"/>
      <c r="N77" s="687"/>
      <c r="O77" s="687">
        <v>1</v>
      </c>
      <c r="P77" s="687"/>
      <c r="Q77" s="687"/>
    </row>
    <row r="78" spans="1:18" s="357" customFormat="1" ht="21" customHeight="1" x14ac:dyDescent="0.3">
      <c r="A78" s="357" t="s">
        <v>2153</v>
      </c>
      <c r="B78" s="357" t="s">
        <v>1946</v>
      </c>
      <c r="C78" s="479" t="s">
        <v>2279</v>
      </c>
      <c r="D78" s="688">
        <v>22</v>
      </c>
      <c r="E78" s="688">
        <v>11</v>
      </c>
      <c r="F78" s="688">
        <v>7</v>
      </c>
      <c r="G78" s="688">
        <v>18</v>
      </c>
      <c r="H78" s="688">
        <v>6</v>
      </c>
      <c r="I78" s="688">
        <v>2</v>
      </c>
      <c r="J78" s="688">
        <v>1</v>
      </c>
      <c r="K78" s="688"/>
      <c r="L78" s="688"/>
      <c r="M78" s="688"/>
      <c r="N78" s="688"/>
      <c r="O78" s="688">
        <v>1</v>
      </c>
      <c r="P78" s="688"/>
      <c r="Q78" s="688">
        <v>1</v>
      </c>
    </row>
    <row r="79" spans="1:18" s="357" customFormat="1" ht="21" customHeight="1" x14ac:dyDescent="0.3">
      <c r="A79" s="357" t="s">
        <v>2153</v>
      </c>
      <c r="B79" s="357" t="s">
        <v>1946</v>
      </c>
      <c r="C79" s="478" t="s">
        <v>2149</v>
      </c>
      <c r="D79" s="687">
        <v>18</v>
      </c>
      <c r="E79" s="687">
        <v>3</v>
      </c>
      <c r="F79" s="687">
        <v>10</v>
      </c>
      <c r="G79" s="687">
        <v>13</v>
      </c>
      <c r="H79" s="687"/>
      <c r="I79" s="687"/>
      <c r="J79" s="687">
        <v>1</v>
      </c>
      <c r="K79" s="687"/>
      <c r="L79" s="687"/>
      <c r="M79" s="687"/>
      <c r="N79" s="687"/>
      <c r="O79" s="687"/>
      <c r="P79" s="687"/>
      <c r="Q79" s="687"/>
    </row>
    <row r="80" spans="1:18" s="357" customFormat="1" ht="21" customHeight="1" x14ac:dyDescent="0.3">
      <c r="A80" s="357" t="s">
        <v>2153</v>
      </c>
      <c r="B80" s="357" t="s">
        <v>1946</v>
      </c>
      <c r="C80" s="479" t="s">
        <v>2280</v>
      </c>
      <c r="D80" s="688">
        <v>20</v>
      </c>
      <c r="E80" s="688">
        <v>1</v>
      </c>
      <c r="F80" s="688">
        <v>10</v>
      </c>
      <c r="G80" s="688">
        <v>11</v>
      </c>
      <c r="H80" s="688">
        <v>2</v>
      </c>
      <c r="I80" s="688"/>
      <c r="J80" s="688"/>
      <c r="K80" s="688"/>
      <c r="L80" s="688"/>
      <c r="M80" s="688"/>
      <c r="N80" s="688"/>
      <c r="O80" s="688"/>
      <c r="P80" s="688"/>
      <c r="Q80" s="688"/>
    </row>
    <row r="81" spans="1:17" s="357" customFormat="1" ht="21" customHeight="1" x14ac:dyDescent="0.3">
      <c r="A81" s="357" t="s">
        <v>2153</v>
      </c>
      <c r="B81" s="357" t="s">
        <v>1946</v>
      </c>
      <c r="C81" s="478" t="s">
        <v>2148</v>
      </c>
      <c r="D81" s="687">
        <v>14</v>
      </c>
      <c r="E81" s="687">
        <v>5</v>
      </c>
      <c r="F81" s="687">
        <v>5</v>
      </c>
      <c r="G81" s="687">
        <v>10</v>
      </c>
      <c r="H81" s="687">
        <v>6</v>
      </c>
      <c r="I81" s="687"/>
      <c r="J81" s="687"/>
      <c r="K81" s="687"/>
      <c r="L81" s="687"/>
      <c r="M81" s="687"/>
      <c r="N81" s="687"/>
      <c r="O81" s="687"/>
      <c r="P81" s="687"/>
      <c r="Q81" s="687"/>
    </row>
    <row r="82" spans="1:17" s="357" customFormat="1" ht="21" customHeight="1" x14ac:dyDescent="0.3">
      <c r="A82" s="357" t="s">
        <v>2153</v>
      </c>
      <c r="B82" s="357" t="s">
        <v>1946</v>
      </c>
      <c r="C82" s="479" t="s">
        <v>2281</v>
      </c>
      <c r="D82" s="688">
        <v>22</v>
      </c>
      <c r="E82" s="688">
        <v>2</v>
      </c>
      <c r="F82" s="688">
        <v>7</v>
      </c>
      <c r="G82" s="688">
        <v>9</v>
      </c>
      <c r="H82" s="688"/>
      <c r="I82" s="688">
        <v>1</v>
      </c>
      <c r="J82" s="688"/>
      <c r="K82" s="688"/>
      <c r="L82" s="688"/>
      <c r="M82" s="688"/>
      <c r="N82" s="688"/>
      <c r="O82" s="688"/>
      <c r="P82" s="688"/>
      <c r="Q82" s="688"/>
    </row>
    <row r="83" spans="1:17" s="357" customFormat="1" ht="21" customHeight="1" x14ac:dyDescent="0.3">
      <c r="A83" s="357" t="s">
        <v>2153</v>
      </c>
      <c r="B83" s="357" t="s">
        <v>1946</v>
      </c>
      <c r="C83" s="478" t="s">
        <v>1591</v>
      </c>
      <c r="D83" s="687">
        <v>22</v>
      </c>
      <c r="E83" s="687">
        <v>7</v>
      </c>
      <c r="F83" s="687">
        <v>1</v>
      </c>
      <c r="G83" s="687">
        <v>8</v>
      </c>
      <c r="H83" s="687">
        <v>4</v>
      </c>
      <c r="I83" s="687"/>
      <c r="J83" s="687">
        <v>1</v>
      </c>
      <c r="K83" s="687"/>
      <c r="L83" s="1023">
        <v>1</v>
      </c>
      <c r="M83" s="687"/>
      <c r="N83" s="687"/>
      <c r="O83" s="687">
        <v>1</v>
      </c>
      <c r="P83" s="687"/>
      <c r="Q83" s="687"/>
    </row>
    <row r="84" spans="1:17" s="357" customFormat="1" ht="21" customHeight="1" x14ac:dyDescent="0.3">
      <c r="A84" s="357" t="s">
        <v>2153</v>
      </c>
      <c r="B84" s="357" t="s">
        <v>1946</v>
      </c>
      <c r="C84" s="479" t="s">
        <v>2282</v>
      </c>
      <c r="D84" s="688">
        <v>20</v>
      </c>
      <c r="E84" s="688">
        <v>4</v>
      </c>
      <c r="F84" s="688">
        <v>1</v>
      </c>
      <c r="G84" s="688">
        <v>5</v>
      </c>
      <c r="H84" s="688">
        <v>6</v>
      </c>
      <c r="I84" s="688"/>
      <c r="J84" s="688"/>
      <c r="K84" s="688"/>
      <c r="L84" s="688"/>
      <c r="M84" s="688"/>
      <c r="N84" s="688"/>
      <c r="O84" s="688"/>
      <c r="P84" s="688"/>
      <c r="Q84" s="688"/>
    </row>
    <row r="85" spans="1:17" s="357" customFormat="1" ht="21" customHeight="1" x14ac:dyDescent="0.3">
      <c r="A85" s="357" t="s">
        <v>2153</v>
      </c>
      <c r="B85" s="357" t="s">
        <v>1946</v>
      </c>
      <c r="C85" s="478" t="s">
        <v>1075</v>
      </c>
      <c r="D85" s="687">
        <v>14</v>
      </c>
      <c r="E85" s="687">
        <v>3</v>
      </c>
      <c r="F85" s="687">
        <v>2</v>
      </c>
      <c r="G85" s="687">
        <v>5</v>
      </c>
      <c r="H85" s="687"/>
      <c r="I85" s="687"/>
      <c r="J85" s="687"/>
      <c r="K85" s="687"/>
      <c r="L85" s="687"/>
      <c r="M85" s="687"/>
      <c r="N85" s="687"/>
      <c r="O85" s="687"/>
      <c r="P85" s="687"/>
      <c r="Q85" s="687"/>
    </row>
    <row r="86" spans="1:17" s="357" customFormat="1" ht="21" customHeight="1" x14ac:dyDescent="0.3">
      <c r="A86" s="357" t="s">
        <v>2153</v>
      </c>
      <c r="B86" s="357" t="s">
        <v>1946</v>
      </c>
      <c r="C86" s="479" t="s">
        <v>2181</v>
      </c>
      <c r="D86" s="688">
        <v>3</v>
      </c>
      <c r="E86" s="688">
        <v>1</v>
      </c>
      <c r="F86" s="688">
        <v>0</v>
      </c>
      <c r="G86" s="688">
        <v>1</v>
      </c>
      <c r="H86" s="688"/>
      <c r="I86" s="688"/>
      <c r="J86" s="688"/>
      <c r="K86" s="688"/>
      <c r="L86" s="688"/>
      <c r="M86" s="688"/>
      <c r="N86" s="688"/>
      <c r="O86" s="688"/>
      <c r="P86" s="688"/>
      <c r="Q86" s="688"/>
    </row>
    <row r="87" spans="1:17" s="357" customFormat="1" ht="21" customHeight="1" x14ac:dyDescent="0.3">
      <c r="A87" s="357" t="s">
        <v>2153</v>
      </c>
      <c r="B87" s="357" t="s">
        <v>1946</v>
      </c>
      <c r="C87" s="478" t="s">
        <v>2283</v>
      </c>
      <c r="D87" s="687">
        <v>10</v>
      </c>
      <c r="E87" s="687">
        <v>1</v>
      </c>
      <c r="F87" s="687">
        <v>0</v>
      </c>
      <c r="G87" s="687">
        <v>1</v>
      </c>
      <c r="H87" s="687">
        <v>8</v>
      </c>
      <c r="I87" s="687"/>
      <c r="J87" s="687"/>
      <c r="K87" s="687"/>
      <c r="L87" s="687"/>
      <c r="M87" s="687"/>
      <c r="N87" s="687"/>
      <c r="O87" s="687"/>
      <c r="P87" s="687"/>
      <c r="Q87" s="687"/>
    </row>
    <row r="88" spans="1:17" s="357" customFormat="1" ht="21" customHeight="1" x14ac:dyDescent="0.3">
      <c r="A88" s="357" t="s">
        <v>2153</v>
      </c>
      <c r="B88" s="357" t="s">
        <v>1946</v>
      </c>
      <c r="C88" s="479" t="s">
        <v>55</v>
      </c>
      <c r="D88" s="688">
        <v>6</v>
      </c>
      <c r="E88" s="688">
        <v>0</v>
      </c>
      <c r="F88" s="688">
        <v>0</v>
      </c>
      <c r="G88" s="688">
        <v>0</v>
      </c>
      <c r="H88" s="688"/>
      <c r="I88" s="688"/>
      <c r="J88" s="688"/>
      <c r="K88" s="688"/>
      <c r="L88" s="688"/>
      <c r="M88" s="688"/>
      <c r="N88" s="688"/>
      <c r="O88" s="688"/>
      <c r="P88" s="688"/>
      <c r="Q88" s="688"/>
    </row>
    <row r="89" spans="1:17" s="357" customFormat="1" x14ac:dyDescent="0.3">
      <c r="A89" s="357" t="s">
        <v>2152</v>
      </c>
      <c r="B89" s="357" t="s">
        <v>2228</v>
      </c>
      <c r="C89" s="478" t="s">
        <v>2147</v>
      </c>
      <c r="D89" s="687">
        <v>18</v>
      </c>
      <c r="E89" s="687">
        <v>11</v>
      </c>
      <c r="F89" s="687">
        <v>26</v>
      </c>
      <c r="G89" s="687">
        <v>37</v>
      </c>
      <c r="H89" s="687">
        <v>4</v>
      </c>
      <c r="I89" s="687"/>
      <c r="J89" s="687"/>
      <c r="K89" s="687">
        <v>1</v>
      </c>
      <c r="L89" s="1023"/>
      <c r="M89" s="687"/>
      <c r="N89" s="687"/>
      <c r="O89" s="687"/>
      <c r="P89" s="687"/>
      <c r="Q89" s="687"/>
    </row>
    <row r="90" spans="1:17" s="357" customFormat="1" x14ac:dyDescent="0.3">
      <c r="A90" s="357" t="s">
        <v>2152</v>
      </c>
      <c r="B90" s="357" t="s">
        <v>2228</v>
      </c>
      <c r="C90" s="479" t="s">
        <v>2180</v>
      </c>
      <c r="D90" s="688">
        <v>16</v>
      </c>
      <c r="E90" s="688">
        <v>12</v>
      </c>
      <c r="F90" s="688">
        <v>10</v>
      </c>
      <c r="G90" s="688">
        <v>22</v>
      </c>
      <c r="H90" s="688">
        <v>4</v>
      </c>
      <c r="I90" s="688">
        <v>1</v>
      </c>
      <c r="J90" s="688"/>
      <c r="K90" s="688">
        <v>1</v>
      </c>
      <c r="L90" s="688"/>
      <c r="M90" s="688"/>
      <c r="N90" s="688"/>
      <c r="O90" s="688">
        <v>1</v>
      </c>
      <c r="P90" s="688"/>
      <c r="Q90" s="688"/>
    </row>
    <row r="91" spans="1:17" s="357" customFormat="1" x14ac:dyDescent="0.3">
      <c r="A91" s="357" t="s">
        <v>2152</v>
      </c>
      <c r="B91" s="357" t="s">
        <v>2228</v>
      </c>
      <c r="C91" s="478" t="s">
        <v>50</v>
      </c>
      <c r="D91" s="687">
        <v>18</v>
      </c>
      <c r="E91" s="687">
        <v>11</v>
      </c>
      <c r="F91" s="687">
        <v>6</v>
      </c>
      <c r="G91" s="687">
        <v>17</v>
      </c>
      <c r="H91" s="687">
        <v>6</v>
      </c>
      <c r="I91" s="687">
        <v>2</v>
      </c>
      <c r="J91" s="687"/>
      <c r="K91" s="687">
        <v>1</v>
      </c>
      <c r="L91" s="687"/>
      <c r="M91" s="687"/>
      <c r="N91" s="687"/>
      <c r="O91" s="687"/>
      <c r="P91" s="687"/>
      <c r="Q91" s="687"/>
    </row>
    <row r="92" spans="1:17" s="357" customFormat="1" x14ac:dyDescent="0.3">
      <c r="A92" s="357" t="s">
        <v>2152</v>
      </c>
      <c r="B92" s="357" t="s">
        <v>2228</v>
      </c>
      <c r="C92" s="479" t="s">
        <v>2148</v>
      </c>
      <c r="D92" s="688">
        <v>18</v>
      </c>
      <c r="E92" s="688">
        <v>9</v>
      </c>
      <c r="F92" s="688">
        <v>5</v>
      </c>
      <c r="G92" s="688">
        <v>14</v>
      </c>
      <c r="H92" s="688">
        <v>4</v>
      </c>
      <c r="I92" s="688"/>
      <c r="J92" s="688"/>
      <c r="K92" s="688"/>
      <c r="L92" s="1018"/>
      <c r="M92" s="688"/>
      <c r="N92" s="688"/>
      <c r="O92" s="688"/>
      <c r="P92" s="688"/>
      <c r="Q92" s="688"/>
    </row>
    <row r="93" spans="1:17" s="357" customFormat="1" x14ac:dyDescent="0.3">
      <c r="A93" s="357" t="s">
        <v>2152</v>
      </c>
      <c r="B93" s="357" t="s">
        <v>2228</v>
      </c>
      <c r="C93" s="478" t="s">
        <v>1124</v>
      </c>
      <c r="D93" s="687">
        <v>18</v>
      </c>
      <c r="E93" s="687">
        <v>7</v>
      </c>
      <c r="F93" s="687">
        <v>5</v>
      </c>
      <c r="G93" s="687">
        <v>12</v>
      </c>
      <c r="H93" s="687">
        <v>27</v>
      </c>
      <c r="I93" s="687">
        <v>1</v>
      </c>
      <c r="J93" s="687"/>
      <c r="K93" s="687"/>
      <c r="L93" s="687"/>
      <c r="M93" s="687"/>
      <c r="N93" s="687"/>
      <c r="O93" s="687"/>
      <c r="P93" s="687"/>
      <c r="Q93" s="687"/>
    </row>
    <row r="94" spans="1:17" s="357" customFormat="1" x14ac:dyDescent="0.3">
      <c r="A94" s="357" t="s">
        <v>2152</v>
      </c>
      <c r="B94" s="357" t="s">
        <v>2228</v>
      </c>
      <c r="C94" s="479" t="s">
        <v>1379</v>
      </c>
      <c r="D94" s="688">
        <v>18</v>
      </c>
      <c r="E94" s="688">
        <v>6</v>
      </c>
      <c r="F94" s="688">
        <v>6</v>
      </c>
      <c r="G94" s="688">
        <v>12</v>
      </c>
      <c r="H94" s="688"/>
      <c r="I94" s="688">
        <v>1</v>
      </c>
      <c r="J94" s="688">
        <v>1</v>
      </c>
      <c r="K94" s="688"/>
      <c r="L94" s="688"/>
      <c r="M94" s="688"/>
      <c r="N94" s="688"/>
      <c r="O94" s="688"/>
      <c r="P94" s="688">
        <v>1</v>
      </c>
      <c r="Q94" s="688"/>
    </row>
    <row r="95" spans="1:17" s="357" customFormat="1" x14ac:dyDescent="0.3">
      <c r="A95" s="357" t="s">
        <v>2152</v>
      </c>
      <c r="B95" s="357" t="s">
        <v>2228</v>
      </c>
      <c r="C95" s="478" t="s">
        <v>1459</v>
      </c>
      <c r="D95" s="687">
        <v>14</v>
      </c>
      <c r="E95" s="687">
        <v>5</v>
      </c>
      <c r="F95" s="687">
        <v>4</v>
      </c>
      <c r="G95" s="687">
        <v>9</v>
      </c>
      <c r="H95" s="687">
        <v>2</v>
      </c>
      <c r="I95" s="687"/>
      <c r="J95" s="687"/>
      <c r="K95" s="687"/>
      <c r="L95" s="687"/>
      <c r="M95" s="687"/>
      <c r="N95" s="687"/>
      <c r="O95" s="687"/>
      <c r="P95" s="687"/>
      <c r="Q95" s="687"/>
    </row>
    <row r="96" spans="1:17" s="357" customFormat="1" x14ac:dyDescent="0.3">
      <c r="A96" s="357" t="s">
        <v>2152</v>
      </c>
      <c r="B96" s="357" t="s">
        <v>2228</v>
      </c>
      <c r="C96" s="479" t="s">
        <v>2181</v>
      </c>
      <c r="D96" s="688">
        <v>9</v>
      </c>
      <c r="E96" s="688">
        <v>2</v>
      </c>
      <c r="F96" s="688">
        <v>3</v>
      </c>
      <c r="G96" s="688">
        <v>5</v>
      </c>
      <c r="H96" s="688"/>
      <c r="I96" s="688"/>
      <c r="J96" s="688"/>
      <c r="K96" s="688"/>
      <c r="L96" s="688"/>
      <c r="M96" s="688"/>
      <c r="N96" s="688"/>
      <c r="O96" s="688"/>
      <c r="P96" s="688"/>
      <c r="Q96" s="688"/>
    </row>
    <row r="97" spans="1:36" s="357" customFormat="1" x14ac:dyDescent="0.3">
      <c r="A97" s="357" t="s">
        <v>2152</v>
      </c>
      <c r="B97" s="357" t="s">
        <v>2228</v>
      </c>
      <c r="C97" s="478" t="s">
        <v>53</v>
      </c>
      <c r="D97" s="687">
        <v>12</v>
      </c>
      <c r="E97" s="687">
        <v>4</v>
      </c>
      <c r="F97" s="687">
        <v>0</v>
      </c>
      <c r="G97" s="687">
        <v>4</v>
      </c>
      <c r="H97" s="687">
        <v>4</v>
      </c>
      <c r="I97" s="687"/>
      <c r="J97" s="687"/>
      <c r="K97" s="687"/>
      <c r="L97" s="687"/>
      <c r="M97" s="687"/>
      <c r="N97" s="687"/>
      <c r="O97" s="687"/>
      <c r="P97" s="687"/>
      <c r="Q97" s="687"/>
    </row>
    <row r="98" spans="1:36" s="357" customFormat="1" x14ac:dyDescent="0.3">
      <c r="A98" s="357" t="s">
        <v>2152</v>
      </c>
      <c r="B98" s="357" t="s">
        <v>2228</v>
      </c>
      <c r="C98" s="479" t="s">
        <v>2182</v>
      </c>
      <c r="D98" s="688">
        <v>6</v>
      </c>
      <c r="E98" s="688">
        <v>4</v>
      </c>
      <c r="F98" s="688">
        <v>0</v>
      </c>
      <c r="G98" s="688">
        <v>4</v>
      </c>
      <c r="H98" s="688">
        <v>2</v>
      </c>
      <c r="I98" s="688"/>
      <c r="J98" s="688"/>
      <c r="K98" s="688"/>
      <c r="L98" s="688"/>
      <c r="M98" s="688"/>
      <c r="N98" s="688"/>
      <c r="O98" s="688"/>
      <c r="P98" s="688"/>
      <c r="Q98" s="688"/>
    </row>
    <row r="99" spans="1:36" s="357" customFormat="1" x14ac:dyDescent="0.3">
      <c r="A99" s="357" t="s">
        <v>2152</v>
      </c>
      <c r="B99" s="357" t="s">
        <v>2228</v>
      </c>
      <c r="C99" s="478" t="s">
        <v>1944</v>
      </c>
      <c r="D99" s="687">
        <v>4</v>
      </c>
      <c r="E99" s="687">
        <v>1</v>
      </c>
      <c r="F99" s="687">
        <v>2</v>
      </c>
      <c r="G99" s="687">
        <v>3</v>
      </c>
      <c r="H99" s="687"/>
      <c r="I99" s="687"/>
      <c r="J99" s="687"/>
      <c r="K99" s="687"/>
      <c r="L99" s="1023">
        <v>1</v>
      </c>
      <c r="M99" s="687"/>
      <c r="N99" s="687"/>
      <c r="O99" s="687"/>
      <c r="P99" s="687"/>
      <c r="Q99" s="687"/>
    </row>
    <row r="100" spans="1:36" s="357" customFormat="1" x14ac:dyDescent="0.3">
      <c r="A100" s="357" t="s">
        <v>2152</v>
      </c>
      <c r="B100" s="357" t="s">
        <v>2228</v>
      </c>
      <c r="C100" s="479" t="s">
        <v>2183</v>
      </c>
      <c r="D100" s="688">
        <v>4</v>
      </c>
      <c r="E100" s="688">
        <v>2</v>
      </c>
      <c r="F100" s="688">
        <v>0</v>
      </c>
      <c r="G100" s="688">
        <v>2</v>
      </c>
      <c r="H100" s="688"/>
      <c r="I100" s="688"/>
      <c r="J100" s="688">
        <v>1</v>
      </c>
      <c r="K100" s="688">
        <v>1</v>
      </c>
      <c r="L100" s="688"/>
      <c r="M100" s="688"/>
      <c r="N100" s="688"/>
      <c r="O100" s="688"/>
      <c r="P100" s="688"/>
      <c r="Q100" s="688"/>
    </row>
    <row r="101" spans="1:36" s="357" customFormat="1" x14ac:dyDescent="0.3">
      <c r="A101" s="357" t="s">
        <v>2152</v>
      </c>
      <c r="B101" s="357" t="s">
        <v>2228</v>
      </c>
      <c r="C101" s="478" t="s">
        <v>1591</v>
      </c>
      <c r="D101" s="687">
        <v>14</v>
      </c>
      <c r="E101" s="687">
        <v>0</v>
      </c>
      <c r="F101" s="687">
        <v>2</v>
      </c>
      <c r="G101" s="687">
        <v>2</v>
      </c>
      <c r="H101" s="687">
        <v>8</v>
      </c>
      <c r="I101" s="687"/>
      <c r="J101" s="687"/>
      <c r="K101" s="687"/>
      <c r="L101" s="687"/>
      <c r="M101" s="687"/>
      <c r="N101" s="687"/>
      <c r="O101" s="687"/>
      <c r="P101" s="687"/>
      <c r="Q101" s="687"/>
    </row>
    <row r="102" spans="1:36" s="357" customFormat="1" x14ac:dyDescent="0.3">
      <c r="A102" s="357" t="s">
        <v>2152</v>
      </c>
      <c r="B102" s="357" t="s">
        <v>2228</v>
      </c>
      <c r="C102" s="479" t="s">
        <v>2184</v>
      </c>
      <c r="D102" s="688">
        <v>4</v>
      </c>
      <c r="E102" s="688">
        <v>0</v>
      </c>
      <c r="F102" s="688">
        <v>2</v>
      </c>
      <c r="G102" s="688">
        <v>2</v>
      </c>
      <c r="H102" s="688"/>
      <c r="I102" s="688"/>
      <c r="J102" s="688"/>
      <c r="K102" s="688"/>
      <c r="L102" s="688"/>
      <c r="M102" s="688"/>
      <c r="N102" s="688"/>
      <c r="O102" s="688"/>
      <c r="P102" s="688"/>
      <c r="Q102" s="688"/>
    </row>
    <row r="103" spans="1:36" s="357" customFormat="1" x14ac:dyDescent="0.3">
      <c r="A103" s="357" t="s">
        <v>2152</v>
      </c>
      <c r="B103" s="357" t="s">
        <v>2228</v>
      </c>
      <c r="C103" s="478" t="s">
        <v>2149</v>
      </c>
      <c r="D103" s="687">
        <v>6</v>
      </c>
      <c r="E103" s="687">
        <v>0</v>
      </c>
      <c r="F103" s="687">
        <v>1</v>
      </c>
      <c r="G103" s="687">
        <v>1</v>
      </c>
      <c r="H103" s="687"/>
      <c r="I103" s="687"/>
      <c r="J103" s="687"/>
      <c r="K103" s="687"/>
      <c r="L103" s="687"/>
      <c r="M103" s="687"/>
      <c r="N103" s="687"/>
      <c r="O103" s="687"/>
      <c r="P103" s="687"/>
      <c r="Q103" s="687"/>
    </row>
    <row r="104" spans="1:36" s="357" customFormat="1" x14ac:dyDescent="0.3">
      <c r="A104" s="357" t="s">
        <v>2152</v>
      </c>
      <c r="B104" s="357" t="s">
        <v>2228</v>
      </c>
      <c r="C104" s="479" t="s">
        <v>2041</v>
      </c>
      <c r="D104" s="688">
        <v>8</v>
      </c>
      <c r="E104" s="688">
        <v>0</v>
      </c>
      <c r="F104" s="688">
        <v>0</v>
      </c>
      <c r="G104" s="688">
        <v>0</v>
      </c>
      <c r="H104" s="688">
        <v>2</v>
      </c>
      <c r="I104" s="688"/>
      <c r="J104" s="688"/>
      <c r="K104" s="688"/>
      <c r="L104" s="688"/>
      <c r="M104" s="688"/>
      <c r="N104" s="688"/>
      <c r="O104" s="688"/>
      <c r="P104" s="688"/>
      <c r="Q104" s="688"/>
    </row>
    <row r="105" spans="1:36" s="357" customFormat="1" x14ac:dyDescent="0.3">
      <c r="A105" s="357" t="s">
        <v>2152</v>
      </c>
      <c r="B105" s="357" t="s">
        <v>2228</v>
      </c>
      <c r="C105" s="478" t="s">
        <v>1075</v>
      </c>
      <c r="D105" s="687">
        <v>6</v>
      </c>
      <c r="E105" s="687">
        <v>0</v>
      </c>
      <c r="F105" s="687">
        <v>0</v>
      </c>
      <c r="G105" s="687">
        <v>0</v>
      </c>
      <c r="H105" s="687"/>
      <c r="I105" s="687"/>
      <c r="J105" s="687"/>
      <c r="K105" s="687"/>
      <c r="L105" s="687"/>
      <c r="M105" s="687"/>
      <c r="N105" s="687"/>
      <c r="O105" s="687"/>
      <c r="P105" s="687"/>
      <c r="Q105" s="687"/>
    </row>
    <row r="106" spans="1:36" s="357" customFormat="1" ht="21" customHeight="1" x14ac:dyDescent="0.4">
      <c r="A106" s="357" t="s">
        <v>2152</v>
      </c>
      <c r="B106" s="357" t="s">
        <v>1834</v>
      </c>
      <c r="C106" s="478" t="s">
        <v>2147</v>
      </c>
      <c r="D106" s="687">
        <v>1</v>
      </c>
      <c r="E106" s="687"/>
      <c r="F106" s="687">
        <v>1</v>
      </c>
      <c r="G106" s="687">
        <v>1</v>
      </c>
      <c r="H106" s="687"/>
      <c r="I106" s="687"/>
      <c r="J106" s="687"/>
      <c r="K106" s="687"/>
      <c r="L106" s="1023"/>
      <c r="M106" s="687"/>
      <c r="N106" s="687"/>
      <c r="O106" s="687"/>
      <c r="P106" s="687"/>
      <c r="Q106" s="687"/>
      <c r="V106" s="381"/>
      <c r="W106" s="377"/>
      <c r="X106" s="358"/>
      <c r="Y106" s="358"/>
      <c r="Z106" s="358"/>
      <c r="AA106" s="358"/>
      <c r="AB106" s="358"/>
      <c r="AC106" s="358"/>
      <c r="AD106" s="358"/>
      <c r="AE106" s="358"/>
      <c r="AF106" s="358"/>
      <c r="AG106" s="358"/>
      <c r="AH106" s="358"/>
      <c r="AI106" s="358"/>
      <c r="AJ106" s="358"/>
    </row>
    <row r="107" spans="1:36" s="357" customFormat="1" ht="21" customHeight="1" x14ac:dyDescent="0.4">
      <c r="A107" s="357" t="s">
        <v>2152</v>
      </c>
      <c r="B107" s="357" t="s">
        <v>1834</v>
      </c>
      <c r="C107" s="479" t="s">
        <v>2180</v>
      </c>
      <c r="D107" s="688">
        <v>1</v>
      </c>
      <c r="E107" s="688"/>
      <c r="F107" s="688"/>
      <c r="G107" s="688"/>
      <c r="H107" s="688"/>
      <c r="I107" s="688"/>
      <c r="J107" s="688"/>
      <c r="K107" s="688"/>
      <c r="L107" s="688"/>
      <c r="M107" s="688"/>
      <c r="N107" s="688"/>
      <c r="O107" s="688"/>
      <c r="P107" s="688"/>
      <c r="Q107" s="688"/>
      <c r="V107" s="381"/>
      <c r="W107" s="377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58"/>
      <c r="AI107" s="358"/>
      <c r="AJ107" s="358"/>
    </row>
    <row r="108" spans="1:36" s="357" customFormat="1" ht="21" customHeight="1" x14ac:dyDescent="0.4">
      <c r="A108" s="357" t="s">
        <v>2152</v>
      </c>
      <c r="B108" s="357" t="s">
        <v>1834</v>
      </c>
      <c r="C108" s="478" t="s">
        <v>50</v>
      </c>
      <c r="D108" s="687">
        <v>1</v>
      </c>
      <c r="E108" s="687"/>
      <c r="F108" s="687"/>
      <c r="G108" s="687"/>
      <c r="H108" s="687"/>
      <c r="I108" s="687"/>
      <c r="J108" s="687"/>
      <c r="K108" s="687"/>
      <c r="L108" s="687"/>
      <c r="M108" s="687"/>
      <c r="N108" s="687"/>
      <c r="O108" s="687"/>
      <c r="P108" s="687"/>
      <c r="Q108" s="687"/>
      <c r="V108" s="381"/>
      <c r="W108" s="377"/>
      <c r="X108" s="358"/>
      <c r="Y108" s="358"/>
      <c r="Z108" s="358"/>
      <c r="AA108" s="358"/>
      <c r="AB108" s="358"/>
      <c r="AC108" s="358"/>
      <c r="AD108" s="358"/>
      <c r="AE108" s="358"/>
      <c r="AF108" s="358"/>
      <c r="AG108" s="358"/>
      <c r="AH108" s="358"/>
      <c r="AI108" s="358"/>
      <c r="AJ108" s="358"/>
    </row>
    <row r="109" spans="1:36" s="357" customFormat="1" ht="21" customHeight="1" x14ac:dyDescent="0.4">
      <c r="A109" s="357" t="s">
        <v>2152</v>
      </c>
      <c r="B109" s="357" t="s">
        <v>1834</v>
      </c>
      <c r="C109" s="479" t="s">
        <v>2148</v>
      </c>
      <c r="D109" s="688">
        <v>1</v>
      </c>
      <c r="E109" s="688"/>
      <c r="F109" s="688"/>
      <c r="G109" s="688"/>
      <c r="H109" s="688"/>
      <c r="I109" s="688"/>
      <c r="J109" s="688"/>
      <c r="K109" s="688"/>
      <c r="L109" s="1018"/>
      <c r="M109" s="688"/>
      <c r="N109" s="688"/>
      <c r="O109" s="688"/>
      <c r="P109" s="688"/>
      <c r="Q109" s="688"/>
      <c r="V109" s="381"/>
      <c r="W109" s="377"/>
      <c r="X109" s="358"/>
      <c r="Y109" s="358"/>
      <c r="Z109" s="358"/>
      <c r="AA109" s="358"/>
      <c r="AB109" s="358"/>
      <c r="AC109" s="358"/>
      <c r="AD109" s="358"/>
      <c r="AE109" s="358"/>
      <c r="AF109" s="358"/>
      <c r="AG109" s="358"/>
      <c r="AH109" s="358"/>
      <c r="AI109" s="358"/>
      <c r="AJ109" s="358"/>
    </row>
    <row r="110" spans="1:36" s="357" customFormat="1" ht="21" customHeight="1" x14ac:dyDescent="0.4">
      <c r="A110" s="357" t="s">
        <v>2152</v>
      </c>
      <c r="B110" s="357" t="s">
        <v>1834</v>
      </c>
      <c r="C110" s="478" t="s">
        <v>1124</v>
      </c>
      <c r="D110" s="687">
        <v>1</v>
      </c>
      <c r="E110" s="687"/>
      <c r="F110" s="687">
        <v>1</v>
      </c>
      <c r="G110" s="687">
        <v>1</v>
      </c>
      <c r="H110" s="687"/>
      <c r="I110" s="687"/>
      <c r="J110" s="687"/>
      <c r="K110" s="687"/>
      <c r="L110" s="687"/>
      <c r="M110" s="687"/>
      <c r="N110" s="687"/>
      <c r="O110" s="687"/>
      <c r="P110" s="687"/>
      <c r="Q110" s="687"/>
      <c r="V110" s="381"/>
      <c r="W110" s="377"/>
      <c r="X110" s="358"/>
      <c r="Y110" s="358"/>
      <c r="Z110" s="358"/>
      <c r="AA110" s="358"/>
      <c r="AB110" s="358"/>
      <c r="AC110" s="358"/>
      <c r="AD110" s="358"/>
      <c r="AE110" s="358"/>
      <c r="AF110" s="358"/>
      <c r="AG110" s="358"/>
      <c r="AH110" s="358"/>
      <c r="AI110" s="358"/>
      <c r="AJ110" s="358"/>
    </row>
    <row r="111" spans="1:36" s="357" customFormat="1" ht="21" customHeight="1" x14ac:dyDescent="0.4">
      <c r="A111" s="357" t="s">
        <v>2152</v>
      </c>
      <c r="B111" s="357" t="s">
        <v>1834</v>
      </c>
      <c r="C111" s="479" t="s">
        <v>1379</v>
      </c>
      <c r="D111" s="688">
        <v>1</v>
      </c>
      <c r="E111" s="688"/>
      <c r="F111" s="688"/>
      <c r="G111" s="688"/>
      <c r="H111" s="688"/>
      <c r="I111" s="688"/>
      <c r="J111" s="688"/>
      <c r="K111" s="688"/>
      <c r="L111" s="688"/>
      <c r="M111" s="688"/>
      <c r="N111" s="688"/>
      <c r="O111" s="688"/>
      <c r="P111" s="688"/>
      <c r="Q111" s="688"/>
      <c r="V111" s="381"/>
      <c r="W111" s="377"/>
      <c r="X111" s="358"/>
      <c r="Y111" s="358"/>
      <c r="Z111" s="358"/>
      <c r="AA111" s="358"/>
      <c r="AB111" s="358"/>
      <c r="AC111" s="358"/>
      <c r="AD111" s="358"/>
      <c r="AE111" s="358"/>
      <c r="AF111" s="358"/>
      <c r="AG111" s="358"/>
      <c r="AH111" s="358"/>
      <c r="AI111" s="358"/>
      <c r="AJ111" s="358"/>
    </row>
    <row r="112" spans="1:36" s="357" customFormat="1" ht="21" customHeight="1" x14ac:dyDescent="0.4">
      <c r="A112" s="357" t="s">
        <v>2152</v>
      </c>
      <c r="B112" s="357" t="s">
        <v>1834</v>
      </c>
      <c r="C112" s="478" t="s">
        <v>1459</v>
      </c>
      <c r="D112" s="687">
        <v>1</v>
      </c>
      <c r="E112" s="687"/>
      <c r="F112" s="687"/>
      <c r="G112" s="687"/>
      <c r="H112" s="687"/>
      <c r="I112" s="687"/>
      <c r="J112" s="687"/>
      <c r="K112" s="687"/>
      <c r="L112" s="687"/>
      <c r="M112" s="687"/>
      <c r="N112" s="687"/>
      <c r="O112" s="687"/>
      <c r="P112" s="687"/>
      <c r="Q112" s="687"/>
      <c r="V112" s="381"/>
      <c r="W112" s="377"/>
      <c r="X112" s="358"/>
      <c r="Y112" s="358"/>
      <c r="Z112" s="358"/>
      <c r="AA112" s="358"/>
      <c r="AB112" s="358"/>
      <c r="AC112" s="358"/>
      <c r="AD112" s="358"/>
      <c r="AE112" s="358"/>
      <c r="AF112" s="358"/>
      <c r="AG112" s="358"/>
      <c r="AH112" s="358"/>
      <c r="AI112" s="358"/>
      <c r="AJ112" s="358"/>
    </row>
    <row r="113" spans="1:36" s="357" customFormat="1" ht="21" customHeight="1" x14ac:dyDescent="0.4">
      <c r="A113" s="357" t="s">
        <v>2152</v>
      </c>
      <c r="B113" s="357" t="s">
        <v>1834</v>
      </c>
      <c r="C113" s="479" t="s">
        <v>2181</v>
      </c>
      <c r="D113" s="688">
        <v>1</v>
      </c>
      <c r="E113" s="688">
        <v>1</v>
      </c>
      <c r="F113" s="688"/>
      <c r="G113" s="688">
        <v>1</v>
      </c>
      <c r="H113" s="688"/>
      <c r="I113" s="688"/>
      <c r="J113" s="688"/>
      <c r="K113" s="688"/>
      <c r="L113" s="688"/>
      <c r="M113" s="688"/>
      <c r="N113" s="688"/>
      <c r="O113" s="688"/>
      <c r="P113" s="688"/>
      <c r="Q113" s="688"/>
      <c r="V113" s="381"/>
      <c r="W113" s="377"/>
      <c r="X113" s="358"/>
      <c r="Y113" s="358"/>
      <c r="Z113" s="358"/>
      <c r="AA113" s="358"/>
      <c r="AB113" s="358"/>
      <c r="AC113" s="358"/>
      <c r="AD113" s="358"/>
      <c r="AE113" s="358"/>
      <c r="AF113" s="358"/>
      <c r="AG113" s="358"/>
      <c r="AH113" s="358"/>
      <c r="AI113" s="358"/>
      <c r="AJ113" s="358"/>
    </row>
    <row r="114" spans="1:36" s="357" customFormat="1" ht="21" customHeight="1" x14ac:dyDescent="0.4">
      <c r="A114" s="357" t="s">
        <v>2152</v>
      </c>
      <c r="B114" s="357" t="s">
        <v>1834</v>
      </c>
      <c r="C114" s="478" t="s">
        <v>53</v>
      </c>
      <c r="D114" s="687">
        <v>1</v>
      </c>
      <c r="E114" s="687">
        <v>1</v>
      </c>
      <c r="F114" s="687"/>
      <c r="G114" s="687">
        <v>1</v>
      </c>
      <c r="H114" s="687"/>
      <c r="I114" s="687"/>
      <c r="J114" s="687"/>
      <c r="K114" s="687"/>
      <c r="L114" s="687"/>
      <c r="M114" s="687"/>
      <c r="N114" s="687"/>
      <c r="O114" s="687"/>
      <c r="P114" s="687"/>
      <c r="Q114" s="687"/>
      <c r="V114" s="381"/>
      <c r="W114" s="377"/>
      <c r="X114" s="358"/>
      <c r="Y114" s="358"/>
      <c r="Z114" s="358"/>
      <c r="AA114" s="358"/>
      <c r="AB114" s="358"/>
      <c r="AC114" s="358"/>
      <c r="AD114" s="358"/>
      <c r="AE114" s="358"/>
      <c r="AF114" s="358"/>
      <c r="AG114" s="358"/>
      <c r="AH114" s="358"/>
      <c r="AI114" s="358"/>
      <c r="AJ114" s="358"/>
    </row>
    <row r="115" spans="1:36" s="357" customFormat="1" ht="21" customHeight="1" x14ac:dyDescent="0.4">
      <c r="A115" s="357" t="s">
        <v>2152</v>
      </c>
      <c r="B115" s="357" t="s">
        <v>1834</v>
      </c>
      <c r="C115" s="479" t="s">
        <v>2182</v>
      </c>
      <c r="D115" s="688"/>
      <c r="E115" s="688"/>
      <c r="F115" s="688"/>
      <c r="G115" s="688"/>
      <c r="H115" s="688"/>
      <c r="I115" s="688"/>
      <c r="J115" s="688"/>
      <c r="K115" s="688"/>
      <c r="L115" s="688"/>
      <c r="M115" s="688"/>
      <c r="N115" s="688"/>
      <c r="O115" s="688"/>
      <c r="P115" s="688"/>
      <c r="Q115" s="688"/>
      <c r="V115" s="381"/>
      <c r="W115" s="377"/>
      <c r="X115" s="358"/>
      <c r="Y115" s="358"/>
      <c r="Z115" s="358"/>
      <c r="AA115" s="358"/>
      <c r="AB115" s="358"/>
      <c r="AC115" s="358"/>
      <c r="AD115" s="358"/>
      <c r="AE115" s="358"/>
      <c r="AF115" s="358"/>
      <c r="AG115" s="358"/>
      <c r="AH115" s="358"/>
      <c r="AI115" s="358"/>
      <c r="AJ115" s="358"/>
    </row>
    <row r="116" spans="1:36" s="357" customFormat="1" ht="21" customHeight="1" x14ac:dyDescent="0.4">
      <c r="A116" s="357" t="s">
        <v>2152</v>
      </c>
      <c r="B116" s="357" t="s">
        <v>1834</v>
      </c>
      <c r="C116" s="478" t="s">
        <v>1944</v>
      </c>
      <c r="D116" s="687">
        <v>1</v>
      </c>
      <c r="E116" s="687"/>
      <c r="F116" s="687"/>
      <c r="G116" s="687"/>
      <c r="H116" s="687"/>
      <c r="I116" s="687"/>
      <c r="J116" s="687"/>
      <c r="K116" s="687"/>
      <c r="L116" s="1023"/>
      <c r="M116" s="687"/>
      <c r="N116" s="687"/>
      <c r="O116" s="687"/>
      <c r="P116" s="687"/>
      <c r="Q116" s="687"/>
      <c r="V116" s="381"/>
      <c r="W116" s="377"/>
      <c r="X116" s="358"/>
      <c r="Y116" s="358"/>
      <c r="Z116" s="358"/>
      <c r="AA116" s="358"/>
      <c r="AB116" s="358"/>
      <c r="AC116" s="358"/>
      <c r="AD116" s="358"/>
      <c r="AE116" s="358"/>
      <c r="AF116" s="358"/>
      <c r="AG116" s="358"/>
      <c r="AH116" s="358"/>
      <c r="AI116" s="358"/>
      <c r="AJ116" s="358"/>
    </row>
    <row r="117" spans="1:36" s="357" customFormat="1" ht="21" customHeight="1" x14ac:dyDescent="0.4">
      <c r="A117" s="357" t="s">
        <v>2152</v>
      </c>
      <c r="B117" s="357" t="s">
        <v>1834</v>
      </c>
      <c r="C117" s="479" t="s">
        <v>2183</v>
      </c>
      <c r="D117" s="688"/>
      <c r="E117" s="688"/>
      <c r="F117" s="688"/>
      <c r="G117" s="688"/>
      <c r="H117" s="688"/>
      <c r="I117" s="688"/>
      <c r="J117" s="688"/>
      <c r="K117" s="688"/>
      <c r="L117" s="688"/>
      <c r="M117" s="688"/>
      <c r="N117" s="688"/>
      <c r="O117" s="688"/>
      <c r="P117" s="688"/>
      <c r="Q117" s="688"/>
      <c r="V117" s="381"/>
      <c r="W117" s="377"/>
      <c r="X117" s="358"/>
      <c r="Y117" s="358"/>
      <c r="Z117" s="358"/>
      <c r="AA117" s="358"/>
      <c r="AB117" s="358"/>
      <c r="AC117" s="358"/>
      <c r="AD117" s="358"/>
      <c r="AE117" s="358"/>
      <c r="AF117" s="358"/>
      <c r="AG117" s="358"/>
      <c r="AH117" s="358"/>
      <c r="AI117" s="358"/>
      <c r="AJ117" s="358"/>
    </row>
    <row r="118" spans="1:36" s="357" customFormat="1" ht="21" customHeight="1" x14ac:dyDescent="0.4">
      <c r="A118" s="357" t="s">
        <v>2152</v>
      </c>
      <c r="B118" s="357" t="s">
        <v>1834</v>
      </c>
      <c r="C118" s="478" t="s">
        <v>1591</v>
      </c>
      <c r="D118" s="687">
        <v>1</v>
      </c>
      <c r="E118" s="687"/>
      <c r="F118" s="687"/>
      <c r="G118" s="687"/>
      <c r="H118" s="687"/>
      <c r="I118" s="687"/>
      <c r="J118" s="687"/>
      <c r="K118" s="687"/>
      <c r="L118" s="687"/>
      <c r="M118" s="687"/>
      <c r="N118" s="687"/>
      <c r="O118" s="687"/>
      <c r="P118" s="687"/>
      <c r="Q118" s="687"/>
      <c r="V118" s="381"/>
      <c r="W118" s="377"/>
      <c r="X118" s="358"/>
      <c r="Y118" s="358"/>
      <c r="Z118" s="358"/>
      <c r="AA118" s="358"/>
      <c r="AB118" s="358"/>
      <c r="AC118" s="358"/>
      <c r="AD118" s="358"/>
      <c r="AE118" s="358"/>
      <c r="AF118" s="358"/>
      <c r="AG118" s="358"/>
      <c r="AH118" s="358"/>
      <c r="AI118" s="358"/>
      <c r="AJ118" s="358"/>
    </row>
    <row r="119" spans="1:36" s="357" customFormat="1" x14ac:dyDescent="0.3">
      <c r="A119" s="357" t="s">
        <v>2152</v>
      </c>
      <c r="B119" s="357" t="s">
        <v>1834</v>
      </c>
      <c r="C119" s="479" t="s">
        <v>2184</v>
      </c>
      <c r="D119" s="688"/>
      <c r="E119" s="688"/>
      <c r="F119" s="688"/>
      <c r="G119" s="688"/>
      <c r="H119" s="688"/>
      <c r="I119" s="688"/>
      <c r="J119" s="688"/>
      <c r="K119" s="688"/>
      <c r="L119" s="688"/>
      <c r="M119" s="688"/>
      <c r="N119" s="688"/>
      <c r="O119" s="688"/>
      <c r="P119" s="688"/>
      <c r="Q119" s="688"/>
    </row>
    <row r="120" spans="1:36" s="357" customFormat="1" x14ac:dyDescent="0.3">
      <c r="A120" s="357" t="s">
        <v>2152</v>
      </c>
      <c r="B120" s="357" t="s">
        <v>1834</v>
      </c>
      <c r="C120" s="478" t="s">
        <v>2149</v>
      </c>
      <c r="D120" s="687">
        <v>1</v>
      </c>
      <c r="E120" s="687"/>
      <c r="F120" s="687"/>
      <c r="G120" s="687"/>
      <c r="H120" s="687"/>
      <c r="I120" s="687"/>
      <c r="J120" s="687"/>
      <c r="K120" s="687"/>
      <c r="L120" s="687"/>
      <c r="M120" s="687"/>
      <c r="N120" s="687"/>
      <c r="O120" s="687"/>
      <c r="P120" s="687"/>
      <c r="Q120" s="687"/>
    </row>
    <row r="121" spans="1:36" s="357" customFormat="1" x14ac:dyDescent="0.3">
      <c r="A121" s="357" t="s">
        <v>2152</v>
      </c>
      <c r="B121" s="357" t="s">
        <v>1834</v>
      </c>
      <c r="C121" s="478" t="s">
        <v>1075</v>
      </c>
      <c r="D121" s="687">
        <v>1</v>
      </c>
      <c r="E121" s="687"/>
      <c r="F121" s="687"/>
      <c r="G121" s="687"/>
      <c r="H121" s="687"/>
      <c r="I121" s="687"/>
      <c r="J121" s="687"/>
      <c r="K121" s="687"/>
      <c r="L121" s="687"/>
      <c r="M121" s="687"/>
      <c r="N121" s="687"/>
      <c r="O121" s="687"/>
      <c r="P121" s="687"/>
      <c r="Q121" s="687"/>
      <c r="R121" s="470"/>
      <c r="AD121" s="1020"/>
      <c r="AE121" s="470"/>
      <c r="AF121" s="470"/>
      <c r="AG121" s="470"/>
      <c r="AH121" s="470"/>
      <c r="AI121" s="470"/>
      <c r="AJ121" s="470"/>
    </row>
    <row r="122" spans="1:36" s="357" customFormat="1" ht="21" customHeight="1" x14ac:dyDescent="0.3">
      <c r="A122" s="357" t="s">
        <v>2152</v>
      </c>
      <c r="B122" s="357" t="s">
        <v>1834</v>
      </c>
      <c r="C122" s="479" t="s">
        <v>1660</v>
      </c>
      <c r="D122" s="688">
        <v>1</v>
      </c>
      <c r="E122" s="688"/>
      <c r="F122" s="688"/>
      <c r="G122" s="688"/>
      <c r="H122" s="688"/>
      <c r="I122" s="688"/>
      <c r="J122" s="688"/>
      <c r="K122" s="688"/>
      <c r="L122" s="688"/>
      <c r="M122" s="688"/>
      <c r="N122" s="688"/>
      <c r="O122" s="688"/>
      <c r="P122" s="688"/>
      <c r="Q122" s="688"/>
      <c r="R122" s="358"/>
      <c r="AD122" s="1021"/>
      <c r="AE122" s="358"/>
      <c r="AF122" s="358"/>
      <c r="AG122" s="358"/>
      <c r="AH122" s="358"/>
      <c r="AI122" s="358"/>
      <c r="AJ122" s="358"/>
    </row>
    <row r="123" spans="1:36" s="357" customFormat="1" x14ac:dyDescent="0.3">
      <c r="A123" s="357" t="s">
        <v>2115</v>
      </c>
      <c r="B123" s="357" t="s">
        <v>2226</v>
      </c>
      <c r="C123" s="478" t="s">
        <v>2146</v>
      </c>
      <c r="D123" s="687">
        <v>2</v>
      </c>
      <c r="E123" s="687">
        <v>2</v>
      </c>
      <c r="F123" s="687">
        <v>1</v>
      </c>
      <c r="G123" s="687">
        <v>3</v>
      </c>
      <c r="H123" s="687">
        <v>2</v>
      </c>
      <c r="I123" s="687"/>
      <c r="J123" s="687"/>
      <c r="K123" s="687"/>
      <c r="L123" s="1023"/>
      <c r="M123" s="687"/>
      <c r="N123" s="687"/>
      <c r="O123" s="687"/>
      <c r="P123" s="687"/>
      <c r="Q123" s="687"/>
    </row>
    <row r="124" spans="1:36" s="357" customFormat="1" x14ac:dyDescent="0.3">
      <c r="A124" s="357" t="s">
        <v>2115</v>
      </c>
      <c r="B124" s="357" t="s">
        <v>2226</v>
      </c>
      <c r="C124" s="479" t="s">
        <v>50</v>
      </c>
      <c r="D124" s="688">
        <v>2</v>
      </c>
      <c r="E124" s="688">
        <v>1</v>
      </c>
      <c r="F124" s="688">
        <v>1</v>
      </c>
      <c r="G124" s="688">
        <v>2</v>
      </c>
      <c r="H124" s="688">
        <v>2</v>
      </c>
      <c r="I124" s="688"/>
      <c r="J124" s="688"/>
      <c r="K124" s="688"/>
      <c r="L124" s="688"/>
      <c r="M124" s="688"/>
      <c r="N124" s="688"/>
      <c r="O124" s="688"/>
      <c r="P124" s="688"/>
      <c r="Q124" s="688"/>
    </row>
    <row r="125" spans="1:36" s="357" customFormat="1" x14ac:dyDescent="0.3">
      <c r="A125" s="357" t="s">
        <v>2115</v>
      </c>
      <c r="B125" s="357" t="s">
        <v>2226</v>
      </c>
      <c r="C125" s="478" t="s">
        <v>1075</v>
      </c>
      <c r="D125" s="687">
        <v>2</v>
      </c>
      <c r="E125" s="687">
        <v>0</v>
      </c>
      <c r="F125" s="687">
        <v>2</v>
      </c>
      <c r="G125" s="687">
        <v>2</v>
      </c>
      <c r="H125" s="687"/>
      <c r="I125" s="687"/>
      <c r="J125" s="687"/>
      <c r="K125" s="687"/>
      <c r="L125" s="687"/>
      <c r="M125" s="687"/>
      <c r="N125" s="687"/>
      <c r="O125" s="687"/>
      <c r="P125" s="687"/>
      <c r="Q125" s="687"/>
    </row>
    <row r="126" spans="1:36" s="357" customFormat="1" x14ac:dyDescent="0.3">
      <c r="A126" s="357" t="s">
        <v>2115</v>
      </c>
      <c r="B126" s="357" t="s">
        <v>2226</v>
      </c>
      <c r="C126" s="479" t="s">
        <v>2147</v>
      </c>
      <c r="D126" s="688">
        <v>2</v>
      </c>
      <c r="E126" s="688">
        <v>1</v>
      </c>
      <c r="F126" s="688">
        <v>0</v>
      </c>
      <c r="G126" s="688">
        <v>1</v>
      </c>
      <c r="H126" s="688"/>
      <c r="I126" s="688"/>
      <c r="J126" s="688"/>
      <c r="K126" s="688"/>
      <c r="L126" s="1018"/>
      <c r="M126" s="688"/>
      <c r="N126" s="688"/>
      <c r="O126" s="688"/>
      <c r="P126" s="688"/>
      <c r="Q126" s="688"/>
    </row>
    <row r="127" spans="1:36" s="357" customFormat="1" x14ac:dyDescent="0.3">
      <c r="A127" s="357" t="s">
        <v>2115</v>
      </c>
      <c r="B127" s="357" t="s">
        <v>2226</v>
      </c>
      <c r="C127" s="478" t="s">
        <v>1379</v>
      </c>
      <c r="D127" s="687">
        <v>2</v>
      </c>
      <c r="E127" s="687">
        <v>1</v>
      </c>
      <c r="F127" s="687">
        <v>0</v>
      </c>
      <c r="G127" s="687">
        <v>1</v>
      </c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</row>
    <row r="128" spans="1:36" s="357" customFormat="1" x14ac:dyDescent="0.3">
      <c r="A128" s="357" t="s">
        <v>2115</v>
      </c>
      <c r="B128" s="357" t="s">
        <v>2226</v>
      </c>
      <c r="C128" s="479" t="s">
        <v>2148</v>
      </c>
      <c r="D128" s="688">
        <v>2</v>
      </c>
      <c r="E128" s="688">
        <v>0</v>
      </c>
      <c r="F128" s="688">
        <v>1</v>
      </c>
      <c r="G128" s="688">
        <v>1</v>
      </c>
      <c r="H128" s="688"/>
      <c r="I128" s="688"/>
      <c r="J128" s="688"/>
      <c r="K128" s="688"/>
      <c r="L128" s="688"/>
      <c r="M128" s="688"/>
      <c r="N128" s="688"/>
      <c r="O128" s="688"/>
      <c r="P128" s="688"/>
      <c r="Q128" s="688"/>
    </row>
    <row r="129" spans="1:17" s="357" customFormat="1" x14ac:dyDescent="0.3">
      <c r="A129" s="357" t="s">
        <v>2115</v>
      </c>
      <c r="B129" s="357" t="s">
        <v>2226</v>
      </c>
      <c r="C129" s="478" t="s">
        <v>1944</v>
      </c>
      <c r="D129" s="687">
        <v>2</v>
      </c>
      <c r="E129" s="687">
        <v>0</v>
      </c>
      <c r="F129" s="687">
        <v>0</v>
      </c>
      <c r="G129" s="687">
        <v>0</v>
      </c>
      <c r="H129" s="687"/>
      <c r="I129" s="687"/>
      <c r="J129" s="687"/>
      <c r="K129" s="687"/>
      <c r="L129" s="687"/>
      <c r="M129" s="687"/>
      <c r="N129" s="687"/>
      <c r="O129" s="687"/>
      <c r="P129" s="687"/>
      <c r="Q129" s="687"/>
    </row>
    <row r="130" spans="1:17" s="357" customFormat="1" x14ac:dyDescent="0.3">
      <c r="A130" s="357" t="s">
        <v>2115</v>
      </c>
      <c r="B130" s="357" t="s">
        <v>2226</v>
      </c>
      <c r="C130" s="479" t="s">
        <v>1124</v>
      </c>
      <c r="D130" s="688">
        <v>2</v>
      </c>
      <c r="E130" s="688">
        <v>0</v>
      </c>
      <c r="F130" s="688">
        <v>0</v>
      </c>
      <c r="G130" s="688">
        <v>0</v>
      </c>
      <c r="H130" s="688">
        <v>2</v>
      </c>
      <c r="I130" s="688"/>
      <c r="J130" s="688"/>
      <c r="K130" s="688"/>
      <c r="L130" s="688"/>
      <c r="M130" s="688"/>
      <c r="N130" s="688"/>
      <c r="O130" s="688"/>
      <c r="P130" s="688"/>
      <c r="Q130" s="688"/>
    </row>
    <row r="131" spans="1:17" s="357" customFormat="1" x14ac:dyDescent="0.3">
      <c r="A131" s="357" t="s">
        <v>2115</v>
      </c>
      <c r="B131" s="357" t="s">
        <v>2226</v>
      </c>
      <c r="C131" s="478" t="s">
        <v>1076</v>
      </c>
      <c r="D131" s="687">
        <v>2</v>
      </c>
      <c r="E131" s="687">
        <v>0</v>
      </c>
      <c r="F131" s="687">
        <v>0</v>
      </c>
      <c r="G131" s="687">
        <v>0</v>
      </c>
      <c r="H131" s="687"/>
      <c r="I131" s="687"/>
      <c r="J131" s="687"/>
      <c r="K131" s="687"/>
      <c r="L131" s="687"/>
      <c r="M131" s="687"/>
      <c r="N131" s="687"/>
      <c r="O131" s="687"/>
      <c r="P131" s="687"/>
      <c r="Q131" s="687"/>
    </row>
    <row r="132" spans="1:17" s="357" customFormat="1" x14ac:dyDescent="0.3">
      <c r="A132" s="357" t="s">
        <v>2115</v>
      </c>
      <c r="B132" s="357" t="s">
        <v>2226</v>
      </c>
      <c r="C132" s="478" t="s">
        <v>2149</v>
      </c>
      <c r="D132" s="687">
        <v>2</v>
      </c>
      <c r="E132" s="687">
        <v>0</v>
      </c>
      <c r="F132" s="687">
        <v>0</v>
      </c>
      <c r="G132" s="687">
        <v>0</v>
      </c>
      <c r="H132" s="687">
        <v>2</v>
      </c>
      <c r="I132" s="687"/>
      <c r="J132" s="687"/>
      <c r="K132" s="687"/>
      <c r="L132" s="687"/>
      <c r="M132" s="687"/>
      <c r="N132" s="687"/>
      <c r="O132" s="687"/>
      <c r="P132" s="687"/>
      <c r="Q132" s="687"/>
    </row>
    <row r="133" spans="1:17" s="357" customFormat="1" x14ac:dyDescent="0.3">
      <c r="A133" s="357" t="s">
        <v>2115</v>
      </c>
      <c r="B133" s="357" t="s">
        <v>2226</v>
      </c>
      <c r="C133" s="479" t="s">
        <v>1459</v>
      </c>
      <c r="D133" s="688">
        <v>2</v>
      </c>
      <c r="E133" s="688">
        <v>0</v>
      </c>
      <c r="F133" s="688">
        <v>0</v>
      </c>
      <c r="G133" s="688">
        <v>0</v>
      </c>
      <c r="H133" s="688"/>
      <c r="I133" s="688"/>
      <c r="J133" s="688"/>
      <c r="K133" s="688"/>
      <c r="L133" s="688"/>
      <c r="M133" s="688"/>
      <c r="N133" s="688"/>
      <c r="O133" s="688"/>
      <c r="P133" s="688"/>
      <c r="Q133" s="688"/>
    </row>
    <row r="134" spans="1:17" s="357" customFormat="1" x14ac:dyDescent="0.3">
      <c r="A134" s="357" t="s">
        <v>2115</v>
      </c>
      <c r="B134" s="357" t="s">
        <v>2226</v>
      </c>
      <c r="C134" s="478" t="s">
        <v>1591</v>
      </c>
      <c r="D134" s="687">
        <v>2</v>
      </c>
      <c r="E134" s="687">
        <v>0</v>
      </c>
      <c r="F134" s="687">
        <v>0</v>
      </c>
      <c r="G134" s="687">
        <v>0</v>
      </c>
      <c r="H134" s="687">
        <v>2</v>
      </c>
      <c r="I134" s="687"/>
      <c r="J134" s="687"/>
      <c r="K134" s="687"/>
      <c r="L134" s="687"/>
      <c r="M134" s="687"/>
      <c r="N134" s="687"/>
      <c r="O134" s="687"/>
      <c r="P134" s="687"/>
      <c r="Q134" s="687"/>
    </row>
    <row r="135" spans="1:17" s="357" customFormat="1" x14ac:dyDescent="0.3">
      <c r="A135" s="357" t="s">
        <v>2006</v>
      </c>
      <c r="B135" s="357" t="s">
        <v>2074</v>
      </c>
      <c r="C135" s="478" t="s">
        <v>185</v>
      </c>
      <c r="D135" s="687">
        <v>16</v>
      </c>
      <c r="E135" s="687">
        <v>12</v>
      </c>
      <c r="F135" s="687">
        <v>33</v>
      </c>
      <c r="G135" s="687">
        <v>45</v>
      </c>
      <c r="H135" s="687">
        <v>2</v>
      </c>
      <c r="I135" s="687"/>
      <c r="J135" s="687"/>
      <c r="K135" s="687"/>
      <c r="L135" s="1023"/>
      <c r="M135" s="687">
        <v>1</v>
      </c>
      <c r="N135" s="687"/>
      <c r="O135" s="687">
        <v>1</v>
      </c>
      <c r="P135" s="687"/>
      <c r="Q135" s="687"/>
    </row>
    <row r="136" spans="1:17" s="357" customFormat="1" x14ac:dyDescent="0.3">
      <c r="A136" s="357" t="s">
        <v>2006</v>
      </c>
      <c r="B136" s="357" t="s">
        <v>2074</v>
      </c>
      <c r="C136" s="479" t="s">
        <v>1075</v>
      </c>
      <c r="D136" s="688">
        <v>16</v>
      </c>
      <c r="E136" s="688">
        <v>13</v>
      </c>
      <c r="F136" s="688">
        <v>15</v>
      </c>
      <c r="G136" s="688">
        <v>28</v>
      </c>
      <c r="H136" s="688"/>
      <c r="I136" s="688"/>
      <c r="J136" s="688">
        <v>1</v>
      </c>
      <c r="K136" s="688"/>
      <c r="L136" s="688"/>
      <c r="M136" s="688"/>
      <c r="N136" s="688"/>
      <c r="O136" s="688">
        <v>1</v>
      </c>
      <c r="P136" s="688"/>
      <c r="Q136" s="688">
        <v>1</v>
      </c>
    </row>
    <row r="137" spans="1:17" s="357" customFormat="1" x14ac:dyDescent="0.3">
      <c r="A137" s="357" t="s">
        <v>2006</v>
      </c>
      <c r="B137" s="357" t="s">
        <v>2074</v>
      </c>
      <c r="C137" s="478" t="s">
        <v>50</v>
      </c>
      <c r="D137" s="687">
        <v>16</v>
      </c>
      <c r="E137" s="687">
        <v>23</v>
      </c>
      <c r="F137" s="687">
        <v>4</v>
      </c>
      <c r="G137" s="687">
        <v>27</v>
      </c>
      <c r="H137" s="687">
        <v>2</v>
      </c>
      <c r="I137" s="687">
        <v>4</v>
      </c>
      <c r="J137" s="687">
        <v>4</v>
      </c>
      <c r="K137" s="687"/>
      <c r="L137" s="687"/>
      <c r="M137" s="687"/>
      <c r="N137" s="687"/>
      <c r="O137" s="687">
        <v>2</v>
      </c>
      <c r="P137" s="687"/>
      <c r="Q137" s="687"/>
    </row>
    <row r="138" spans="1:17" s="357" customFormat="1" x14ac:dyDescent="0.3">
      <c r="A138" s="357" t="s">
        <v>2006</v>
      </c>
      <c r="B138" s="357" t="s">
        <v>2074</v>
      </c>
      <c r="C138" s="479" t="s">
        <v>1944</v>
      </c>
      <c r="D138" s="688">
        <v>15</v>
      </c>
      <c r="E138" s="688">
        <v>19</v>
      </c>
      <c r="F138" s="688">
        <v>7</v>
      </c>
      <c r="G138" s="688">
        <v>26</v>
      </c>
      <c r="H138" s="688"/>
      <c r="I138" s="688">
        <v>5</v>
      </c>
      <c r="J138" s="688">
        <v>1</v>
      </c>
      <c r="K138" s="688"/>
      <c r="L138" s="1018"/>
      <c r="M138" s="688">
        <v>1</v>
      </c>
      <c r="N138" s="688"/>
      <c r="O138" s="688">
        <v>2</v>
      </c>
      <c r="P138" s="688"/>
      <c r="Q138" s="688"/>
    </row>
    <row r="139" spans="1:17" s="357" customFormat="1" x14ac:dyDescent="0.3">
      <c r="A139" s="357" t="s">
        <v>2006</v>
      </c>
      <c r="B139" s="357" t="s">
        <v>2074</v>
      </c>
      <c r="C139" s="478" t="s">
        <v>1124</v>
      </c>
      <c r="D139" s="687">
        <v>14</v>
      </c>
      <c r="E139" s="687">
        <v>14</v>
      </c>
      <c r="F139" s="687">
        <v>6</v>
      </c>
      <c r="G139" s="687">
        <v>20</v>
      </c>
      <c r="H139" s="687"/>
      <c r="I139" s="687">
        <v>1</v>
      </c>
      <c r="J139" s="687">
        <v>1</v>
      </c>
      <c r="K139" s="687"/>
      <c r="L139" s="687"/>
      <c r="M139" s="687"/>
      <c r="N139" s="687"/>
      <c r="O139" s="687"/>
      <c r="P139" s="687"/>
      <c r="Q139" s="687"/>
    </row>
    <row r="140" spans="1:17" s="357" customFormat="1" x14ac:dyDescent="0.3">
      <c r="A140" s="357" t="s">
        <v>2006</v>
      </c>
      <c r="B140" s="357" t="s">
        <v>2074</v>
      </c>
      <c r="C140" s="479" t="s">
        <v>1076</v>
      </c>
      <c r="D140" s="688">
        <v>14</v>
      </c>
      <c r="E140" s="688">
        <v>6</v>
      </c>
      <c r="F140" s="688">
        <v>4</v>
      </c>
      <c r="G140" s="688">
        <v>10</v>
      </c>
      <c r="H140" s="688"/>
      <c r="I140" s="688">
        <v>2</v>
      </c>
      <c r="J140" s="688"/>
      <c r="K140" s="688"/>
      <c r="L140" s="688"/>
      <c r="M140" s="688"/>
      <c r="N140" s="688"/>
      <c r="O140" s="688">
        <v>1</v>
      </c>
      <c r="P140" s="688"/>
      <c r="Q140" s="688"/>
    </row>
    <row r="141" spans="1:17" s="357" customFormat="1" x14ac:dyDescent="0.3">
      <c r="A141" s="357" t="s">
        <v>2006</v>
      </c>
      <c r="B141" s="357" t="s">
        <v>2074</v>
      </c>
      <c r="C141" s="478" t="s">
        <v>1172</v>
      </c>
      <c r="D141" s="687">
        <v>10</v>
      </c>
      <c r="E141" s="687">
        <v>1</v>
      </c>
      <c r="F141" s="687">
        <v>6</v>
      </c>
      <c r="G141" s="687">
        <v>7</v>
      </c>
      <c r="H141" s="687"/>
      <c r="I141" s="687"/>
      <c r="J141" s="687"/>
      <c r="K141" s="687"/>
      <c r="L141" s="687"/>
      <c r="M141" s="687"/>
      <c r="N141" s="687"/>
      <c r="O141" s="687"/>
      <c r="P141" s="687"/>
      <c r="Q141" s="687"/>
    </row>
    <row r="142" spans="1:17" s="357" customFormat="1" x14ac:dyDescent="0.3">
      <c r="A142" s="357" t="s">
        <v>2006</v>
      </c>
      <c r="B142" s="357" t="s">
        <v>2074</v>
      </c>
      <c r="C142" s="479" t="s">
        <v>1379</v>
      </c>
      <c r="D142" s="688">
        <v>14</v>
      </c>
      <c r="E142" s="688">
        <v>3</v>
      </c>
      <c r="F142" s="688">
        <v>3</v>
      </c>
      <c r="G142" s="688">
        <v>6</v>
      </c>
      <c r="H142" s="688"/>
      <c r="I142" s="688"/>
      <c r="J142" s="688"/>
      <c r="K142" s="688"/>
      <c r="L142" s="688"/>
      <c r="M142" s="688"/>
      <c r="N142" s="688"/>
      <c r="O142" s="688"/>
      <c r="P142" s="688"/>
      <c r="Q142" s="688"/>
    </row>
    <row r="143" spans="1:17" s="357" customFormat="1" x14ac:dyDescent="0.3">
      <c r="A143" s="357" t="s">
        <v>2006</v>
      </c>
      <c r="B143" s="357" t="s">
        <v>2074</v>
      </c>
      <c r="C143" s="478" t="s">
        <v>53</v>
      </c>
      <c r="D143" s="687">
        <v>16</v>
      </c>
      <c r="E143" s="687">
        <v>2</v>
      </c>
      <c r="F143" s="687">
        <v>3</v>
      </c>
      <c r="G143" s="687">
        <v>5</v>
      </c>
      <c r="H143" s="687">
        <v>2</v>
      </c>
      <c r="I143" s="687"/>
      <c r="J143" s="687"/>
      <c r="K143" s="687"/>
      <c r="L143" s="687"/>
      <c r="M143" s="687"/>
      <c r="N143" s="687"/>
      <c r="O143" s="687"/>
      <c r="P143" s="687"/>
      <c r="Q143" s="687"/>
    </row>
    <row r="144" spans="1:17" s="357" customFormat="1" x14ac:dyDescent="0.3">
      <c r="A144" s="357" t="s">
        <v>2006</v>
      </c>
      <c r="B144" s="357" t="s">
        <v>2074</v>
      </c>
      <c r="C144" s="479" t="s">
        <v>1459</v>
      </c>
      <c r="D144" s="688">
        <v>6</v>
      </c>
      <c r="E144" s="688">
        <v>2</v>
      </c>
      <c r="F144" s="688">
        <v>1</v>
      </c>
      <c r="G144" s="688">
        <v>3</v>
      </c>
      <c r="H144" s="688"/>
      <c r="I144" s="688"/>
      <c r="J144" s="688"/>
      <c r="K144" s="688"/>
      <c r="L144" s="688"/>
      <c r="M144" s="688"/>
      <c r="N144" s="688"/>
      <c r="O144" s="688"/>
      <c r="P144" s="688"/>
      <c r="Q144" s="688"/>
    </row>
    <row r="145" spans="1:17" s="357" customFormat="1" x14ac:dyDescent="0.3">
      <c r="A145" s="357" t="s">
        <v>2006</v>
      </c>
      <c r="B145" s="357" t="s">
        <v>2074</v>
      </c>
      <c r="C145" s="478" t="s">
        <v>2041</v>
      </c>
      <c r="D145" s="687">
        <v>14</v>
      </c>
      <c r="E145" s="687">
        <v>0</v>
      </c>
      <c r="F145" s="687">
        <v>2</v>
      </c>
      <c r="G145" s="687">
        <v>2</v>
      </c>
      <c r="H145" s="687"/>
      <c r="I145" s="687"/>
      <c r="J145" s="687"/>
      <c r="K145" s="687"/>
      <c r="L145" s="687"/>
      <c r="M145" s="687"/>
      <c r="N145" s="687"/>
      <c r="O145" s="687"/>
      <c r="P145" s="687"/>
      <c r="Q145" s="687"/>
    </row>
    <row r="146" spans="1:17" s="357" customFormat="1" x14ac:dyDescent="0.3">
      <c r="A146" s="357" t="s">
        <v>2006</v>
      </c>
      <c r="B146" s="357" t="s">
        <v>2074</v>
      </c>
      <c r="C146" s="479" t="s">
        <v>2042</v>
      </c>
      <c r="D146" s="688">
        <v>6</v>
      </c>
      <c r="E146" s="688">
        <v>1</v>
      </c>
      <c r="F146" s="688">
        <v>0</v>
      </c>
      <c r="G146" s="688">
        <v>1</v>
      </c>
      <c r="H146" s="688"/>
      <c r="I146" s="688"/>
      <c r="J146" s="688"/>
      <c r="K146" s="688"/>
      <c r="L146" s="688"/>
      <c r="M146" s="688"/>
      <c r="N146" s="688"/>
      <c r="O146" s="688"/>
      <c r="P146" s="688"/>
      <c r="Q146" s="688"/>
    </row>
    <row r="147" spans="1:17" s="357" customFormat="1" x14ac:dyDescent="0.3">
      <c r="A147" s="357" t="s">
        <v>2006</v>
      </c>
      <c r="B147" s="357" t="s">
        <v>2074</v>
      </c>
      <c r="C147" s="478" t="s">
        <v>680</v>
      </c>
      <c r="D147" s="687">
        <v>6</v>
      </c>
      <c r="E147" s="687">
        <v>0</v>
      </c>
      <c r="F147" s="687">
        <v>1</v>
      </c>
      <c r="G147" s="687">
        <v>1</v>
      </c>
      <c r="H147" s="687"/>
      <c r="I147" s="687"/>
      <c r="J147" s="687"/>
      <c r="K147" s="687"/>
      <c r="L147" s="687"/>
      <c r="M147" s="687"/>
      <c r="N147" s="687"/>
      <c r="O147" s="687"/>
      <c r="P147" s="687"/>
      <c r="Q147" s="687"/>
    </row>
    <row r="148" spans="1:17" s="357" customFormat="1" x14ac:dyDescent="0.3">
      <c r="A148" s="357" t="s">
        <v>2006</v>
      </c>
      <c r="B148" s="357" t="s">
        <v>2074</v>
      </c>
      <c r="C148" s="479" t="s">
        <v>55</v>
      </c>
      <c r="D148" s="688">
        <v>6</v>
      </c>
      <c r="E148" s="688">
        <v>0</v>
      </c>
      <c r="F148" s="688">
        <v>1</v>
      </c>
      <c r="G148" s="688">
        <v>1</v>
      </c>
      <c r="H148" s="688"/>
      <c r="I148" s="688"/>
      <c r="J148" s="688"/>
      <c r="K148" s="688"/>
      <c r="L148" s="688"/>
      <c r="M148" s="688"/>
      <c r="N148" s="688"/>
      <c r="O148" s="688"/>
      <c r="P148" s="688"/>
      <c r="Q148" s="688"/>
    </row>
    <row r="149" spans="1:17" s="357" customFormat="1" x14ac:dyDescent="0.3">
      <c r="A149" s="357" t="s">
        <v>2006</v>
      </c>
      <c r="B149" s="357" t="s">
        <v>2074</v>
      </c>
      <c r="C149" s="478" t="s">
        <v>1943</v>
      </c>
      <c r="D149" s="687">
        <v>2</v>
      </c>
      <c r="E149" s="687">
        <v>0</v>
      </c>
      <c r="F149" s="687">
        <v>0</v>
      </c>
      <c r="G149" s="687">
        <v>0</v>
      </c>
      <c r="H149" s="687"/>
      <c r="I149" s="687"/>
      <c r="J149" s="687"/>
      <c r="K149" s="687"/>
      <c r="L149" s="687"/>
      <c r="M149" s="687"/>
      <c r="N149" s="687"/>
      <c r="O149" s="687"/>
      <c r="P149" s="687"/>
      <c r="Q149" s="687"/>
    </row>
    <row r="150" spans="1:17" s="357" customFormat="1" x14ac:dyDescent="0.3">
      <c r="A150" s="357" t="s">
        <v>2006</v>
      </c>
      <c r="B150" s="357" t="s">
        <v>2074</v>
      </c>
      <c r="C150" s="478" t="s">
        <v>47</v>
      </c>
      <c r="D150" s="687">
        <v>3</v>
      </c>
      <c r="E150" s="687">
        <v>0</v>
      </c>
      <c r="F150" s="687">
        <v>0</v>
      </c>
      <c r="G150" s="687">
        <v>0</v>
      </c>
      <c r="H150" s="687"/>
      <c r="I150" s="687"/>
      <c r="J150" s="687"/>
      <c r="K150" s="687"/>
      <c r="L150" s="687"/>
      <c r="M150" s="687"/>
      <c r="N150" s="687"/>
      <c r="O150" s="687"/>
      <c r="P150" s="687"/>
      <c r="Q150" s="687"/>
    </row>
    <row r="151" spans="1:17" s="357" customFormat="1" x14ac:dyDescent="0.3">
      <c r="A151" s="357" t="s">
        <v>2006</v>
      </c>
      <c r="B151" s="475" t="s">
        <v>2007</v>
      </c>
      <c r="C151" s="478" t="s">
        <v>185</v>
      </c>
      <c r="D151" s="687">
        <v>3</v>
      </c>
      <c r="E151" s="687">
        <v>4</v>
      </c>
      <c r="F151" s="687">
        <v>3</v>
      </c>
      <c r="G151" s="687">
        <f>E151+F151</f>
        <v>7</v>
      </c>
      <c r="H151" s="687" t="s">
        <v>107</v>
      </c>
      <c r="I151" s="687" t="s">
        <v>107</v>
      </c>
      <c r="J151" s="687">
        <v>1</v>
      </c>
      <c r="K151" s="687" t="s">
        <v>107</v>
      </c>
      <c r="L151" s="687" t="s">
        <v>107</v>
      </c>
      <c r="M151" s="687" t="s">
        <v>107</v>
      </c>
      <c r="N151" s="687" t="s">
        <v>107</v>
      </c>
      <c r="O151" s="687" t="s">
        <v>107</v>
      </c>
      <c r="P151" s="687" t="s">
        <v>107</v>
      </c>
      <c r="Q151" s="687" t="s">
        <v>107</v>
      </c>
    </row>
    <row r="152" spans="1:17" s="357" customFormat="1" x14ac:dyDescent="0.3">
      <c r="A152" s="357" t="s">
        <v>2006</v>
      </c>
      <c r="B152" s="475" t="s">
        <v>2007</v>
      </c>
      <c r="C152" s="479" t="s">
        <v>1075</v>
      </c>
      <c r="D152" s="688">
        <v>3</v>
      </c>
      <c r="E152" s="688">
        <v>1</v>
      </c>
      <c r="F152" s="688">
        <v>6</v>
      </c>
      <c r="G152" s="688">
        <f t="shared" ref="G152:G159" si="0">E152+F152</f>
        <v>7</v>
      </c>
      <c r="H152" s="688" t="s">
        <v>107</v>
      </c>
      <c r="I152" s="688" t="s">
        <v>107</v>
      </c>
      <c r="J152" s="688" t="s">
        <v>107</v>
      </c>
      <c r="K152" s="688" t="s">
        <v>107</v>
      </c>
      <c r="L152" s="688" t="s">
        <v>107</v>
      </c>
      <c r="M152" s="688" t="s">
        <v>107</v>
      </c>
      <c r="N152" s="688" t="s">
        <v>107</v>
      </c>
      <c r="O152" s="688" t="s">
        <v>107</v>
      </c>
      <c r="P152" s="688" t="s">
        <v>107</v>
      </c>
      <c r="Q152" s="688" t="s">
        <v>107</v>
      </c>
    </row>
    <row r="153" spans="1:17" s="357" customFormat="1" x14ac:dyDescent="0.3">
      <c r="A153" s="357" t="s">
        <v>2006</v>
      </c>
      <c r="B153" s="475" t="s">
        <v>2007</v>
      </c>
      <c r="C153" s="478" t="s">
        <v>50</v>
      </c>
      <c r="D153" s="687">
        <v>3</v>
      </c>
      <c r="E153" s="687">
        <v>2</v>
      </c>
      <c r="F153" s="687">
        <v>2</v>
      </c>
      <c r="G153" s="687">
        <f t="shared" si="0"/>
        <v>4</v>
      </c>
      <c r="H153" s="687" t="s">
        <v>107</v>
      </c>
      <c r="I153" s="687" t="s">
        <v>107</v>
      </c>
      <c r="J153" s="687" t="s">
        <v>107</v>
      </c>
      <c r="K153" s="687" t="s">
        <v>107</v>
      </c>
      <c r="L153" s="687" t="s">
        <v>107</v>
      </c>
      <c r="M153" s="687" t="s">
        <v>107</v>
      </c>
      <c r="N153" s="687" t="s">
        <v>107</v>
      </c>
      <c r="O153" s="687" t="s">
        <v>107</v>
      </c>
      <c r="P153" s="687" t="s">
        <v>107</v>
      </c>
      <c r="Q153" s="687" t="s">
        <v>107</v>
      </c>
    </row>
    <row r="154" spans="1:17" s="357" customFormat="1" x14ac:dyDescent="0.3">
      <c r="A154" s="357" t="s">
        <v>2006</v>
      </c>
      <c r="B154" s="475" t="s">
        <v>2007</v>
      </c>
      <c r="C154" s="479" t="s">
        <v>1944</v>
      </c>
      <c r="D154" s="688">
        <v>3</v>
      </c>
      <c r="E154" s="688">
        <v>5</v>
      </c>
      <c r="F154" s="688"/>
      <c r="G154" s="688">
        <f t="shared" si="0"/>
        <v>5</v>
      </c>
      <c r="H154" s="688" t="s">
        <v>107</v>
      </c>
      <c r="I154" s="688">
        <v>1</v>
      </c>
      <c r="J154" s="688" t="s">
        <v>107</v>
      </c>
      <c r="K154" s="688" t="s">
        <v>107</v>
      </c>
      <c r="L154" s="1018"/>
      <c r="M154" s="688">
        <v>1</v>
      </c>
      <c r="N154" s="688" t="s">
        <v>107</v>
      </c>
      <c r="O154" s="688" t="s">
        <v>107</v>
      </c>
      <c r="P154" s="688">
        <v>1</v>
      </c>
      <c r="Q154" s="688" t="s">
        <v>107</v>
      </c>
    </row>
    <row r="155" spans="1:17" s="357" customFormat="1" x14ac:dyDescent="0.3">
      <c r="A155" s="357" t="s">
        <v>2006</v>
      </c>
      <c r="B155" s="475" t="s">
        <v>2007</v>
      </c>
      <c r="C155" s="478" t="s">
        <v>1076</v>
      </c>
      <c r="D155" s="687">
        <v>3</v>
      </c>
      <c r="E155" s="687">
        <v>1</v>
      </c>
      <c r="F155" s="687">
        <v>1</v>
      </c>
      <c r="G155" s="687">
        <f t="shared" si="0"/>
        <v>2</v>
      </c>
      <c r="H155" s="687" t="s">
        <v>107</v>
      </c>
      <c r="I155" s="687" t="s">
        <v>107</v>
      </c>
      <c r="J155" s="687" t="s">
        <v>107</v>
      </c>
      <c r="K155" s="687">
        <v>1</v>
      </c>
      <c r="L155" s="687" t="s">
        <v>107</v>
      </c>
      <c r="M155" s="687" t="s">
        <v>107</v>
      </c>
      <c r="N155" s="687" t="s">
        <v>107</v>
      </c>
      <c r="O155" s="687" t="s">
        <v>107</v>
      </c>
      <c r="P155" s="687" t="s">
        <v>107</v>
      </c>
      <c r="Q155" s="687" t="s">
        <v>107</v>
      </c>
    </row>
    <row r="156" spans="1:17" s="357" customFormat="1" x14ac:dyDescent="0.3">
      <c r="A156" s="357" t="s">
        <v>2006</v>
      </c>
      <c r="B156" s="475" t="s">
        <v>2007</v>
      </c>
      <c r="C156" s="479" t="s">
        <v>53</v>
      </c>
      <c r="D156" s="688">
        <v>3</v>
      </c>
      <c r="E156" s="688"/>
      <c r="F156" s="688"/>
      <c r="G156" s="688">
        <f t="shared" si="0"/>
        <v>0</v>
      </c>
      <c r="H156" s="688" t="s">
        <v>107</v>
      </c>
      <c r="I156" s="688" t="s">
        <v>107</v>
      </c>
      <c r="J156" s="688" t="s">
        <v>107</v>
      </c>
      <c r="K156" s="688" t="s">
        <v>107</v>
      </c>
      <c r="L156" s="688" t="s">
        <v>107</v>
      </c>
      <c r="M156" s="688" t="s">
        <v>107</v>
      </c>
      <c r="N156" s="688" t="s">
        <v>107</v>
      </c>
      <c r="O156" s="688" t="s">
        <v>107</v>
      </c>
      <c r="P156" s="688" t="s">
        <v>107</v>
      </c>
      <c r="Q156" s="688" t="s">
        <v>107</v>
      </c>
    </row>
    <row r="157" spans="1:17" s="357" customFormat="1" x14ac:dyDescent="0.3">
      <c r="A157" s="357" t="s">
        <v>2006</v>
      </c>
      <c r="B157" s="475" t="s">
        <v>2007</v>
      </c>
      <c r="C157" s="478" t="s">
        <v>2041</v>
      </c>
      <c r="D157" s="687">
        <v>3</v>
      </c>
      <c r="E157" s="687">
        <v>3</v>
      </c>
      <c r="F157" s="687">
        <v>1</v>
      </c>
      <c r="G157" s="687">
        <f t="shared" si="0"/>
        <v>4</v>
      </c>
      <c r="H157" s="687" t="s">
        <v>107</v>
      </c>
      <c r="I157" s="687" t="s">
        <v>107</v>
      </c>
      <c r="J157" s="687" t="s">
        <v>107</v>
      </c>
      <c r="K157" s="687" t="s">
        <v>107</v>
      </c>
      <c r="L157" s="687" t="s">
        <v>107</v>
      </c>
      <c r="M157" s="687" t="s">
        <v>107</v>
      </c>
      <c r="N157" s="687" t="s">
        <v>107</v>
      </c>
      <c r="O157" s="687" t="s">
        <v>107</v>
      </c>
      <c r="P157" s="687" t="s">
        <v>107</v>
      </c>
      <c r="Q157" s="687" t="s">
        <v>107</v>
      </c>
    </row>
    <row r="158" spans="1:17" s="357" customFormat="1" x14ac:dyDescent="0.3">
      <c r="A158" s="357" t="s">
        <v>2006</v>
      </c>
      <c r="B158" s="475" t="s">
        <v>2007</v>
      </c>
      <c r="C158" s="479" t="s">
        <v>2042</v>
      </c>
      <c r="D158" s="688">
        <v>3</v>
      </c>
      <c r="E158" s="688"/>
      <c r="F158" s="688">
        <v>1</v>
      </c>
      <c r="G158" s="688">
        <f t="shared" si="0"/>
        <v>1</v>
      </c>
      <c r="H158" s="688">
        <v>5</v>
      </c>
      <c r="I158" s="688" t="s">
        <v>107</v>
      </c>
      <c r="J158" s="688" t="s">
        <v>107</v>
      </c>
      <c r="K158" s="688" t="s">
        <v>107</v>
      </c>
      <c r="L158" s="688" t="s">
        <v>107</v>
      </c>
      <c r="M158" s="688" t="s">
        <v>107</v>
      </c>
      <c r="N158" s="688" t="s">
        <v>107</v>
      </c>
      <c r="O158" s="688" t="s">
        <v>107</v>
      </c>
      <c r="P158" s="688" t="s">
        <v>107</v>
      </c>
      <c r="Q158" s="688" t="s">
        <v>107</v>
      </c>
    </row>
    <row r="159" spans="1:17" s="357" customFormat="1" x14ac:dyDescent="0.3">
      <c r="A159" s="357" t="s">
        <v>2006</v>
      </c>
      <c r="B159" s="475" t="s">
        <v>2007</v>
      </c>
      <c r="C159" s="479" t="s">
        <v>47</v>
      </c>
      <c r="D159" s="688">
        <v>3</v>
      </c>
      <c r="E159" s="688">
        <v>3</v>
      </c>
      <c r="F159" s="688">
        <v>2</v>
      </c>
      <c r="G159" s="688">
        <f t="shared" si="0"/>
        <v>5</v>
      </c>
      <c r="H159" s="688" t="s">
        <v>107</v>
      </c>
      <c r="I159" s="688" t="s">
        <v>107</v>
      </c>
      <c r="J159" s="688" t="s">
        <v>107</v>
      </c>
      <c r="K159" s="688" t="s">
        <v>107</v>
      </c>
      <c r="L159" s="688" t="s">
        <v>107</v>
      </c>
      <c r="M159" s="688" t="s">
        <v>107</v>
      </c>
      <c r="N159" s="688" t="s">
        <v>107</v>
      </c>
      <c r="O159" s="688" t="s">
        <v>107</v>
      </c>
      <c r="P159" s="688" t="s">
        <v>107</v>
      </c>
      <c r="Q159" s="688" t="s">
        <v>107</v>
      </c>
    </row>
    <row r="160" spans="1:17" ht="15" customHeight="1" x14ac:dyDescent="0.3">
      <c r="A160" t="s">
        <v>1818</v>
      </c>
      <c r="B160" t="s">
        <v>1946</v>
      </c>
      <c r="C160" s="478" t="s">
        <v>1459</v>
      </c>
      <c r="D160" s="687">
        <v>15</v>
      </c>
      <c r="E160" s="687">
        <v>7</v>
      </c>
      <c r="F160" s="687">
        <v>2</v>
      </c>
      <c r="G160" s="687">
        <f>E160+F160</f>
        <v>9</v>
      </c>
      <c r="H160" s="687">
        <v>2</v>
      </c>
      <c r="I160" s="687">
        <v>1</v>
      </c>
      <c r="J160" s="687">
        <v>1</v>
      </c>
      <c r="K160" s="687" t="s">
        <v>107</v>
      </c>
      <c r="L160" s="687" t="s">
        <v>107</v>
      </c>
      <c r="M160" s="687" t="s">
        <v>107</v>
      </c>
      <c r="N160" s="687" t="s">
        <v>107</v>
      </c>
      <c r="O160" s="687" t="s">
        <v>107</v>
      </c>
      <c r="P160" s="687" t="s">
        <v>107</v>
      </c>
      <c r="Q160" s="687" t="s">
        <v>107</v>
      </c>
    </row>
    <row r="161" spans="1:17" ht="15" customHeight="1" x14ac:dyDescent="0.3">
      <c r="A161" t="s">
        <v>1818</v>
      </c>
      <c r="B161" t="s">
        <v>1946</v>
      </c>
      <c r="C161" s="479" t="s">
        <v>1075</v>
      </c>
      <c r="D161" s="688">
        <v>21</v>
      </c>
      <c r="E161" s="688">
        <v>23</v>
      </c>
      <c r="F161" s="688">
        <v>14</v>
      </c>
      <c r="G161" s="688">
        <f t="shared" ref="G161:G172" si="1">E161+F161</f>
        <v>37</v>
      </c>
      <c r="H161" s="688">
        <v>8</v>
      </c>
      <c r="I161" s="688">
        <v>1</v>
      </c>
      <c r="J161" s="688">
        <v>2</v>
      </c>
      <c r="K161" s="688" t="s">
        <v>107</v>
      </c>
      <c r="L161" s="688" t="s">
        <v>107</v>
      </c>
      <c r="M161" s="688" t="s">
        <v>107</v>
      </c>
      <c r="N161" s="688" t="s">
        <v>107</v>
      </c>
      <c r="O161" s="688" t="s">
        <v>107</v>
      </c>
      <c r="P161" s="688">
        <v>3</v>
      </c>
      <c r="Q161" s="688" t="s">
        <v>107</v>
      </c>
    </row>
    <row r="162" spans="1:17" ht="15" customHeight="1" x14ac:dyDescent="0.3">
      <c r="A162" t="s">
        <v>1818</v>
      </c>
      <c r="B162" t="s">
        <v>1946</v>
      </c>
      <c r="C162" s="478" t="s">
        <v>47</v>
      </c>
      <c r="D162" s="687">
        <v>16</v>
      </c>
      <c r="E162" s="687">
        <v>4</v>
      </c>
      <c r="F162" s="687">
        <v>2</v>
      </c>
      <c r="G162" s="687">
        <f t="shared" si="1"/>
        <v>6</v>
      </c>
      <c r="H162" s="687">
        <v>4</v>
      </c>
      <c r="I162" s="687" t="s">
        <v>107</v>
      </c>
      <c r="J162" s="687" t="s">
        <v>107</v>
      </c>
      <c r="K162" s="687" t="s">
        <v>107</v>
      </c>
      <c r="L162" s="687" t="s">
        <v>107</v>
      </c>
      <c r="M162" s="687" t="s">
        <v>107</v>
      </c>
      <c r="N162" s="687" t="s">
        <v>107</v>
      </c>
      <c r="O162" s="687" t="s">
        <v>107</v>
      </c>
      <c r="P162" s="687" t="s">
        <v>107</v>
      </c>
      <c r="Q162" s="687" t="s">
        <v>107</v>
      </c>
    </row>
    <row r="163" spans="1:17" ht="15" customHeight="1" x14ac:dyDescent="0.3">
      <c r="A163" t="s">
        <v>1818</v>
      </c>
      <c r="B163" t="s">
        <v>1946</v>
      </c>
      <c r="C163" s="479" t="s">
        <v>53</v>
      </c>
      <c r="D163" s="688">
        <v>19</v>
      </c>
      <c r="E163" s="688">
        <v>6</v>
      </c>
      <c r="F163" s="688">
        <v>7</v>
      </c>
      <c r="G163" s="688">
        <f t="shared" si="1"/>
        <v>13</v>
      </c>
      <c r="H163" s="688">
        <v>2</v>
      </c>
      <c r="I163" s="688">
        <v>1</v>
      </c>
      <c r="J163" s="688">
        <v>1</v>
      </c>
      <c r="K163" s="688" t="s">
        <v>107</v>
      </c>
      <c r="L163" s="688" t="s">
        <v>107</v>
      </c>
      <c r="M163" s="688" t="s">
        <v>107</v>
      </c>
      <c r="N163" s="688" t="s">
        <v>107</v>
      </c>
      <c r="O163" s="688" t="s">
        <v>107</v>
      </c>
      <c r="P163" s="688" t="s">
        <v>107</v>
      </c>
      <c r="Q163" s="688" t="s">
        <v>107</v>
      </c>
    </row>
    <row r="164" spans="1:17" ht="15" customHeight="1" x14ac:dyDescent="0.3">
      <c r="A164" t="s">
        <v>1818</v>
      </c>
      <c r="B164" t="s">
        <v>1946</v>
      </c>
      <c r="C164" s="478" t="s">
        <v>1379</v>
      </c>
      <c r="D164" s="687">
        <v>21</v>
      </c>
      <c r="E164" s="687">
        <v>16</v>
      </c>
      <c r="F164" s="687">
        <v>15</v>
      </c>
      <c r="G164" s="687">
        <f t="shared" si="1"/>
        <v>31</v>
      </c>
      <c r="H164" s="687">
        <v>4</v>
      </c>
      <c r="I164" s="687" t="s">
        <v>107</v>
      </c>
      <c r="J164" s="687">
        <v>1</v>
      </c>
      <c r="K164" s="687" t="s">
        <v>107</v>
      </c>
      <c r="L164" s="687" t="s">
        <v>107</v>
      </c>
      <c r="M164" s="687" t="s">
        <v>107</v>
      </c>
      <c r="N164" s="687" t="s">
        <v>107</v>
      </c>
      <c r="O164" s="687" t="s">
        <v>107</v>
      </c>
      <c r="P164" s="687">
        <v>1</v>
      </c>
      <c r="Q164" s="687" t="s">
        <v>107</v>
      </c>
    </row>
    <row r="165" spans="1:17" ht="15" customHeight="1" x14ac:dyDescent="0.3">
      <c r="A165" t="s">
        <v>1818</v>
      </c>
      <c r="B165" t="s">
        <v>1946</v>
      </c>
      <c r="C165" s="479" t="s">
        <v>50</v>
      </c>
      <c r="D165" s="688">
        <v>18</v>
      </c>
      <c r="E165" s="688">
        <v>14</v>
      </c>
      <c r="F165" s="688">
        <v>10</v>
      </c>
      <c r="G165" s="688">
        <f t="shared" si="1"/>
        <v>24</v>
      </c>
      <c r="H165" s="688">
        <v>0</v>
      </c>
      <c r="I165" s="688">
        <v>2</v>
      </c>
      <c r="J165" s="688">
        <v>2</v>
      </c>
      <c r="K165" s="688" t="s">
        <v>107</v>
      </c>
      <c r="L165" s="688" t="s">
        <v>107</v>
      </c>
      <c r="M165" s="688" t="s">
        <v>107</v>
      </c>
      <c r="N165" s="688" t="s">
        <v>107</v>
      </c>
      <c r="O165" s="688">
        <v>1</v>
      </c>
      <c r="P165" s="688">
        <v>1</v>
      </c>
      <c r="Q165" s="688" t="s">
        <v>107</v>
      </c>
    </row>
    <row r="166" spans="1:17" ht="15" customHeight="1" x14ac:dyDescent="0.3">
      <c r="A166" t="s">
        <v>1818</v>
      </c>
      <c r="B166" t="s">
        <v>1946</v>
      </c>
      <c r="C166" s="478" t="s">
        <v>1124</v>
      </c>
      <c r="D166" s="687">
        <v>21</v>
      </c>
      <c r="E166" s="687">
        <v>15</v>
      </c>
      <c r="F166" s="687">
        <v>18</v>
      </c>
      <c r="G166" s="687">
        <f t="shared" si="1"/>
        <v>33</v>
      </c>
      <c r="H166" s="687">
        <v>8</v>
      </c>
      <c r="I166" s="687">
        <v>4</v>
      </c>
      <c r="J166" s="687">
        <v>1</v>
      </c>
      <c r="K166" s="687" t="s">
        <v>107</v>
      </c>
      <c r="L166" s="687" t="s">
        <v>107</v>
      </c>
      <c r="M166" s="687" t="s">
        <v>107</v>
      </c>
      <c r="N166" s="687" t="s">
        <v>107</v>
      </c>
      <c r="O166" s="687" t="s">
        <v>107</v>
      </c>
      <c r="P166" s="687">
        <v>1</v>
      </c>
      <c r="Q166" s="687" t="s">
        <v>107</v>
      </c>
    </row>
    <row r="167" spans="1:17" ht="15" customHeight="1" x14ac:dyDescent="0.3">
      <c r="A167" t="s">
        <v>1818</v>
      </c>
      <c r="B167" t="s">
        <v>1946</v>
      </c>
      <c r="C167" s="479" t="s">
        <v>1944</v>
      </c>
      <c r="D167" s="688">
        <v>15</v>
      </c>
      <c r="E167" s="688">
        <v>8</v>
      </c>
      <c r="F167" s="688">
        <v>4</v>
      </c>
      <c r="G167" s="688">
        <f t="shared" si="1"/>
        <v>12</v>
      </c>
      <c r="H167" s="688">
        <v>2</v>
      </c>
      <c r="I167" s="688">
        <v>1</v>
      </c>
      <c r="J167" s="688">
        <v>1</v>
      </c>
      <c r="K167" s="688" t="s">
        <v>107</v>
      </c>
      <c r="L167" s="688" t="s">
        <v>107</v>
      </c>
      <c r="M167" s="688" t="s">
        <v>107</v>
      </c>
      <c r="N167" s="688" t="s">
        <v>107</v>
      </c>
      <c r="O167" s="688" t="s">
        <v>107</v>
      </c>
      <c r="P167" s="688" t="s">
        <v>107</v>
      </c>
      <c r="Q167" s="688">
        <v>1</v>
      </c>
    </row>
    <row r="168" spans="1:17" ht="15" customHeight="1" x14ac:dyDescent="0.3">
      <c r="A168" t="s">
        <v>1818</v>
      </c>
      <c r="B168" t="s">
        <v>1946</v>
      </c>
      <c r="C168" s="478" t="s">
        <v>680</v>
      </c>
      <c r="D168" s="687">
        <v>18</v>
      </c>
      <c r="E168" s="687">
        <v>1</v>
      </c>
      <c r="F168" s="687">
        <v>2</v>
      </c>
      <c r="G168" s="687">
        <f t="shared" si="1"/>
        <v>3</v>
      </c>
      <c r="H168" s="687">
        <v>2</v>
      </c>
      <c r="I168" s="687">
        <v>1</v>
      </c>
      <c r="J168" s="687" t="s">
        <v>107</v>
      </c>
      <c r="K168" s="687" t="s">
        <v>107</v>
      </c>
      <c r="L168" s="687" t="s">
        <v>107</v>
      </c>
      <c r="M168" s="687" t="s">
        <v>107</v>
      </c>
      <c r="N168" s="687" t="s">
        <v>107</v>
      </c>
      <c r="O168" s="687" t="s">
        <v>107</v>
      </c>
      <c r="P168" s="687" t="s">
        <v>107</v>
      </c>
      <c r="Q168" s="687" t="s">
        <v>107</v>
      </c>
    </row>
    <row r="169" spans="1:17" ht="15" customHeight="1" x14ac:dyDescent="0.3">
      <c r="A169" t="s">
        <v>1818</v>
      </c>
      <c r="B169" t="s">
        <v>1946</v>
      </c>
      <c r="C169" s="479" t="s">
        <v>1076</v>
      </c>
      <c r="D169" s="688">
        <v>19</v>
      </c>
      <c r="E169" s="688">
        <v>10</v>
      </c>
      <c r="F169" s="688">
        <v>6</v>
      </c>
      <c r="G169" s="688">
        <f t="shared" si="1"/>
        <v>16</v>
      </c>
      <c r="H169" s="688">
        <v>4</v>
      </c>
      <c r="I169" s="688">
        <v>1</v>
      </c>
      <c r="J169" s="688" t="s">
        <v>107</v>
      </c>
      <c r="K169" s="688" t="s">
        <v>107</v>
      </c>
      <c r="L169" s="688" t="s">
        <v>107</v>
      </c>
      <c r="M169" s="688" t="s">
        <v>107</v>
      </c>
      <c r="N169" s="688" t="s">
        <v>107</v>
      </c>
      <c r="O169" s="688" t="s">
        <v>107</v>
      </c>
      <c r="P169" s="688" t="s">
        <v>107</v>
      </c>
      <c r="Q169" s="688" t="s">
        <v>107</v>
      </c>
    </row>
    <row r="170" spans="1:17" ht="15" customHeight="1" x14ac:dyDescent="0.3">
      <c r="A170" t="s">
        <v>1818</v>
      </c>
      <c r="B170" t="s">
        <v>1946</v>
      </c>
      <c r="C170" s="478" t="s">
        <v>185</v>
      </c>
      <c r="D170" s="687">
        <v>21</v>
      </c>
      <c r="E170" s="687">
        <v>13</v>
      </c>
      <c r="F170" s="687">
        <v>31</v>
      </c>
      <c r="G170" s="687">
        <f t="shared" si="1"/>
        <v>44</v>
      </c>
      <c r="H170" s="687">
        <v>5</v>
      </c>
      <c r="I170" s="687">
        <v>3</v>
      </c>
      <c r="J170" s="687" t="s">
        <v>107</v>
      </c>
      <c r="K170" s="687" t="s">
        <v>107</v>
      </c>
      <c r="L170" s="687">
        <v>1</v>
      </c>
      <c r="M170" s="687" t="s">
        <v>107</v>
      </c>
      <c r="N170" s="687" t="s">
        <v>107</v>
      </c>
      <c r="O170" s="687" t="s">
        <v>107</v>
      </c>
      <c r="P170" s="687">
        <v>2</v>
      </c>
      <c r="Q170" s="687" t="s">
        <v>107</v>
      </c>
    </row>
    <row r="171" spans="1:17" ht="15" customHeight="1" x14ac:dyDescent="0.3">
      <c r="A171" t="s">
        <v>1818</v>
      </c>
      <c r="B171" t="s">
        <v>1946</v>
      </c>
      <c r="C171" s="479" t="s">
        <v>1591</v>
      </c>
      <c r="D171" s="688">
        <v>14</v>
      </c>
      <c r="E171" s="688">
        <v>7</v>
      </c>
      <c r="F171" s="688">
        <v>3</v>
      </c>
      <c r="G171" s="688">
        <f t="shared" si="1"/>
        <v>10</v>
      </c>
      <c r="H171" s="688">
        <v>4</v>
      </c>
      <c r="I171" s="688">
        <v>3</v>
      </c>
      <c r="J171" s="688" t="s">
        <v>107</v>
      </c>
      <c r="K171" s="688" t="s">
        <v>107</v>
      </c>
      <c r="L171" s="688" t="s">
        <v>107</v>
      </c>
      <c r="M171" s="688" t="s">
        <v>107</v>
      </c>
      <c r="N171" s="688" t="s">
        <v>107</v>
      </c>
      <c r="O171" s="688" t="s">
        <v>107</v>
      </c>
      <c r="P171" s="688" t="s">
        <v>107</v>
      </c>
      <c r="Q171" s="688" t="s">
        <v>107</v>
      </c>
    </row>
    <row r="172" spans="1:17" ht="15" customHeight="1" x14ac:dyDescent="0.3">
      <c r="A172" t="s">
        <v>1818</v>
      </c>
      <c r="B172" t="s">
        <v>1946</v>
      </c>
      <c r="C172" s="478" t="s">
        <v>55</v>
      </c>
      <c r="D172" s="687">
        <v>12</v>
      </c>
      <c r="E172" s="687">
        <v>1</v>
      </c>
      <c r="F172" s="687">
        <v>1</v>
      </c>
      <c r="G172" s="687">
        <f t="shared" si="1"/>
        <v>2</v>
      </c>
      <c r="H172" s="687">
        <v>0</v>
      </c>
      <c r="I172" s="687" t="s">
        <v>107</v>
      </c>
      <c r="J172" s="687" t="s">
        <v>107</v>
      </c>
      <c r="K172" s="687" t="s">
        <v>107</v>
      </c>
      <c r="L172" s="687" t="s">
        <v>107</v>
      </c>
      <c r="M172" s="687" t="s">
        <v>107</v>
      </c>
      <c r="N172" s="687" t="s">
        <v>107</v>
      </c>
      <c r="O172" s="687" t="s">
        <v>107</v>
      </c>
      <c r="P172" s="687" t="s">
        <v>107</v>
      </c>
      <c r="Q172" s="687" t="s">
        <v>107</v>
      </c>
    </row>
    <row r="173" spans="1:17" ht="15" customHeight="1" x14ac:dyDescent="0.3">
      <c r="A173" t="s">
        <v>1818</v>
      </c>
      <c r="B173" t="s">
        <v>1982</v>
      </c>
      <c r="C173" s="478" t="s">
        <v>1459</v>
      </c>
      <c r="D173" s="687">
        <v>3</v>
      </c>
      <c r="E173" s="687">
        <v>3</v>
      </c>
      <c r="F173" s="687">
        <v>0</v>
      </c>
      <c r="G173" s="687">
        <f>E173+F173</f>
        <v>3</v>
      </c>
      <c r="H173" s="687">
        <v>0</v>
      </c>
      <c r="I173" s="687" t="s">
        <v>107</v>
      </c>
      <c r="J173" s="687" t="s">
        <v>107</v>
      </c>
      <c r="K173" s="687" t="s">
        <v>107</v>
      </c>
      <c r="L173" s="687" t="s">
        <v>107</v>
      </c>
      <c r="M173" s="687" t="s">
        <v>107</v>
      </c>
      <c r="N173" s="687" t="s">
        <v>107</v>
      </c>
      <c r="O173" s="687" t="s">
        <v>107</v>
      </c>
      <c r="P173" s="687">
        <v>1</v>
      </c>
      <c r="Q173" s="687" t="s">
        <v>107</v>
      </c>
    </row>
    <row r="174" spans="1:17" ht="15" customHeight="1" x14ac:dyDescent="0.3">
      <c r="A174" t="s">
        <v>1818</v>
      </c>
      <c r="B174" t="s">
        <v>1982</v>
      </c>
      <c r="C174" s="479" t="s">
        <v>1075</v>
      </c>
      <c r="D174" s="688">
        <v>3</v>
      </c>
      <c r="E174" s="688">
        <v>2</v>
      </c>
      <c r="F174" s="688">
        <v>1</v>
      </c>
      <c r="G174" s="688">
        <f t="shared" ref="G174:G185" si="2">E174+F174</f>
        <v>3</v>
      </c>
      <c r="H174" s="688">
        <v>0</v>
      </c>
      <c r="I174" s="688">
        <v>1</v>
      </c>
      <c r="J174" s="688">
        <v>1</v>
      </c>
      <c r="K174" s="688" t="s">
        <v>107</v>
      </c>
      <c r="L174" s="688" t="s">
        <v>107</v>
      </c>
      <c r="M174" s="688" t="s">
        <v>107</v>
      </c>
      <c r="N174" s="688" t="s">
        <v>107</v>
      </c>
      <c r="O174" s="688" t="s">
        <v>107</v>
      </c>
      <c r="P174" s="688" t="s">
        <v>107</v>
      </c>
      <c r="Q174" s="688" t="s">
        <v>107</v>
      </c>
    </row>
    <row r="175" spans="1:17" ht="15" customHeight="1" x14ac:dyDescent="0.3">
      <c r="A175" t="s">
        <v>1818</v>
      </c>
      <c r="B175" t="s">
        <v>1982</v>
      </c>
      <c r="C175" s="478" t="s">
        <v>47</v>
      </c>
      <c r="D175" s="687">
        <v>3</v>
      </c>
      <c r="E175" s="687">
        <v>0</v>
      </c>
      <c r="F175" s="687">
        <v>0</v>
      </c>
      <c r="G175" s="687">
        <f t="shared" si="2"/>
        <v>0</v>
      </c>
      <c r="H175" s="687">
        <v>0</v>
      </c>
      <c r="I175" s="687" t="s">
        <v>107</v>
      </c>
      <c r="J175" s="687" t="s">
        <v>107</v>
      </c>
      <c r="K175" s="687" t="s">
        <v>107</v>
      </c>
      <c r="L175" s="687" t="s">
        <v>107</v>
      </c>
      <c r="M175" s="687" t="s">
        <v>107</v>
      </c>
      <c r="N175" s="687" t="s">
        <v>107</v>
      </c>
      <c r="O175" s="687" t="s">
        <v>107</v>
      </c>
      <c r="P175" s="687" t="s">
        <v>107</v>
      </c>
      <c r="Q175" s="687" t="s">
        <v>107</v>
      </c>
    </row>
    <row r="176" spans="1:17" ht="15" customHeight="1" x14ac:dyDescent="0.3">
      <c r="A176" t="s">
        <v>1818</v>
      </c>
      <c r="B176" t="s">
        <v>1982</v>
      </c>
      <c r="C176" s="479" t="s">
        <v>53</v>
      </c>
      <c r="D176" s="688">
        <v>3</v>
      </c>
      <c r="E176" s="688">
        <v>0</v>
      </c>
      <c r="F176" s="688">
        <v>0</v>
      </c>
      <c r="G176" s="688">
        <f t="shared" si="2"/>
        <v>0</v>
      </c>
      <c r="H176" s="688">
        <v>0</v>
      </c>
      <c r="I176" s="688" t="s">
        <v>107</v>
      </c>
      <c r="J176" s="688" t="s">
        <v>107</v>
      </c>
      <c r="K176" s="688" t="s">
        <v>107</v>
      </c>
      <c r="L176" s="688" t="s">
        <v>107</v>
      </c>
      <c r="M176" s="688" t="s">
        <v>107</v>
      </c>
      <c r="N176" s="688" t="s">
        <v>107</v>
      </c>
      <c r="O176" s="688" t="s">
        <v>107</v>
      </c>
      <c r="P176" s="688" t="s">
        <v>107</v>
      </c>
      <c r="Q176" s="688" t="s">
        <v>107</v>
      </c>
    </row>
    <row r="177" spans="1:17" ht="15" customHeight="1" x14ac:dyDescent="0.3">
      <c r="A177" t="s">
        <v>1818</v>
      </c>
      <c r="B177" t="s">
        <v>1982</v>
      </c>
      <c r="C177" s="478" t="s">
        <v>1379</v>
      </c>
      <c r="D177" s="687">
        <v>3</v>
      </c>
      <c r="E177" s="687">
        <v>2</v>
      </c>
      <c r="F177" s="687">
        <v>0</v>
      </c>
      <c r="G177" s="687">
        <f t="shared" si="2"/>
        <v>2</v>
      </c>
      <c r="H177" s="687">
        <v>0</v>
      </c>
      <c r="I177" s="687" t="s">
        <v>107</v>
      </c>
      <c r="J177" s="687" t="s">
        <v>107</v>
      </c>
      <c r="K177" s="687" t="s">
        <v>107</v>
      </c>
      <c r="L177" s="687" t="s">
        <v>107</v>
      </c>
      <c r="M177" s="687" t="s">
        <v>107</v>
      </c>
      <c r="N177" s="687" t="s">
        <v>107</v>
      </c>
      <c r="O177" s="687" t="s">
        <v>107</v>
      </c>
      <c r="P177" s="687" t="s">
        <v>107</v>
      </c>
      <c r="Q177" s="687" t="s">
        <v>107</v>
      </c>
    </row>
    <row r="178" spans="1:17" ht="15" customHeight="1" x14ac:dyDescent="0.3">
      <c r="A178" t="s">
        <v>1818</v>
      </c>
      <c r="B178" t="s">
        <v>1982</v>
      </c>
      <c r="C178" s="479" t="s">
        <v>50</v>
      </c>
      <c r="D178" s="688">
        <v>3</v>
      </c>
      <c r="E178" s="688">
        <v>3</v>
      </c>
      <c r="F178" s="688">
        <v>2</v>
      </c>
      <c r="G178" s="688">
        <f t="shared" si="2"/>
        <v>5</v>
      </c>
      <c r="H178" s="688">
        <v>0</v>
      </c>
      <c r="I178" s="688" t="s">
        <v>107</v>
      </c>
      <c r="J178" s="688">
        <v>2</v>
      </c>
      <c r="K178" s="688" t="s">
        <v>107</v>
      </c>
      <c r="L178" s="688" t="s">
        <v>107</v>
      </c>
      <c r="M178" s="688" t="s">
        <v>107</v>
      </c>
      <c r="N178" s="688" t="s">
        <v>107</v>
      </c>
      <c r="O178" s="688" t="s">
        <v>107</v>
      </c>
      <c r="P178" s="688" t="s">
        <v>107</v>
      </c>
      <c r="Q178" s="688" t="s">
        <v>107</v>
      </c>
    </row>
    <row r="179" spans="1:17" ht="15" customHeight="1" x14ac:dyDescent="0.3">
      <c r="A179" t="s">
        <v>1818</v>
      </c>
      <c r="B179" t="s">
        <v>1982</v>
      </c>
      <c r="C179" s="478" t="s">
        <v>1124</v>
      </c>
      <c r="D179" s="687">
        <v>3</v>
      </c>
      <c r="E179" s="687">
        <v>0</v>
      </c>
      <c r="F179" s="687">
        <v>1</v>
      </c>
      <c r="G179" s="687">
        <f t="shared" si="2"/>
        <v>1</v>
      </c>
      <c r="H179" s="687">
        <v>0</v>
      </c>
      <c r="I179" s="687" t="s">
        <v>107</v>
      </c>
      <c r="J179" s="687" t="s">
        <v>107</v>
      </c>
      <c r="K179" s="687" t="s">
        <v>107</v>
      </c>
      <c r="L179" s="687" t="s">
        <v>107</v>
      </c>
      <c r="M179" s="687" t="s">
        <v>107</v>
      </c>
      <c r="N179" s="687" t="s">
        <v>107</v>
      </c>
      <c r="O179" s="687" t="s">
        <v>107</v>
      </c>
      <c r="P179" s="687" t="s">
        <v>107</v>
      </c>
      <c r="Q179" s="687" t="s">
        <v>107</v>
      </c>
    </row>
    <row r="180" spans="1:17" ht="15" customHeight="1" x14ac:dyDescent="0.3">
      <c r="A180" t="s">
        <v>1818</v>
      </c>
      <c r="B180" t="s">
        <v>1982</v>
      </c>
      <c r="C180" s="479" t="s">
        <v>1944</v>
      </c>
      <c r="D180" s="688">
        <v>3</v>
      </c>
      <c r="E180" s="688">
        <v>0</v>
      </c>
      <c r="F180" s="688">
        <v>0</v>
      </c>
      <c r="G180" s="688">
        <f t="shared" si="2"/>
        <v>0</v>
      </c>
      <c r="H180" s="688">
        <v>4</v>
      </c>
      <c r="I180" s="688" t="s">
        <v>107</v>
      </c>
      <c r="J180" s="688" t="s">
        <v>107</v>
      </c>
      <c r="K180" s="688" t="s">
        <v>107</v>
      </c>
      <c r="L180" s="688" t="s">
        <v>107</v>
      </c>
      <c r="M180" s="688" t="s">
        <v>107</v>
      </c>
      <c r="N180" s="688" t="s">
        <v>107</v>
      </c>
      <c r="O180" s="688" t="s">
        <v>107</v>
      </c>
      <c r="P180" s="688" t="s">
        <v>107</v>
      </c>
      <c r="Q180" s="688"/>
    </row>
    <row r="181" spans="1:17" ht="15" customHeight="1" x14ac:dyDescent="0.3">
      <c r="A181" t="s">
        <v>1818</v>
      </c>
      <c r="B181" t="s">
        <v>1982</v>
      </c>
      <c r="C181" s="478" t="s">
        <v>680</v>
      </c>
      <c r="D181" s="687">
        <v>3</v>
      </c>
      <c r="E181" s="687">
        <v>0</v>
      </c>
      <c r="F181" s="687">
        <v>1</v>
      </c>
      <c r="G181" s="687">
        <f t="shared" si="2"/>
        <v>1</v>
      </c>
      <c r="H181" s="687">
        <v>2</v>
      </c>
      <c r="I181" s="687" t="s">
        <v>107</v>
      </c>
      <c r="J181" s="687" t="s">
        <v>107</v>
      </c>
      <c r="K181" s="687" t="s">
        <v>107</v>
      </c>
      <c r="L181" s="687" t="s">
        <v>107</v>
      </c>
      <c r="M181" s="687" t="s">
        <v>107</v>
      </c>
      <c r="N181" s="687" t="s">
        <v>107</v>
      </c>
      <c r="O181" s="687" t="s">
        <v>107</v>
      </c>
      <c r="P181" s="687" t="s">
        <v>107</v>
      </c>
      <c r="Q181" s="687" t="s">
        <v>107</v>
      </c>
    </row>
    <row r="182" spans="1:17" ht="15" customHeight="1" x14ac:dyDescent="0.3">
      <c r="A182" t="s">
        <v>1818</v>
      </c>
      <c r="B182" t="s">
        <v>1982</v>
      </c>
      <c r="C182" s="479" t="s">
        <v>1076</v>
      </c>
      <c r="D182" s="688">
        <v>3</v>
      </c>
      <c r="E182" s="688">
        <v>2</v>
      </c>
      <c r="F182" s="688">
        <v>0</v>
      </c>
      <c r="G182" s="688">
        <f t="shared" si="2"/>
        <v>2</v>
      </c>
      <c r="H182" s="688">
        <v>0</v>
      </c>
      <c r="I182" s="688" t="s">
        <v>107</v>
      </c>
      <c r="J182" s="688">
        <v>1</v>
      </c>
      <c r="K182" s="688" t="s">
        <v>107</v>
      </c>
      <c r="L182" s="688" t="s">
        <v>107</v>
      </c>
      <c r="M182" s="688" t="s">
        <v>107</v>
      </c>
      <c r="N182" s="688" t="s">
        <v>107</v>
      </c>
      <c r="O182" s="688" t="s">
        <v>107</v>
      </c>
      <c r="P182" s="688" t="s">
        <v>107</v>
      </c>
      <c r="Q182" s="688" t="s">
        <v>107</v>
      </c>
    </row>
    <row r="183" spans="1:17" ht="15" customHeight="1" x14ac:dyDescent="0.3">
      <c r="A183" t="s">
        <v>1818</v>
      </c>
      <c r="B183" t="s">
        <v>1982</v>
      </c>
      <c r="C183" s="478" t="s">
        <v>185</v>
      </c>
      <c r="D183" s="687">
        <v>3</v>
      </c>
      <c r="E183" s="687">
        <v>0</v>
      </c>
      <c r="F183" s="687">
        <v>6</v>
      </c>
      <c r="G183" s="687">
        <f t="shared" si="2"/>
        <v>6</v>
      </c>
      <c r="H183" s="687">
        <v>16</v>
      </c>
      <c r="I183" s="687" t="s">
        <v>107</v>
      </c>
      <c r="J183" s="687" t="s">
        <v>107</v>
      </c>
      <c r="K183" s="687" t="s">
        <v>107</v>
      </c>
      <c r="L183" s="687"/>
      <c r="M183" s="687" t="s">
        <v>107</v>
      </c>
      <c r="N183" s="687" t="s">
        <v>107</v>
      </c>
      <c r="O183" s="687" t="s">
        <v>107</v>
      </c>
      <c r="P183" s="687"/>
      <c r="Q183" s="687" t="s">
        <v>107</v>
      </c>
    </row>
    <row r="184" spans="1:17" ht="15" customHeight="1" x14ac:dyDescent="0.3">
      <c r="A184" t="s">
        <v>1818</v>
      </c>
      <c r="B184" t="s">
        <v>1982</v>
      </c>
      <c r="C184" s="479" t="s">
        <v>1591</v>
      </c>
      <c r="D184" s="688">
        <v>3</v>
      </c>
      <c r="E184" s="688">
        <v>0</v>
      </c>
      <c r="F184" s="688">
        <v>0</v>
      </c>
      <c r="G184" s="688">
        <f t="shared" si="2"/>
        <v>0</v>
      </c>
      <c r="H184" s="688">
        <v>0</v>
      </c>
      <c r="I184" s="688" t="s">
        <v>107</v>
      </c>
      <c r="J184" s="688" t="s">
        <v>107</v>
      </c>
      <c r="K184" s="688" t="s">
        <v>107</v>
      </c>
      <c r="L184" s="688" t="s">
        <v>107</v>
      </c>
      <c r="M184" s="688" t="s">
        <v>107</v>
      </c>
      <c r="N184" s="688" t="s">
        <v>107</v>
      </c>
      <c r="O184" s="688" t="s">
        <v>107</v>
      </c>
      <c r="P184" s="688" t="s">
        <v>107</v>
      </c>
      <c r="Q184" s="688" t="s">
        <v>107</v>
      </c>
    </row>
    <row r="185" spans="1:17" ht="15" customHeight="1" x14ac:dyDescent="0.3">
      <c r="A185" t="s">
        <v>1818</v>
      </c>
      <c r="B185" t="s">
        <v>1982</v>
      </c>
      <c r="C185" s="478" t="s">
        <v>55</v>
      </c>
      <c r="D185" s="687">
        <v>3</v>
      </c>
      <c r="E185" s="687">
        <v>0</v>
      </c>
      <c r="F185" s="687">
        <v>1</v>
      </c>
      <c r="G185" s="687">
        <f t="shared" si="2"/>
        <v>1</v>
      </c>
      <c r="H185" s="687">
        <v>0</v>
      </c>
      <c r="I185" s="687" t="s">
        <v>107</v>
      </c>
      <c r="J185" s="687" t="s">
        <v>107</v>
      </c>
      <c r="K185" s="687" t="s">
        <v>107</v>
      </c>
      <c r="L185" s="687" t="s">
        <v>107</v>
      </c>
      <c r="M185" s="687" t="s">
        <v>107</v>
      </c>
      <c r="N185" s="687" t="s">
        <v>107</v>
      </c>
      <c r="O185" s="687" t="s">
        <v>107</v>
      </c>
      <c r="P185" s="687" t="s">
        <v>107</v>
      </c>
      <c r="Q185" s="687" t="s">
        <v>107</v>
      </c>
    </row>
    <row r="186" spans="1:17" ht="15" customHeight="1" x14ac:dyDescent="0.3">
      <c r="A186" t="s">
        <v>1635</v>
      </c>
      <c r="B186" s="475" t="s">
        <v>950</v>
      </c>
      <c r="C186" s="478" t="str">
        <f>'17-18P'!C5</f>
        <v>Joni Vainio</v>
      </c>
      <c r="D186" s="687">
        <f>'17-18P'!D5</f>
        <v>17</v>
      </c>
      <c r="E186" s="687">
        <f>'17-18P'!E5</f>
        <v>7</v>
      </c>
      <c r="F186" s="687">
        <f>'17-18P'!F5</f>
        <v>2</v>
      </c>
      <c r="G186" s="687">
        <f>'17-18P'!G5</f>
        <v>9</v>
      </c>
      <c r="H186" s="687">
        <f>'17-18P'!H5</f>
        <v>1</v>
      </c>
      <c r="I186" s="687" t="str">
        <f>'17-18P'!I5</f>
        <v>-</v>
      </c>
      <c r="J186" s="687">
        <f>'17-18P'!J5</f>
        <v>1</v>
      </c>
      <c r="K186" s="687" t="str">
        <f>'17-18P'!K5</f>
        <v>-</v>
      </c>
      <c r="L186" s="687" t="str">
        <f>'17-18P'!L5</f>
        <v>-</v>
      </c>
      <c r="M186" s="687" t="str">
        <f>'17-18P'!N5</f>
        <v>-</v>
      </c>
      <c r="N186" s="687" t="str">
        <f>'17-18P'!O5</f>
        <v>-</v>
      </c>
      <c r="O186" s="687" t="str">
        <f>'17-18P'!P5</f>
        <v>-</v>
      </c>
      <c r="P186" s="687" t="str">
        <f>'17-18P'!Q5</f>
        <v>-</v>
      </c>
      <c r="Q186" s="687" t="str">
        <f>'17-18P'!R5</f>
        <v>-</v>
      </c>
    </row>
    <row r="187" spans="1:17" ht="15" customHeight="1" x14ac:dyDescent="0.3">
      <c r="A187" t="s">
        <v>1635</v>
      </c>
      <c r="B187" s="475" t="s">
        <v>950</v>
      </c>
      <c r="C187" s="479" t="str">
        <f>'17-18P'!C6</f>
        <v>Ville Koivisto</v>
      </c>
      <c r="D187" s="688">
        <f>'17-18P'!D6</f>
        <v>17</v>
      </c>
      <c r="E187" s="688">
        <f>'17-18P'!E6</f>
        <v>7</v>
      </c>
      <c r="F187" s="688">
        <f>'17-18P'!F6</f>
        <v>9</v>
      </c>
      <c r="G187" s="688">
        <f>'17-18P'!G6</f>
        <v>16</v>
      </c>
      <c r="H187" s="688">
        <f>'17-18P'!H6</f>
        <v>3</v>
      </c>
      <c r="I187" s="688" t="str">
        <f>'17-18P'!I6</f>
        <v>-</v>
      </c>
      <c r="J187" s="688" t="str">
        <f>'17-18P'!J6</f>
        <v>-</v>
      </c>
      <c r="K187" s="688" t="str">
        <f>'17-18P'!K6</f>
        <v>-</v>
      </c>
      <c r="L187" s="688" t="str">
        <f>'17-18P'!L6</f>
        <v>-</v>
      </c>
      <c r="M187" s="688" t="str">
        <f>'17-18P'!N6</f>
        <v>-</v>
      </c>
      <c r="N187" s="688">
        <f>'17-18P'!O6</f>
        <v>1</v>
      </c>
      <c r="O187" s="688" t="str">
        <f>'17-18P'!P6</f>
        <v>-</v>
      </c>
      <c r="P187" s="688">
        <f>'17-18P'!Q6</f>
        <v>1</v>
      </c>
      <c r="Q187" s="688">
        <f>'17-18P'!R6</f>
        <v>1</v>
      </c>
    </row>
    <row r="188" spans="1:17" ht="15" customHeight="1" x14ac:dyDescent="0.3">
      <c r="A188" t="s">
        <v>1635</v>
      </c>
      <c r="B188" s="475" t="s">
        <v>950</v>
      </c>
      <c r="C188" s="478" t="str">
        <f>'17-18P'!C7</f>
        <v>Matias Mäkilä</v>
      </c>
      <c r="D188" s="687">
        <f>'17-18P'!D7</f>
        <v>17</v>
      </c>
      <c r="E188" s="687">
        <f>'17-18P'!E7</f>
        <v>5</v>
      </c>
      <c r="F188" s="687">
        <f>'17-18P'!F7</f>
        <v>3</v>
      </c>
      <c r="G188" s="687">
        <f>'17-18P'!G7</f>
        <v>8</v>
      </c>
      <c r="H188" s="687">
        <f>'17-18P'!H7</f>
        <v>2</v>
      </c>
      <c r="I188" s="687">
        <f>'17-18P'!I7</f>
        <v>1</v>
      </c>
      <c r="J188" s="687">
        <f>'17-18P'!J7</f>
        <v>1</v>
      </c>
      <c r="K188" s="687" t="str">
        <f>'17-18P'!K7</f>
        <v>-</v>
      </c>
      <c r="L188" s="687" t="str">
        <f>'17-18P'!L7</f>
        <v>-</v>
      </c>
      <c r="M188" s="687" t="str">
        <f>'17-18P'!N7</f>
        <v>-</v>
      </c>
      <c r="N188" s="687" t="str">
        <f>'17-18P'!O7</f>
        <v>-</v>
      </c>
      <c r="O188" s="687" t="str">
        <f>'17-18P'!P7</f>
        <v>-</v>
      </c>
      <c r="P188" s="687" t="str">
        <f>'17-18P'!Q7</f>
        <v>-</v>
      </c>
      <c r="Q188" s="687" t="str">
        <f>'17-18P'!R7</f>
        <v>-</v>
      </c>
    </row>
    <row r="189" spans="1:17" ht="15" customHeight="1" x14ac:dyDescent="0.3">
      <c r="A189" t="s">
        <v>1635</v>
      </c>
      <c r="B189" s="475" t="s">
        <v>950</v>
      </c>
      <c r="C189" s="479" t="str">
        <f>'17-18P'!C8</f>
        <v>Mauri Kurri</v>
      </c>
      <c r="D189" s="688">
        <f>'17-18P'!D8</f>
        <v>17</v>
      </c>
      <c r="E189" s="688">
        <f>'17-18P'!E8</f>
        <v>3</v>
      </c>
      <c r="F189" s="688">
        <f>'17-18P'!F8</f>
        <v>4</v>
      </c>
      <c r="G189" s="688">
        <f>'17-18P'!G8</f>
        <v>7</v>
      </c>
      <c r="H189" s="688">
        <f>'17-18P'!H8</f>
        <v>1</v>
      </c>
      <c r="I189" s="688" t="str">
        <f>'17-18P'!I8</f>
        <v>-</v>
      </c>
      <c r="J189" s="688">
        <f>'17-18P'!J8</f>
        <v>1</v>
      </c>
      <c r="K189" s="688" t="str">
        <f>'17-18P'!K8</f>
        <v>-</v>
      </c>
      <c r="L189" s="688" t="str">
        <f>'17-18P'!L8</f>
        <v>-</v>
      </c>
      <c r="M189" s="688" t="str">
        <f>'17-18P'!N8</f>
        <v>-</v>
      </c>
      <c r="N189" s="688" t="str">
        <f>'17-18P'!O8</f>
        <v>-</v>
      </c>
      <c r="O189" s="688" t="str">
        <f>'17-18P'!P8</f>
        <v>-</v>
      </c>
      <c r="P189" s="688" t="str">
        <f>'17-18P'!Q8</f>
        <v>-</v>
      </c>
      <c r="Q189" s="688" t="str">
        <f>'17-18P'!R8</f>
        <v>-</v>
      </c>
    </row>
    <row r="190" spans="1:17" ht="15" customHeight="1" x14ac:dyDescent="0.3">
      <c r="A190" t="s">
        <v>1635</v>
      </c>
      <c r="B190" s="475" t="s">
        <v>950</v>
      </c>
      <c r="C190" s="478" t="str">
        <f>'17-18P'!C9</f>
        <v>Miika Oja-Nisula</v>
      </c>
      <c r="D190" s="687">
        <f>'17-18P'!D9</f>
        <v>17</v>
      </c>
      <c r="E190" s="687">
        <f>'17-18P'!E9</f>
        <v>0</v>
      </c>
      <c r="F190" s="687">
        <f>'17-18P'!F9</f>
        <v>1</v>
      </c>
      <c r="G190" s="687">
        <f>'17-18P'!G9</f>
        <v>1</v>
      </c>
      <c r="H190" s="687">
        <f>'17-18P'!H9</f>
        <v>0</v>
      </c>
      <c r="I190" s="687" t="str">
        <f>'17-18P'!I9</f>
        <v>-</v>
      </c>
      <c r="J190" s="687" t="str">
        <f>'17-18P'!J9</f>
        <v>-</v>
      </c>
      <c r="K190" s="687" t="str">
        <f>'17-18P'!K9</f>
        <v>-</v>
      </c>
      <c r="L190" s="687" t="str">
        <f>'17-18P'!L9</f>
        <v>-</v>
      </c>
      <c r="M190" s="687" t="str">
        <f>'17-18P'!N9</f>
        <v>-</v>
      </c>
      <c r="N190" s="687" t="str">
        <f>'17-18P'!O9</f>
        <v>-</v>
      </c>
      <c r="O190" s="687" t="str">
        <f>'17-18P'!P9</f>
        <v>-</v>
      </c>
      <c r="P190" s="687" t="str">
        <f>'17-18P'!Q9</f>
        <v>-</v>
      </c>
      <c r="Q190" s="687" t="str">
        <f>'17-18P'!R9</f>
        <v>-</v>
      </c>
    </row>
    <row r="191" spans="1:17" ht="15" customHeight="1" x14ac:dyDescent="0.3">
      <c r="A191" t="s">
        <v>1635</v>
      </c>
      <c r="B191" s="475" t="s">
        <v>950</v>
      </c>
      <c r="C191" s="479" t="str">
        <f>'17-18P'!C10</f>
        <v>Mika Aaltonen</v>
      </c>
      <c r="D191" s="688">
        <f>'17-18P'!D10</f>
        <v>17</v>
      </c>
      <c r="E191" s="688">
        <f>'17-18P'!E10</f>
        <v>12</v>
      </c>
      <c r="F191" s="688">
        <f>'17-18P'!F10</f>
        <v>8</v>
      </c>
      <c r="G191" s="688">
        <f>'17-18P'!G10</f>
        <v>20</v>
      </c>
      <c r="H191" s="688">
        <f>'17-18P'!H10</f>
        <v>1</v>
      </c>
      <c r="I191" s="688">
        <f>'17-18P'!I10</f>
        <v>2</v>
      </c>
      <c r="J191" s="688" t="str">
        <f>'17-18P'!J10</f>
        <v>-</v>
      </c>
      <c r="K191" s="688" t="str">
        <f>'17-18P'!K10</f>
        <v>-</v>
      </c>
      <c r="L191" s="688" t="str">
        <f>'17-18P'!L10</f>
        <v>-</v>
      </c>
      <c r="M191" s="688" t="str">
        <f>'17-18P'!N10</f>
        <v>-</v>
      </c>
      <c r="N191" s="688" t="str">
        <f>'17-18P'!O10</f>
        <v>-</v>
      </c>
      <c r="O191" s="688" t="str">
        <f>'17-18P'!P10</f>
        <v>-</v>
      </c>
      <c r="P191" s="688">
        <f>'17-18P'!Q10</f>
        <v>1</v>
      </c>
      <c r="Q191" s="688" t="str">
        <f>'17-18P'!R10</f>
        <v>-</v>
      </c>
    </row>
    <row r="192" spans="1:17" ht="15" customHeight="1" x14ac:dyDescent="0.3">
      <c r="A192" t="s">
        <v>1635</v>
      </c>
      <c r="B192" s="475" t="s">
        <v>950</v>
      </c>
      <c r="C192" s="478" t="str">
        <f>'17-18P'!C11</f>
        <v>Jarno Peltola</v>
      </c>
      <c r="D192" s="687">
        <f>'17-18P'!D11</f>
        <v>17</v>
      </c>
      <c r="E192" s="687">
        <f>'17-18P'!E11</f>
        <v>4</v>
      </c>
      <c r="F192" s="687">
        <f>'17-18P'!F11</f>
        <v>4</v>
      </c>
      <c r="G192" s="687">
        <f>'17-18P'!G11</f>
        <v>8</v>
      </c>
      <c r="H192" s="687">
        <f>'17-18P'!H11</f>
        <v>4</v>
      </c>
      <c r="I192" s="687" t="str">
        <f>'17-18P'!I11</f>
        <v>-</v>
      </c>
      <c r="J192" s="687" t="str">
        <f>'17-18P'!J11</f>
        <v>-</v>
      </c>
      <c r="K192" s="687" t="str">
        <f>'17-18P'!K11</f>
        <v>-</v>
      </c>
      <c r="L192" s="687" t="str">
        <f>'17-18P'!L11</f>
        <v>-</v>
      </c>
      <c r="M192" s="687" t="str">
        <f>'17-18P'!N11</f>
        <v>-</v>
      </c>
      <c r="N192" s="687" t="str">
        <f>'17-18P'!O11</f>
        <v>-</v>
      </c>
      <c r="O192" s="687" t="str">
        <f>'17-18P'!P11</f>
        <v>-</v>
      </c>
      <c r="P192" s="687" t="str">
        <f>'17-18P'!Q11</f>
        <v>-</v>
      </c>
      <c r="Q192" s="687" t="str">
        <f>'17-18P'!R11</f>
        <v>-</v>
      </c>
    </row>
    <row r="193" spans="1:17" ht="15" customHeight="1" x14ac:dyDescent="0.3">
      <c r="A193" t="s">
        <v>1635</v>
      </c>
      <c r="B193" s="475" t="s">
        <v>950</v>
      </c>
      <c r="C193" s="479" t="str">
        <f>'17-18P'!C12</f>
        <v>Ville Mettälä</v>
      </c>
      <c r="D193" s="688">
        <f>'17-18P'!D12</f>
        <v>17</v>
      </c>
      <c r="E193" s="688">
        <f>'17-18P'!E12</f>
        <v>0</v>
      </c>
      <c r="F193" s="688">
        <f>'17-18P'!F12</f>
        <v>0</v>
      </c>
      <c r="G193" s="688">
        <f>'17-18P'!G12</f>
        <v>0</v>
      </c>
      <c r="H193" s="688">
        <f>'17-18P'!H12</f>
        <v>0</v>
      </c>
      <c r="I193" s="688" t="str">
        <f>'17-18P'!I12</f>
        <v>-</v>
      </c>
      <c r="J193" s="688" t="str">
        <f>'17-18P'!J12</f>
        <v>-</v>
      </c>
      <c r="K193" s="688" t="str">
        <f>'17-18P'!K12</f>
        <v>-</v>
      </c>
      <c r="L193" s="688" t="str">
        <f>'17-18P'!L12</f>
        <v>-</v>
      </c>
      <c r="M193" s="688" t="str">
        <f>'17-18P'!N12</f>
        <v>-</v>
      </c>
      <c r="N193" s="688" t="str">
        <f>'17-18P'!O12</f>
        <v>-</v>
      </c>
      <c r="O193" s="688" t="str">
        <f>'17-18P'!P12</f>
        <v>-</v>
      </c>
      <c r="P193" s="688" t="str">
        <f>'17-18P'!Q12</f>
        <v>-</v>
      </c>
      <c r="Q193" s="688" t="str">
        <f>'17-18P'!R12</f>
        <v>-</v>
      </c>
    </row>
    <row r="194" spans="1:17" ht="15" customHeight="1" x14ac:dyDescent="0.3">
      <c r="A194" t="s">
        <v>1635</v>
      </c>
      <c r="B194" s="475" t="s">
        <v>950</v>
      </c>
      <c r="C194" s="478" t="str">
        <f>'17-18P'!C13</f>
        <v>Tuukka Mettälä</v>
      </c>
      <c r="D194" s="687">
        <f>'17-18P'!D13</f>
        <v>17</v>
      </c>
      <c r="E194" s="687">
        <f>'17-18P'!E13</f>
        <v>0</v>
      </c>
      <c r="F194" s="687">
        <f>'17-18P'!F13</f>
        <v>8</v>
      </c>
      <c r="G194" s="687">
        <f>'17-18P'!G13</f>
        <v>8</v>
      </c>
      <c r="H194" s="687">
        <f>'17-18P'!H13</f>
        <v>1</v>
      </c>
      <c r="I194" s="687" t="str">
        <f>'17-18P'!I13</f>
        <v>-</v>
      </c>
      <c r="J194" s="687" t="str">
        <f>'17-18P'!J13</f>
        <v>-</v>
      </c>
      <c r="K194" s="687" t="str">
        <f>'17-18P'!K13</f>
        <v>-</v>
      </c>
      <c r="L194" s="687" t="str">
        <f>'17-18P'!L13</f>
        <v>-</v>
      </c>
      <c r="M194" s="687" t="str">
        <f>'17-18P'!N13</f>
        <v>-</v>
      </c>
      <c r="N194" s="687" t="str">
        <f>'17-18P'!O13</f>
        <v>-</v>
      </c>
      <c r="O194" s="687" t="str">
        <f>'17-18P'!P13</f>
        <v>-</v>
      </c>
      <c r="P194" s="687" t="str">
        <f>'17-18P'!Q13</f>
        <v>-</v>
      </c>
      <c r="Q194" s="687" t="str">
        <f>'17-18P'!R13</f>
        <v>-</v>
      </c>
    </row>
    <row r="195" spans="1:17" ht="15" customHeight="1" x14ac:dyDescent="0.3">
      <c r="A195" t="s">
        <v>1635</v>
      </c>
      <c r="B195" s="475" t="s">
        <v>950</v>
      </c>
      <c r="C195" s="479" t="str">
        <f>'17-18P'!C14</f>
        <v>Henrik Lehtonen</v>
      </c>
      <c r="D195" s="688">
        <f>'17-18P'!D14</f>
        <v>17</v>
      </c>
      <c r="E195" s="688">
        <f>'17-18P'!E14</f>
        <v>2</v>
      </c>
      <c r="F195" s="688">
        <f>'17-18P'!F14</f>
        <v>2</v>
      </c>
      <c r="G195" s="688">
        <f>'17-18P'!G14</f>
        <v>4</v>
      </c>
      <c r="H195" s="688">
        <f>'17-18P'!H14</f>
        <v>1</v>
      </c>
      <c r="I195" s="688" t="str">
        <f>'17-18P'!I14</f>
        <v>-</v>
      </c>
      <c r="J195" s="688" t="str">
        <f>'17-18P'!J14</f>
        <v>-</v>
      </c>
      <c r="K195" s="688" t="str">
        <f>'17-18P'!K14</f>
        <v>-</v>
      </c>
      <c r="L195" s="688" t="str">
        <f>'17-18P'!L14</f>
        <v>-</v>
      </c>
      <c r="M195" s="688" t="str">
        <f>'17-18P'!N14</f>
        <v>-</v>
      </c>
      <c r="N195" s="688" t="str">
        <f>'17-18P'!O14</f>
        <v>-</v>
      </c>
      <c r="O195" s="688" t="str">
        <f>'17-18P'!P14</f>
        <v>-</v>
      </c>
      <c r="P195" s="688" t="str">
        <f>'17-18P'!Q14</f>
        <v>-</v>
      </c>
      <c r="Q195" s="688" t="str">
        <f>'17-18P'!R14</f>
        <v>-</v>
      </c>
    </row>
    <row r="196" spans="1:17" ht="15" customHeight="1" x14ac:dyDescent="0.3">
      <c r="A196" t="s">
        <v>1635</v>
      </c>
      <c r="B196" s="475" t="s">
        <v>950</v>
      </c>
      <c r="C196" s="478" t="str">
        <f>'17-18P'!C15</f>
        <v>Sami Pöllänen</v>
      </c>
      <c r="D196" s="687">
        <f>'17-18P'!D15</f>
        <v>17</v>
      </c>
      <c r="E196" s="687">
        <f>'17-18P'!E15</f>
        <v>7</v>
      </c>
      <c r="F196" s="687">
        <f>'17-18P'!F15</f>
        <v>5</v>
      </c>
      <c r="G196" s="687">
        <f>'17-18P'!G15</f>
        <v>12</v>
      </c>
      <c r="H196" s="687">
        <f>'17-18P'!H15</f>
        <v>1</v>
      </c>
      <c r="I196" s="687">
        <f>'17-18P'!I15</f>
        <v>1</v>
      </c>
      <c r="J196" s="687">
        <f>'17-18P'!J15</f>
        <v>1</v>
      </c>
      <c r="K196" s="687" t="str">
        <f>'17-18P'!K15</f>
        <v>-</v>
      </c>
      <c r="L196" s="687" t="str">
        <f>'17-18P'!L15</f>
        <v>-</v>
      </c>
      <c r="M196" s="687" t="str">
        <f>'17-18P'!N15</f>
        <v>-</v>
      </c>
      <c r="N196" s="687" t="str">
        <f>'17-18P'!O15</f>
        <v>-</v>
      </c>
      <c r="O196" s="687" t="str">
        <f>'17-18P'!P15</f>
        <v>-</v>
      </c>
      <c r="P196" s="687" t="str">
        <f>'17-18P'!Q15</f>
        <v>-</v>
      </c>
      <c r="Q196" s="687" t="str">
        <f>'17-18P'!R15</f>
        <v>-</v>
      </c>
    </row>
    <row r="197" spans="1:17" ht="15" customHeight="1" x14ac:dyDescent="0.3">
      <c r="A197" t="s">
        <v>1635</v>
      </c>
      <c r="B197" s="475" t="s">
        <v>950</v>
      </c>
      <c r="C197" s="479" t="str">
        <f>'17-18P'!C16</f>
        <v>Atte Nieminen</v>
      </c>
      <c r="D197" s="688">
        <f>'17-18P'!D16</f>
        <v>17</v>
      </c>
      <c r="E197" s="688">
        <f>'17-18P'!E16</f>
        <v>1</v>
      </c>
      <c r="F197" s="688">
        <f>'17-18P'!F16</f>
        <v>0</v>
      </c>
      <c r="G197" s="688">
        <f>'17-18P'!G16</f>
        <v>1</v>
      </c>
      <c r="H197" s="688">
        <f>'17-18P'!H16</f>
        <v>0</v>
      </c>
      <c r="I197" s="688" t="str">
        <f>'17-18P'!I16</f>
        <v>-</v>
      </c>
      <c r="J197" s="688" t="str">
        <f>'17-18P'!J16</f>
        <v>-</v>
      </c>
      <c r="K197" s="688" t="str">
        <f>'17-18P'!K16</f>
        <v>-</v>
      </c>
      <c r="L197" s="688" t="str">
        <f>'17-18P'!L16</f>
        <v>-</v>
      </c>
      <c r="M197" s="688" t="str">
        <f>'17-18P'!N16</f>
        <v>-</v>
      </c>
      <c r="N197" s="688" t="str">
        <f>'17-18P'!O16</f>
        <v>-</v>
      </c>
      <c r="O197" s="688" t="str">
        <f>'17-18P'!P16</f>
        <v>-</v>
      </c>
      <c r="P197" s="688" t="str">
        <f>'17-18P'!Q16</f>
        <v>-</v>
      </c>
      <c r="Q197" s="688" t="str">
        <f>'17-18P'!R16</f>
        <v>-</v>
      </c>
    </row>
    <row r="198" spans="1:17" ht="15" customHeight="1" x14ac:dyDescent="0.3">
      <c r="A198" t="s">
        <v>1635</v>
      </c>
      <c r="B198" s="475" t="s">
        <v>950</v>
      </c>
      <c r="C198" s="478" t="str">
        <f>'17-18P'!C17</f>
        <v>Kaj Engblom</v>
      </c>
      <c r="D198" s="687">
        <f>'17-18P'!D17</f>
        <v>17</v>
      </c>
      <c r="E198" s="687">
        <f>'17-18P'!E17</f>
        <v>7</v>
      </c>
      <c r="F198" s="687">
        <f>'17-18P'!F17</f>
        <v>9</v>
      </c>
      <c r="G198" s="687">
        <f>'17-18P'!G17</f>
        <v>16</v>
      </c>
      <c r="H198" s="687">
        <f>'17-18P'!H17</f>
        <v>2</v>
      </c>
      <c r="I198" s="687" t="str">
        <f>'17-18P'!I17</f>
        <v>-</v>
      </c>
      <c r="J198" s="687">
        <f>'17-18P'!J17</f>
        <v>1</v>
      </c>
      <c r="K198" s="687" t="str">
        <f>'17-18P'!K17</f>
        <v>-</v>
      </c>
      <c r="L198" s="687" t="str">
        <f>'17-18P'!L17</f>
        <v>-</v>
      </c>
      <c r="M198" s="687" t="str">
        <f>'17-18P'!N17</f>
        <v>-</v>
      </c>
      <c r="N198" s="687" t="str">
        <f>'17-18P'!O17</f>
        <v>-</v>
      </c>
      <c r="O198" s="687" t="str">
        <f>'17-18P'!P17</f>
        <v>-</v>
      </c>
      <c r="P198" s="687" t="str">
        <f>'17-18P'!Q17</f>
        <v>-</v>
      </c>
      <c r="Q198" s="687" t="str">
        <f>'17-18P'!R17</f>
        <v>-</v>
      </c>
    </row>
    <row r="199" spans="1:17" ht="15" customHeight="1" x14ac:dyDescent="0.3">
      <c r="A199" t="s">
        <v>1635</v>
      </c>
      <c r="B199" s="475" t="s">
        <v>950</v>
      </c>
      <c r="C199" s="478" t="str">
        <f>'17-18P'!C19</f>
        <v>Jesse Höykinpuro</v>
      </c>
      <c r="D199" s="687">
        <f>'17-18P'!D19</f>
        <v>17</v>
      </c>
      <c r="E199" s="687">
        <f>'17-18P'!E19</f>
        <v>7</v>
      </c>
      <c r="F199" s="687">
        <f>'17-18P'!F19</f>
        <v>3</v>
      </c>
      <c r="G199" s="687">
        <f>'17-18P'!G19</f>
        <v>10</v>
      </c>
      <c r="H199" s="687">
        <f>'17-18P'!H19</f>
        <v>1</v>
      </c>
      <c r="I199" s="687">
        <f>'17-18P'!I19</f>
        <v>2</v>
      </c>
      <c r="J199" s="687">
        <f>'17-18P'!J19</f>
        <v>1</v>
      </c>
      <c r="K199" s="687" t="str">
        <f>'17-18P'!K19</f>
        <v>-</v>
      </c>
      <c r="L199" s="687" t="str">
        <f>'17-18P'!L19</f>
        <v>-</v>
      </c>
      <c r="M199" s="687" t="str">
        <f>'17-18P'!N19</f>
        <v>-</v>
      </c>
      <c r="N199" s="687" t="str">
        <f>'17-18P'!O19</f>
        <v>-</v>
      </c>
      <c r="O199" s="687" t="str">
        <f>'17-18P'!P19</f>
        <v>-</v>
      </c>
      <c r="P199" s="687" t="str">
        <f>'17-18P'!Q19</f>
        <v>-</v>
      </c>
      <c r="Q199" s="687">
        <f>'17-18P'!R19</f>
        <v>1</v>
      </c>
    </row>
    <row r="200" spans="1:17" ht="15" customHeight="1" x14ac:dyDescent="0.3">
      <c r="A200" t="s">
        <v>1635</v>
      </c>
      <c r="B200" s="475" t="s">
        <v>950</v>
      </c>
      <c r="C200" s="479" t="str">
        <f>'17-18P'!C20</f>
        <v>Robin Mattila</v>
      </c>
      <c r="D200" s="688">
        <f>'17-18P'!D20</f>
        <v>17</v>
      </c>
      <c r="E200" s="688">
        <f>'17-18P'!E20</f>
        <v>5</v>
      </c>
      <c r="F200" s="688">
        <f>'17-18P'!F20</f>
        <v>4</v>
      </c>
      <c r="G200" s="688">
        <f>'17-18P'!G20</f>
        <v>9</v>
      </c>
      <c r="H200" s="688">
        <f>'17-18P'!H20</f>
        <v>0</v>
      </c>
      <c r="I200" s="688" t="str">
        <f>'17-18P'!I20</f>
        <v>-</v>
      </c>
      <c r="J200" s="688" t="str">
        <f>'17-18P'!J20</f>
        <v>-</v>
      </c>
      <c r="K200" s="688" t="str">
        <f>'17-18P'!K20</f>
        <v>-</v>
      </c>
      <c r="L200" s="688" t="str">
        <f>'17-18P'!L20</f>
        <v>-</v>
      </c>
      <c r="M200" s="688" t="str">
        <f>'17-18P'!N20</f>
        <v>-</v>
      </c>
      <c r="N200" s="688" t="str">
        <f>'17-18P'!O20</f>
        <v>-</v>
      </c>
      <c r="O200" s="688" t="str">
        <f>'17-18P'!P20</f>
        <v>-</v>
      </c>
      <c r="P200" s="688" t="str">
        <f>'17-18P'!Q20</f>
        <v>-</v>
      </c>
      <c r="Q200" s="688" t="str">
        <f>'17-18P'!R20</f>
        <v>-</v>
      </c>
    </row>
    <row r="201" spans="1:17" ht="15" customHeight="1" x14ac:dyDescent="0.3">
      <c r="A201" t="s">
        <v>1635</v>
      </c>
      <c r="B201" s="475" t="s">
        <v>950</v>
      </c>
      <c r="C201" s="478" t="str">
        <f>'17-18P'!C21</f>
        <v>Lassi Liukkonen</v>
      </c>
      <c r="D201" s="687">
        <f>'17-18P'!D21</f>
        <v>17</v>
      </c>
      <c r="E201" s="687">
        <f>'17-18P'!E21</f>
        <v>0</v>
      </c>
      <c r="F201" s="687">
        <f>'17-18P'!F21</f>
        <v>0</v>
      </c>
      <c r="G201" s="687">
        <f>'17-18P'!G21</f>
        <v>0</v>
      </c>
      <c r="H201" s="687">
        <f>'17-18P'!H21</f>
        <v>0</v>
      </c>
      <c r="I201" s="687" t="str">
        <f>'17-18P'!I21</f>
        <v>-</v>
      </c>
      <c r="J201" s="687" t="str">
        <f>'17-18P'!J21</f>
        <v>-</v>
      </c>
      <c r="K201" s="687" t="str">
        <f>'17-18P'!K21</f>
        <v>-</v>
      </c>
      <c r="L201" s="687" t="str">
        <f>'17-18P'!L21</f>
        <v>-</v>
      </c>
      <c r="M201" s="687" t="str">
        <f>'17-18P'!N21</f>
        <v>-</v>
      </c>
      <c r="N201" s="687" t="str">
        <f>'17-18P'!O21</f>
        <v>-</v>
      </c>
      <c r="O201" s="687" t="str">
        <f>'17-18P'!P21</f>
        <v>-</v>
      </c>
      <c r="P201" s="687" t="str">
        <f>'17-18P'!Q21</f>
        <v>-</v>
      </c>
      <c r="Q201" s="687" t="str">
        <f>'17-18P'!R21</f>
        <v>-</v>
      </c>
    </row>
    <row r="202" spans="1:17" ht="15" customHeight="1" x14ac:dyDescent="0.3">
      <c r="A202" t="s">
        <v>1513</v>
      </c>
      <c r="B202" s="475" t="s">
        <v>950</v>
      </c>
      <c r="C202" s="478" t="str">
        <f>'16-17P'!C5</f>
        <v>Joni Vainio</v>
      </c>
      <c r="D202" s="687">
        <f>'16-17P'!D5</f>
        <v>16</v>
      </c>
      <c r="E202" s="687">
        <f>'16-17P'!E5</f>
        <v>7</v>
      </c>
      <c r="F202" s="687">
        <f>'16-17P'!F5</f>
        <v>1</v>
      </c>
      <c r="G202" s="687">
        <f>'16-17P'!G5</f>
        <v>8</v>
      </c>
      <c r="H202" s="687">
        <f>'16-17P'!H5</f>
        <v>0</v>
      </c>
      <c r="I202" s="687">
        <f>'16-17P'!I5</f>
        <v>1</v>
      </c>
      <c r="J202" s="687">
        <f>'16-17P'!J5</f>
        <v>1</v>
      </c>
      <c r="K202" s="687" t="str">
        <f>'16-17P'!K5</f>
        <v>-</v>
      </c>
      <c r="L202" s="687" t="str">
        <f>'16-17P'!L5</f>
        <v>-</v>
      </c>
      <c r="M202" s="687" t="str">
        <f>'16-17P'!M5</f>
        <v>-</v>
      </c>
      <c r="N202" s="687" t="str">
        <f>'16-17P'!N5</f>
        <v>-</v>
      </c>
      <c r="O202" s="687" t="str">
        <f>'16-17P'!O5</f>
        <v>-</v>
      </c>
      <c r="P202" s="687" t="str">
        <f>'16-17P'!P5</f>
        <v>-</v>
      </c>
      <c r="Q202" s="687" t="str">
        <f>'16-17P'!Q5</f>
        <v>-</v>
      </c>
    </row>
    <row r="203" spans="1:17" ht="15" customHeight="1" x14ac:dyDescent="0.3">
      <c r="A203" t="s">
        <v>1513</v>
      </c>
      <c r="B203" s="475" t="s">
        <v>950</v>
      </c>
      <c r="C203" s="479" t="str">
        <f>'16-17P'!C6</f>
        <v>Ville Koivisto</v>
      </c>
      <c r="D203" s="688">
        <f>'16-17P'!D6</f>
        <v>16</v>
      </c>
      <c r="E203" s="688">
        <f>'16-17P'!E6</f>
        <v>16</v>
      </c>
      <c r="F203" s="688">
        <f>'16-17P'!F6</f>
        <v>8</v>
      </c>
      <c r="G203" s="688">
        <f>'16-17P'!G6</f>
        <v>24</v>
      </c>
      <c r="H203" s="688">
        <f>'16-17P'!H6</f>
        <v>4</v>
      </c>
      <c r="I203" s="688">
        <f>'16-17P'!I6</f>
        <v>2</v>
      </c>
      <c r="J203" s="688">
        <f>'16-17P'!J6</f>
        <v>1</v>
      </c>
      <c r="K203" s="688" t="str">
        <f>'16-17P'!K6</f>
        <v>-</v>
      </c>
      <c r="L203" s="688" t="str">
        <f>'16-17P'!L6</f>
        <v>-</v>
      </c>
      <c r="M203" s="688" t="str">
        <f>'16-17P'!M6</f>
        <v>-</v>
      </c>
      <c r="N203" s="688" t="str">
        <f>'16-17P'!N6</f>
        <v>-</v>
      </c>
      <c r="O203" s="688" t="str">
        <f>'16-17P'!O6</f>
        <v>-</v>
      </c>
      <c r="P203" s="688">
        <f>'16-17P'!P6</f>
        <v>1</v>
      </c>
      <c r="Q203" s="688" t="str">
        <f>'16-17P'!Q6</f>
        <v>-</v>
      </c>
    </row>
    <row r="204" spans="1:17" ht="15" customHeight="1" x14ac:dyDescent="0.3">
      <c r="A204" t="s">
        <v>1513</v>
      </c>
      <c r="B204" s="475" t="s">
        <v>950</v>
      </c>
      <c r="C204" s="478" t="str">
        <f>'16-17P'!C7</f>
        <v>Matias Mäkilä</v>
      </c>
      <c r="D204" s="687">
        <f>'16-17P'!D7</f>
        <v>16</v>
      </c>
      <c r="E204" s="687">
        <f>'16-17P'!E7</f>
        <v>7</v>
      </c>
      <c r="F204" s="687">
        <f>'16-17P'!F7</f>
        <v>2</v>
      </c>
      <c r="G204" s="687">
        <f>'16-17P'!G7</f>
        <v>9</v>
      </c>
      <c r="H204" s="687">
        <f>'16-17P'!H7</f>
        <v>0</v>
      </c>
      <c r="I204" s="687">
        <f>'16-17P'!I7</f>
        <v>0</v>
      </c>
      <c r="J204" s="687">
        <f>'16-17P'!J7</f>
        <v>0</v>
      </c>
      <c r="K204" s="687" t="str">
        <f>'16-17P'!K7</f>
        <v>-</v>
      </c>
      <c r="L204" s="687" t="str">
        <f>'16-17P'!L7</f>
        <v>-</v>
      </c>
      <c r="M204" s="687" t="str">
        <f>'16-17P'!M7</f>
        <v>-</v>
      </c>
      <c r="N204" s="687" t="str">
        <f>'16-17P'!N7</f>
        <v>-</v>
      </c>
      <c r="O204" s="687" t="str">
        <f>'16-17P'!O7</f>
        <v>-</v>
      </c>
      <c r="P204" s="687">
        <f>'16-17P'!P7</f>
        <v>1</v>
      </c>
      <c r="Q204" s="687">
        <f>'16-17P'!Q7</f>
        <v>1</v>
      </c>
    </row>
    <row r="205" spans="1:17" ht="15" customHeight="1" x14ac:dyDescent="0.3">
      <c r="A205" t="s">
        <v>1513</v>
      </c>
      <c r="B205" s="475" t="s">
        <v>950</v>
      </c>
      <c r="C205" s="479" t="str">
        <f>'16-17P'!C8</f>
        <v>Mauri Kurri</v>
      </c>
      <c r="D205" s="688">
        <f>'16-17P'!D8</f>
        <v>16</v>
      </c>
      <c r="E205" s="688">
        <f>'16-17P'!E8</f>
        <v>2</v>
      </c>
      <c r="F205" s="688">
        <f>'16-17P'!F8</f>
        <v>1</v>
      </c>
      <c r="G205" s="688">
        <f>'16-17P'!G8</f>
        <v>3</v>
      </c>
      <c r="H205" s="688">
        <f>'16-17P'!H8</f>
        <v>1</v>
      </c>
      <c r="I205" s="688">
        <f>'16-17P'!I8</f>
        <v>0</v>
      </c>
      <c r="J205" s="688">
        <f>'16-17P'!J8</f>
        <v>1</v>
      </c>
      <c r="K205" s="688" t="str">
        <f>'16-17P'!K8</f>
        <v>-</v>
      </c>
      <c r="L205" s="688" t="str">
        <f>'16-17P'!L8</f>
        <v>-</v>
      </c>
      <c r="M205" s="688" t="str">
        <f>'16-17P'!M8</f>
        <v>-</v>
      </c>
      <c r="N205" s="688" t="str">
        <f>'16-17P'!N8</f>
        <v>-</v>
      </c>
      <c r="O205" s="688" t="str">
        <f>'16-17P'!O8</f>
        <v>-</v>
      </c>
      <c r="P205" s="688" t="str">
        <f>'16-17P'!P8</f>
        <v>-</v>
      </c>
      <c r="Q205" s="688" t="str">
        <f>'16-17P'!Q8</f>
        <v>-</v>
      </c>
    </row>
    <row r="206" spans="1:17" ht="15" customHeight="1" x14ac:dyDescent="0.3">
      <c r="A206" t="s">
        <v>1513</v>
      </c>
      <c r="B206" s="475" t="s">
        <v>950</v>
      </c>
      <c r="C206" s="478" t="str">
        <f>'16-17P'!C9</f>
        <v>Miika Oja-Nisula</v>
      </c>
      <c r="D206" s="687">
        <f>'16-17P'!D9</f>
        <v>16</v>
      </c>
      <c r="E206" s="687">
        <f>'16-17P'!E9</f>
        <v>8</v>
      </c>
      <c r="F206" s="687">
        <f>'16-17P'!F9</f>
        <v>6</v>
      </c>
      <c r="G206" s="687">
        <f>'16-17P'!G9</f>
        <v>14</v>
      </c>
      <c r="H206" s="687">
        <f>'16-17P'!H9</f>
        <v>2</v>
      </c>
      <c r="I206" s="687">
        <f>'16-17P'!I9</f>
        <v>0</v>
      </c>
      <c r="J206" s="687">
        <f>'16-17P'!J9</f>
        <v>0</v>
      </c>
      <c r="K206" s="687">
        <f>'16-17P'!K9</f>
        <v>1</v>
      </c>
      <c r="L206" s="687" t="str">
        <f>'16-17P'!L9</f>
        <v>-</v>
      </c>
      <c r="M206" s="687" t="str">
        <f>'16-17P'!M9</f>
        <v>-</v>
      </c>
      <c r="N206" s="687" t="str">
        <f>'16-17P'!N9</f>
        <v>-</v>
      </c>
      <c r="O206" s="687" t="str">
        <f>'16-17P'!O9</f>
        <v>-</v>
      </c>
      <c r="P206" s="687" t="str">
        <f>'16-17P'!P9</f>
        <v>-</v>
      </c>
      <c r="Q206" s="687" t="str">
        <f>'16-17P'!Q9</f>
        <v>-</v>
      </c>
    </row>
    <row r="207" spans="1:17" ht="15" customHeight="1" x14ac:dyDescent="0.3">
      <c r="A207" t="s">
        <v>1513</v>
      </c>
      <c r="B207" s="475" t="s">
        <v>950</v>
      </c>
      <c r="C207" s="479" t="str">
        <f>'16-17P'!C10</f>
        <v>Mika Aaltonen</v>
      </c>
      <c r="D207" s="688">
        <f>'16-17P'!D10</f>
        <v>16</v>
      </c>
      <c r="E207" s="688">
        <f>'16-17P'!E10</f>
        <v>9</v>
      </c>
      <c r="F207" s="688">
        <f>'16-17P'!F10</f>
        <v>4</v>
      </c>
      <c r="G207" s="688">
        <f>'16-17P'!G10</f>
        <v>13</v>
      </c>
      <c r="H207" s="688">
        <f>'16-17P'!H10</f>
        <v>1</v>
      </c>
      <c r="I207" s="688">
        <f>'16-17P'!I10</f>
        <v>0</v>
      </c>
      <c r="J207" s="688">
        <f>'16-17P'!J10</f>
        <v>2</v>
      </c>
      <c r="K207" s="688" t="str">
        <f>'16-17P'!K10</f>
        <v>-</v>
      </c>
      <c r="L207" s="688" t="str">
        <f>'16-17P'!L10</f>
        <v>-</v>
      </c>
      <c r="M207" s="688" t="str">
        <f>'16-17P'!M10</f>
        <v>-</v>
      </c>
      <c r="N207" s="688" t="str">
        <f>'16-17P'!N10</f>
        <v>-</v>
      </c>
      <c r="O207" s="688" t="str">
        <f>'16-17P'!O10</f>
        <v>-</v>
      </c>
      <c r="P207" s="688">
        <f>'16-17P'!P10</f>
        <v>1</v>
      </c>
      <c r="Q207" s="688" t="str">
        <f>'16-17P'!Q10</f>
        <v>-</v>
      </c>
    </row>
    <row r="208" spans="1:17" ht="15" customHeight="1" x14ac:dyDescent="0.3">
      <c r="A208" t="s">
        <v>1513</v>
      </c>
      <c r="B208" s="475" t="s">
        <v>950</v>
      </c>
      <c r="C208" s="478" t="str">
        <f>'16-17P'!C11</f>
        <v>Jarno Peltola</v>
      </c>
      <c r="D208" s="687">
        <f>'16-17P'!D11</f>
        <v>16</v>
      </c>
      <c r="E208" s="687">
        <f>'16-17P'!E11</f>
        <v>3</v>
      </c>
      <c r="F208" s="687">
        <f>'16-17P'!F11</f>
        <v>9</v>
      </c>
      <c r="G208" s="687">
        <f>'16-17P'!G11</f>
        <v>12</v>
      </c>
      <c r="H208" s="687">
        <f>'16-17P'!H11</f>
        <v>9</v>
      </c>
      <c r="I208" s="687">
        <f>'16-17P'!I11</f>
        <v>2</v>
      </c>
      <c r="J208" s="687">
        <f>'16-17P'!J11</f>
        <v>0</v>
      </c>
      <c r="K208" s="687" t="str">
        <f>'16-17P'!K11</f>
        <v>-</v>
      </c>
      <c r="L208" s="687" t="str">
        <f>'16-17P'!L11</f>
        <v>-</v>
      </c>
      <c r="M208" s="687" t="str">
        <f>'16-17P'!M11</f>
        <v>-</v>
      </c>
      <c r="N208" s="687" t="str">
        <f>'16-17P'!N11</f>
        <v>-</v>
      </c>
      <c r="O208" s="687" t="str">
        <f>'16-17P'!O11</f>
        <v>-</v>
      </c>
      <c r="P208" s="687" t="str">
        <f>'16-17P'!P11</f>
        <v>-</v>
      </c>
      <c r="Q208" s="687" t="str">
        <f>'16-17P'!Q11</f>
        <v>-</v>
      </c>
    </row>
    <row r="209" spans="1:17" ht="15" customHeight="1" x14ac:dyDescent="0.3">
      <c r="A209" t="s">
        <v>1513</v>
      </c>
      <c r="B209" s="475" t="s">
        <v>950</v>
      </c>
      <c r="C209" s="479" t="str">
        <f>'16-17P'!C12</f>
        <v>Ville Mettälä</v>
      </c>
      <c r="D209" s="688">
        <f>'16-17P'!D12</f>
        <v>16</v>
      </c>
      <c r="E209" s="688">
        <f>'16-17P'!E12</f>
        <v>3</v>
      </c>
      <c r="F209" s="688">
        <f>'16-17P'!F12</f>
        <v>2</v>
      </c>
      <c r="G209" s="688">
        <f>'16-17P'!G12</f>
        <v>5</v>
      </c>
      <c r="H209" s="688">
        <f>'16-17P'!H12</f>
        <v>0</v>
      </c>
      <c r="I209" s="688">
        <f>'16-17P'!I12</f>
        <v>0</v>
      </c>
      <c r="J209" s="688">
        <f>'16-17P'!J12</f>
        <v>0</v>
      </c>
      <c r="K209" s="688" t="str">
        <f>'16-17P'!K12</f>
        <v>-</v>
      </c>
      <c r="L209" s="688" t="str">
        <f>'16-17P'!L12</f>
        <v>-</v>
      </c>
      <c r="M209" s="688" t="str">
        <f>'16-17P'!M12</f>
        <v>-</v>
      </c>
      <c r="N209" s="688" t="str">
        <f>'16-17P'!N12</f>
        <v>-</v>
      </c>
      <c r="O209" s="688" t="str">
        <f>'16-17P'!O12</f>
        <v>-</v>
      </c>
      <c r="P209" s="688" t="str">
        <f>'16-17P'!P12</f>
        <v>-</v>
      </c>
      <c r="Q209" s="688" t="str">
        <f>'16-17P'!Q12</f>
        <v>-</v>
      </c>
    </row>
    <row r="210" spans="1:17" ht="15" customHeight="1" x14ac:dyDescent="0.3">
      <c r="A210" t="s">
        <v>1513</v>
      </c>
      <c r="B210" s="475" t="s">
        <v>950</v>
      </c>
      <c r="C210" s="478" t="str">
        <f>'16-17P'!C13</f>
        <v>Tuukka Mettälä</v>
      </c>
      <c r="D210" s="687">
        <f>'16-17P'!D13</f>
        <v>16</v>
      </c>
      <c r="E210" s="687">
        <f>'16-17P'!E13</f>
        <v>0</v>
      </c>
      <c r="F210" s="687">
        <f>'16-17P'!F13</f>
        <v>5</v>
      </c>
      <c r="G210" s="687">
        <f>'16-17P'!G13</f>
        <v>5</v>
      </c>
      <c r="H210" s="687">
        <f>'16-17P'!H13</f>
        <v>2</v>
      </c>
      <c r="I210" s="687">
        <f>'16-17P'!I13</f>
        <v>0</v>
      </c>
      <c r="J210" s="687">
        <f>'16-17P'!J13</f>
        <v>0</v>
      </c>
      <c r="K210" s="687" t="str">
        <f>'16-17P'!K13</f>
        <v>-</v>
      </c>
      <c r="L210" s="687" t="str">
        <f>'16-17P'!L13</f>
        <v>-</v>
      </c>
      <c r="M210" s="687" t="str">
        <f>'16-17P'!M13</f>
        <v>-</v>
      </c>
      <c r="N210" s="687" t="str">
        <f>'16-17P'!N13</f>
        <v>-</v>
      </c>
      <c r="O210" s="687" t="str">
        <f>'16-17P'!O13</f>
        <v>-</v>
      </c>
      <c r="P210" s="687" t="str">
        <f>'16-17P'!P13</f>
        <v>-</v>
      </c>
      <c r="Q210" s="687" t="str">
        <f>'16-17P'!Q13</f>
        <v>-</v>
      </c>
    </row>
    <row r="211" spans="1:17" ht="15" customHeight="1" x14ac:dyDescent="0.3">
      <c r="A211" t="s">
        <v>1513</v>
      </c>
      <c r="B211" s="475" t="s">
        <v>950</v>
      </c>
      <c r="C211" s="479" t="str">
        <f>'16-17P'!C14</f>
        <v>Henrik Lehtonen</v>
      </c>
      <c r="D211" s="688">
        <f>'16-17P'!D14</f>
        <v>16</v>
      </c>
      <c r="E211" s="688">
        <f>'16-17P'!E14</f>
        <v>2</v>
      </c>
      <c r="F211" s="688">
        <f>'16-17P'!F14</f>
        <v>2</v>
      </c>
      <c r="G211" s="688">
        <f>'16-17P'!G14</f>
        <v>4</v>
      </c>
      <c r="H211" s="688">
        <f>'16-17P'!H14</f>
        <v>0</v>
      </c>
      <c r="I211" s="688">
        <f>'16-17P'!I14</f>
        <v>0</v>
      </c>
      <c r="J211" s="688">
        <f>'16-17P'!J14</f>
        <v>0</v>
      </c>
      <c r="K211" s="688" t="str">
        <f>'16-17P'!K14</f>
        <v>-</v>
      </c>
      <c r="L211" s="688" t="str">
        <f>'16-17P'!L14</f>
        <v>-</v>
      </c>
      <c r="M211" s="688" t="str">
        <f>'16-17P'!M14</f>
        <v>-</v>
      </c>
      <c r="N211" s="688" t="str">
        <f>'16-17P'!N14</f>
        <v>-</v>
      </c>
      <c r="O211" s="688" t="str">
        <f>'16-17P'!O14</f>
        <v>-</v>
      </c>
      <c r="P211" s="688" t="str">
        <f>'16-17P'!P14</f>
        <v>-</v>
      </c>
      <c r="Q211" s="688" t="str">
        <f>'16-17P'!Q14</f>
        <v>-</v>
      </c>
    </row>
    <row r="212" spans="1:17" ht="15" customHeight="1" x14ac:dyDescent="0.3">
      <c r="A212" t="s">
        <v>1513</v>
      </c>
      <c r="B212" s="475" t="s">
        <v>950</v>
      </c>
      <c r="C212" s="478" t="str">
        <f>'16-17P'!C15</f>
        <v>Sami Pöllänen</v>
      </c>
      <c r="D212" s="687">
        <f>'16-17P'!D15</f>
        <v>16</v>
      </c>
      <c r="E212" s="687">
        <f>'16-17P'!E15</f>
        <v>2</v>
      </c>
      <c r="F212" s="687">
        <f>'16-17P'!F15</f>
        <v>7</v>
      </c>
      <c r="G212" s="687">
        <f>'16-17P'!G15</f>
        <v>9</v>
      </c>
      <c r="H212" s="687">
        <f>'16-17P'!H15</f>
        <v>3</v>
      </c>
      <c r="I212" s="687">
        <f>'16-17P'!I15</f>
        <v>0</v>
      </c>
      <c r="J212" s="687">
        <f>'16-17P'!J15</f>
        <v>1</v>
      </c>
      <c r="K212" s="687" t="str">
        <f>'16-17P'!K15</f>
        <v>-</v>
      </c>
      <c r="L212" s="687" t="str">
        <f>'16-17P'!L15</f>
        <v>-</v>
      </c>
      <c r="M212" s="687" t="str">
        <f>'16-17P'!M15</f>
        <v>-</v>
      </c>
      <c r="N212" s="687" t="str">
        <f>'16-17P'!N15</f>
        <v>-</v>
      </c>
      <c r="O212" s="687" t="str">
        <f>'16-17P'!O15</f>
        <v>-</v>
      </c>
      <c r="P212" s="687" t="str">
        <f>'16-17P'!P15</f>
        <v>-</v>
      </c>
      <c r="Q212" s="687" t="str">
        <f>'16-17P'!Q15</f>
        <v>-</v>
      </c>
    </row>
    <row r="213" spans="1:17" ht="15" customHeight="1" x14ac:dyDescent="0.3">
      <c r="A213" t="s">
        <v>1513</v>
      </c>
      <c r="B213" s="475" t="s">
        <v>950</v>
      </c>
      <c r="C213" s="479" t="str">
        <f>'16-17P'!C16</f>
        <v>Atte Nieminen</v>
      </c>
      <c r="D213" s="688">
        <f>'16-17P'!D16</f>
        <v>16</v>
      </c>
      <c r="E213" s="688">
        <f>'16-17P'!E16</f>
        <v>2</v>
      </c>
      <c r="F213" s="688">
        <f>'16-17P'!F16</f>
        <v>1</v>
      </c>
      <c r="G213" s="688">
        <f>'16-17P'!G16</f>
        <v>3</v>
      </c>
      <c r="H213" s="688">
        <f>'16-17P'!H16</f>
        <v>2</v>
      </c>
      <c r="I213" s="688">
        <f>'16-17P'!I16</f>
        <v>1</v>
      </c>
      <c r="J213" s="688">
        <f>'16-17P'!J16</f>
        <v>0</v>
      </c>
      <c r="K213" s="688" t="str">
        <f>'16-17P'!K16</f>
        <v>-</v>
      </c>
      <c r="L213" s="688" t="str">
        <f>'16-17P'!L16</f>
        <v>-</v>
      </c>
      <c r="M213" s="688" t="str">
        <f>'16-17P'!M16</f>
        <v>-</v>
      </c>
      <c r="N213" s="688" t="str">
        <f>'16-17P'!N16</f>
        <v>-</v>
      </c>
      <c r="O213" s="688" t="str">
        <f>'16-17P'!O16</f>
        <v>-</v>
      </c>
      <c r="P213" s="688" t="str">
        <f>'16-17P'!P16</f>
        <v>-</v>
      </c>
      <c r="Q213" s="688" t="str">
        <f>'16-17P'!Q16</f>
        <v>-</v>
      </c>
    </row>
    <row r="214" spans="1:17" ht="15" customHeight="1" x14ac:dyDescent="0.3">
      <c r="A214" t="s">
        <v>1513</v>
      </c>
      <c r="B214" s="475" t="s">
        <v>950</v>
      </c>
      <c r="C214" s="478" t="str">
        <f>'16-17P'!C17</f>
        <v>Kaj Engblom</v>
      </c>
      <c r="D214" s="687">
        <f>'16-17P'!D17</f>
        <v>16</v>
      </c>
      <c r="E214" s="687">
        <f>'16-17P'!E17</f>
        <v>4</v>
      </c>
      <c r="F214" s="687">
        <f>'16-17P'!F17</f>
        <v>9</v>
      </c>
      <c r="G214" s="687">
        <f>'16-17P'!G17</f>
        <v>13</v>
      </c>
      <c r="H214" s="687">
        <f>'16-17P'!H17</f>
        <v>3</v>
      </c>
      <c r="I214" s="687">
        <f>'16-17P'!I17</f>
        <v>0</v>
      </c>
      <c r="J214" s="687">
        <f>'16-17P'!J17</f>
        <v>0</v>
      </c>
      <c r="K214" s="687" t="str">
        <f>'16-17P'!K17</f>
        <v>-</v>
      </c>
      <c r="L214" s="687" t="str">
        <f>'16-17P'!L17</f>
        <v>-</v>
      </c>
      <c r="M214" s="687" t="str">
        <f>'16-17P'!M17</f>
        <v>-</v>
      </c>
      <c r="N214" s="687" t="str">
        <f>'16-17P'!N17</f>
        <v>-</v>
      </c>
      <c r="O214" s="687" t="str">
        <f>'16-17P'!O17</f>
        <v>-</v>
      </c>
      <c r="P214" s="687" t="str">
        <f>'16-17P'!P17</f>
        <v>-</v>
      </c>
      <c r="Q214" s="687" t="str">
        <f>'16-17P'!Q17</f>
        <v>-</v>
      </c>
    </row>
    <row r="215" spans="1:17" ht="15" customHeight="1" thickBot="1" x14ac:dyDescent="0.35">
      <c r="A215" t="s">
        <v>1513</v>
      </c>
      <c r="B215" s="475" t="s">
        <v>950</v>
      </c>
      <c r="C215" s="478" t="str">
        <f>'16-17P'!C19</f>
        <v>Jesse Höykinpuro</v>
      </c>
      <c r="D215" s="687">
        <f>'16-17P'!D19</f>
        <v>16</v>
      </c>
      <c r="E215" s="687">
        <f>'16-17P'!E19</f>
        <v>3</v>
      </c>
      <c r="F215" s="687">
        <f>'16-17P'!F19</f>
        <v>3</v>
      </c>
      <c r="G215" s="687">
        <f>'16-17P'!G19</f>
        <v>6</v>
      </c>
      <c r="H215" s="687">
        <f>'16-17P'!H19</f>
        <v>6</v>
      </c>
      <c r="I215" s="687">
        <f>'16-17P'!I19</f>
        <v>0</v>
      </c>
      <c r="J215" s="687">
        <f>'16-17P'!J19</f>
        <v>1</v>
      </c>
      <c r="K215" s="687" t="str">
        <f>'16-17P'!K19</f>
        <v>-</v>
      </c>
      <c r="L215" s="687" t="str">
        <f>'16-17P'!L19</f>
        <v>-</v>
      </c>
      <c r="M215" s="687" t="str">
        <f>'16-17P'!M19</f>
        <v>-</v>
      </c>
      <c r="N215" s="687" t="str">
        <f>'16-17P'!N19</f>
        <v>-</v>
      </c>
      <c r="O215" s="687" t="str">
        <f>'16-17P'!O19</f>
        <v>-</v>
      </c>
      <c r="P215" s="687" t="str">
        <f>'16-17P'!P19</f>
        <v>-</v>
      </c>
      <c r="Q215" s="687" t="str">
        <f>'16-17P'!Q19</f>
        <v>-</v>
      </c>
    </row>
    <row r="216" spans="1:17" ht="15" customHeight="1" x14ac:dyDescent="0.3">
      <c r="A216" t="s">
        <v>1490</v>
      </c>
      <c r="B216" s="475" t="s">
        <v>950</v>
      </c>
      <c r="C216" s="478" t="str">
        <f>'15-16P'!C5</f>
        <v>Joni Vainio</v>
      </c>
      <c r="D216" s="374">
        <f>'15-16P'!D5</f>
        <v>20</v>
      </c>
      <c r="E216" s="374">
        <f>'15-16P'!E5</f>
        <v>12</v>
      </c>
      <c r="F216" s="374">
        <f>'15-16P'!F5</f>
        <v>4</v>
      </c>
      <c r="G216" s="374">
        <f>'15-16P'!G5</f>
        <v>16</v>
      </c>
      <c r="H216" s="374">
        <f>'15-16P'!H5</f>
        <v>1</v>
      </c>
      <c r="I216" s="374">
        <f>'15-16P'!I5</f>
        <v>2</v>
      </c>
      <c r="J216" s="374">
        <f>'15-16P'!J5</f>
        <v>0</v>
      </c>
      <c r="K216" s="374" t="str">
        <f>'15-16P'!K5</f>
        <v>-</v>
      </c>
      <c r="L216" s="374"/>
      <c r="M216" s="374">
        <v>1</v>
      </c>
      <c r="N216" s="374" t="str">
        <f>'15-16P'!N5</f>
        <v>-</v>
      </c>
      <c r="O216" s="374" t="str">
        <f>'15-16P'!O5</f>
        <v>-</v>
      </c>
      <c r="P216" s="374">
        <f>'15-16P'!P5</f>
        <v>1</v>
      </c>
      <c r="Q216" s="374" t="str">
        <f>'15-16P'!Q5</f>
        <v>-</v>
      </c>
    </row>
    <row r="217" spans="1:17" ht="15" customHeight="1" x14ac:dyDescent="0.3">
      <c r="A217" t="s">
        <v>1490</v>
      </c>
      <c r="B217" s="475" t="s">
        <v>950</v>
      </c>
      <c r="C217" s="479" t="str">
        <f>'15-16P'!C6</f>
        <v>Ville Koivisto</v>
      </c>
      <c r="D217" s="477">
        <f>'15-16P'!D6</f>
        <v>20</v>
      </c>
      <c r="E217" s="477">
        <f>'15-16P'!E6</f>
        <v>19</v>
      </c>
      <c r="F217" s="477">
        <f>'15-16P'!F6</f>
        <v>12</v>
      </c>
      <c r="G217" s="477">
        <f>'15-16P'!G6</f>
        <v>31</v>
      </c>
      <c r="H217" s="477">
        <f>'15-16P'!H6</f>
        <v>2</v>
      </c>
      <c r="I217" s="477">
        <f>'15-16P'!I6</f>
        <v>0</v>
      </c>
      <c r="J217" s="477">
        <f>'15-16P'!J6</f>
        <v>4</v>
      </c>
      <c r="K217" s="477" t="str">
        <f>'15-16P'!K6</f>
        <v>-</v>
      </c>
      <c r="L217" s="477" t="str">
        <f>'15-16P'!L6</f>
        <v>-</v>
      </c>
      <c r="M217" s="477" t="str">
        <f>'15-16P'!M6</f>
        <v>-</v>
      </c>
      <c r="N217" s="477" t="str">
        <f>'15-16P'!N6</f>
        <v>-</v>
      </c>
      <c r="O217" s="477" t="str">
        <f>'15-16P'!O6</f>
        <v>-</v>
      </c>
      <c r="P217" s="477">
        <f>'15-16P'!P6</f>
        <v>2</v>
      </c>
      <c r="Q217" s="477" t="str">
        <f>'15-16P'!Q6</f>
        <v>-</v>
      </c>
    </row>
    <row r="218" spans="1:17" ht="15" customHeight="1" x14ac:dyDescent="0.3">
      <c r="A218" t="s">
        <v>1490</v>
      </c>
      <c r="B218" s="475" t="s">
        <v>950</v>
      </c>
      <c r="C218" s="478" t="str">
        <f>'15-16P'!C7</f>
        <v>Matias Mäkilä</v>
      </c>
      <c r="D218" s="375">
        <f>'15-16P'!D7</f>
        <v>20</v>
      </c>
      <c r="E218" s="375">
        <f>'15-16P'!E7</f>
        <v>8</v>
      </c>
      <c r="F218" s="375">
        <f>'15-16P'!F7</f>
        <v>2</v>
      </c>
      <c r="G218" s="375">
        <f>'15-16P'!G7</f>
        <v>10</v>
      </c>
      <c r="H218" s="375">
        <f>'15-16P'!H7</f>
        <v>0</v>
      </c>
      <c r="I218" s="375">
        <f>'15-16P'!I7</f>
        <v>0</v>
      </c>
      <c r="J218" s="375">
        <f>'15-16P'!J7</f>
        <v>0</v>
      </c>
      <c r="K218" s="375" t="str">
        <f>'15-16P'!K7</f>
        <v>-</v>
      </c>
      <c r="L218" s="375">
        <v>1</v>
      </c>
      <c r="M218" s="375" t="str">
        <f>'15-16P'!M7</f>
        <v>-</v>
      </c>
      <c r="N218" s="375" t="str">
        <f>'15-16P'!N7</f>
        <v>-</v>
      </c>
      <c r="O218" s="375" t="str">
        <f>'15-16P'!O7</f>
        <v>-</v>
      </c>
      <c r="P218" s="375" t="str">
        <f>'15-16P'!P7</f>
        <v>-</v>
      </c>
      <c r="Q218" s="375" t="str">
        <f>'15-16P'!Q7</f>
        <v>-</v>
      </c>
    </row>
    <row r="219" spans="1:17" ht="15" customHeight="1" x14ac:dyDescent="0.3">
      <c r="A219" t="s">
        <v>1490</v>
      </c>
      <c r="B219" s="475" t="s">
        <v>950</v>
      </c>
      <c r="C219" s="479" t="str">
        <f>'15-16P'!C8</f>
        <v>Mauri Kurri</v>
      </c>
      <c r="D219" s="178">
        <f>'15-16P'!D8</f>
        <v>20</v>
      </c>
      <c r="E219" s="178">
        <f>'15-16P'!E8</f>
        <v>3</v>
      </c>
      <c r="F219" s="178">
        <f>'15-16P'!F8</f>
        <v>1</v>
      </c>
      <c r="G219" s="178">
        <f>'15-16P'!G8</f>
        <v>4</v>
      </c>
      <c r="H219" s="178">
        <f>'15-16P'!H8</f>
        <v>2</v>
      </c>
      <c r="I219" s="178">
        <f>'15-16P'!I8</f>
        <v>1</v>
      </c>
      <c r="J219" s="178">
        <f>'15-16P'!J8</f>
        <v>0</v>
      </c>
      <c r="K219" s="178" t="str">
        <f>'15-16P'!K8</f>
        <v>-</v>
      </c>
      <c r="L219" s="178" t="str">
        <f>'15-16P'!L8</f>
        <v>-</v>
      </c>
      <c r="M219" s="178" t="str">
        <f>'15-16P'!M8</f>
        <v>-</v>
      </c>
      <c r="N219" s="178" t="str">
        <f>'15-16P'!N8</f>
        <v>-</v>
      </c>
      <c r="O219" s="178" t="str">
        <f>'15-16P'!O8</f>
        <v>-</v>
      </c>
      <c r="P219" s="178" t="str">
        <f>'15-16P'!P8</f>
        <v>-</v>
      </c>
      <c r="Q219" s="178" t="str">
        <f>'15-16P'!Q8</f>
        <v>-</v>
      </c>
    </row>
    <row r="220" spans="1:17" ht="15" customHeight="1" x14ac:dyDescent="0.3">
      <c r="A220" t="s">
        <v>1490</v>
      </c>
      <c r="B220" s="475" t="s">
        <v>950</v>
      </c>
      <c r="C220" s="478" t="str">
        <f>'15-16P'!C9</f>
        <v>Miika Oja-Nisula</v>
      </c>
      <c r="D220" s="375">
        <f>'15-16P'!D9</f>
        <v>20</v>
      </c>
      <c r="E220" s="375">
        <f>'15-16P'!E9</f>
        <v>4</v>
      </c>
      <c r="F220" s="375">
        <f>'15-16P'!F9</f>
        <v>4</v>
      </c>
      <c r="G220" s="375">
        <f>'15-16P'!G9</f>
        <v>8</v>
      </c>
      <c r="H220" s="375">
        <f>'15-16P'!H9</f>
        <v>1</v>
      </c>
      <c r="I220" s="375">
        <f>'15-16P'!I9</f>
        <v>0</v>
      </c>
      <c r="J220" s="375">
        <f>'15-16P'!J9</f>
        <v>0</v>
      </c>
      <c r="K220" s="375" t="str">
        <f>'15-16P'!K9</f>
        <v>-</v>
      </c>
      <c r="L220" s="375" t="str">
        <f>'15-16P'!L9</f>
        <v>-</v>
      </c>
      <c r="M220" s="375" t="str">
        <f>'15-16P'!M9</f>
        <v>-</v>
      </c>
      <c r="N220" s="375" t="str">
        <f>'15-16P'!N9</f>
        <v>-</v>
      </c>
      <c r="O220" s="375" t="str">
        <f>'15-16P'!O9</f>
        <v>-</v>
      </c>
      <c r="P220" s="375" t="str">
        <f>'15-16P'!P9</f>
        <v>-</v>
      </c>
      <c r="Q220" s="375" t="str">
        <f>'15-16P'!Q9</f>
        <v>-</v>
      </c>
    </row>
    <row r="221" spans="1:17" ht="15" customHeight="1" x14ac:dyDescent="0.3">
      <c r="A221" t="s">
        <v>1490</v>
      </c>
      <c r="B221" s="475" t="s">
        <v>950</v>
      </c>
      <c r="C221" s="479" t="str">
        <f>'15-16P'!C10</f>
        <v>Mika Aaltonen</v>
      </c>
      <c r="D221" s="178">
        <f>'15-16P'!D10</f>
        <v>20</v>
      </c>
      <c r="E221" s="178">
        <f>'15-16P'!E10</f>
        <v>11</v>
      </c>
      <c r="F221" s="178">
        <f>'15-16P'!F10</f>
        <v>14</v>
      </c>
      <c r="G221" s="178">
        <f>'15-16P'!G10</f>
        <v>25</v>
      </c>
      <c r="H221" s="178">
        <f>'15-16P'!H10</f>
        <v>1</v>
      </c>
      <c r="I221" s="178">
        <f>'15-16P'!I10</f>
        <v>4</v>
      </c>
      <c r="J221" s="178">
        <f>'15-16P'!J10</f>
        <v>1</v>
      </c>
      <c r="K221" s="178" t="str">
        <f>'15-16P'!K10</f>
        <v>-</v>
      </c>
      <c r="L221" s="178" t="str">
        <f>'15-16P'!L10</f>
        <v>-</v>
      </c>
      <c r="M221" s="178" t="str">
        <f>'15-16P'!M10</f>
        <v>-</v>
      </c>
      <c r="N221" s="178" t="str">
        <f>'15-16P'!N10</f>
        <v>-</v>
      </c>
      <c r="O221" s="178" t="str">
        <f>'15-16P'!O10</f>
        <v>-</v>
      </c>
      <c r="P221" s="178" t="str">
        <f>'15-16P'!P10</f>
        <v>-</v>
      </c>
      <c r="Q221" s="178" t="str">
        <f>'15-16P'!Q10</f>
        <v>-</v>
      </c>
    </row>
    <row r="222" spans="1:17" ht="15" customHeight="1" x14ac:dyDescent="0.3">
      <c r="A222" t="s">
        <v>1490</v>
      </c>
      <c r="B222" s="475" t="s">
        <v>950</v>
      </c>
      <c r="C222" s="478" t="str">
        <f>'15-16P'!C11</f>
        <v>Jarno Peltola</v>
      </c>
      <c r="D222" s="375">
        <f>'15-16P'!D11</f>
        <v>20</v>
      </c>
      <c r="E222" s="375">
        <f>'15-16P'!E11</f>
        <v>6</v>
      </c>
      <c r="F222" s="375">
        <f>'15-16P'!F11</f>
        <v>15</v>
      </c>
      <c r="G222" s="375">
        <f>'15-16P'!G11</f>
        <v>21</v>
      </c>
      <c r="H222" s="375">
        <f>'15-16P'!H11</f>
        <v>0</v>
      </c>
      <c r="I222" s="375">
        <f>'15-16P'!I11</f>
        <v>0</v>
      </c>
      <c r="J222" s="375">
        <f>'15-16P'!J11</f>
        <v>1</v>
      </c>
      <c r="K222" s="375" t="str">
        <f>'15-16P'!K11</f>
        <v>-</v>
      </c>
      <c r="L222" s="375" t="str">
        <f>'15-16P'!L11</f>
        <v>-</v>
      </c>
      <c r="M222" s="375" t="str">
        <f>'15-16P'!M11</f>
        <v>-</v>
      </c>
      <c r="N222" s="375" t="str">
        <f>'15-16P'!N11</f>
        <v>-</v>
      </c>
      <c r="O222" s="375" t="str">
        <f>'15-16P'!O11</f>
        <v>-</v>
      </c>
      <c r="P222" s="375" t="str">
        <f>'15-16P'!P11</f>
        <v>-</v>
      </c>
      <c r="Q222" s="375" t="str">
        <f>'15-16P'!Q11</f>
        <v>-</v>
      </c>
    </row>
    <row r="223" spans="1:17" ht="15" customHeight="1" x14ac:dyDescent="0.3">
      <c r="A223" t="s">
        <v>1490</v>
      </c>
      <c r="B223" s="475" t="s">
        <v>950</v>
      </c>
      <c r="C223" s="479" t="str">
        <f>'15-16P'!C12</f>
        <v>Ville Mettälä</v>
      </c>
      <c r="D223" s="178">
        <f>'15-16P'!D12</f>
        <v>20</v>
      </c>
      <c r="E223" s="178">
        <f>'15-16P'!E12</f>
        <v>0</v>
      </c>
      <c r="F223" s="178">
        <f>'15-16P'!F12</f>
        <v>5</v>
      </c>
      <c r="G223" s="178">
        <f>'15-16P'!G12</f>
        <v>5</v>
      </c>
      <c r="H223" s="178">
        <f>'15-16P'!H12</f>
        <v>0</v>
      </c>
      <c r="I223" s="178">
        <f>'15-16P'!I12</f>
        <v>0</v>
      </c>
      <c r="J223" s="178">
        <f>'15-16P'!J12</f>
        <v>0</v>
      </c>
      <c r="K223" s="178" t="str">
        <f>'15-16P'!K12</f>
        <v>-</v>
      </c>
      <c r="L223" s="178" t="str">
        <f>'15-16P'!L12</f>
        <v>-</v>
      </c>
      <c r="M223" s="178" t="str">
        <f>'15-16P'!M12</f>
        <v>-</v>
      </c>
      <c r="N223" s="178" t="str">
        <f>'15-16P'!N12</f>
        <v>-</v>
      </c>
      <c r="O223" s="178" t="str">
        <f>'15-16P'!O12</f>
        <v>-</v>
      </c>
      <c r="P223" s="178" t="str">
        <f>'15-16P'!P12</f>
        <v>-</v>
      </c>
      <c r="Q223" s="178" t="str">
        <f>'15-16P'!Q12</f>
        <v>-</v>
      </c>
    </row>
    <row r="224" spans="1:17" ht="15" customHeight="1" x14ac:dyDescent="0.3">
      <c r="A224" t="s">
        <v>1490</v>
      </c>
      <c r="B224" s="475" t="s">
        <v>950</v>
      </c>
      <c r="C224" s="478" t="str">
        <f>'15-16P'!C13</f>
        <v>Tuukka Mettälä</v>
      </c>
      <c r="D224" s="375">
        <f>'15-16P'!D13</f>
        <v>20</v>
      </c>
      <c r="E224" s="375">
        <f>'15-16P'!E13</f>
        <v>3</v>
      </c>
      <c r="F224" s="375">
        <f>'15-16P'!F13</f>
        <v>4</v>
      </c>
      <c r="G224" s="375">
        <f>'15-16P'!G13</f>
        <v>7</v>
      </c>
      <c r="H224" s="375">
        <f>'15-16P'!H13</f>
        <v>0</v>
      </c>
      <c r="I224" s="375">
        <f>'15-16P'!I13</f>
        <v>0</v>
      </c>
      <c r="J224" s="375">
        <f>'15-16P'!J13</f>
        <v>0</v>
      </c>
      <c r="K224" s="375" t="str">
        <f>'15-16P'!K13</f>
        <v>-</v>
      </c>
      <c r="L224" s="375" t="str">
        <f>'15-16P'!L13</f>
        <v>-</v>
      </c>
      <c r="M224" s="375" t="str">
        <f>'15-16P'!M13</f>
        <v>-</v>
      </c>
      <c r="N224" s="375" t="str">
        <f>'15-16P'!N13</f>
        <v>-</v>
      </c>
      <c r="O224" s="375" t="str">
        <f>'15-16P'!O13</f>
        <v>-</v>
      </c>
      <c r="P224" s="375" t="str">
        <f>'15-16P'!P13</f>
        <v>-</v>
      </c>
      <c r="Q224" s="375" t="str">
        <f>'15-16P'!Q13</f>
        <v>-</v>
      </c>
    </row>
    <row r="225" spans="1:17" ht="15" customHeight="1" x14ac:dyDescent="0.3">
      <c r="A225" t="s">
        <v>1490</v>
      </c>
      <c r="B225" s="475" t="s">
        <v>950</v>
      </c>
      <c r="C225" s="479" t="str">
        <f>'15-16P'!C14</f>
        <v>Henrik Lehtonen</v>
      </c>
      <c r="D225" s="178">
        <f>'15-16P'!D14</f>
        <v>20</v>
      </c>
      <c r="E225" s="178">
        <f>'15-16P'!E14</f>
        <v>2</v>
      </c>
      <c r="F225" s="178">
        <f>'15-16P'!F14</f>
        <v>4</v>
      </c>
      <c r="G225" s="178">
        <f>'15-16P'!G14</f>
        <v>6</v>
      </c>
      <c r="H225" s="178">
        <f>'15-16P'!H14</f>
        <v>1</v>
      </c>
      <c r="I225" s="178">
        <f>'15-16P'!I14</f>
        <v>0</v>
      </c>
      <c r="J225" s="178">
        <f>'15-16P'!J14</f>
        <v>0</v>
      </c>
      <c r="K225" s="178" t="str">
        <f>'15-16P'!K14</f>
        <v>-</v>
      </c>
      <c r="L225" s="178" t="str">
        <f>'15-16P'!L14</f>
        <v>-</v>
      </c>
      <c r="M225" s="178" t="str">
        <f>'15-16P'!M14</f>
        <v>-</v>
      </c>
      <c r="N225" s="178" t="str">
        <f>'15-16P'!N14</f>
        <v>-</v>
      </c>
      <c r="O225" s="178" t="str">
        <f>'15-16P'!O14</f>
        <v>-</v>
      </c>
      <c r="P225" s="178" t="str">
        <f>'15-16P'!P14</f>
        <v>-</v>
      </c>
      <c r="Q225" s="178" t="str">
        <f>'15-16P'!Q14</f>
        <v>-</v>
      </c>
    </row>
    <row r="226" spans="1:17" ht="15" customHeight="1" x14ac:dyDescent="0.3">
      <c r="A226" t="s">
        <v>1490</v>
      </c>
      <c r="B226" s="475" t="s">
        <v>950</v>
      </c>
      <c r="C226" s="478" t="str">
        <f>'15-16P'!C15</f>
        <v>Sami Pöllänen</v>
      </c>
      <c r="D226" s="375">
        <f>'15-16P'!D15</f>
        <v>20</v>
      </c>
      <c r="E226" s="375">
        <f>'15-16P'!E15</f>
        <v>3</v>
      </c>
      <c r="F226" s="375">
        <f>'15-16P'!F15</f>
        <v>2</v>
      </c>
      <c r="G226" s="375">
        <f>'15-16P'!G15</f>
        <v>5</v>
      </c>
      <c r="H226" s="375">
        <f>'15-16P'!H15</f>
        <v>2</v>
      </c>
      <c r="I226" s="375">
        <f>'15-16P'!I15</f>
        <v>0</v>
      </c>
      <c r="J226" s="375">
        <f>'15-16P'!J15</f>
        <v>0</v>
      </c>
      <c r="K226" s="375" t="str">
        <f>'15-16P'!K15</f>
        <v>-</v>
      </c>
      <c r="L226" s="375" t="str">
        <f>'15-16P'!L15</f>
        <v>-</v>
      </c>
      <c r="M226" s="375" t="str">
        <f>'15-16P'!M15</f>
        <v>-</v>
      </c>
      <c r="N226" s="375" t="str">
        <f>'15-16P'!N15</f>
        <v>-</v>
      </c>
      <c r="O226" s="375" t="str">
        <f>'15-16P'!O15</f>
        <v>-</v>
      </c>
      <c r="P226" s="375" t="str">
        <f>'15-16P'!P15</f>
        <v>-</v>
      </c>
      <c r="Q226" s="375" t="str">
        <f>'15-16P'!Q15</f>
        <v>-</v>
      </c>
    </row>
    <row r="227" spans="1:17" ht="15" customHeight="1" x14ac:dyDescent="0.3">
      <c r="A227" t="s">
        <v>1490</v>
      </c>
      <c r="B227" s="475" t="s">
        <v>950</v>
      </c>
      <c r="C227" s="479" t="str">
        <f>'15-16P'!C16</f>
        <v>Atte Nieminen</v>
      </c>
      <c r="D227" s="178">
        <f>'15-16P'!D16</f>
        <v>20</v>
      </c>
      <c r="E227" s="178">
        <f>'15-16P'!E16</f>
        <v>10</v>
      </c>
      <c r="F227" s="178">
        <f>'15-16P'!F16</f>
        <v>3</v>
      </c>
      <c r="G227" s="178">
        <f>'15-16P'!G16</f>
        <v>13</v>
      </c>
      <c r="H227" s="178">
        <f>'15-16P'!H16</f>
        <v>0</v>
      </c>
      <c r="I227" s="178">
        <f>'15-16P'!I16</f>
        <v>0</v>
      </c>
      <c r="J227" s="178">
        <f>'15-16P'!J16</f>
        <v>0</v>
      </c>
      <c r="K227" s="178" t="str">
        <f>'15-16P'!K16</f>
        <v>-</v>
      </c>
      <c r="L227" s="178" t="str">
        <f>'15-16P'!L16</f>
        <v>-</v>
      </c>
      <c r="M227" s="178" t="str">
        <f>'15-16P'!M16</f>
        <v>-</v>
      </c>
      <c r="N227" s="178" t="str">
        <f>'15-16P'!N16</f>
        <v>-</v>
      </c>
      <c r="O227" s="178" t="str">
        <f>'15-16P'!O16</f>
        <v>-</v>
      </c>
      <c r="P227" s="178">
        <f>'15-16P'!P16</f>
        <v>1</v>
      </c>
      <c r="Q227" s="178" t="str">
        <f>'15-16P'!Q16</f>
        <v>-</v>
      </c>
    </row>
    <row r="228" spans="1:17" ht="15" customHeight="1" thickBot="1" x14ac:dyDescent="0.35">
      <c r="A228" t="s">
        <v>1490</v>
      </c>
      <c r="B228" s="475" t="s">
        <v>950</v>
      </c>
      <c r="C228" s="478" t="str">
        <f>'15-16P'!C17</f>
        <v>Kaj Engblom</v>
      </c>
      <c r="D228" s="375">
        <f>'15-16P'!D17</f>
        <v>20</v>
      </c>
      <c r="E228" s="375">
        <f>'15-16P'!E17</f>
        <v>6</v>
      </c>
      <c r="F228" s="375">
        <f>'15-16P'!F17</f>
        <v>7</v>
      </c>
      <c r="G228" s="375">
        <f>'15-16P'!G17</f>
        <v>13</v>
      </c>
      <c r="H228" s="375">
        <f>'15-16P'!H17</f>
        <v>2</v>
      </c>
      <c r="I228" s="375">
        <f>'15-16P'!I17</f>
        <v>0</v>
      </c>
      <c r="J228" s="375">
        <f>'15-16P'!J17</f>
        <v>0</v>
      </c>
      <c r="K228" s="375" t="str">
        <f>'15-16P'!K17</f>
        <v>-</v>
      </c>
      <c r="L228" s="375">
        <v>1</v>
      </c>
      <c r="M228" s="375" t="str">
        <f>'15-16P'!M17</f>
        <v>-</v>
      </c>
      <c r="N228" s="375" t="str">
        <f>'15-16P'!N17</f>
        <v>-</v>
      </c>
      <c r="O228" s="375" t="str">
        <f>'15-16P'!O17</f>
        <v>-</v>
      </c>
      <c r="P228" s="375" t="str">
        <f>'15-16P'!P17</f>
        <v>-</v>
      </c>
      <c r="Q228" s="375" t="str">
        <f>'15-16P'!Q17</f>
        <v>-</v>
      </c>
    </row>
    <row r="229" spans="1:17" ht="15" customHeight="1" x14ac:dyDescent="0.3">
      <c r="A229" t="s">
        <v>1385</v>
      </c>
      <c r="B229" s="475" t="s">
        <v>950</v>
      </c>
      <c r="C229" s="250" t="s">
        <v>54</v>
      </c>
      <c r="D229" s="253">
        <v>3</v>
      </c>
      <c r="E229" s="229">
        <v>0</v>
      </c>
      <c r="F229" s="229">
        <v>1</v>
      </c>
      <c r="G229" s="229">
        <f t="shared" ref="G229:G245" si="3">E229+F229</f>
        <v>1</v>
      </c>
      <c r="H229" s="229">
        <v>0</v>
      </c>
      <c r="I229" s="229" t="s">
        <v>107</v>
      </c>
      <c r="J229" s="229" t="s">
        <v>107</v>
      </c>
      <c r="K229" s="229" t="s">
        <v>107</v>
      </c>
      <c r="L229" s="229" t="s">
        <v>107</v>
      </c>
      <c r="M229" s="229" t="s">
        <v>107</v>
      </c>
      <c r="N229" s="229" t="s">
        <v>107</v>
      </c>
      <c r="O229" s="229" t="s">
        <v>107</v>
      </c>
      <c r="P229" s="229" t="s">
        <v>107</v>
      </c>
      <c r="Q229" s="229" t="s">
        <v>107</v>
      </c>
    </row>
    <row r="230" spans="1:17" ht="15" customHeight="1" x14ac:dyDescent="0.3">
      <c r="A230" t="s">
        <v>1385</v>
      </c>
      <c r="B230" s="475" t="s">
        <v>950</v>
      </c>
      <c r="C230" s="251" t="s">
        <v>530</v>
      </c>
      <c r="D230" s="168">
        <v>18</v>
      </c>
      <c r="E230" s="119">
        <v>2</v>
      </c>
      <c r="F230" s="119">
        <v>2</v>
      </c>
      <c r="G230" s="119">
        <f t="shared" si="3"/>
        <v>4</v>
      </c>
      <c r="H230" s="119">
        <v>0</v>
      </c>
      <c r="I230" s="227" t="s">
        <v>107</v>
      </c>
      <c r="J230" s="227" t="s">
        <v>107</v>
      </c>
      <c r="K230" s="227" t="s">
        <v>107</v>
      </c>
      <c r="L230" s="227" t="s">
        <v>107</v>
      </c>
      <c r="M230" s="227" t="s">
        <v>107</v>
      </c>
      <c r="N230" s="227" t="s">
        <v>107</v>
      </c>
      <c r="O230" s="227" t="s">
        <v>107</v>
      </c>
      <c r="P230" s="227" t="s">
        <v>107</v>
      </c>
      <c r="Q230" s="227" t="s">
        <v>107</v>
      </c>
    </row>
    <row r="231" spans="1:17" ht="15" customHeight="1" x14ac:dyDescent="0.3">
      <c r="A231" t="s">
        <v>1385</v>
      </c>
      <c r="B231" s="475" t="s">
        <v>950</v>
      </c>
      <c r="C231" s="251" t="s">
        <v>185</v>
      </c>
      <c r="D231" s="228">
        <v>18</v>
      </c>
      <c r="E231" s="229">
        <v>25</v>
      </c>
      <c r="F231" s="229">
        <v>20</v>
      </c>
      <c r="G231" s="229">
        <f t="shared" si="3"/>
        <v>45</v>
      </c>
      <c r="H231" s="229">
        <v>2</v>
      </c>
      <c r="I231" s="229">
        <v>2</v>
      </c>
      <c r="J231" s="230">
        <v>3</v>
      </c>
      <c r="K231" s="230" t="s">
        <v>107</v>
      </c>
      <c r="L231" s="254" t="s">
        <v>12</v>
      </c>
      <c r="M231" s="230">
        <v>1</v>
      </c>
      <c r="N231" s="230" t="s">
        <v>107</v>
      </c>
      <c r="O231" s="230" t="s">
        <v>107</v>
      </c>
      <c r="P231" s="230">
        <v>3</v>
      </c>
      <c r="Q231" s="230" t="s">
        <v>107</v>
      </c>
    </row>
    <row r="232" spans="1:17" ht="15" customHeight="1" x14ac:dyDescent="0.3">
      <c r="A232" t="s">
        <v>1385</v>
      </c>
      <c r="B232" s="475" t="s">
        <v>950</v>
      </c>
      <c r="C232" s="251" t="s">
        <v>1077</v>
      </c>
      <c r="D232" s="168">
        <v>16</v>
      </c>
      <c r="E232" s="119">
        <v>6</v>
      </c>
      <c r="F232" s="119">
        <v>4</v>
      </c>
      <c r="G232" s="119">
        <f t="shared" si="3"/>
        <v>10</v>
      </c>
      <c r="H232" s="119">
        <v>0</v>
      </c>
      <c r="I232" s="227">
        <v>1</v>
      </c>
      <c r="J232" s="227">
        <v>1</v>
      </c>
      <c r="K232" s="227" t="s">
        <v>107</v>
      </c>
      <c r="L232" s="227" t="s">
        <v>107</v>
      </c>
      <c r="M232" s="227" t="s">
        <v>107</v>
      </c>
      <c r="N232" s="119" t="s">
        <v>107</v>
      </c>
      <c r="O232" s="227" t="s">
        <v>107</v>
      </c>
      <c r="P232" s="119" t="s">
        <v>107</v>
      </c>
      <c r="Q232" s="119" t="s">
        <v>107</v>
      </c>
    </row>
    <row r="233" spans="1:17" ht="15" customHeight="1" x14ac:dyDescent="0.3">
      <c r="A233" t="s">
        <v>1385</v>
      </c>
      <c r="B233" s="475" t="s">
        <v>950</v>
      </c>
      <c r="C233" s="251" t="s">
        <v>1075</v>
      </c>
      <c r="D233" s="228">
        <v>18</v>
      </c>
      <c r="E233" s="229">
        <v>11</v>
      </c>
      <c r="F233" s="229">
        <v>7</v>
      </c>
      <c r="G233" s="229">
        <f t="shared" si="3"/>
        <v>18</v>
      </c>
      <c r="H233" s="229">
        <v>33</v>
      </c>
      <c r="I233" s="229">
        <v>2</v>
      </c>
      <c r="J233" s="230">
        <v>1</v>
      </c>
      <c r="K233" s="229" t="s">
        <v>107</v>
      </c>
      <c r="L233" s="230" t="s">
        <v>107</v>
      </c>
      <c r="M233" s="230" t="s">
        <v>107</v>
      </c>
      <c r="N233" s="230" t="s">
        <v>107</v>
      </c>
      <c r="O233" s="230" t="s">
        <v>107</v>
      </c>
      <c r="P233" s="229">
        <v>1</v>
      </c>
      <c r="Q233" s="229" t="s">
        <v>107</v>
      </c>
    </row>
    <row r="234" spans="1:17" ht="15" customHeight="1" x14ac:dyDescent="0.3">
      <c r="A234" t="s">
        <v>1385</v>
      </c>
      <c r="B234" s="475" t="s">
        <v>950</v>
      </c>
      <c r="C234" s="251" t="s">
        <v>53</v>
      </c>
      <c r="D234" s="168">
        <v>18</v>
      </c>
      <c r="E234" s="119">
        <v>2</v>
      </c>
      <c r="F234" s="119">
        <v>2</v>
      </c>
      <c r="G234" s="119">
        <f t="shared" si="3"/>
        <v>4</v>
      </c>
      <c r="H234" s="119">
        <v>2</v>
      </c>
      <c r="I234" s="119">
        <v>1</v>
      </c>
      <c r="J234" s="227" t="s">
        <v>107</v>
      </c>
      <c r="K234" s="227" t="s">
        <v>107</v>
      </c>
      <c r="L234" s="227" t="s">
        <v>107</v>
      </c>
      <c r="M234" s="227" t="s">
        <v>107</v>
      </c>
      <c r="N234" s="227" t="s">
        <v>107</v>
      </c>
      <c r="O234" s="227" t="s">
        <v>107</v>
      </c>
      <c r="P234" s="227" t="s">
        <v>107</v>
      </c>
      <c r="Q234" s="227" t="s">
        <v>107</v>
      </c>
    </row>
    <row r="235" spans="1:17" ht="15" customHeight="1" x14ac:dyDescent="0.3">
      <c r="A235" t="s">
        <v>1385</v>
      </c>
      <c r="B235" s="475" t="s">
        <v>950</v>
      </c>
      <c r="C235" s="251" t="s">
        <v>50</v>
      </c>
      <c r="D235" s="228">
        <v>16</v>
      </c>
      <c r="E235" s="229">
        <v>13</v>
      </c>
      <c r="F235" s="229">
        <v>8</v>
      </c>
      <c r="G235" s="229">
        <f t="shared" si="3"/>
        <v>21</v>
      </c>
      <c r="H235" s="229">
        <v>2</v>
      </c>
      <c r="I235" s="229" t="s">
        <v>107</v>
      </c>
      <c r="J235" s="229" t="s">
        <v>107</v>
      </c>
      <c r="K235" s="229" t="s">
        <v>107</v>
      </c>
      <c r="L235" s="230" t="s">
        <v>107</v>
      </c>
      <c r="M235" s="230" t="s">
        <v>107</v>
      </c>
      <c r="N235" s="230" t="s">
        <v>107</v>
      </c>
      <c r="O235" s="230">
        <v>1</v>
      </c>
      <c r="P235" s="229">
        <v>2</v>
      </c>
      <c r="Q235" s="229" t="s">
        <v>107</v>
      </c>
    </row>
    <row r="236" spans="1:17" ht="15" customHeight="1" x14ac:dyDescent="0.3">
      <c r="A236" t="s">
        <v>1385</v>
      </c>
      <c r="B236" s="475" t="s">
        <v>950</v>
      </c>
      <c r="C236" s="251" t="s">
        <v>1124</v>
      </c>
      <c r="D236" s="168">
        <v>18</v>
      </c>
      <c r="E236" s="119">
        <v>5</v>
      </c>
      <c r="F236" s="119">
        <v>11</v>
      </c>
      <c r="G236" s="119">
        <f t="shared" si="3"/>
        <v>16</v>
      </c>
      <c r="H236" s="119">
        <v>0</v>
      </c>
      <c r="I236" s="227" t="s">
        <v>107</v>
      </c>
      <c r="J236" s="227" t="s">
        <v>107</v>
      </c>
      <c r="K236" s="227" t="s">
        <v>107</v>
      </c>
      <c r="L236" s="227" t="s">
        <v>107</v>
      </c>
      <c r="M236" s="227" t="s">
        <v>107</v>
      </c>
      <c r="N236" s="227" t="s">
        <v>107</v>
      </c>
      <c r="O236" s="227" t="s">
        <v>107</v>
      </c>
      <c r="P236" s="227" t="s">
        <v>107</v>
      </c>
      <c r="Q236" s="227">
        <v>1</v>
      </c>
    </row>
    <row r="237" spans="1:17" ht="15" customHeight="1" x14ac:dyDescent="0.3">
      <c r="A237" t="s">
        <v>1385</v>
      </c>
      <c r="B237" s="475" t="s">
        <v>950</v>
      </c>
      <c r="C237" s="251" t="s">
        <v>59</v>
      </c>
      <c r="D237" s="228">
        <v>10</v>
      </c>
      <c r="E237" s="229">
        <v>0</v>
      </c>
      <c r="F237" s="229">
        <v>1</v>
      </c>
      <c r="G237" s="229">
        <f t="shared" si="3"/>
        <v>1</v>
      </c>
      <c r="H237" s="229">
        <v>0</v>
      </c>
      <c r="I237" s="230" t="s">
        <v>107</v>
      </c>
      <c r="J237" s="230" t="s">
        <v>107</v>
      </c>
      <c r="K237" s="230" t="s">
        <v>107</v>
      </c>
      <c r="L237" s="230" t="s">
        <v>107</v>
      </c>
      <c r="M237" s="230" t="s">
        <v>107</v>
      </c>
      <c r="N237" s="230" t="s">
        <v>107</v>
      </c>
      <c r="O237" s="230" t="s">
        <v>107</v>
      </c>
      <c r="P237" s="230" t="s">
        <v>107</v>
      </c>
      <c r="Q237" s="230" t="s">
        <v>107</v>
      </c>
    </row>
    <row r="238" spans="1:17" ht="15" customHeight="1" x14ac:dyDescent="0.3">
      <c r="A238" t="s">
        <v>1385</v>
      </c>
      <c r="B238" s="475" t="s">
        <v>950</v>
      </c>
      <c r="C238" s="251" t="s">
        <v>1076</v>
      </c>
      <c r="D238" s="168">
        <v>17</v>
      </c>
      <c r="E238" s="119">
        <v>5</v>
      </c>
      <c r="F238" s="119">
        <v>1</v>
      </c>
      <c r="G238" s="119">
        <f t="shared" si="3"/>
        <v>6</v>
      </c>
      <c r="H238" s="119">
        <v>2</v>
      </c>
      <c r="I238" s="119">
        <v>2</v>
      </c>
      <c r="J238" s="227" t="s">
        <v>107</v>
      </c>
      <c r="K238" s="227" t="s">
        <v>107</v>
      </c>
      <c r="L238" s="227" t="s">
        <v>107</v>
      </c>
      <c r="M238" s="227" t="s">
        <v>107</v>
      </c>
      <c r="N238" s="227" t="s">
        <v>107</v>
      </c>
      <c r="O238" s="227" t="s">
        <v>107</v>
      </c>
      <c r="P238" s="119" t="s">
        <v>107</v>
      </c>
      <c r="Q238" s="119" t="s">
        <v>107</v>
      </c>
    </row>
    <row r="239" spans="1:17" ht="15" customHeight="1" x14ac:dyDescent="0.3">
      <c r="A239" t="s">
        <v>1385</v>
      </c>
      <c r="B239" s="475" t="s">
        <v>950</v>
      </c>
      <c r="C239" s="251" t="s">
        <v>680</v>
      </c>
      <c r="D239" s="228">
        <v>15</v>
      </c>
      <c r="E239" s="229">
        <v>4</v>
      </c>
      <c r="F239" s="229">
        <v>8</v>
      </c>
      <c r="G239" s="229">
        <f t="shared" si="3"/>
        <v>12</v>
      </c>
      <c r="H239" s="229">
        <v>2</v>
      </c>
      <c r="I239" s="230" t="s">
        <v>107</v>
      </c>
      <c r="J239" s="230" t="s">
        <v>107</v>
      </c>
      <c r="K239" s="230" t="s">
        <v>107</v>
      </c>
      <c r="L239" s="230" t="s">
        <v>107</v>
      </c>
      <c r="M239" s="230" t="s">
        <v>107</v>
      </c>
      <c r="N239" s="230" t="s">
        <v>107</v>
      </c>
      <c r="O239" s="230" t="s">
        <v>107</v>
      </c>
      <c r="P239" s="230" t="s">
        <v>107</v>
      </c>
      <c r="Q239" s="230" t="s">
        <v>107</v>
      </c>
    </row>
    <row r="240" spans="1:17" ht="15" customHeight="1" x14ac:dyDescent="0.3">
      <c r="A240" t="s">
        <v>1385</v>
      </c>
      <c r="B240" s="475" t="s">
        <v>950</v>
      </c>
      <c r="C240" s="251" t="s">
        <v>1164</v>
      </c>
      <c r="D240" s="168">
        <v>14</v>
      </c>
      <c r="E240" s="119">
        <v>4</v>
      </c>
      <c r="F240" s="119">
        <v>3</v>
      </c>
      <c r="G240" s="119">
        <f t="shared" si="3"/>
        <v>7</v>
      </c>
      <c r="H240" s="119">
        <v>0</v>
      </c>
      <c r="I240" s="227">
        <v>1</v>
      </c>
      <c r="J240" s="119" t="s">
        <v>107</v>
      </c>
      <c r="K240" s="227" t="s">
        <v>107</v>
      </c>
      <c r="L240" s="227" t="s">
        <v>107</v>
      </c>
      <c r="M240" s="227" t="s">
        <v>107</v>
      </c>
      <c r="N240" s="227" t="s">
        <v>107</v>
      </c>
      <c r="O240" s="227" t="s">
        <v>107</v>
      </c>
      <c r="P240" s="227">
        <v>1</v>
      </c>
      <c r="Q240" s="227" t="s">
        <v>107</v>
      </c>
    </row>
    <row r="241" spans="1:17" ht="15" customHeight="1" x14ac:dyDescent="0.3">
      <c r="A241" t="s">
        <v>1385</v>
      </c>
      <c r="B241" s="475" t="s">
        <v>950</v>
      </c>
      <c r="C241" s="251" t="s">
        <v>942</v>
      </c>
      <c r="D241" s="228">
        <v>15</v>
      </c>
      <c r="E241" s="229">
        <v>1</v>
      </c>
      <c r="F241" s="229">
        <v>3</v>
      </c>
      <c r="G241" s="229">
        <f t="shared" si="3"/>
        <v>4</v>
      </c>
      <c r="H241" s="229">
        <v>2</v>
      </c>
      <c r="I241" s="229">
        <v>1</v>
      </c>
      <c r="J241" s="229" t="s">
        <v>107</v>
      </c>
      <c r="K241" s="230" t="s">
        <v>107</v>
      </c>
      <c r="L241" s="230" t="s">
        <v>107</v>
      </c>
      <c r="M241" s="230" t="s">
        <v>107</v>
      </c>
      <c r="N241" s="230" t="s">
        <v>107</v>
      </c>
      <c r="O241" s="230" t="s">
        <v>107</v>
      </c>
      <c r="P241" s="229" t="s">
        <v>107</v>
      </c>
      <c r="Q241" s="229" t="s">
        <v>107</v>
      </c>
    </row>
    <row r="242" spans="1:17" ht="15" customHeight="1" x14ac:dyDescent="0.3">
      <c r="A242" t="s">
        <v>1385</v>
      </c>
      <c r="B242" s="475" t="s">
        <v>950</v>
      </c>
      <c r="C242" s="251" t="s">
        <v>1379</v>
      </c>
      <c r="D242" s="168">
        <v>14</v>
      </c>
      <c r="E242" s="119">
        <v>5</v>
      </c>
      <c r="F242" s="119">
        <v>3</v>
      </c>
      <c r="G242" s="119">
        <f t="shared" si="3"/>
        <v>8</v>
      </c>
      <c r="H242" s="119">
        <v>0</v>
      </c>
      <c r="I242" s="227">
        <v>1</v>
      </c>
      <c r="J242" s="227" t="s">
        <v>107</v>
      </c>
      <c r="K242" s="227" t="s">
        <v>107</v>
      </c>
      <c r="L242" s="227" t="s">
        <v>107</v>
      </c>
      <c r="M242" s="227" t="s">
        <v>107</v>
      </c>
      <c r="N242" s="227" t="s">
        <v>107</v>
      </c>
      <c r="O242" s="227" t="s">
        <v>107</v>
      </c>
      <c r="P242" s="227">
        <v>1</v>
      </c>
      <c r="Q242" s="227" t="s">
        <v>107</v>
      </c>
    </row>
    <row r="243" spans="1:17" ht="15" customHeight="1" x14ac:dyDescent="0.3">
      <c r="A243" t="s">
        <v>1385</v>
      </c>
      <c r="B243" s="475" t="s">
        <v>950</v>
      </c>
      <c r="C243" s="251" t="s">
        <v>55</v>
      </c>
      <c r="D243" s="228">
        <v>9</v>
      </c>
      <c r="E243" s="229">
        <v>1</v>
      </c>
      <c r="F243" s="229">
        <v>2</v>
      </c>
      <c r="G243" s="229">
        <f t="shared" si="3"/>
        <v>3</v>
      </c>
      <c r="H243" s="229">
        <v>12</v>
      </c>
      <c r="I243" s="230" t="s">
        <v>107</v>
      </c>
      <c r="J243" s="230" t="s">
        <v>107</v>
      </c>
      <c r="K243" s="230" t="s">
        <v>107</v>
      </c>
      <c r="L243" s="230" t="s">
        <v>107</v>
      </c>
      <c r="M243" s="230" t="s">
        <v>107</v>
      </c>
      <c r="N243" s="230" t="s">
        <v>107</v>
      </c>
      <c r="O243" s="230" t="s">
        <v>107</v>
      </c>
      <c r="P243" s="230" t="s">
        <v>107</v>
      </c>
      <c r="Q243" s="230" t="s">
        <v>107</v>
      </c>
    </row>
    <row r="244" spans="1:17" ht="15" customHeight="1" x14ac:dyDescent="0.3">
      <c r="A244" t="s">
        <v>1385</v>
      </c>
      <c r="B244" s="475" t="s">
        <v>950</v>
      </c>
      <c r="C244" s="251" t="s">
        <v>1172</v>
      </c>
      <c r="D244" s="168">
        <v>16</v>
      </c>
      <c r="E244" s="119">
        <v>4</v>
      </c>
      <c r="F244" s="119">
        <v>5</v>
      </c>
      <c r="G244" s="119">
        <f t="shared" si="3"/>
        <v>9</v>
      </c>
      <c r="H244" s="119">
        <v>2</v>
      </c>
      <c r="I244" s="227" t="s">
        <v>107</v>
      </c>
      <c r="J244" s="227" t="s">
        <v>107</v>
      </c>
      <c r="K244" s="227" t="s">
        <v>107</v>
      </c>
      <c r="L244" s="227" t="s">
        <v>107</v>
      </c>
      <c r="M244" s="227" t="s">
        <v>107</v>
      </c>
      <c r="N244" s="227" t="s">
        <v>107</v>
      </c>
      <c r="O244" s="227" t="s">
        <v>107</v>
      </c>
      <c r="P244" s="227" t="s">
        <v>107</v>
      </c>
      <c r="Q244" s="227">
        <v>1</v>
      </c>
    </row>
    <row r="245" spans="1:17" ht="15" customHeight="1" thickBot="1" x14ac:dyDescent="0.35">
      <c r="A245" t="s">
        <v>1385</v>
      </c>
      <c r="B245" s="475" t="s">
        <v>950</v>
      </c>
      <c r="C245" s="251" t="s">
        <v>47</v>
      </c>
      <c r="D245" s="228">
        <v>16</v>
      </c>
      <c r="E245" s="229">
        <v>6</v>
      </c>
      <c r="F245" s="229">
        <v>1</v>
      </c>
      <c r="G245" s="229">
        <f t="shared" si="3"/>
        <v>7</v>
      </c>
      <c r="H245" s="229">
        <v>0</v>
      </c>
      <c r="I245" s="230">
        <v>1</v>
      </c>
      <c r="J245" s="230" t="s">
        <v>107</v>
      </c>
      <c r="K245" s="230" t="s">
        <v>107</v>
      </c>
      <c r="L245" s="230" t="s">
        <v>107</v>
      </c>
      <c r="M245" s="230" t="s">
        <v>107</v>
      </c>
      <c r="N245" s="230">
        <v>1</v>
      </c>
      <c r="O245" s="230" t="s">
        <v>107</v>
      </c>
      <c r="P245" s="230" t="s">
        <v>107</v>
      </c>
      <c r="Q245" s="230" t="s">
        <v>107</v>
      </c>
    </row>
    <row r="246" spans="1:17" x14ac:dyDescent="0.3">
      <c r="A246" t="s">
        <v>1102</v>
      </c>
      <c r="B246" s="475" t="s">
        <v>950</v>
      </c>
      <c r="C246" s="250" t="s">
        <v>54</v>
      </c>
      <c r="D246" s="253">
        <v>2</v>
      </c>
      <c r="E246" s="229">
        <v>0</v>
      </c>
      <c r="F246" s="229">
        <v>0</v>
      </c>
      <c r="G246" s="229">
        <f t="shared" ref="G246:G260" si="4">E246+F246</f>
        <v>0</v>
      </c>
      <c r="H246" s="229">
        <v>0</v>
      </c>
      <c r="I246" s="229" t="s">
        <v>107</v>
      </c>
      <c r="J246" s="229" t="s">
        <v>107</v>
      </c>
      <c r="K246" s="229" t="s">
        <v>107</v>
      </c>
      <c r="L246" s="229" t="s">
        <v>107</v>
      </c>
      <c r="M246" s="229" t="s">
        <v>107</v>
      </c>
      <c r="N246" s="229" t="s">
        <v>107</v>
      </c>
      <c r="O246" s="229" t="s">
        <v>107</v>
      </c>
      <c r="P246" s="229" t="s">
        <v>107</v>
      </c>
      <c r="Q246" s="229" t="s">
        <v>107</v>
      </c>
    </row>
    <row r="247" spans="1:17" x14ac:dyDescent="0.3">
      <c r="A247" t="s">
        <v>1102</v>
      </c>
      <c r="B247" s="475" t="s">
        <v>950</v>
      </c>
      <c r="C247" s="251" t="s">
        <v>530</v>
      </c>
      <c r="D247" s="168">
        <v>10</v>
      </c>
      <c r="E247" s="119">
        <v>2</v>
      </c>
      <c r="F247" s="119">
        <v>5</v>
      </c>
      <c r="G247" s="119">
        <f t="shared" si="4"/>
        <v>7</v>
      </c>
      <c r="H247" s="119">
        <v>2</v>
      </c>
      <c r="I247" s="227" t="s">
        <v>107</v>
      </c>
      <c r="J247" s="227" t="s">
        <v>107</v>
      </c>
      <c r="K247" s="227" t="s">
        <v>107</v>
      </c>
      <c r="L247" s="227" t="s">
        <v>107</v>
      </c>
      <c r="M247" s="227" t="s">
        <v>107</v>
      </c>
      <c r="N247" s="227" t="s">
        <v>107</v>
      </c>
      <c r="O247" s="227" t="s">
        <v>107</v>
      </c>
      <c r="P247" s="227" t="s">
        <v>107</v>
      </c>
      <c r="Q247" s="227" t="s">
        <v>107</v>
      </c>
    </row>
    <row r="248" spans="1:17" x14ac:dyDescent="0.3">
      <c r="A248" t="s">
        <v>1102</v>
      </c>
      <c r="B248" s="475" t="s">
        <v>950</v>
      </c>
      <c r="C248" s="251" t="s">
        <v>185</v>
      </c>
      <c r="D248" s="228">
        <v>15</v>
      </c>
      <c r="E248" s="229">
        <v>16</v>
      </c>
      <c r="F248" s="229">
        <v>21</v>
      </c>
      <c r="G248" s="229">
        <f t="shared" si="4"/>
        <v>37</v>
      </c>
      <c r="H248" s="229">
        <v>2</v>
      </c>
      <c r="I248" s="229">
        <v>1</v>
      </c>
      <c r="J248" s="230" t="s">
        <v>107</v>
      </c>
      <c r="K248" s="230" t="s">
        <v>107</v>
      </c>
      <c r="L248" s="254"/>
      <c r="M248" s="230">
        <v>1</v>
      </c>
      <c r="N248" s="230">
        <v>1</v>
      </c>
      <c r="O248" s="230" t="s">
        <v>107</v>
      </c>
      <c r="P248" s="230">
        <v>1</v>
      </c>
      <c r="Q248" s="230" t="s">
        <v>107</v>
      </c>
    </row>
    <row r="249" spans="1:17" x14ac:dyDescent="0.3">
      <c r="A249" t="s">
        <v>1102</v>
      </c>
      <c r="B249" s="475" t="s">
        <v>950</v>
      </c>
      <c r="C249" s="251" t="s">
        <v>1077</v>
      </c>
      <c r="D249" s="168">
        <v>13</v>
      </c>
      <c r="E249" s="119">
        <v>10</v>
      </c>
      <c r="F249" s="119">
        <v>4</v>
      </c>
      <c r="G249" s="119">
        <f t="shared" si="4"/>
        <v>14</v>
      </c>
      <c r="H249" s="119">
        <v>8</v>
      </c>
      <c r="I249" s="227">
        <v>1</v>
      </c>
      <c r="J249" s="227" t="s">
        <v>107</v>
      </c>
      <c r="K249" s="227" t="s">
        <v>107</v>
      </c>
      <c r="L249" s="227" t="s">
        <v>107</v>
      </c>
      <c r="M249" s="227" t="s">
        <v>107</v>
      </c>
      <c r="N249" s="119"/>
      <c r="O249" s="227" t="s">
        <v>107</v>
      </c>
      <c r="P249" s="119">
        <v>1</v>
      </c>
      <c r="Q249" s="119" t="s">
        <v>107</v>
      </c>
    </row>
    <row r="250" spans="1:17" x14ac:dyDescent="0.3">
      <c r="A250" t="s">
        <v>1102</v>
      </c>
      <c r="B250" s="475" t="s">
        <v>950</v>
      </c>
      <c r="C250" s="251" t="s">
        <v>1075</v>
      </c>
      <c r="D250" s="228">
        <v>17</v>
      </c>
      <c r="E250" s="229">
        <v>18</v>
      </c>
      <c r="F250" s="229">
        <v>15</v>
      </c>
      <c r="G250" s="229">
        <f t="shared" si="4"/>
        <v>33</v>
      </c>
      <c r="H250" s="229">
        <v>12</v>
      </c>
      <c r="I250" s="229">
        <v>4</v>
      </c>
      <c r="J250" s="230">
        <v>3</v>
      </c>
      <c r="K250" s="229" t="s">
        <v>107</v>
      </c>
      <c r="L250" s="230" t="s">
        <v>107</v>
      </c>
      <c r="M250" s="230" t="s">
        <v>107</v>
      </c>
      <c r="N250" s="230" t="s">
        <v>107</v>
      </c>
      <c r="O250" s="230" t="s">
        <v>107</v>
      </c>
      <c r="P250" s="229">
        <v>2</v>
      </c>
      <c r="Q250" s="229">
        <v>1</v>
      </c>
    </row>
    <row r="251" spans="1:17" x14ac:dyDescent="0.3">
      <c r="A251" t="s">
        <v>1102</v>
      </c>
      <c r="B251" s="475" t="s">
        <v>950</v>
      </c>
      <c r="C251" s="251" t="s">
        <v>53</v>
      </c>
      <c r="D251" s="168">
        <v>8</v>
      </c>
      <c r="E251" s="119">
        <v>1</v>
      </c>
      <c r="F251" s="119">
        <v>3</v>
      </c>
      <c r="G251" s="119">
        <f t="shared" si="4"/>
        <v>4</v>
      </c>
      <c r="H251" s="119">
        <v>0</v>
      </c>
      <c r="I251" s="119" t="s">
        <v>107</v>
      </c>
      <c r="J251" s="227" t="s">
        <v>107</v>
      </c>
      <c r="K251" s="227" t="s">
        <v>107</v>
      </c>
      <c r="L251" s="227" t="s">
        <v>107</v>
      </c>
      <c r="M251" s="227" t="s">
        <v>107</v>
      </c>
      <c r="N251" s="227" t="s">
        <v>107</v>
      </c>
      <c r="O251" s="227" t="s">
        <v>107</v>
      </c>
      <c r="P251" s="227" t="s">
        <v>107</v>
      </c>
      <c r="Q251" s="227" t="s">
        <v>107</v>
      </c>
    </row>
    <row r="252" spans="1:17" x14ac:dyDescent="0.3">
      <c r="A252" t="s">
        <v>1102</v>
      </c>
      <c r="B252" s="475" t="s">
        <v>950</v>
      </c>
      <c r="C252" s="251" t="s">
        <v>50</v>
      </c>
      <c r="D252" s="228">
        <v>13</v>
      </c>
      <c r="E252" s="229">
        <v>16</v>
      </c>
      <c r="F252" s="229">
        <v>3</v>
      </c>
      <c r="G252" s="229">
        <f t="shared" si="4"/>
        <v>19</v>
      </c>
      <c r="H252" s="229">
        <v>6</v>
      </c>
      <c r="I252" s="229">
        <v>1</v>
      </c>
      <c r="J252" s="229">
        <v>2</v>
      </c>
      <c r="K252" s="229">
        <v>1</v>
      </c>
      <c r="L252" s="230" t="s">
        <v>107</v>
      </c>
      <c r="M252" s="230" t="s">
        <v>107</v>
      </c>
      <c r="N252" s="230">
        <v>1</v>
      </c>
      <c r="O252" s="230">
        <v>1</v>
      </c>
      <c r="P252" s="229">
        <v>1</v>
      </c>
      <c r="Q252" s="229" t="s">
        <v>107</v>
      </c>
    </row>
    <row r="253" spans="1:17" x14ac:dyDescent="0.3">
      <c r="A253" t="s">
        <v>1102</v>
      </c>
      <c r="B253" s="475" t="s">
        <v>950</v>
      </c>
      <c r="C253" s="251" t="s">
        <v>59</v>
      </c>
      <c r="D253" s="168">
        <v>5</v>
      </c>
      <c r="E253" s="119">
        <v>1</v>
      </c>
      <c r="F253" s="119">
        <v>2</v>
      </c>
      <c r="G253" s="119">
        <f t="shared" si="4"/>
        <v>3</v>
      </c>
      <c r="H253" s="119">
        <v>0</v>
      </c>
      <c r="I253" s="227" t="s">
        <v>107</v>
      </c>
      <c r="J253" s="227" t="s">
        <v>107</v>
      </c>
      <c r="K253" s="227" t="s">
        <v>107</v>
      </c>
      <c r="L253" s="227" t="s">
        <v>107</v>
      </c>
      <c r="M253" s="227" t="s">
        <v>107</v>
      </c>
      <c r="N253" s="227" t="s">
        <v>107</v>
      </c>
      <c r="O253" s="227" t="s">
        <v>107</v>
      </c>
      <c r="P253" s="227" t="s">
        <v>107</v>
      </c>
      <c r="Q253" s="227" t="s">
        <v>107</v>
      </c>
    </row>
    <row r="254" spans="1:17" x14ac:dyDescent="0.3">
      <c r="A254" t="s">
        <v>1102</v>
      </c>
      <c r="B254" s="475" t="s">
        <v>950</v>
      </c>
      <c r="C254" s="251" t="s">
        <v>1076</v>
      </c>
      <c r="D254" s="228">
        <v>10</v>
      </c>
      <c r="E254" s="229">
        <v>2</v>
      </c>
      <c r="F254" s="229">
        <v>3</v>
      </c>
      <c r="G254" s="229">
        <f t="shared" si="4"/>
        <v>5</v>
      </c>
      <c r="H254" s="229">
        <v>2</v>
      </c>
      <c r="I254" s="229">
        <v>2</v>
      </c>
      <c r="J254" s="230" t="s">
        <v>107</v>
      </c>
      <c r="K254" s="230" t="s">
        <v>107</v>
      </c>
      <c r="L254" s="230" t="s">
        <v>107</v>
      </c>
      <c r="M254" s="230" t="s">
        <v>107</v>
      </c>
      <c r="N254" s="230" t="s">
        <v>107</v>
      </c>
      <c r="O254" s="230" t="s">
        <v>107</v>
      </c>
      <c r="P254" s="229" t="s">
        <v>107</v>
      </c>
      <c r="Q254" s="229" t="s">
        <v>107</v>
      </c>
    </row>
    <row r="255" spans="1:17" x14ac:dyDescent="0.3">
      <c r="A255" t="s">
        <v>1102</v>
      </c>
      <c r="B255" s="475" t="s">
        <v>950</v>
      </c>
      <c r="C255" s="251" t="s">
        <v>680</v>
      </c>
      <c r="D255" s="168">
        <v>11</v>
      </c>
      <c r="E255" s="119">
        <v>3</v>
      </c>
      <c r="F255" s="119">
        <v>9</v>
      </c>
      <c r="G255" s="119">
        <f t="shared" si="4"/>
        <v>12</v>
      </c>
      <c r="H255" s="119">
        <v>2</v>
      </c>
      <c r="I255" s="227" t="s">
        <v>107</v>
      </c>
      <c r="J255" s="227" t="s">
        <v>107</v>
      </c>
      <c r="K255" s="227" t="s">
        <v>107</v>
      </c>
      <c r="L255" s="227" t="s">
        <v>107</v>
      </c>
      <c r="M255" s="227" t="s">
        <v>107</v>
      </c>
      <c r="N255" s="227" t="s">
        <v>107</v>
      </c>
      <c r="O255" s="227" t="s">
        <v>107</v>
      </c>
      <c r="P255" s="227" t="s">
        <v>107</v>
      </c>
      <c r="Q255" s="227" t="s">
        <v>107</v>
      </c>
    </row>
    <row r="256" spans="1:17" x14ac:dyDescent="0.3">
      <c r="A256" t="s">
        <v>1102</v>
      </c>
      <c r="B256" s="475" t="s">
        <v>950</v>
      </c>
      <c r="C256" s="251" t="s">
        <v>949</v>
      </c>
      <c r="D256" s="228">
        <v>2</v>
      </c>
      <c r="E256" s="229">
        <v>0</v>
      </c>
      <c r="F256" s="229">
        <v>0</v>
      </c>
      <c r="G256" s="229">
        <f t="shared" si="4"/>
        <v>0</v>
      </c>
      <c r="H256" s="229">
        <v>0</v>
      </c>
      <c r="I256" s="230" t="s">
        <v>107</v>
      </c>
      <c r="J256" s="229" t="s">
        <v>107</v>
      </c>
      <c r="K256" s="230" t="s">
        <v>107</v>
      </c>
      <c r="L256" s="230" t="s">
        <v>107</v>
      </c>
      <c r="M256" s="230" t="s">
        <v>107</v>
      </c>
      <c r="N256" s="230" t="s">
        <v>107</v>
      </c>
      <c r="O256" s="230" t="s">
        <v>107</v>
      </c>
      <c r="P256" s="230" t="s">
        <v>107</v>
      </c>
      <c r="Q256" s="230" t="s">
        <v>107</v>
      </c>
    </row>
    <row r="257" spans="1:17" x14ac:dyDescent="0.3">
      <c r="A257" t="s">
        <v>1102</v>
      </c>
      <c r="B257" s="475" t="s">
        <v>950</v>
      </c>
      <c r="C257" s="251" t="s">
        <v>942</v>
      </c>
      <c r="D257" s="168">
        <v>8</v>
      </c>
      <c r="E257" s="119">
        <v>9</v>
      </c>
      <c r="F257" s="119">
        <v>3</v>
      </c>
      <c r="G257" s="119">
        <f t="shared" si="4"/>
        <v>12</v>
      </c>
      <c r="H257" s="119">
        <v>0</v>
      </c>
      <c r="I257" s="119" t="s">
        <v>107</v>
      </c>
      <c r="J257" s="119">
        <v>1</v>
      </c>
      <c r="K257" s="227" t="s">
        <v>107</v>
      </c>
      <c r="L257" s="227" t="s">
        <v>107</v>
      </c>
      <c r="M257" s="227" t="s">
        <v>107</v>
      </c>
      <c r="N257" s="227" t="s">
        <v>107</v>
      </c>
      <c r="O257" s="227" t="s">
        <v>107</v>
      </c>
      <c r="P257" s="119" t="s">
        <v>107</v>
      </c>
      <c r="Q257" s="119" t="s">
        <v>107</v>
      </c>
    </row>
    <row r="258" spans="1:17" x14ac:dyDescent="0.3">
      <c r="A258" t="s">
        <v>1102</v>
      </c>
      <c r="B258" s="475" t="s">
        <v>950</v>
      </c>
      <c r="C258" s="251" t="s">
        <v>56</v>
      </c>
      <c r="D258" s="228">
        <v>3</v>
      </c>
      <c r="E258" s="229">
        <v>0</v>
      </c>
      <c r="F258" s="229">
        <v>0</v>
      </c>
      <c r="G258" s="229">
        <v>0</v>
      </c>
      <c r="H258" s="229">
        <v>0</v>
      </c>
      <c r="I258" s="230" t="s">
        <v>107</v>
      </c>
      <c r="J258" s="230" t="s">
        <v>107</v>
      </c>
      <c r="K258" s="230" t="s">
        <v>107</v>
      </c>
      <c r="L258" s="230" t="s">
        <v>107</v>
      </c>
      <c r="M258" s="230" t="s">
        <v>107</v>
      </c>
      <c r="N258" s="230" t="s">
        <v>107</v>
      </c>
      <c r="O258" s="230" t="s">
        <v>107</v>
      </c>
      <c r="P258" s="230" t="s">
        <v>107</v>
      </c>
      <c r="Q258" s="230" t="s">
        <v>107</v>
      </c>
    </row>
    <row r="259" spans="1:17" x14ac:dyDescent="0.3">
      <c r="A259" t="s">
        <v>1102</v>
      </c>
      <c r="B259" s="475" t="s">
        <v>950</v>
      </c>
      <c r="C259" s="251" t="s">
        <v>279</v>
      </c>
      <c r="D259" s="168">
        <v>4</v>
      </c>
      <c r="E259" s="119">
        <v>1</v>
      </c>
      <c r="F259" s="119">
        <v>1</v>
      </c>
      <c r="G259" s="119">
        <f t="shared" si="4"/>
        <v>2</v>
      </c>
      <c r="H259" s="119">
        <v>0</v>
      </c>
      <c r="I259" s="227" t="s">
        <v>107</v>
      </c>
      <c r="J259" s="227" t="s">
        <v>107</v>
      </c>
      <c r="K259" s="227" t="s">
        <v>107</v>
      </c>
      <c r="L259" s="227" t="s">
        <v>107</v>
      </c>
      <c r="M259" s="227" t="s">
        <v>107</v>
      </c>
      <c r="N259" s="227" t="s">
        <v>107</v>
      </c>
      <c r="O259" s="227" t="s">
        <v>107</v>
      </c>
      <c r="P259" s="227" t="s">
        <v>107</v>
      </c>
      <c r="Q259" s="227" t="s">
        <v>107</v>
      </c>
    </row>
    <row r="260" spans="1:17" ht="15" thickBot="1" x14ac:dyDescent="0.35">
      <c r="A260" t="s">
        <v>1102</v>
      </c>
      <c r="B260" s="475" t="s">
        <v>950</v>
      </c>
      <c r="C260" s="251" t="s">
        <v>47</v>
      </c>
      <c r="D260" s="228">
        <v>6</v>
      </c>
      <c r="E260" s="229">
        <v>1</v>
      </c>
      <c r="F260" s="229">
        <v>0</v>
      </c>
      <c r="G260" s="229">
        <f t="shared" si="4"/>
        <v>1</v>
      </c>
      <c r="H260" s="229">
        <v>4</v>
      </c>
      <c r="I260" s="230" t="s">
        <v>107</v>
      </c>
      <c r="J260" s="230" t="s">
        <v>107</v>
      </c>
      <c r="K260" s="230" t="s">
        <v>107</v>
      </c>
      <c r="L260" s="230" t="s">
        <v>107</v>
      </c>
      <c r="M260" s="230" t="s">
        <v>107</v>
      </c>
      <c r="N260" s="230" t="s">
        <v>107</v>
      </c>
      <c r="O260" s="230" t="s">
        <v>107</v>
      </c>
      <c r="P260" s="230" t="s">
        <v>107</v>
      </c>
      <c r="Q260" s="230" t="s">
        <v>107</v>
      </c>
    </row>
    <row r="261" spans="1:17" x14ac:dyDescent="0.3">
      <c r="A261" t="s">
        <v>977</v>
      </c>
      <c r="B261" s="475" t="s">
        <v>952</v>
      </c>
      <c r="C261" s="209" t="s">
        <v>48</v>
      </c>
      <c r="D261" s="167">
        <v>12</v>
      </c>
      <c r="E261" s="117">
        <v>5</v>
      </c>
      <c r="F261" s="117">
        <v>2</v>
      </c>
      <c r="G261" s="117">
        <f t="shared" ref="G261:G276" si="5">E261+F261</f>
        <v>7</v>
      </c>
      <c r="H261" s="117">
        <v>2</v>
      </c>
      <c r="I261" s="226">
        <v>2</v>
      </c>
      <c r="J261" s="226" t="s">
        <v>107</v>
      </c>
      <c r="K261" s="226" t="s">
        <v>107</v>
      </c>
      <c r="L261" s="226" t="s">
        <v>107</v>
      </c>
      <c r="M261" s="226" t="s">
        <v>107</v>
      </c>
      <c r="N261" s="226" t="s">
        <v>107</v>
      </c>
      <c r="O261" s="226" t="s">
        <v>107</v>
      </c>
      <c r="P261" s="226" t="s">
        <v>107</v>
      </c>
      <c r="Q261" s="357"/>
    </row>
    <row r="262" spans="1:17" x14ac:dyDescent="0.3">
      <c r="A262" t="s">
        <v>977</v>
      </c>
      <c r="B262" s="475" t="s">
        <v>952</v>
      </c>
      <c r="C262" s="210" t="s">
        <v>54</v>
      </c>
      <c r="D262" s="228">
        <v>10</v>
      </c>
      <c r="E262" s="229">
        <v>2</v>
      </c>
      <c r="F262" s="229">
        <v>0</v>
      </c>
      <c r="G262" s="229">
        <f t="shared" si="5"/>
        <v>2</v>
      </c>
      <c r="H262" s="229">
        <v>0</v>
      </c>
      <c r="I262" s="229" t="s">
        <v>107</v>
      </c>
      <c r="J262" s="229" t="s">
        <v>107</v>
      </c>
      <c r="K262" s="229" t="s">
        <v>107</v>
      </c>
      <c r="L262" s="229" t="s">
        <v>107</v>
      </c>
      <c r="M262" s="229" t="s">
        <v>107</v>
      </c>
      <c r="N262" s="229" t="s">
        <v>107</v>
      </c>
      <c r="O262" s="229" t="s">
        <v>107</v>
      </c>
      <c r="P262" s="229" t="s">
        <v>107</v>
      </c>
      <c r="Q262" s="357"/>
    </row>
    <row r="263" spans="1:17" x14ac:dyDescent="0.3">
      <c r="A263" t="s">
        <v>977</v>
      </c>
      <c r="B263" s="475" t="s">
        <v>952</v>
      </c>
      <c r="C263" s="210" t="s">
        <v>530</v>
      </c>
      <c r="D263" s="168">
        <v>17</v>
      </c>
      <c r="E263" s="119">
        <v>4</v>
      </c>
      <c r="F263" s="119">
        <v>6</v>
      </c>
      <c r="G263" s="119">
        <f t="shared" si="5"/>
        <v>10</v>
      </c>
      <c r="H263" s="119">
        <v>2</v>
      </c>
      <c r="I263" s="227" t="s">
        <v>107</v>
      </c>
      <c r="J263" s="227" t="s">
        <v>107</v>
      </c>
      <c r="K263" s="227" t="s">
        <v>107</v>
      </c>
      <c r="L263" s="227" t="s">
        <v>107</v>
      </c>
      <c r="M263" s="227" t="s">
        <v>107</v>
      </c>
      <c r="N263" s="227" t="s">
        <v>107</v>
      </c>
      <c r="O263" s="227" t="s">
        <v>107</v>
      </c>
      <c r="P263" s="227" t="s">
        <v>107</v>
      </c>
      <c r="Q263" s="357"/>
    </row>
    <row r="264" spans="1:17" x14ac:dyDescent="0.3">
      <c r="A264" t="s">
        <v>977</v>
      </c>
      <c r="B264" s="475" t="s">
        <v>952</v>
      </c>
      <c r="C264" s="210" t="s">
        <v>945</v>
      </c>
      <c r="D264" s="228">
        <v>10</v>
      </c>
      <c r="E264" s="229">
        <v>5</v>
      </c>
      <c r="F264" s="229">
        <v>3</v>
      </c>
      <c r="G264" s="229">
        <f t="shared" si="5"/>
        <v>8</v>
      </c>
      <c r="H264" s="229">
        <v>2</v>
      </c>
      <c r="I264" s="230" t="s">
        <v>107</v>
      </c>
      <c r="J264" s="230" t="s">
        <v>107</v>
      </c>
      <c r="K264" s="230" t="s">
        <v>107</v>
      </c>
      <c r="L264" s="230" t="s">
        <v>107</v>
      </c>
      <c r="M264" s="230" t="s">
        <v>107</v>
      </c>
      <c r="N264" s="230" t="s">
        <v>107</v>
      </c>
      <c r="O264" s="230" t="s">
        <v>107</v>
      </c>
      <c r="P264" s="229">
        <v>1</v>
      </c>
      <c r="Q264" s="357"/>
    </row>
    <row r="265" spans="1:17" x14ac:dyDescent="0.3">
      <c r="A265" t="s">
        <v>977</v>
      </c>
      <c r="B265" s="475" t="s">
        <v>952</v>
      </c>
      <c r="C265" s="210" t="s">
        <v>185</v>
      </c>
      <c r="D265" s="168">
        <v>11</v>
      </c>
      <c r="E265" s="119">
        <v>7</v>
      </c>
      <c r="F265" s="119">
        <v>27</v>
      </c>
      <c r="G265" s="119">
        <f t="shared" si="5"/>
        <v>34</v>
      </c>
      <c r="H265" s="119">
        <v>4</v>
      </c>
      <c r="I265" s="119">
        <v>1</v>
      </c>
      <c r="J265" s="227" t="s">
        <v>107</v>
      </c>
      <c r="K265" s="227" t="s">
        <v>107</v>
      </c>
      <c r="L265" s="123" t="s">
        <v>12</v>
      </c>
      <c r="M265" s="227">
        <v>1</v>
      </c>
      <c r="N265" s="227" t="s">
        <v>107</v>
      </c>
      <c r="O265" s="227" t="s">
        <v>107</v>
      </c>
      <c r="P265" s="227" t="s">
        <v>107</v>
      </c>
      <c r="Q265" s="357"/>
    </row>
    <row r="266" spans="1:17" x14ac:dyDescent="0.3">
      <c r="A266" t="s">
        <v>977</v>
      </c>
      <c r="B266" s="475" t="s">
        <v>952</v>
      </c>
      <c r="C266" s="210" t="s">
        <v>677</v>
      </c>
      <c r="D266" s="228">
        <v>13</v>
      </c>
      <c r="E266" s="229">
        <v>5</v>
      </c>
      <c r="F266" s="229">
        <v>3</v>
      </c>
      <c r="G266" s="229">
        <f t="shared" si="5"/>
        <v>8</v>
      </c>
      <c r="H266" s="229">
        <v>4</v>
      </c>
      <c r="I266" s="230" t="s">
        <v>107</v>
      </c>
      <c r="J266" s="230" t="s">
        <v>107</v>
      </c>
      <c r="K266" s="230" t="s">
        <v>107</v>
      </c>
      <c r="L266" s="230" t="s">
        <v>107</v>
      </c>
      <c r="M266" s="230" t="s">
        <v>107</v>
      </c>
      <c r="N266" s="229">
        <v>1</v>
      </c>
      <c r="O266" s="230" t="s">
        <v>107</v>
      </c>
      <c r="P266" s="229">
        <v>1</v>
      </c>
      <c r="Q266" s="357"/>
    </row>
    <row r="267" spans="1:17" x14ac:dyDescent="0.3">
      <c r="A267" t="s">
        <v>977</v>
      </c>
      <c r="B267" s="475" t="s">
        <v>952</v>
      </c>
      <c r="C267" s="210" t="s">
        <v>673</v>
      </c>
      <c r="D267" s="168">
        <v>15</v>
      </c>
      <c r="E267" s="119">
        <v>23</v>
      </c>
      <c r="F267" s="119">
        <v>5</v>
      </c>
      <c r="G267" s="119">
        <f t="shared" si="5"/>
        <v>28</v>
      </c>
      <c r="H267" s="119">
        <v>63</v>
      </c>
      <c r="I267" s="119">
        <v>3</v>
      </c>
      <c r="J267" s="227" t="s">
        <v>107</v>
      </c>
      <c r="K267" s="119">
        <v>1</v>
      </c>
      <c r="L267" s="227" t="s">
        <v>107</v>
      </c>
      <c r="M267" s="227" t="s">
        <v>107</v>
      </c>
      <c r="N267" s="227" t="s">
        <v>107</v>
      </c>
      <c r="O267" s="227">
        <v>1</v>
      </c>
      <c r="P267" s="119">
        <v>3</v>
      </c>
      <c r="Q267" s="357"/>
    </row>
    <row r="268" spans="1:17" x14ac:dyDescent="0.3">
      <c r="A268" t="s">
        <v>977</v>
      </c>
      <c r="B268" s="475" t="s">
        <v>952</v>
      </c>
      <c r="C268" s="210" t="s">
        <v>53</v>
      </c>
      <c r="D268" s="228">
        <v>13</v>
      </c>
      <c r="E268" s="229">
        <v>2</v>
      </c>
      <c r="F268" s="229">
        <v>1</v>
      </c>
      <c r="G268" s="229">
        <f t="shared" si="5"/>
        <v>3</v>
      </c>
      <c r="H268" s="229">
        <v>6</v>
      </c>
      <c r="I268" s="229">
        <v>1</v>
      </c>
      <c r="J268" s="230" t="s">
        <v>107</v>
      </c>
      <c r="K268" s="230" t="s">
        <v>107</v>
      </c>
      <c r="L268" s="230" t="s">
        <v>107</v>
      </c>
      <c r="M268" s="230" t="s">
        <v>107</v>
      </c>
      <c r="N268" s="230" t="s">
        <v>107</v>
      </c>
      <c r="O268" s="230" t="s">
        <v>107</v>
      </c>
      <c r="P268" s="230" t="s">
        <v>107</v>
      </c>
      <c r="Q268" s="357"/>
    </row>
    <row r="269" spans="1:17" x14ac:dyDescent="0.3">
      <c r="A269" t="s">
        <v>977</v>
      </c>
      <c r="B269" s="475" t="s">
        <v>952</v>
      </c>
      <c r="C269" s="210" t="s">
        <v>50</v>
      </c>
      <c r="D269" s="168">
        <v>12</v>
      </c>
      <c r="E269" s="119">
        <v>12</v>
      </c>
      <c r="F269" s="119">
        <v>3</v>
      </c>
      <c r="G269" s="119">
        <f t="shared" si="5"/>
        <v>15</v>
      </c>
      <c r="H269" s="119">
        <v>0</v>
      </c>
      <c r="I269" s="119">
        <v>2</v>
      </c>
      <c r="J269" s="119">
        <v>1</v>
      </c>
      <c r="K269" s="119">
        <v>1</v>
      </c>
      <c r="L269" s="227" t="s">
        <v>107</v>
      </c>
      <c r="M269" s="227" t="s">
        <v>107</v>
      </c>
      <c r="N269" s="227" t="s">
        <v>107</v>
      </c>
      <c r="O269" s="227" t="s">
        <v>107</v>
      </c>
      <c r="P269" s="119">
        <v>2</v>
      </c>
      <c r="Q269" s="357"/>
    </row>
    <row r="270" spans="1:17" x14ac:dyDescent="0.3">
      <c r="A270" t="s">
        <v>977</v>
      </c>
      <c r="B270" s="475" t="s">
        <v>952</v>
      </c>
      <c r="C270" s="210" t="s">
        <v>59</v>
      </c>
      <c r="D270" s="228">
        <v>7</v>
      </c>
      <c r="E270" s="229">
        <v>0</v>
      </c>
      <c r="F270" s="229">
        <v>0</v>
      </c>
      <c r="G270" s="229">
        <f t="shared" si="5"/>
        <v>0</v>
      </c>
      <c r="H270" s="229">
        <v>2</v>
      </c>
      <c r="I270" s="230" t="s">
        <v>107</v>
      </c>
      <c r="J270" s="230" t="s">
        <v>107</v>
      </c>
      <c r="K270" s="230" t="s">
        <v>107</v>
      </c>
      <c r="L270" s="230" t="s">
        <v>107</v>
      </c>
      <c r="M270" s="230" t="s">
        <v>107</v>
      </c>
      <c r="N270" s="230" t="s">
        <v>107</v>
      </c>
      <c r="O270" s="230" t="s">
        <v>107</v>
      </c>
      <c r="P270" s="230" t="s">
        <v>107</v>
      </c>
      <c r="Q270" s="357"/>
    </row>
    <row r="271" spans="1:17" x14ac:dyDescent="0.3">
      <c r="A271" t="s">
        <v>977</v>
      </c>
      <c r="B271" s="475" t="s">
        <v>952</v>
      </c>
      <c r="C271" s="210" t="s">
        <v>675</v>
      </c>
      <c r="D271" s="168">
        <v>17</v>
      </c>
      <c r="E271" s="119">
        <v>9</v>
      </c>
      <c r="F271" s="119">
        <v>15</v>
      </c>
      <c r="G271" s="119">
        <f t="shared" si="5"/>
        <v>24</v>
      </c>
      <c r="H271" s="119">
        <v>2</v>
      </c>
      <c r="I271" s="119">
        <v>1</v>
      </c>
      <c r="J271" s="227" t="s">
        <v>107</v>
      </c>
      <c r="K271" s="227" t="s">
        <v>107</v>
      </c>
      <c r="L271" s="227" t="s">
        <v>107</v>
      </c>
      <c r="M271" s="227" t="s">
        <v>107</v>
      </c>
      <c r="N271" s="227" t="s">
        <v>107</v>
      </c>
      <c r="O271" s="227" t="s">
        <v>107</v>
      </c>
      <c r="P271" s="119">
        <v>1</v>
      </c>
      <c r="Q271" s="357"/>
    </row>
    <row r="272" spans="1:17" x14ac:dyDescent="0.3">
      <c r="A272" t="s">
        <v>977</v>
      </c>
      <c r="B272" s="475" t="s">
        <v>952</v>
      </c>
      <c r="C272" s="210" t="s">
        <v>278</v>
      </c>
      <c r="D272" s="228">
        <v>11</v>
      </c>
      <c r="E272" s="229">
        <v>1</v>
      </c>
      <c r="F272" s="229">
        <v>6</v>
      </c>
      <c r="G272" s="229">
        <f t="shared" si="5"/>
        <v>7</v>
      </c>
      <c r="H272" s="229">
        <v>2</v>
      </c>
      <c r="I272" s="230" t="s">
        <v>107</v>
      </c>
      <c r="J272" s="230" t="s">
        <v>107</v>
      </c>
      <c r="K272" s="230" t="s">
        <v>107</v>
      </c>
      <c r="L272" s="230" t="s">
        <v>107</v>
      </c>
      <c r="M272" s="230" t="s">
        <v>107</v>
      </c>
      <c r="N272" s="230" t="s">
        <v>107</v>
      </c>
      <c r="O272" s="230" t="s">
        <v>107</v>
      </c>
      <c r="P272" s="230" t="s">
        <v>107</v>
      </c>
      <c r="Q272" s="357"/>
    </row>
    <row r="273" spans="1:17" x14ac:dyDescent="0.3">
      <c r="A273" t="s">
        <v>977</v>
      </c>
      <c r="B273" s="475" t="s">
        <v>952</v>
      </c>
      <c r="C273" s="210" t="s">
        <v>949</v>
      </c>
      <c r="D273" s="168">
        <v>7</v>
      </c>
      <c r="E273" s="119">
        <v>4</v>
      </c>
      <c r="F273" s="119">
        <v>2</v>
      </c>
      <c r="G273" s="119">
        <f t="shared" si="5"/>
        <v>6</v>
      </c>
      <c r="H273" s="119">
        <v>0</v>
      </c>
      <c r="I273" s="227" t="s">
        <v>107</v>
      </c>
      <c r="J273" s="119">
        <v>1</v>
      </c>
      <c r="K273" s="227" t="s">
        <v>107</v>
      </c>
      <c r="L273" s="227" t="s">
        <v>107</v>
      </c>
      <c r="M273" s="227" t="s">
        <v>107</v>
      </c>
      <c r="N273" s="227" t="s">
        <v>107</v>
      </c>
      <c r="O273" s="227" t="s">
        <v>107</v>
      </c>
      <c r="P273" s="227" t="s">
        <v>107</v>
      </c>
      <c r="Q273" s="357"/>
    </row>
    <row r="274" spans="1:17" x14ac:dyDescent="0.3">
      <c r="A274" t="s">
        <v>977</v>
      </c>
      <c r="B274" s="475" t="s">
        <v>952</v>
      </c>
      <c r="C274" s="210" t="s">
        <v>942</v>
      </c>
      <c r="D274" s="228">
        <v>15</v>
      </c>
      <c r="E274" s="229">
        <v>8</v>
      </c>
      <c r="F274" s="229">
        <v>2</v>
      </c>
      <c r="G274" s="229">
        <f t="shared" si="5"/>
        <v>10</v>
      </c>
      <c r="H274" s="229">
        <v>0</v>
      </c>
      <c r="I274" s="229">
        <v>1</v>
      </c>
      <c r="J274" s="229">
        <v>2</v>
      </c>
      <c r="K274" s="230" t="s">
        <v>107</v>
      </c>
      <c r="L274" s="230" t="s">
        <v>107</v>
      </c>
      <c r="M274" s="230" t="s">
        <v>107</v>
      </c>
      <c r="N274" s="230" t="s">
        <v>107</v>
      </c>
      <c r="O274" s="230" t="s">
        <v>107</v>
      </c>
      <c r="P274" s="229">
        <v>1</v>
      </c>
      <c r="Q274" s="357"/>
    </row>
    <row r="275" spans="1:17" x14ac:dyDescent="0.3">
      <c r="A275" t="s">
        <v>977</v>
      </c>
      <c r="B275" s="475" t="s">
        <v>952</v>
      </c>
      <c r="C275" s="210" t="s">
        <v>55</v>
      </c>
      <c r="D275" s="168">
        <v>15</v>
      </c>
      <c r="E275" s="119">
        <v>3</v>
      </c>
      <c r="F275" s="119">
        <v>6</v>
      </c>
      <c r="G275" s="119">
        <f t="shared" si="5"/>
        <v>9</v>
      </c>
      <c r="H275" s="119">
        <v>0</v>
      </c>
      <c r="I275" s="227" t="s">
        <v>107</v>
      </c>
      <c r="J275" s="227" t="s">
        <v>107</v>
      </c>
      <c r="K275" s="227" t="s">
        <v>107</v>
      </c>
      <c r="L275" s="227" t="s">
        <v>107</v>
      </c>
      <c r="M275" s="227" t="s">
        <v>107</v>
      </c>
      <c r="N275" s="227" t="s">
        <v>107</v>
      </c>
      <c r="O275" s="227" t="s">
        <v>107</v>
      </c>
      <c r="P275" s="227" t="s">
        <v>107</v>
      </c>
      <c r="Q275" s="357"/>
    </row>
    <row r="276" spans="1:17" ht="15" thickBot="1" x14ac:dyDescent="0.35">
      <c r="A276" t="s">
        <v>977</v>
      </c>
      <c r="B276" s="475" t="s">
        <v>952</v>
      </c>
      <c r="C276" s="210" t="s">
        <v>279</v>
      </c>
      <c r="D276" s="228">
        <v>7</v>
      </c>
      <c r="E276" s="229">
        <v>4</v>
      </c>
      <c r="F276" s="229">
        <v>1</v>
      </c>
      <c r="G276" s="229">
        <f t="shared" si="5"/>
        <v>5</v>
      </c>
      <c r="H276" s="229">
        <v>0</v>
      </c>
      <c r="I276" s="230" t="s">
        <v>107</v>
      </c>
      <c r="J276" s="230" t="s">
        <v>107</v>
      </c>
      <c r="K276" s="230" t="s">
        <v>107</v>
      </c>
      <c r="L276" s="230" t="s">
        <v>107</v>
      </c>
      <c r="M276" s="230" t="s">
        <v>107</v>
      </c>
      <c r="N276" s="230" t="s">
        <v>107</v>
      </c>
      <c r="O276" s="230" t="s">
        <v>107</v>
      </c>
      <c r="P276" s="230" t="s">
        <v>107</v>
      </c>
      <c r="Q276" s="357"/>
    </row>
    <row r="277" spans="1:17" x14ac:dyDescent="0.3">
      <c r="A277" t="s">
        <v>874</v>
      </c>
      <c r="B277" s="475" t="s">
        <v>950</v>
      </c>
      <c r="C277" s="209" t="s">
        <v>48</v>
      </c>
      <c r="D277" s="167">
        <v>18</v>
      </c>
      <c r="E277" s="117">
        <v>2</v>
      </c>
      <c r="F277" s="117">
        <v>5</v>
      </c>
      <c r="G277" s="117">
        <f t="shared" ref="G277:G289" si="6">E277+F277</f>
        <v>7</v>
      </c>
      <c r="H277" s="117">
        <v>2</v>
      </c>
      <c r="I277" s="117">
        <v>1</v>
      </c>
      <c r="J277" s="117" t="s">
        <v>107</v>
      </c>
      <c r="K277" s="117" t="s">
        <v>107</v>
      </c>
      <c r="L277" s="117" t="s">
        <v>107</v>
      </c>
      <c r="M277" s="117" t="s">
        <v>107</v>
      </c>
      <c r="N277" s="117" t="s">
        <v>107</v>
      </c>
      <c r="O277" s="117" t="s">
        <v>107</v>
      </c>
      <c r="P277" s="117" t="s">
        <v>107</v>
      </c>
      <c r="Q277" s="357"/>
    </row>
    <row r="278" spans="1:17" x14ac:dyDescent="0.3">
      <c r="A278" t="s">
        <v>874</v>
      </c>
      <c r="B278" s="475" t="s">
        <v>950</v>
      </c>
      <c r="C278" s="210" t="s">
        <v>181</v>
      </c>
      <c r="D278" s="212">
        <v>16</v>
      </c>
      <c r="E278" s="213">
        <v>5</v>
      </c>
      <c r="F278" s="213">
        <v>5</v>
      </c>
      <c r="G278" s="213">
        <f t="shared" si="6"/>
        <v>10</v>
      </c>
      <c r="H278" s="213">
        <v>0</v>
      </c>
      <c r="I278" s="213" t="s">
        <v>107</v>
      </c>
      <c r="J278" s="213" t="s">
        <v>107</v>
      </c>
      <c r="K278" s="213" t="s">
        <v>107</v>
      </c>
      <c r="L278" s="213" t="s">
        <v>107</v>
      </c>
      <c r="M278" s="213" t="s">
        <v>107</v>
      </c>
      <c r="N278" s="213" t="s">
        <v>107</v>
      </c>
      <c r="O278" s="213" t="s">
        <v>107</v>
      </c>
      <c r="P278" s="213" t="s">
        <v>107</v>
      </c>
      <c r="Q278" s="357"/>
    </row>
    <row r="279" spans="1:17" x14ac:dyDescent="0.3">
      <c r="A279" t="s">
        <v>874</v>
      </c>
      <c r="B279" s="475" t="s">
        <v>950</v>
      </c>
      <c r="C279" s="210" t="s">
        <v>185</v>
      </c>
      <c r="D279" s="168">
        <v>17</v>
      </c>
      <c r="E279" s="119">
        <v>18</v>
      </c>
      <c r="F279" s="119">
        <v>16</v>
      </c>
      <c r="G279" s="119">
        <f t="shared" si="6"/>
        <v>34</v>
      </c>
      <c r="H279" s="119">
        <v>56</v>
      </c>
      <c r="I279" s="119">
        <v>1</v>
      </c>
      <c r="J279" s="119">
        <v>1</v>
      </c>
      <c r="K279" s="119">
        <v>2</v>
      </c>
      <c r="L279" s="123" t="s">
        <v>12</v>
      </c>
      <c r="M279" s="119">
        <v>1</v>
      </c>
      <c r="N279" s="119">
        <v>1</v>
      </c>
      <c r="O279" s="119">
        <v>1</v>
      </c>
      <c r="P279" s="119" t="s">
        <v>107</v>
      </c>
      <c r="Q279" s="357"/>
    </row>
    <row r="280" spans="1:17" x14ac:dyDescent="0.3">
      <c r="A280" t="s">
        <v>874</v>
      </c>
      <c r="B280" s="475" t="s">
        <v>950</v>
      </c>
      <c r="C280" s="210" t="s">
        <v>52</v>
      </c>
      <c r="D280" s="212">
        <v>16</v>
      </c>
      <c r="E280" s="213">
        <v>2</v>
      </c>
      <c r="F280" s="213">
        <v>2</v>
      </c>
      <c r="G280" s="213">
        <f t="shared" si="6"/>
        <v>4</v>
      </c>
      <c r="H280" s="213">
        <v>2</v>
      </c>
      <c r="I280" s="213" t="s">
        <v>107</v>
      </c>
      <c r="J280" s="213" t="s">
        <v>107</v>
      </c>
      <c r="K280" s="213" t="s">
        <v>107</v>
      </c>
      <c r="L280" s="213" t="s">
        <v>107</v>
      </c>
      <c r="M280" s="213" t="s">
        <v>107</v>
      </c>
      <c r="N280" s="213" t="s">
        <v>107</v>
      </c>
      <c r="O280" s="213" t="s">
        <v>107</v>
      </c>
      <c r="P280" s="213" t="s">
        <v>107</v>
      </c>
      <c r="Q280" s="357"/>
    </row>
    <row r="281" spans="1:17" x14ac:dyDescent="0.3">
      <c r="A281" t="s">
        <v>874</v>
      </c>
      <c r="B281" s="475" t="s">
        <v>950</v>
      </c>
      <c r="C281" s="210" t="s">
        <v>677</v>
      </c>
      <c r="D281" s="168">
        <v>16</v>
      </c>
      <c r="E281" s="119">
        <v>7</v>
      </c>
      <c r="F281" s="119">
        <v>5</v>
      </c>
      <c r="G281" s="119">
        <f t="shared" si="6"/>
        <v>12</v>
      </c>
      <c r="H281" s="119">
        <v>2</v>
      </c>
      <c r="I281" s="119">
        <v>1</v>
      </c>
      <c r="J281" s="119" t="s">
        <v>107</v>
      </c>
      <c r="K281" s="119" t="s">
        <v>107</v>
      </c>
      <c r="L281" s="119" t="s">
        <v>107</v>
      </c>
      <c r="M281" s="119" t="s">
        <v>107</v>
      </c>
      <c r="N281" s="119" t="s">
        <v>107</v>
      </c>
      <c r="O281" s="119" t="s">
        <v>107</v>
      </c>
      <c r="P281" s="119">
        <v>1</v>
      </c>
      <c r="Q281" s="357"/>
    </row>
    <row r="282" spans="1:17" x14ac:dyDescent="0.3">
      <c r="A282" t="s">
        <v>874</v>
      </c>
      <c r="B282" s="475" t="s">
        <v>950</v>
      </c>
      <c r="C282" s="210" t="s">
        <v>673</v>
      </c>
      <c r="D282" s="212">
        <v>17</v>
      </c>
      <c r="E282" s="213">
        <v>3</v>
      </c>
      <c r="F282" s="213">
        <v>3</v>
      </c>
      <c r="G282" s="213">
        <f t="shared" si="6"/>
        <v>6</v>
      </c>
      <c r="H282" s="213">
        <v>41</v>
      </c>
      <c r="I282" s="213" t="s">
        <v>107</v>
      </c>
      <c r="J282" s="213">
        <v>1</v>
      </c>
      <c r="K282" s="213" t="s">
        <v>107</v>
      </c>
      <c r="L282" s="213" t="s">
        <v>107</v>
      </c>
      <c r="M282" s="213" t="s">
        <v>107</v>
      </c>
      <c r="N282" s="213" t="s">
        <v>107</v>
      </c>
      <c r="O282" s="213" t="s">
        <v>107</v>
      </c>
      <c r="P282" s="213" t="s">
        <v>107</v>
      </c>
      <c r="Q282" s="357"/>
    </row>
    <row r="283" spans="1:17" x14ac:dyDescent="0.3">
      <c r="A283" t="s">
        <v>874</v>
      </c>
      <c r="B283" s="475" t="s">
        <v>950</v>
      </c>
      <c r="C283" s="210" t="s">
        <v>53</v>
      </c>
      <c r="D283" s="168">
        <v>17</v>
      </c>
      <c r="E283" s="119">
        <v>3</v>
      </c>
      <c r="F283" s="119">
        <v>5</v>
      </c>
      <c r="G283" s="119">
        <f t="shared" si="6"/>
        <v>8</v>
      </c>
      <c r="H283" s="119">
        <v>14</v>
      </c>
      <c r="I283" s="119" t="s">
        <v>107</v>
      </c>
      <c r="J283" s="119">
        <v>1</v>
      </c>
      <c r="K283" s="119" t="s">
        <v>107</v>
      </c>
      <c r="L283" s="119" t="s">
        <v>107</v>
      </c>
      <c r="M283" s="119" t="s">
        <v>107</v>
      </c>
      <c r="N283" s="119" t="s">
        <v>107</v>
      </c>
      <c r="O283" s="119" t="s">
        <v>107</v>
      </c>
      <c r="P283" s="119" t="s">
        <v>107</v>
      </c>
      <c r="Q283" s="357"/>
    </row>
    <row r="284" spans="1:17" x14ac:dyDescent="0.3">
      <c r="A284" t="s">
        <v>874</v>
      </c>
      <c r="B284" s="475" t="s">
        <v>950</v>
      </c>
      <c r="C284" s="210" t="s">
        <v>50</v>
      </c>
      <c r="D284" s="212">
        <v>16</v>
      </c>
      <c r="E284" s="213">
        <v>11</v>
      </c>
      <c r="F284" s="213">
        <v>7</v>
      </c>
      <c r="G284" s="213">
        <f t="shared" si="6"/>
        <v>18</v>
      </c>
      <c r="H284" s="213">
        <v>2</v>
      </c>
      <c r="I284" s="213">
        <v>1</v>
      </c>
      <c r="J284" s="213" t="s">
        <v>107</v>
      </c>
      <c r="K284" s="213" t="s">
        <v>107</v>
      </c>
      <c r="L284" s="213" t="s">
        <v>107</v>
      </c>
      <c r="M284" s="213" t="s">
        <v>107</v>
      </c>
      <c r="N284" s="213" t="s">
        <v>107</v>
      </c>
      <c r="O284" s="213" t="s">
        <v>107</v>
      </c>
      <c r="P284" s="213" t="s">
        <v>107</v>
      </c>
      <c r="Q284" s="357"/>
    </row>
    <row r="285" spans="1:17" x14ac:dyDescent="0.3">
      <c r="A285" t="s">
        <v>874</v>
      </c>
      <c r="B285" s="475" t="s">
        <v>950</v>
      </c>
      <c r="C285" s="210" t="s">
        <v>59</v>
      </c>
      <c r="D285" s="168">
        <v>14</v>
      </c>
      <c r="E285" s="119">
        <v>0</v>
      </c>
      <c r="F285" s="119">
        <v>4</v>
      </c>
      <c r="G285" s="119">
        <f t="shared" si="6"/>
        <v>4</v>
      </c>
      <c r="H285" s="119">
        <v>0</v>
      </c>
      <c r="I285" s="119" t="s">
        <v>107</v>
      </c>
      <c r="J285" s="119" t="s">
        <v>107</v>
      </c>
      <c r="K285" s="119" t="s">
        <v>107</v>
      </c>
      <c r="L285" s="119" t="s">
        <v>107</v>
      </c>
      <c r="M285" s="119" t="s">
        <v>107</v>
      </c>
      <c r="N285" s="119" t="s">
        <v>107</v>
      </c>
      <c r="O285" s="119" t="s">
        <v>107</v>
      </c>
      <c r="P285" s="119" t="s">
        <v>107</v>
      </c>
      <c r="Q285" s="357"/>
    </row>
    <row r="286" spans="1:17" x14ac:dyDescent="0.3">
      <c r="A286" t="s">
        <v>874</v>
      </c>
      <c r="B286" s="475" t="s">
        <v>950</v>
      </c>
      <c r="C286" s="210" t="s">
        <v>675</v>
      </c>
      <c r="D286" s="212">
        <v>17</v>
      </c>
      <c r="E286" s="213">
        <v>8</v>
      </c>
      <c r="F286" s="213">
        <v>5</v>
      </c>
      <c r="G286" s="213">
        <f t="shared" si="6"/>
        <v>13</v>
      </c>
      <c r="H286" s="213">
        <v>6</v>
      </c>
      <c r="I286" s="213">
        <v>1</v>
      </c>
      <c r="J286" s="213" t="s">
        <v>107</v>
      </c>
      <c r="K286" s="213" t="s">
        <v>107</v>
      </c>
      <c r="L286" s="213" t="s">
        <v>107</v>
      </c>
      <c r="M286" s="213" t="s">
        <v>107</v>
      </c>
      <c r="N286" s="213">
        <v>1</v>
      </c>
      <c r="O286" s="213">
        <v>1</v>
      </c>
      <c r="P286" s="213" t="s">
        <v>107</v>
      </c>
      <c r="Q286" s="357"/>
    </row>
    <row r="287" spans="1:17" x14ac:dyDescent="0.3">
      <c r="A287" t="s">
        <v>874</v>
      </c>
      <c r="B287" s="475" t="s">
        <v>950</v>
      </c>
      <c r="C287" s="210" t="s">
        <v>278</v>
      </c>
      <c r="D287" s="168">
        <v>13</v>
      </c>
      <c r="E287" s="119">
        <v>2</v>
      </c>
      <c r="F287" s="119">
        <v>2</v>
      </c>
      <c r="G287" s="119">
        <f t="shared" si="6"/>
        <v>4</v>
      </c>
      <c r="H287" s="119">
        <v>33</v>
      </c>
      <c r="I287" s="119">
        <v>1</v>
      </c>
      <c r="J287" s="119" t="s">
        <v>107</v>
      </c>
      <c r="K287" s="119" t="s">
        <v>107</v>
      </c>
      <c r="L287" s="119" t="s">
        <v>107</v>
      </c>
      <c r="M287" s="119" t="s">
        <v>107</v>
      </c>
      <c r="N287" s="119" t="s">
        <v>107</v>
      </c>
      <c r="O287" s="119" t="s">
        <v>107</v>
      </c>
      <c r="P287" s="119" t="s">
        <v>107</v>
      </c>
      <c r="Q287" s="357"/>
    </row>
    <row r="288" spans="1:17" x14ac:dyDescent="0.3">
      <c r="A288" t="s">
        <v>874</v>
      </c>
      <c r="B288" s="475" t="s">
        <v>950</v>
      </c>
      <c r="C288" s="210" t="s">
        <v>279</v>
      </c>
      <c r="D288" s="212">
        <v>18</v>
      </c>
      <c r="E288" s="213">
        <v>9</v>
      </c>
      <c r="F288" s="213">
        <v>2</v>
      </c>
      <c r="G288" s="213">
        <f t="shared" si="6"/>
        <v>11</v>
      </c>
      <c r="H288" s="213">
        <v>2</v>
      </c>
      <c r="I288" s="213">
        <v>1</v>
      </c>
      <c r="J288" s="213">
        <v>2</v>
      </c>
      <c r="K288" s="213" t="s">
        <v>107</v>
      </c>
      <c r="L288" s="213" t="s">
        <v>107</v>
      </c>
      <c r="M288" s="213" t="s">
        <v>107</v>
      </c>
      <c r="N288" s="213" t="s">
        <v>107</v>
      </c>
      <c r="O288" s="213" t="s">
        <v>107</v>
      </c>
      <c r="P288" s="213" t="s">
        <v>107</v>
      </c>
      <c r="Q288" s="357"/>
    </row>
    <row r="289" spans="1:17" x14ac:dyDescent="0.3">
      <c r="A289" t="s">
        <v>874</v>
      </c>
      <c r="B289" s="475" t="s">
        <v>950</v>
      </c>
      <c r="C289" s="210" t="s">
        <v>47</v>
      </c>
      <c r="D289" s="168">
        <v>14</v>
      </c>
      <c r="E289" s="119">
        <v>0</v>
      </c>
      <c r="F289" s="119">
        <v>0</v>
      </c>
      <c r="G289" s="119">
        <f t="shared" si="6"/>
        <v>0</v>
      </c>
      <c r="H289" s="119">
        <v>0</v>
      </c>
      <c r="I289" s="119" t="s">
        <v>107</v>
      </c>
      <c r="J289" s="119" t="s">
        <v>107</v>
      </c>
      <c r="K289" s="119" t="s">
        <v>107</v>
      </c>
      <c r="L289" s="119" t="s">
        <v>107</v>
      </c>
      <c r="M289" s="119" t="s">
        <v>107</v>
      </c>
      <c r="N289" s="119" t="s">
        <v>107</v>
      </c>
      <c r="O289" s="119" t="s">
        <v>107</v>
      </c>
      <c r="P289" s="119" t="s">
        <v>107</v>
      </c>
      <c r="Q289" s="357"/>
    </row>
    <row r="290" spans="1:17" x14ac:dyDescent="0.3">
      <c r="B290" s="475"/>
      <c r="C290" s="210"/>
      <c r="D290" s="212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357"/>
    </row>
    <row r="291" spans="1:17" x14ac:dyDescent="0.3">
      <c r="B291" s="475"/>
      <c r="C291" s="211"/>
      <c r="D291" s="168"/>
      <c r="E291" s="119"/>
      <c r="F291" s="119"/>
      <c r="G291" s="178"/>
      <c r="H291" s="119"/>
      <c r="I291" s="119"/>
      <c r="J291" s="119"/>
      <c r="K291" s="119"/>
      <c r="L291" s="119"/>
      <c r="M291" s="119"/>
      <c r="N291" s="119"/>
      <c r="O291" s="119"/>
      <c r="P291" s="119"/>
      <c r="Q291" s="357"/>
    </row>
  </sheetData>
  <phoneticPr fontId="98" type="noConversion"/>
  <pageMargins left="0.25" right="0.25" top="0.75" bottom="0.75" header="0.3" footer="0.3"/>
  <pageSetup paperSize="9" scale="13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DAD0-0834-4790-997D-AD058CC04687}">
  <sheetPr>
    <tabColor rgb="FF92D050"/>
  </sheetPr>
  <dimension ref="B1:N29"/>
  <sheetViews>
    <sheetView tabSelected="1" workbookViewId="0">
      <selection activeCell="D36" sqref="D36"/>
    </sheetView>
  </sheetViews>
  <sheetFormatPr defaultRowHeight="14.4" x14ac:dyDescent="0.3"/>
  <cols>
    <col min="2" max="2" width="9.6640625" bestFit="1" customWidth="1"/>
    <col min="3" max="3" width="18.6640625" bestFit="1" customWidth="1"/>
    <col min="4" max="4" width="23.21875" bestFit="1" customWidth="1"/>
  </cols>
  <sheetData>
    <row r="1" spans="2:13" ht="15" thickBot="1" x14ac:dyDescent="0.35">
      <c r="B1" t="s">
        <v>682</v>
      </c>
      <c r="C1" t="s">
        <v>2815</v>
      </c>
      <c r="D1" t="s">
        <v>2005</v>
      </c>
      <c r="E1" s="480" t="s">
        <v>877</v>
      </c>
      <c r="F1" s="481" t="s">
        <v>2043</v>
      </c>
      <c r="G1" s="481" t="s">
        <v>2078</v>
      </c>
      <c r="H1" s="481" t="s">
        <v>991</v>
      </c>
      <c r="I1" s="481" t="s">
        <v>993</v>
      </c>
      <c r="J1" s="481" t="s">
        <v>990</v>
      </c>
      <c r="K1" s="482" t="s">
        <v>2044</v>
      </c>
      <c r="L1" s="357" t="s">
        <v>534</v>
      </c>
      <c r="M1" s="1327" t="s">
        <v>535</v>
      </c>
    </row>
    <row r="2" spans="2:13" x14ac:dyDescent="0.3">
      <c r="B2" t="s">
        <v>2489</v>
      </c>
      <c r="C2" t="s">
        <v>2759</v>
      </c>
      <c r="D2" s="478" t="s">
        <v>2816</v>
      </c>
      <c r="E2" s="687">
        <v>14</v>
      </c>
      <c r="F2" s="1271">
        <f>1-I2/H2</f>
        <v>0.81886792452830193</v>
      </c>
      <c r="G2" s="687">
        <f>I2/E2</f>
        <v>3.4285714285714284</v>
      </c>
      <c r="H2" s="687">
        <v>265</v>
      </c>
      <c r="I2" s="687">
        <v>48</v>
      </c>
      <c r="J2" s="687">
        <v>8</v>
      </c>
      <c r="K2" s="687">
        <v>0</v>
      </c>
      <c r="L2" s="357">
        <v>0</v>
      </c>
      <c r="M2" s="1328">
        <v>0</v>
      </c>
    </row>
    <row r="3" spans="2:13" x14ac:dyDescent="0.3">
      <c r="B3" t="s">
        <v>2489</v>
      </c>
      <c r="C3" t="s">
        <v>2759</v>
      </c>
      <c r="D3" s="479" t="s">
        <v>2817</v>
      </c>
      <c r="E3" s="688">
        <v>8</v>
      </c>
      <c r="F3" s="1272">
        <f>1-I3/H3</f>
        <v>0.7484276729559749</v>
      </c>
      <c r="G3" s="688">
        <f>I3/E3</f>
        <v>5</v>
      </c>
      <c r="H3" s="688">
        <v>159</v>
      </c>
      <c r="I3" s="688">
        <v>40</v>
      </c>
      <c r="J3" s="688">
        <v>1</v>
      </c>
      <c r="K3" s="688">
        <v>0</v>
      </c>
      <c r="L3" s="357">
        <v>0</v>
      </c>
      <c r="M3" s="1328">
        <v>0</v>
      </c>
    </row>
    <row r="4" spans="2:13" x14ac:dyDescent="0.3">
      <c r="B4" t="s">
        <v>2372</v>
      </c>
      <c r="C4" t="s">
        <v>2486</v>
      </c>
      <c r="D4" s="478" t="s">
        <v>2816</v>
      </c>
      <c r="E4" s="687">
        <v>10</v>
      </c>
      <c r="F4" s="1271">
        <f>1-I4/H4</f>
        <v>0.90243902439024393</v>
      </c>
      <c r="G4" s="687">
        <f>I4/E4</f>
        <v>1.2</v>
      </c>
      <c r="H4" s="687">
        <v>123</v>
      </c>
      <c r="I4" s="687">
        <v>12</v>
      </c>
      <c r="J4" s="687">
        <v>7</v>
      </c>
      <c r="K4" s="687">
        <v>3</v>
      </c>
      <c r="L4" s="357">
        <v>0</v>
      </c>
      <c r="M4" s="1328">
        <v>0</v>
      </c>
    </row>
    <row r="5" spans="2:13" x14ac:dyDescent="0.3">
      <c r="B5" t="s">
        <v>2372</v>
      </c>
      <c r="C5" t="s">
        <v>2486</v>
      </c>
      <c r="D5" s="479" t="s">
        <v>2817</v>
      </c>
      <c r="E5" s="688">
        <v>10</v>
      </c>
      <c r="F5" s="1272">
        <f>1-I5/H5</f>
        <v>0.67619047619047623</v>
      </c>
      <c r="G5" s="688">
        <f>I5/E5</f>
        <v>3.4</v>
      </c>
      <c r="H5" s="688">
        <v>105</v>
      </c>
      <c r="I5" s="688">
        <v>34</v>
      </c>
      <c r="J5" s="688">
        <v>7</v>
      </c>
      <c r="K5" s="688">
        <v>0</v>
      </c>
      <c r="L5" s="357">
        <v>0</v>
      </c>
      <c r="M5" s="1328">
        <v>0</v>
      </c>
    </row>
    <row r="6" spans="2:13" x14ac:dyDescent="0.3">
      <c r="B6" t="s">
        <v>2372</v>
      </c>
      <c r="C6" t="s">
        <v>2487</v>
      </c>
      <c r="D6" s="478" t="s">
        <v>2816</v>
      </c>
      <c r="E6" s="687">
        <v>4</v>
      </c>
      <c r="F6" s="1271">
        <f>1-I6/H6</f>
        <v>0.90909090909090906</v>
      </c>
      <c r="G6" s="687">
        <f>I6/E6</f>
        <v>2</v>
      </c>
      <c r="H6" s="687">
        <v>88</v>
      </c>
      <c r="I6" s="687">
        <v>8</v>
      </c>
      <c r="J6" s="687">
        <v>3</v>
      </c>
      <c r="K6" s="687">
        <v>0</v>
      </c>
      <c r="L6" s="357">
        <v>0</v>
      </c>
      <c r="M6" s="1328">
        <v>0</v>
      </c>
    </row>
    <row r="7" spans="2:13" x14ac:dyDescent="0.3">
      <c r="B7" t="s">
        <v>2372</v>
      </c>
      <c r="C7" t="s">
        <v>2487</v>
      </c>
      <c r="D7" s="479" t="s">
        <v>2817</v>
      </c>
      <c r="E7" s="688">
        <v>0</v>
      </c>
      <c r="F7" s="688"/>
      <c r="G7" s="688"/>
      <c r="H7" s="688"/>
      <c r="I7" s="688"/>
      <c r="J7" s="688"/>
      <c r="K7" s="688"/>
      <c r="L7" s="357">
        <v>0</v>
      </c>
      <c r="M7" s="1328">
        <v>0</v>
      </c>
    </row>
    <row r="8" spans="2:13" x14ac:dyDescent="0.3">
      <c r="B8" t="s">
        <v>2372</v>
      </c>
      <c r="C8" t="s">
        <v>2487</v>
      </c>
      <c r="D8" s="478" t="s">
        <v>2816</v>
      </c>
      <c r="E8" s="687">
        <f>'Maalivahdit-tilastot'!E4+'Maalivahdit-tilastot'!E6</f>
        <v>14</v>
      </c>
      <c r="F8" s="1271">
        <f>1-I8/H8</f>
        <v>0.90521327014218012</v>
      </c>
      <c r="G8" s="1273">
        <f>I8/E8</f>
        <v>1.4285714285714286</v>
      </c>
      <c r="H8" s="687">
        <f>'Maalivahdit-tilastot'!H4+'Maalivahdit-tilastot'!H6</f>
        <v>211</v>
      </c>
      <c r="I8" s="687">
        <f>'Maalivahdit-tilastot'!I4+'Maalivahdit-tilastot'!I6</f>
        <v>20</v>
      </c>
      <c r="J8" s="687">
        <f>'Maalivahdit-tilastot'!J4+'Maalivahdit-tilastot'!J6</f>
        <v>10</v>
      </c>
      <c r="K8" s="687">
        <f>'Maalivahdit-tilastot'!K4+'Maalivahdit-tilastot'!K6</f>
        <v>3</v>
      </c>
      <c r="L8" s="357">
        <v>0</v>
      </c>
      <c r="M8" s="1328">
        <v>0</v>
      </c>
    </row>
    <row r="9" spans="2:13" x14ac:dyDescent="0.3">
      <c r="B9" t="s">
        <v>2372</v>
      </c>
      <c r="C9" t="s">
        <v>2487</v>
      </c>
      <c r="D9" s="479" t="s">
        <v>2817</v>
      </c>
      <c r="E9" s="688">
        <f>'Maalivahdit-tilastot'!E5+'Maalivahdit-tilastot'!E7</f>
        <v>10</v>
      </c>
      <c r="F9" s="1272">
        <f>1-I9/H9</f>
        <v>0.67619047619047623</v>
      </c>
      <c r="G9" s="688">
        <f>I9/E9</f>
        <v>3.4</v>
      </c>
      <c r="H9" s="688">
        <f>'Maalivahdit-tilastot'!H5+'Maalivahdit-tilastot'!H7</f>
        <v>105</v>
      </c>
      <c r="I9" s="688">
        <f>'Maalivahdit-tilastot'!I5+'Maalivahdit-tilastot'!I7</f>
        <v>34</v>
      </c>
      <c r="J9" s="688">
        <f>'Maalivahdit-tilastot'!J5+'Maalivahdit-tilastot'!J7</f>
        <v>7</v>
      </c>
      <c r="K9" s="688">
        <f>'Maalivahdit-tilastot'!K5+'Maalivahdit-tilastot'!K7</f>
        <v>0</v>
      </c>
      <c r="L9" s="357">
        <v>0</v>
      </c>
      <c r="M9" s="1328">
        <v>0</v>
      </c>
    </row>
    <row r="10" spans="2:13" x14ac:dyDescent="0.3">
      <c r="B10" t="s">
        <v>2153</v>
      </c>
      <c r="C10" t="s">
        <v>1946</v>
      </c>
      <c r="D10" s="478" t="s">
        <v>2816</v>
      </c>
      <c r="E10" s="687">
        <v>12</v>
      </c>
      <c r="F10" s="687">
        <v>81.59</v>
      </c>
      <c r="G10" s="687">
        <v>4.8899999999999997</v>
      </c>
      <c r="H10" s="687">
        <v>195</v>
      </c>
      <c r="I10" s="687">
        <v>44</v>
      </c>
      <c r="J10" s="687">
        <v>6</v>
      </c>
      <c r="K10" s="286">
        <v>1</v>
      </c>
      <c r="L10" s="357">
        <v>0</v>
      </c>
      <c r="M10" s="1328">
        <v>0</v>
      </c>
    </row>
    <row r="11" spans="2:13" x14ac:dyDescent="0.3">
      <c r="B11" t="s">
        <v>2153</v>
      </c>
      <c r="C11" t="s">
        <v>1946</v>
      </c>
      <c r="D11" s="479" t="s">
        <v>2817</v>
      </c>
      <c r="E11" s="688">
        <v>12</v>
      </c>
      <c r="F11" s="688">
        <v>75</v>
      </c>
      <c r="G11" s="688">
        <v>6.12</v>
      </c>
      <c r="H11" s="688">
        <v>165</v>
      </c>
      <c r="I11" s="688">
        <v>55</v>
      </c>
      <c r="J11" s="688">
        <v>4</v>
      </c>
      <c r="K11" s="688">
        <v>0</v>
      </c>
      <c r="L11" s="357">
        <v>0</v>
      </c>
      <c r="M11" s="1328">
        <v>0</v>
      </c>
    </row>
    <row r="12" spans="2:13" x14ac:dyDescent="0.3">
      <c r="B12" t="s">
        <v>2152</v>
      </c>
      <c r="C12" t="s">
        <v>2228</v>
      </c>
      <c r="D12" s="478" t="s">
        <v>2818</v>
      </c>
      <c r="E12" s="687">
        <v>18</v>
      </c>
      <c r="F12" s="687">
        <v>79.319999999999993</v>
      </c>
      <c r="G12" s="687">
        <v>7.22</v>
      </c>
      <c r="H12" s="687">
        <v>372</v>
      </c>
      <c r="I12" s="687">
        <v>97</v>
      </c>
      <c r="J12" s="687">
        <v>5</v>
      </c>
      <c r="K12" s="286">
        <v>1</v>
      </c>
      <c r="L12" s="357">
        <v>0</v>
      </c>
      <c r="M12" s="1328">
        <v>0</v>
      </c>
    </row>
    <row r="13" spans="2:13" x14ac:dyDescent="0.3">
      <c r="B13" t="s">
        <v>2152</v>
      </c>
      <c r="C13" t="s">
        <v>1834</v>
      </c>
      <c r="D13" s="478" t="s">
        <v>2818</v>
      </c>
      <c r="E13" s="687">
        <v>1</v>
      </c>
      <c r="F13" s="687">
        <v>0</v>
      </c>
      <c r="G13" s="687">
        <v>4.0999999999999996</v>
      </c>
      <c r="H13" s="687">
        <v>0</v>
      </c>
      <c r="I13" s="687">
        <v>3</v>
      </c>
      <c r="J13" s="687">
        <v>0</v>
      </c>
      <c r="K13" s="286">
        <v>0</v>
      </c>
      <c r="L13" s="357">
        <v>0</v>
      </c>
      <c r="M13" s="1328">
        <v>0</v>
      </c>
    </row>
    <row r="14" spans="2:13" x14ac:dyDescent="0.3">
      <c r="B14" t="s">
        <v>2115</v>
      </c>
      <c r="C14" t="s">
        <v>2226</v>
      </c>
      <c r="D14" s="478" t="s">
        <v>2818</v>
      </c>
      <c r="E14" s="687">
        <v>2</v>
      </c>
      <c r="F14" s="687">
        <v>63.33</v>
      </c>
      <c r="G14" s="687">
        <v>14.67</v>
      </c>
      <c r="H14" s="687">
        <v>38</v>
      </c>
      <c r="I14" s="687">
        <v>22</v>
      </c>
      <c r="J14" s="687">
        <v>0</v>
      </c>
      <c r="K14" s="286">
        <v>0</v>
      </c>
      <c r="L14" s="357">
        <v>0</v>
      </c>
      <c r="M14" s="1328">
        <v>0</v>
      </c>
    </row>
    <row r="15" spans="2:13" x14ac:dyDescent="0.3">
      <c r="B15" t="s">
        <v>2006</v>
      </c>
      <c r="C15" t="s">
        <v>2074</v>
      </c>
      <c r="D15" s="478" t="s">
        <v>2819</v>
      </c>
      <c r="E15" s="687">
        <v>2</v>
      </c>
      <c r="F15" s="687">
        <v>92.31</v>
      </c>
      <c r="G15" s="687">
        <v>1.33</v>
      </c>
      <c r="H15" s="687">
        <v>24</v>
      </c>
      <c r="I15" s="687">
        <v>2</v>
      </c>
      <c r="J15" s="687">
        <v>2</v>
      </c>
      <c r="K15" s="286">
        <v>0</v>
      </c>
      <c r="L15" s="357">
        <v>0</v>
      </c>
      <c r="M15" s="1328">
        <v>0</v>
      </c>
    </row>
    <row r="16" spans="2:13" x14ac:dyDescent="0.3">
      <c r="B16" t="s">
        <v>2006</v>
      </c>
      <c r="C16" t="s">
        <v>2074</v>
      </c>
      <c r="D16" s="479" t="s">
        <v>2818</v>
      </c>
      <c r="E16" s="688">
        <v>14</v>
      </c>
      <c r="F16" s="688">
        <v>76.959999999999994</v>
      </c>
      <c r="G16" s="688">
        <v>4.82</v>
      </c>
      <c r="H16" s="688">
        <v>177</v>
      </c>
      <c r="I16" s="688">
        <v>53</v>
      </c>
      <c r="J16" s="688">
        <v>10</v>
      </c>
      <c r="K16" s="1019">
        <v>0</v>
      </c>
      <c r="L16" s="357">
        <v>0</v>
      </c>
      <c r="M16" s="1328">
        <v>0</v>
      </c>
    </row>
    <row r="17" spans="2:14" x14ac:dyDescent="0.3">
      <c r="B17" t="s">
        <v>2006</v>
      </c>
      <c r="C17" t="s">
        <v>2007</v>
      </c>
      <c r="D17" s="478" t="s">
        <v>2818</v>
      </c>
      <c r="E17" s="687">
        <v>3</v>
      </c>
      <c r="F17" s="687">
        <v>75.38</v>
      </c>
      <c r="G17" s="687">
        <v>7.21</v>
      </c>
      <c r="H17" s="687">
        <v>49</v>
      </c>
      <c r="I17" s="687">
        <v>16</v>
      </c>
      <c r="J17" s="687">
        <v>1</v>
      </c>
      <c r="K17" s="286">
        <v>0</v>
      </c>
      <c r="L17" s="357">
        <v>0</v>
      </c>
      <c r="M17" s="1328">
        <v>0</v>
      </c>
    </row>
    <row r="18" spans="2:14" x14ac:dyDescent="0.3">
      <c r="B18" t="s">
        <v>1490</v>
      </c>
      <c r="C18" t="s">
        <v>950</v>
      </c>
      <c r="D18" t="s">
        <v>946</v>
      </c>
      <c r="E18">
        <v>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357">
        <v>1</v>
      </c>
      <c r="M18" s="1328">
        <v>0</v>
      </c>
    </row>
    <row r="19" spans="2:14" x14ac:dyDescent="0.3">
      <c r="B19" t="s">
        <v>1490</v>
      </c>
      <c r="C19" t="s">
        <v>950</v>
      </c>
      <c r="D19" t="s">
        <v>100</v>
      </c>
      <c r="E19">
        <v>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357">
        <v>0</v>
      </c>
      <c r="M19" s="1328">
        <v>0</v>
      </c>
    </row>
    <row r="20" spans="2:14" x14ac:dyDescent="0.3">
      <c r="B20" t="s">
        <v>1818</v>
      </c>
      <c r="C20" t="s">
        <v>1946</v>
      </c>
      <c r="D20" t="s">
        <v>1660</v>
      </c>
      <c r="E20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357">
        <v>0</v>
      </c>
      <c r="M20" s="1328">
        <v>2</v>
      </c>
    </row>
    <row r="21" spans="2:14" x14ac:dyDescent="0.3">
      <c r="B21" t="s">
        <v>1818</v>
      </c>
      <c r="C21" t="s">
        <v>1982</v>
      </c>
      <c r="D21" t="s">
        <v>1660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357">
        <v>0</v>
      </c>
      <c r="M21" s="1328">
        <v>0</v>
      </c>
    </row>
    <row r="22" spans="2:14" x14ac:dyDescent="0.3">
      <c r="B22" t="s">
        <v>1635</v>
      </c>
      <c r="C22" t="s">
        <v>950</v>
      </c>
      <c r="D22" t="s">
        <v>1597</v>
      </c>
      <c r="E22">
        <v>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357">
        <v>0</v>
      </c>
      <c r="M22" s="1328">
        <v>0</v>
      </c>
    </row>
    <row r="23" spans="2:14" x14ac:dyDescent="0.3">
      <c r="B23" t="s">
        <v>1513</v>
      </c>
      <c r="C23" t="s">
        <v>950</v>
      </c>
      <c r="D23" t="s">
        <v>1597</v>
      </c>
      <c r="E23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357">
        <v>0</v>
      </c>
      <c r="M23" s="1328">
        <v>0</v>
      </c>
    </row>
    <row r="24" spans="2:14" x14ac:dyDescent="0.3">
      <c r="B24" t="s">
        <v>1385</v>
      </c>
      <c r="C24" t="s">
        <v>950</v>
      </c>
      <c r="D24" t="s">
        <v>1104</v>
      </c>
      <c r="E24">
        <v>18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 s="357">
        <v>0</v>
      </c>
      <c r="M24" s="1328">
        <v>0</v>
      </c>
    </row>
    <row r="25" spans="2:14" x14ac:dyDescent="0.3">
      <c r="B25" t="s">
        <v>1102</v>
      </c>
      <c r="C25" t="s">
        <v>950</v>
      </c>
      <c r="D25" t="s">
        <v>1104</v>
      </c>
      <c r="E25">
        <v>18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 s="357">
        <v>0</v>
      </c>
      <c r="M25" s="1328">
        <v>0</v>
      </c>
    </row>
    <row r="26" spans="2:14" x14ac:dyDescent="0.3">
      <c r="B26" t="s">
        <v>977</v>
      </c>
      <c r="C26" t="s">
        <v>952</v>
      </c>
      <c r="D26" t="s">
        <v>2823</v>
      </c>
      <c r="E26">
        <v>14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 s="357">
        <v>0</v>
      </c>
      <c r="M26" s="1328">
        <v>0</v>
      </c>
    </row>
    <row r="27" spans="2:14" x14ac:dyDescent="0.3">
      <c r="B27" t="s">
        <v>977</v>
      </c>
      <c r="C27" t="s">
        <v>952</v>
      </c>
      <c r="D27" t="s">
        <v>1104</v>
      </c>
      <c r="E27">
        <v>15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 s="357">
        <v>1</v>
      </c>
      <c r="M27" s="1328">
        <v>0</v>
      </c>
    </row>
    <row r="28" spans="2:14" x14ac:dyDescent="0.3">
      <c r="B28" t="s">
        <v>874</v>
      </c>
      <c r="C28" t="s">
        <v>950</v>
      </c>
      <c r="D28" t="s">
        <v>2823</v>
      </c>
      <c r="E28">
        <v>16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 s="357">
        <v>0</v>
      </c>
      <c r="M28" s="1328">
        <v>0</v>
      </c>
    </row>
    <row r="29" spans="2:14" x14ac:dyDescent="0.3">
      <c r="B29" t="s">
        <v>874</v>
      </c>
      <c r="C29" t="s">
        <v>950</v>
      </c>
      <c r="D29" t="s">
        <v>2824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L29" s="357">
        <v>0</v>
      </c>
      <c r="M29" s="1328">
        <v>0</v>
      </c>
      <c r="N29" t="s">
        <v>107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AK105"/>
  <sheetViews>
    <sheetView zoomScaleNormal="100" workbookViewId="0">
      <pane ySplit="7" topLeftCell="A46" activePane="bottomLeft" state="frozen"/>
      <selection pane="bottomLeft" activeCell="F70" sqref="F70"/>
    </sheetView>
  </sheetViews>
  <sheetFormatPr defaultRowHeight="14.4" x14ac:dyDescent="0.3"/>
  <cols>
    <col min="1" max="1" width="2.88671875" customWidth="1"/>
    <col min="2" max="2" width="33.44140625" customWidth="1"/>
    <col min="3" max="3" width="9" customWidth="1"/>
    <col min="4" max="4" width="1.44140625" customWidth="1"/>
    <col min="5" max="5" width="8.109375" customWidth="1"/>
    <col min="6" max="6" width="8.109375" bestFit="1" customWidth="1"/>
    <col min="7" max="7" width="8.109375" customWidth="1"/>
    <col min="8" max="11" width="8.88671875" customWidth="1"/>
    <col min="12" max="27" width="9" customWidth="1"/>
  </cols>
  <sheetData>
    <row r="1" spans="1:37" x14ac:dyDescent="0.3">
      <c r="A1" s="357"/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</row>
    <row r="2" spans="1:37" ht="36.6" x14ac:dyDescent="0.85">
      <c r="A2" s="357"/>
      <c r="B2" s="379" t="s">
        <v>0</v>
      </c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/>
      <c r="S2" s="377"/>
      <c r="T2" s="377"/>
      <c r="U2" s="381" t="s">
        <v>2</v>
      </c>
      <c r="V2" s="357"/>
      <c r="W2" s="377"/>
      <c r="X2" s="377"/>
      <c r="Y2" s="357"/>
      <c r="Z2" s="357"/>
      <c r="AA2" s="377"/>
      <c r="AB2" s="377"/>
      <c r="AC2" s="377"/>
      <c r="AD2" s="357"/>
      <c r="AE2" s="357"/>
      <c r="AF2" s="357"/>
      <c r="AG2" s="357"/>
      <c r="AH2" s="357"/>
      <c r="AI2" s="357"/>
      <c r="AJ2" s="357"/>
      <c r="AK2" s="357"/>
    </row>
    <row r="3" spans="1:37" ht="21" x14ac:dyDescent="0.4">
      <c r="A3" s="357"/>
      <c r="B3" s="381" t="s">
        <v>989</v>
      </c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465"/>
      <c r="T3" s="381"/>
      <c r="U3" s="381"/>
      <c r="V3" s="381"/>
      <c r="W3" s="381"/>
      <c r="X3" s="381"/>
      <c r="Y3" s="377"/>
      <c r="Z3" s="466"/>
      <c r="AA3" s="467"/>
      <c r="AB3" s="377"/>
      <c r="AC3" s="377"/>
      <c r="AD3" s="357"/>
      <c r="AE3" s="357"/>
      <c r="AF3" s="357"/>
      <c r="AG3" s="357"/>
      <c r="AH3" s="357"/>
      <c r="AI3" s="357"/>
      <c r="AJ3" s="357"/>
      <c r="AK3" s="357"/>
    </row>
    <row r="4" spans="1:37" x14ac:dyDescent="0.3">
      <c r="A4" s="357"/>
      <c r="B4" s="357"/>
      <c r="C4" s="357"/>
      <c r="D4" s="357"/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7"/>
      <c r="AE4" s="357"/>
      <c r="AF4" s="357"/>
      <c r="AG4" s="357"/>
      <c r="AH4" s="357"/>
      <c r="AI4" s="357"/>
      <c r="AJ4" s="357"/>
      <c r="AK4" s="357"/>
    </row>
    <row r="5" spans="1:37" ht="15" thickBot="1" x14ac:dyDescent="0.35">
      <c r="A5" s="357"/>
      <c r="B5" s="357"/>
      <c r="C5" s="357"/>
      <c r="D5" s="357"/>
      <c r="E5" s="357"/>
      <c r="F5" s="357"/>
      <c r="G5" s="357"/>
      <c r="H5" s="357"/>
      <c r="I5" s="357"/>
      <c r="J5" s="357"/>
      <c r="K5" s="357"/>
      <c r="L5" s="357"/>
      <c r="M5" s="357"/>
      <c r="N5" s="357"/>
      <c r="O5" s="357"/>
      <c r="P5" s="357"/>
      <c r="Q5" s="357"/>
      <c r="R5" s="357"/>
      <c r="S5" s="357"/>
      <c r="T5" s="468"/>
      <c r="U5" s="468"/>
      <c r="V5" s="399"/>
      <c r="W5" s="399"/>
      <c r="X5" s="399"/>
      <c r="Y5" s="399"/>
      <c r="Z5" s="399"/>
      <c r="AA5" s="399"/>
      <c r="AB5" s="357"/>
      <c r="AC5" s="357"/>
      <c r="AD5" s="357"/>
      <c r="AE5" s="357"/>
      <c r="AF5" s="357"/>
      <c r="AG5" s="357"/>
      <c r="AH5" s="357"/>
      <c r="AI5" s="357"/>
      <c r="AJ5" s="357"/>
      <c r="AK5" s="357"/>
    </row>
    <row r="6" spans="1:37" x14ac:dyDescent="0.3">
      <c r="A6" s="357"/>
      <c r="B6" s="260" t="s">
        <v>682</v>
      </c>
      <c r="C6" s="182" t="s">
        <v>860</v>
      </c>
      <c r="D6" s="182"/>
      <c r="E6" s="182" t="s">
        <v>2080</v>
      </c>
      <c r="F6" s="182" t="s">
        <v>1834</v>
      </c>
      <c r="G6" s="182" t="s">
        <v>702</v>
      </c>
      <c r="H6" s="182" t="s">
        <v>702</v>
      </c>
      <c r="I6" s="182" t="s">
        <v>1834</v>
      </c>
      <c r="J6" s="182" t="s">
        <v>2080</v>
      </c>
      <c r="K6" s="182" t="s">
        <v>2080</v>
      </c>
      <c r="L6" s="182" t="s">
        <v>702</v>
      </c>
      <c r="M6" s="182" t="s">
        <v>2046</v>
      </c>
      <c r="N6" s="182" t="s">
        <v>1947</v>
      </c>
      <c r="O6" s="182" t="s">
        <v>702</v>
      </c>
      <c r="P6" s="182" t="s">
        <v>702</v>
      </c>
      <c r="Q6" s="182" t="s">
        <v>702</v>
      </c>
      <c r="R6" s="182" t="s">
        <v>702</v>
      </c>
      <c r="S6" s="339" t="s">
        <v>702</v>
      </c>
      <c r="T6" s="182" t="s">
        <v>702</v>
      </c>
      <c r="U6" s="262" t="s">
        <v>703</v>
      </c>
      <c r="V6" s="182" t="s">
        <v>702</v>
      </c>
      <c r="W6" s="182" t="s">
        <v>702</v>
      </c>
      <c r="X6" s="183" t="s">
        <v>702</v>
      </c>
      <c r="Y6" s="182" t="s">
        <v>703</v>
      </c>
      <c r="Z6" s="182" t="s">
        <v>702</v>
      </c>
      <c r="AA6" s="184" t="s">
        <v>703</v>
      </c>
      <c r="AB6" s="357"/>
      <c r="AC6" s="357"/>
      <c r="AD6" s="357"/>
      <c r="AE6" s="357"/>
      <c r="AF6" s="357"/>
      <c r="AG6" s="357"/>
      <c r="AH6" s="357"/>
      <c r="AI6" s="357"/>
      <c r="AJ6" s="357"/>
      <c r="AK6" s="357"/>
    </row>
    <row r="7" spans="1:37" ht="15" thickBot="1" x14ac:dyDescent="0.35">
      <c r="A7" s="357"/>
      <c r="B7" s="342"/>
      <c r="C7" s="280">
        <f>COUNTA(D7:AA7)-4</f>
        <v>19</v>
      </c>
      <c r="D7" s="482"/>
      <c r="E7" s="482" t="s">
        <v>2437</v>
      </c>
      <c r="F7" s="482" t="s">
        <v>2409</v>
      </c>
      <c r="G7" s="482" t="s">
        <v>2409</v>
      </c>
      <c r="H7" s="482" t="s">
        <v>2230</v>
      </c>
      <c r="I7" s="482" t="s">
        <v>2187</v>
      </c>
      <c r="J7" s="482" t="s">
        <v>2187</v>
      </c>
      <c r="K7" s="482" t="s">
        <v>2079</v>
      </c>
      <c r="L7" s="482" t="s">
        <v>2047</v>
      </c>
      <c r="M7" s="482" t="s">
        <v>2047</v>
      </c>
      <c r="N7" s="263" t="s">
        <v>1817</v>
      </c>
      <c r="O7" s="263" t="s">
        <v>1817</v>
      </c>
      <c r="P7" s="263" t="s">
        <v>1662</v>
      </c>
      <c r="Q7" s="263" t="s">
        <v>1589</v>
      </c>
      <c r="R7" s="263" t="s">
        <v>1406</v>
      </c>
      <c r="S7" s="340" t="s">
        <v>1146</v>
      </c>
      <c r="T7" s="185" t="s">
        <v>1079</v>
      </c>
      <c r="U7" s="261" t="s">
        <v>884</v>
      </c>
      <c r="V7" s="185" t="s">
        <v>844</v>
      </c>
      <c r="W7" s="185" t="s">
        <v>701</v>
      </c>
      <c r="X7" s="186" t="s">
        <v>580</v>
      </c>
      <c r="Y7" s="185" t="s">
        <v>261</v>
      </c>
      <c r="Z7" s="185" t="s">
        <v>177</v>
      </c>
      <c r="AA7" s="187" t="s">
        <v>178</v>
      </c>
      <c r="AB7" s="377"/>
      <c r="AC7" s="377"/>
      <c r="AD7" s="357"/>
      <c r="AE7" s="357"/>
      <c r="AF7" s="357"/>
      <c r="AG7" s="357"/>
      <c r="AH7" s="357"/>
      <c r="AI7" s="357"/>
      <c r="AJ7" s="357"/>
      <c r="AK7" s="357"/>
    </row>
    <row r="8" spans="1:37" x14ac:dyDescent="0.3">
      <c r="A8" s="357"/>
      <c r="B8" s="188" t="s">
        <v>516</v>
      </c>
      <c r="C8" s="174">
        <f>SUM(D8:AA8)</f>
        <v>351</v>
      </c>
      <c r="D8" s="285"/>
      <c r="E8" s="285">
        <v>22</v>
      </c>
      <c r="F8" s="694">
        <v>4</v>
      </c>
      <c r="G8" s="694">
        <v>20</v>
      </c>
      <c r="H8" s="694">
        <v>24</v>
      </c>
      <c r="I8" s="694">
        <v>1</v>
      </c>
      <c r="J8" s="694">
        <v>18</v>
      </c>
      <c r="K8" s="694">
        <v>2</v>
      </c>
      <c r="L8" s="694">
        <v>16</v>
      </c>
      <c r="M8" s="694">
        <v>3</v>
      </c>
      <c r="N8" s="694">
        <v>3</v>
      </c>
      <c r="O8" s="694">
        <v>21</v>
      </c>
      <c r="P8" s="694">
        <f>SUM(P9:P11)</f>
        <v>16</v>
      </c>
      <c r="Q8" s="694">
        <f>SUM(Q9:Q11)</f>
        <v>16</v>
      </c>
      <c r="R8" s="694">
        <v>20</v>
      </c>
      <c r="S8" s="345">
        <f>SUM(S9:S11)</f>
        <v>18</v>
      </c>
      <c r="T8" s="177">
        <v>18</v>
      </c>
      <c r="U8" s="232">
        <v>18</v>
      </c>
      <c r="V8" s="177">
        <v>18</v>
      </c>
      <c r="W8" s="177">
        <v>18</v>
      </c>
      <c r="X8" s="117">
        <v>18</v>
      </c>
      <c r="Y8" s="117">
        <v>18</v>
      </c>
      <c r="Z8" s="117">
        <v>18</v>
      </c>
      <c r="AA8" s="118">
        <v>21</v>
      </c>
      <c r="AB8" s="357"/>
      <c r="AC8" s="357"/>
      <c r="AD8" s="357"/>
      <c r="AE8" s="357"/>
      <c r="AF8" s="357"/>
      <c r="AG8" s="357"/>
      <c r="AH8" s="357"/>
      <c r="AI8" s="357"/>
      <c r="AJ8" s="357"/>
      <c r="AK8" s="357"/>
    </row>
    <row r="9" spans="1:37" x14ac:dyDescent="0.3">
      <c r="A9" s="357"/>
      <c r="B9" s="189" t="s">
        <v>135</v>
      </c>
      <c r="C9" s="175">
        <f>SUM(D9:AA9)</f>
        <v>181</v>
      </c>
      <c r="D9" s="351"/>
      <c r="E9" s="351">
        <v>9</v>
      </c>
      <c r="F9" s="861">
        <v>3</v>
      </c>
      <c r="G9" s="861">
        <v>14</v>
      </c>
      <c r="H9" s="861">
        <v>10</v>
      </c>
      <c r="I9" s="861">
        <v>0</v>
      </c>
      <c r="J9" s="861">
        <v>5</v>
      </c>
      <c r="K9" s="861">
        <v>0</v>
      </c>
      <c r="L9" s="861">
        <v>12</v>
      </c>
      <c r="M9" s="861">
        <v>1</v>
      </c>
      <c r="N9" s="861">
        <v>1</v>
      </c>
      <c r="O9" s="861">
        <v>18</v>
      </c>
      <c r="P9" s="861">
        <f>'17-18J'!$H$60</f>
        <v>5</v>
      </c>
      <c r="Q9" s="695">
        <f>'16-17J'!$H$60</f>
        <v>6</v>
      </c>
      <c r="R9" s="695">
        <v>7</v>
      </c>
      <c r="S9" s="346">
        <v>11</v>
      </c>
      <c r="T9" s="178">
        <v>9</v>
      </c>
      <c r="U9" s="231">
        <v>13</v>
      </c>
      <c r="V9" s="178">
        <v>7</v>
      </c>
      <c r="W9" s="178">
        <v>11</v>
      </c>
      <c r="X9" s="119">
        <v>6</v>
      </c>
      <c r="Y9" s="119">
        <v>14</v>
      </c>
      <c r="Z9" s="119">
        <v>5</v>
      </c>
      <c r="AA9" s="120">
        <v>14</v>
      </c>
      <c r="AB9" s="357"/>
      <c r="AC9" s="357"/>
      <c r="AD9" s="357"/>
      <c r="AE9" s="357"/>
      <c r="AF9" s="357"/>
      <c r="AG9" s="357"/>
      <c r="AH9" s="357"/>
      <c r="AI9" s="357"/>
      <c r="AJ9" s="357"/>
      <c r="AK9" s="357"/>
    </row>
    <row r="10" spans="1:37" x14ac:dyDescent="0.3">
      <c r="A10" s="357"/>
      <c r="B10" s="189" t="s">
        <v>137</v>
      </c>
      <c r="C10" s="175">
        <f>SUM(D10:AA10)</f>
        <v>35</v>
      </c>
      <c r="D10" s="351"/>
      <c r="E10" s="351">
        <v>1</v>
      </c>
      <c r="F10" s="861">
        <v>1</v>
      </c>
      <c r="G10" s="861">
        <v>4</v>
      </c>
      <c r="H10" s="861">
        <v>2</v>
      </c>
      <c r="I10" s="861">
        <v>0</v>
      </c>
      <c r="J10" s="861">
        <v>3</v>
      </c>
      <c r="K10" s="861">
        <v>0</v>
      </c>
      <c r="L10" s="861">
        <v>0</v>
      </c>
      <c r="M10" s="861">
        <v>0</v>
      </c>
      <c r="N10" s="861">
        <v>0</v>
      </c>
      <c r="O10" s="861">
        <v>0</v>
      </c>
      <c r="P10" s="861">
        <f>'17-18J'!$H$61</f>
        <v>1</v>
      </c>
      <c r="Q10" s="695">
        <f>'16-17J'!$H$61</f>
        <v>2</v>
      </c>
      <c r="R10" s="695">
        <v>5</v>
      </c>
      <c r="S10" s="346">
        <v>2</v>
      </c>
      <c r="T10" s="178">
        <v>1</v>
      </c>
      <c r="U10" s="231">
        <v>1</v>
      </c>
      <c r="V10" s="178">
        <v>3</v>
      </c>
      <c r="W10" s="178">
        <v>3</v>
      </c>
      <c r="X10" s="119">
        <v>1</v>
      </c>
      <c r="Y10" s="119">
        <v>0</v>
      </c>
      <c r="Z10" s="119">
        <v>2</v>
      </c>
      <c r="AA10" s="120">
        <v>3</v>
      </c>
      <c r="AB10" s="357"/>
      <c r="AC10" s="357"/>
      <c r="AD10" s="357"/>
      <c r="AE10" s="357"/>
      <c r="AF10" s="357"/>
      <c r="AG10" s="357"/>
      <c r="AH10" s="357"/>
      <c r="AI10" s="357"/>
      <c r="AJ10" s="357"/>
      <c r="AK10" s="357"/>
    </row>
    <row r="11" spans="1:37" x14ac:dyDescent="0.3">
      <c r="A11" s="357"/>
      <c r="B11" s="189" t="s">
        <v>136</v>
      </c>
      <c r="C11" s="175">
        <f>SUM(D11:AA11)</f>
        <v>135</v>
      </c>
      <c r="D11" s="351"/>
      <c r="E11" s="351">
        <v>12</v>
      </c>
      <c r="F11" s="861">
        <v>0</v>
      </c>
      <c r="G11" s="861">
        <v>2</v>
      </c>
      <c r="H11" s="861">
        <v>12</v>
      </c>
      <c r="I11" s="861">
        <v>1</v>
      </c>
      <c r="J11" s="861">
        <v>10</v>
      </c>
      <c r="K11" s="861">
        <v>2</v>
      </c>
      <c r="L11" s="861">
        <v>4</v>
      </c>
      <c r="M11" s="861">
        <v>2</v>
      </c>
      <c r="N11" s="861">
        <v>2</v>
      </c>
      <c r="O11" s="861">
        <v>3</v>
      </c>
      <c r="P11" s="861">
        <f>'17-18J'!$H$62</f>
        <v>10</v>
      </c>
      <c r="Q11" s="695">
        <f>'16-17J'!$H$62</f>
        <v>8</v>
      </c>
      <c r="R11" s="695">
        <v>8</v>
      </c>
      <c r="S11" s="346">
        <v>5</v>
      </c>
      <c r="T11" s="178">
        <v>8</v>
      </c>
      <c r="U11" s="231">
        <v>4</v>
      </c>
      <c r="V11" s="178">
        <v>8</v>
      </c>
      <c r="W11" s="178">
        <v>4</v>
      </c>
      <c r="X11" s="119">
        <v>11</v>
      </c>
      <c r="Y11" s="119">
        <v>4</v>
      </c>
      <c r="Z11" s="119">
        <v>11</v>
      </c>
      <c r="AA11" s="120">
        <v>4</v>
      </c>
      <c r="AB11" s="357"/>
      <c r="AC11" s="357"/>
      <c r="AD11" s="357"/>
      <c r="AE11" s="357"/>
      <c r="AF11" s="357"/>
      <c r="AG11" s="357"/>
      <c r="AH11" s="357"/>
      <c r="AI11" s="357"/>
      <c r="AJ11" s="357"/>
      <c r="AK11" s="357"/>
    </row>
    <row r="12" spans="1:37" x14ac:dyDescent="0.3">
      <c r="A12" s="357"/>
      <c r="B12" s="189" t="s">
        <v>683</v>
      </c>
      <c r="C12" s="1063">
        <f>C9/C8</f>
        <v>0.51566951566951569</v>
      </c>
      <c r="D12" s="284"/>
      <c r="E12" s="1058">
        <f>E9/E8</f>
        <v>0.40909090909090912</v>
      </c>
      <c r="F12" s="1059">
        <f>F9/F8</f>
        <v>0.75</v>
      </c>
      <c r="G12" s="1059">
        <f>G9/G8</f>
        <v>0.7</v>
      </c>
      <c r="H12" s="1059">
        <v>0.41666666666666669</v>
      </c>
      <c r="I12" s="1059">
        <f t="shared" ref="I12" si="0">I9/I8</f>
        <v>0</v>
      </c>
      <c r="J12" s="1059">
        <f t="shared" ref="J12:Q12" si="1">J9/J8</f>
        <v>0.27777777777777779</v>
      </c>
      <c r="K12" s="1059">
        <f t="shared" si="1"/>
        <v>0</v>
      </c>
      <c r="L12" s="1059">
        <f t="shared" si="1"/>
        <v>0.75</v>
      </c>
      <c r="M12" s="1059">
        <f t="shared" si="1"/>
        <v>0.33333333333333331</v>
      </c>
      <c r="N12" s="1059">
        <f t="shared" si="1"/>
        <v>0.33333333333333331</v>
      </c>
      <c r="O12" s="1059">
        <f t="shared" si="1"/>
        <v>0.8571428571428571</v>
      </c>
      <c r="P12" s="1059">
        <f t="shared" si="1"/>
        <v>0.3125</v>
      </c>
      <c r="Q12" s="1059">
        <f t="shared" si="1"/>
        <v>0.375</v>
      </c>
      <c r="R12" s="1059">
        <v>0.35</v>
      </c>
      <c r="S12" s="1060">
        <f t="shared" ref="S12" si="2">S9/S8</f>
        <v>0.61111111111111116</v>
      </c>
      <c r="T12" s="1060">
        <f t="shared" ref="T12" si="3">T9/T8</f>
        <v>0.5</v>
      </c>
      <c r="U12" s="1061">
        <f t="shared" ref="U12" si="4">U9/U8</f>
        <v>0.72222222222222221</v>
      </c>
      <c r="V12" s="1060">
        <f t="shared" ref="V12" si="5">V9/V8</f>
        <v>0.3888888888888889</v>
      </c>
      <c r="W12" s="1060">
        <f t="shared" ref="W12:AA12" si="6">W9/W8</f>
        <v>0.61111111111111116</v>
      </c>
      <c r="X12" s="1060">
        <f t="shared" si="6"/>
        <v>0.33333333333333331</v>
      </c>
      <c r="Y12" s="1060">
        <f t="shared" si="6"/>
        <v>0.77777777777777779</v>
      </c>
      <c r="Z12" s="1060">
        <f t="shared" si="6"/>
        <v>0.27777777777777779</v>
      </c>
      <c r="AA12" s="1062">
        <f t="shared" si="6"/>
        <v>0.66666666666666663</v>
      </c>
      <c r="AB12" s="357"/>
      <c r="AC12" s="357"/>
      <c r="AD12" s="357"/>
      <c r="AE12" s="357"/>
      <c r="AF12" s="357"/>
      <c r="AG12" s="357"/>
      <c r="AH12" s="357"/>
      <c r="AI12" s="357"/>
      <c r="AJ12" s="357"/>
      <c r="AK12" s="357"/>
    </row>
    <row r="13" spans="1:37" x14ac:dyDescent="0.3">
      <c r="A13" s="357"/>
      <c r="B13" s="189" t="s">
        <v>684</v>
      </c>
      <c r="C13" s="175">
        <f>SUM(D13:AA13)</f>
        <v>1696</v>
      </c>
      <c r="D13" s="286"/>
      <c r="E13" s="286">
        <v>91</v>
      </c>
      <c r="F13" s="696">
        <v>25</v>
      </c>
      <c r="G13" s="696">
        <v>109</v>
      </c>
      <c r="H13" s="696">
        <v>108</v>
      </c>
      <c r="I13" s="696">
        <v>2</v>
      </c>
      <c r="J13" s="696">
        <v>74</v>
      </c>
      <c r="K13" s="696">
        <v>5</v>
      </c>
      <c r="L13" s="696">
        <v>96</v>
      </c>
      <c r="M13" s="696">
        <v>20</v>
      </c>
      <c r="N13" s="696">
        <v>12</v>
      </c>
      <c r="O13" s="696">
        <v>125</v>
      </c>
      <c r="P13" s="696">
        <f>'17-18J'!$H$55</f>
        <v>63</v>
      </c>
      <c r="Q13" s="696">
        <f>'16-17J'!$H$55</f>
        <v>69</v>
      </c>
      <c r="R13" s="696">
        <v>101</v>
      </c>
      <c r="S13" s="346">
        <v>90</v>
      </c>
      <c r="T13" s="178">
        <v>87</v>
      </c>
      <c r="U13" s="231">
        <v>101</v>
      </c>
      <c r="V13" s="178">
        <v>70</v>
      </c>
      <c r="W13" s="178">
        <v>95</v>
      </c>
      <c r="X13" s="119">
        <v>55</v>
      </c>
      <c r="Y13" s="119">
        <v>115</v>
      </c>
      <c r="Z13" s="119">
        <v>72</v>
      </c>
      <c r="AA13" s="120">
        <v>111</v>
      </c>
      <c r="AB13" s="357"/>
      <c r="AC13" s="357"/>
      <c r="AD13" s="357"/>
      <c r="AE13" s="357"/>
      <c r="AF13" s="357"/>
      <c r="AG13" s="357"/>
      <c r="AH13" s="357"/>
      <c r="AI13" s="357"/>
      <c r="AJ13" s="357"/>
      <c r="AK13" s="357"/>
    </row>
    <row r="14" spans="1:37" x14ac:dyDescent="0.3">
      <c r="A14" s="357"/>
      <c r="B14" s="189" t="s">
        <v>685</v>
      </c>
      <c r="C14" s="175">
        <f>SUM(D14:AA14)</f>
        <v>1409</v>
      </c>
      <c r="D14" s="286"/>
      <c r="E14" s="286">
        <v>90</v>
      </c>
      <c r="F14" s="696">
        <v>8</v>
      </c>
      <c r="G14" s="696">
        <v>56</v>
      </c>
      <c r="H14" s="696">
        <v>100</v>
      </c>
      <c r="I14" s="696">
        <v>4</v>
      </c>
      <c r="J14" s="696">
        <v>99</v>
      </c>
      <c r="K14" s="696">
        <v>22</v>
      </c>
      <c r="L14" s="696">
        <v>56</v>
      </c>
      <c r="M14" s="696">
        <v>16</v>
      </c>
      <c r="N14" s="696">
        <v>11</v>
      </c>
      <c r="O14" s="696">
        <v>59</v>
      </c>
      <c r="P14" s="696">
        <f>'17-18J'!$H$56</f>
        <v>75</v>
      </c>
      <c r="Q14" s="696">
        <f>'16-17J'!$H$56</f>
        <v>86</v>
      </c>
      <c r="R14" s="696">
        <v>98</v>
      </c>
      <c r="S14" s="346">
        <v>59</v>
      </c>
      <c r="T14" s="178">
        <v>89</v>
      </c>
      <c r="U14" s="231">
        <v>56</v>
      </c>
      <c r="V14" s="178">
        <v>78</v>
      </c>
      <c r="W14" s="178">
        <v>66</v>
      </c>
      <c r="X14" s="119">
        <v>85</v>
      </c>
      <c r="Y14" s="119">
        <v>52</v>
      </c>
      <c r="Z14" s="119">
        <v>80</v>
      </c>
      <c r="AA14" s="120">
        <v>64</v>
      </c>
      <c r="AB14" s="357"/>
      <c r="AC14" s="357"/>
      <c r="AD14" s="357"/>
      <c r="AE14" s="357"/>
      <c r="AF14" s="357"/>
      <c r="AG14" s="357"/>
      <c r="AH14" s="357"/>
      <c r="AI14" s="357"/>
      <c r="AJ14" s="357"/>
      <c r="AK14" s="357"/>
    </row>
    <row r="15" spans="1:37" ht="15" thickBot="1" x14ac:dyDescent="0.35">
      <c r="A15" s="357"/>
      <c r="B15" s="190" t="s">
        <v>4</v>
      </c>
      <c r="C15" s="176">
        <f>C13-C14</f>
        <v>287</v>
      </c>
      <c r="D15" s="341"/>
      <c r="E15" s="341">
        <f>E13-E14</f>
        <v>1</v>
      </c>
      <c r="F15" s="697">
        <f>F13-F14</f>
        <v>17</v>
      </c>
      <c r="G15" s="697">
        <f>G13-G14</f>
        <v>53</v>
      </c>
      <c r="H15" s="697">
        <v>8</v>
      </c>
      <c r="I15" s="697">
        <f t="shared" ref="I15" si="7">I13-I14</f>
        <v>-2</v>
      </c>
      <c r="J15" s="697">
        <f>J13-J14</f>
        <v>-25</v>
      </c>
      <c r="K15" s="697">
        <f t="shared" ref="K15" si="8">K13-K14</f>
        <v>-17</v>
      </c>
      <c r="L15" s="697">
        <f t="shared" ref="L15:M15" si="9">L13-L14</f>
        <v>40</v>
      </c>
      <c r="M15" s="697">
        <f t="shared" si="9"/>
        <v>4</v>
      </c>
      <c r="N15" s="697">
        <f>N13-N14</f>
        <v>1</v>
      </c>
      <c r="O15" s="697">
        <f>O13-O14</f>
        <v>66</v>
      </c>
      <c r="P15" s="697">
        <f t="shared" ref="P15" si="10">P13-P14</f>
        <v>-12</v>
      </c>
      <c r="Q15" s="697">
        <f t="shared" ref="Q15:W15" si="11">Q13-Q14</f>
        <v>-17</v>
      </c>
      <c r="R15" s="697">
        <v>3</v>
      </c>
      <c r="S15" s="179">
        <f t="shared" ref="S15" si="12">S13-S14</f>
        <v>31</v>
      </c>
      <c r="T15" s="179">
        <f t="shared" si="11"/>
        <v>-2</v>
      </c>
      <c r="U15" s="255">
        <f t="shared" si="11"/>
        <v>45</v>
      </c>
      <c r="V15" s="179">
        <f t="shared" si="11"/>
        <v>-8</v>
      </c>
      <c r="W15" s="179">
        <f t="shared" si="11"/>
        <v>29</v>
      </c>
      <c r="X15" s="121">
        <v>-30</v>
      </c>
      <c r="Y15" s="121">
        <v>63</v>
      </c>
      <c r="Z15" s="121">
        <v>-8</v>
      </c>
      <c r="AA15" s="122">
        <v>47</v>
      </c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</row>
    <row r="16" spans="1:37" ht="15" thickBot="1" x14ac:dyDescent="0.35">
      <c r="A16" s="357"/>
      <c r="B16" s="469"/>
      <c r="C16" s="470"/>
      <c r="D16" s="470"/>
      <c r="E16" s="470"/>
      <c r="F16" s="471"/>
      <c r="G16" s="471"/>
      <c r="H16" s="471"/>
      <c r="I16" s="471"/>
      <c r="J16" s="471"/>
      <c r="K16" s="471"/>
      <c r="L16" s="471"/>
      <c r="M16" s="471"/>
      <c r="N16" s="471"/>
      <c r="O16" s="471"/>
      <c r="P16" s="470"/>
      <c r="Q16" s="471"/>
      <c r="R16" s="471"/>
      <c r="S16" s="471"/>
      <c r="T16" s="470"/>
      <c r="U16" s="471"/>
      <c r="V16" s="471"/>
      <c r="W16" s="358"/>
      <c r="X16" s="358"/>
      <c r="Y16" s="358"/>
      <c r="Z16" s="358"/>
      <c r="AA16" s="358"/>
      <c r="AB16" s="357"/>
      <c r="AC16" s="357"/>
      <c r="AD16" s="357"/>
      <c r="AE16" s="357"/>
      <c r="AF16" s="357"/>
      <c r="AG16" s="357"/>
      <c r="AH16" s="357"/>
      <c r="AI16" s="357"/>
      <c r="AJ16" s="357"/>
      <c r="AK16" s="357"/>
    </row>
    <row r="17" spans="1:37" ht="15" thickBot="1" x14ac:dyDescent="0.35">
      <c r="A17" s="357"/>
      <c r="B17" s="188" t="s">
        <v>686</v>
      </c>
      <c r="C17" s="470"/>
      <c r="D17" s="470"/>
      <c r="E17" s="470"/>
      <c r="F17" s="471"/>
      <c r="G17" s="471"/>
      <c r="H17" s="471"/>
      <c r="I17" s="471"/>
      <c r="J17" s="471"/>
      <c r="K17" s="471"/>
      <c r="L17" s="471"/>
      <c r="M17" s="471"/>
      <c r="N17" s="471"/>
      <c r="O17" s="471"/>
      <c r="P17" s="470"/>
      <c r="Q17" s="471"/>
      <c r="R17" s="471"/>
      <c r="S17" s="471"/>
      <c r="T17" s="470"/>
      <c r="U17" s="471"/>
      <c r="V17" s="471"/>
      <c r="W17" s="358"/>
      <c r="X17" s="358"/>
      <c r="Y17" s="358"/>
      <c r="Z17" s="358"/>
      <c r="AA17" s="358"/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</row>
    <row r="18" spans="1:37" x14ac:dyDescent="0.3">
      <c r="A18" s="357"/>
      <c r="B18" s="189" t="s">
        <v>501</v>
      </c>
      <c r="C18" s="214">
        <f t="shared" ref="C18:C23" si="13">SUM(D18:W18)</f>
        <v>312</v>
      </c>
      <c r="D18" s="285"/>
      <c r="E18" s="285">
        <v>25</v>
      </c>
      <c r="F18" s="694">
        <v>3</v>
      </c>
      <c r="G18" s="694">
        <v>24</v>
      </c>
      <c r="H18" s="694">
        <v>27</v>
      </c>
      <c r="I18" s="694">
        <v>0</v>
      </c>
      <c r="J18" s="694">
        <v>19</v>
      </c>
      <c r="K18" s="694">
        <v>5</v>
      </c>
      <c r="L18" s="694">
        <v>3</v>
      </c>
      <c r="M18" s="694">
        <v>0</v>
      </c>
      <c r="N18" s="694">
        <v>6</v>
      </c>
      <c r="O18" s="694">
        <v>21</v>
      </c>
      <c r="P18" s="694">
        <v>20</v>
      </c>
      <c r="Q18" s="694">
        <f>(77-15)/2</f>
        <v>31</v>
      </c>
      <c r="R18" s="694">
        <v>13</v>
      </c>
      <c r="S18" s="345">
        <v>14</v>
      </c>
      <c r="T18" s="177">
        <v>19</v>
      </c>
      <c r="U18" s="169">
        <v>22</v>
      </c>
      <c r="V18" s="169">
        <v>30</v>
      </c>
      <c r="W18" s="181">
        <v>30</v>
      </c>
      <c r="X18" s="357"/>
      <c r="Y18" s="357"/>
      <c r="Z18" s="357"/>
      <c r="AA18" s="357"/>
      <c r="AB18" s="357"/>
      <c r="AC18" s="357"/>
      <c r="AD18" s="357"/>
      <c r="AE18" s="357"/>
      <c r="AF18" s="357"/>
      <c r="AG18" s="357"/>
      <c r="AH18" s="357"/>
      <c r="AI18" s="357"/>
      <c r="AJ18" s="357"/>
      <c r="AK18" s="357"/>
    </row>
    <row r="19" spans="1:37" x14ac:dyDescent="0.3">
      <c r="A19" s="357"/>
      <c r="B19" s="189" t="s">
        <v>708</v>
      </c>
      <c r="C19" s="215">
        <f t="shared" si="13"/>
        <v>11</v>
      </c>
      <c r="D19" s="286"/>
      <c r="E19" s="286" t="s">
        <v>107</v>
      </c>
      <c r="F19" s="696" t="s">
        <v>107</v>
      </c>
      <c r="G19" s="696" t="s">
        <v>107</v>
      </c>
      <c r="H19" s="696">
        <v>0</v>
      </c>
      <c r="I19" s="696">
        <v>0</v>
      </c>
      <c r="J19" s="696">
        <v>1</v>
      </c>
      <c r="K19" s="696">
        <v>0</v>
      </c>
      <c r="L19" s="696">
        <v>0</v>
      </c>
      <c r="M19" s="696">
        <v>1</v>
      </c>
      <c r="N19" s="696">
        <v>0</v>
      </c>
      <c r="O19" s="696">
        <v>1</v>
      </c>
      <c r="P19" s="696">
        <v>0</v>
      </c>
      <c r="Q19" s="696">
        <v>1</v>
      </c>
      <c r="R19" s="696">
        <v>0</v>
      </c>
      <c r="S19" s="346">
        <v>1</v>
      </c>
      <c r="T19" s="178">
        <v>0</v>
      </c>
      <c r="U19" s="170">
        <v>1</v>
      </c>
      <c r="V19" s="170">
        <v>4</v>
      </c>
      <c r="W19" s="231">
        <v>1</v>
      </c>
      <c r="X19" s="472"/>
      <c r="Y19" s="357"/>
      <c r="Z19" s="357"/>
      <c r="AA19" s="357"/>
      <c r="AB19" s="357"/>
      <c r="AC19" s="357"/>
      <c r="AD19" s="357"/>
      <c r="AE19" s="357"/>
      <c r="AF19" s="357"/>
      <c r="AG19" s="357"/>
      <c r="AH19" s="357"/>
      <c r="AI19" s="357"/>
      <c r="AJ19" s="357"/>
      <c r="AK19" s="357"/>
    </row>
    <row r="20" spans="1:37" x14ac:dyDescent="0.3">
      <c r="A20" s="357"/>
      <c r="B20" s="191" t="s">
        <v>2408</v>
      </c>
      <c r="C20" s="216">
        <f t="shared" si="13"/>
        <v>2</v>
      </c>
      <c r="D20" s="288"/>
      <c r="E20" s="288">
        <v>2</v>
      </c>
      <c r="F20" s="698">
        <v>0</v>
      </c>
      <c r="G20" s="698">
        <v>0</v>
      </c>
      <c r="H20" s="698" t="s">
        <v>107</v>
      </c>
      <c r="I20" s="698" t="s">
        <v>107</v>
      </c>
      <c r="J20" s="698" t="s">
        <v>107</v>
      </c>
      <c r="K20" s="698" t="s">
        <v>107</v>
      </c>
      <c r="L20" s="698" t="s">
        <v>107</v>
      </c>
      <c r="M20" s="698" t="s">
        <v>107</v>
      </c>
      <c r="N20" s="698" t="s">
        <v>107</v>
      </c>
      <c r="O20" s="698" t="s">
        <v>107</v>
      </c>
      <c r="P20" s="698" t="s">
        <v>107</v>
      </c>
      <c r="Q20" s="698" t="s">
        <v>107</v>
      </c>
      <c r="R20" s="698" t="s">
        <v>107</v>
      </c>
      <c r="S20" s="347" t="s">
        <v>107</v>
      </c>
      <c r="T20" s="281" t="s">
        <v>107</v>
      </c>
      <c r="U20" s="180" t="s">
        <v>107</v>
      </c>
      <c r="V20" s="180" t="s">
        <v>107</v>
      </c>
      <c r="W20" s="906" t="s">
        <v>107</v>
      </c>
      <c r="X20" s="472"/>
      <c r="Y20" s="357"/>
      <c r="Z20" s="357"/>
      <c r="AA20" s="357"/>
      <c r="AB20" s="357"/>
      <c r="AC20" s="357"/>
      <c r="AD20" s="357"/>
      <c r="AE20" s="357"/>
      <c r="AF20" s="357"/>
      <c r="AG20" s="357"/>
      <c r="AH20" s="357"/>
      <c r="AI20" s="357"/>
      <c r="AJ20" s="357"/>
      <c r="AK20" s="357"/>
    </row>
    <row r="21" spans="1:37" x14ac:dyDescent="0.3">
      <c r="A21" s="357"/>
      <c r="B21" s="191" t="s">
        <v>82</v>
      </c>
      <c r="C21" s="216">
        <f t="shared" si="13"/>
        <v>6</v>
      </c>
      <c r="D21" s="288"/>
      <c r="E21" s="288">
        <v>0</v>
      </c>
      <c r="F21" s="698">
        <v>0</v>
      </c>
      <c r="G21" s="698">
        <v>0</v>
      </c>
      <c r="H21" s="698">
        <v>0</v>
      </c>
      <c r="I21" s="698">
        <v>0</v>
      </c>
      <c r="J21" s="698">
        <v>0</v>
      </c>
      <c r="K21" s="698">
        <v>0</v>
      </c>
      <c r="L21" s="698">
        <v>0</v>
      </c>
      <c r="M21" s="698">
        <v>0</v>
      </c>
      <c r="N21" s="698">
        <v>1</v>
      </c>
      <c r="O21" s="698">
        <v>0</v>
      </c>
      <c r="P21" s="698">
        <v>1</v>
      </c>
      <c r="Q21" s="698">
        <v>1</v>
      </c>
      <c r="R21" s="698">
        <v>0</v>
      </c>
      <c r="S21" s="347">
        <v>1</v>
      </c>
      <c r="T21" s="281">
        <v>0</v>
      </c>
      <c r="U21" s="180">
        <v>2</v>
      </c>
      <c r="V21" s="180">
        <v>0</v>
      </c>
      <c r="W21" s="906">
        <v>0</v>
      </c>
      <c r="X21" s="909"/>
      <c r="Y21" s="910"/>
      <c r="Z21" s="910"/>
      <c r="AA21" s="910"/>
      <c r="AB21" s="357"/>
      <c r="AC21" s="357"/>
      <c r="AD21" s="357"/>
      <c r="AE21" s="357"/>
      <c r="AF21" s="357"/>
      <c r="AG21" s="357"/>
      <c r="AH21" s="357"/>
      <c r="AI21" s="357"/>
      <c r="AJ21" s="357"/>
      <c r="AK21" s="357"/>
    </row>
    <row r="22" spans="1:37" x14ac:dyDescent="0.3">
      <c r="A22" s="357"/>
      <c r="B22" s="191" t="s">
        <v>709</v>
      </c>
      <c r="C22" s="216">
        <f t="shared" si="13"/>
        <v>7</v>
      </c>
      <c r="D22" s="288"/>
      <c r="E22" s="288" t="s">
        <v>107</v>
      </c>
      <c r="F22" s="698" t="s">
        <v>107</v>
      </c>
      <c r="G22" s="698" t="s">
        <v>107</v>
      </c>
      <c r="H22" s="698">
        <v>0</v>
      </c>
      <c r="I22" s="698">
        <v>0</v>
      </c>
      <c r="J22" s="698">
        <v>1</v>
      </c>
      <c r="K22" s="698">
        <v>0</v>
      </c>
      <c r="L22" s="698">
        <v>0</v>
      </c>
      <c r="M22" s="698">
        <v>0</v>
      </c>
      <c r="N22" s="698">
        <v>0</v>
      </c>
      <c r="O22" s="698">
        <v>0</v>
      </c>
      <c r="P22" s="698">
        <v>0</v>
      </c>
      <c r="Q22" s="698">
        <v>0</v>
      </c>
      <c r="R22" s="698">
        <v>0</v>
      </c>
      <c r="S22" s="347">
        <v>1</v>
      </c>
      <c r="T22" s="281">
        <v>0</v>
      </c>
      <c r="U22" s="180">
        <v>1</v>
      </c>
      <c r="V22" s="180">
        <v>4</v>
      </c>
      <c r="W22" s="906">
        <v>0</v>
      </c>
      <c r="X22" s="1263"/>
      <c r="Y22" s="910"/>
      <c r="Z22" s="910"/>
      <c r="AA22" s="910"/>
      <c r="AB22" s="357"/>
      <c r="AC22" s="357"/>
      <c r="AD22" s="357"/>
      <c r="AE22" s="357"/>
      <c r="AF22" s="357"/>
      <c r="AG22" s="357"/>
      <c r="AH22" s="357"/>
      <c r="AI22" s="357"/>
      <c r="AJ22" s="357"/>
      <c r="AK22" s="357"/>
    </row>
    <row r="23" spans="1:37" ht="15" thickBot="1" x14ac:dyDescent="0.35">
      <c r="A23" s="357"/>
      <c r="B23" s="191" t="s">
        <v>2410</v>
      </c>
      <c r="C23" s="216">
        <f t="shared" si="13"/>
        <v>1</v>
      </c>
      <c r="D23" s="288"/>
      <c r="E23" s="288">
        <v>0</v>
      </c>
      <c r="F23" s="698">
        <v>0</v>
      </c>
      <c r="G23" s="698">
        <v>1</v>
      </c>
      <c r="H23" s="698" t="s">
        <v>107</v>
      </c>
      <c r="I23" s="698" t="s">
        <v>107</v>
      </c>
      <c r="J23" s="698" t="s">
        <v>107</v>
      </c>
      <c r="K23" s="698" t="s">
        <v>107</v>
      </c>
      <c r="L23" s="698" t="s">
        <v>107</v>
      </c>
      <c r="M23" s="698" t="s">
        <v>107</v>
      </c>
      <c r="N23" s="698" t="s">
        <v>107</v>
      </c>
      <c r="O23" s="698" t="s">
        <v>107</v>
      </c>
      <c r="P23" s="698" t="s">
        <v>107</v>
      </c>
      <c r="Q23" s="698" t="s">
        <v>107</v>
      </c>
      <c r="R23" s="698" t="s">
        <v>107</v>
      </c>
      <c r="S23" s="347" t="s">
        <v>107</v>
      </c>
      <c r="T23" s="281" t="s">
        <v>107</v>
      </c>
      <c r="U23" s="180" t="s">
        <v>107</v>
      </c>
      <c r="V23" s="180" t="s">
        <v>107</v>
      </c>
      <c r="W23" s="906" t="s">
        <v>107</v>
      </c>
      <c r="X23" s="911"/>
      <c r="Y23" s="912"/>
      <c r="Z23" s="912"/>
      <c r="AA23" s="912"/>
      <c r="AB23" s="357"/>
      <c r="AC23" s="357"/>
      <c r="AD23" s="357"/>
      <c r="AE23" s="357"/>
      <c r="AF23" s="357"/>
      <c r="AG23" s="357"/>
      <c r="AH23" s="357"/>
      <c r="AI23" s="357"/>
      <c r="AJ23" s="357"/>
      <c r="AK23" s="357"/>
    </row>
    <row r="24" spans="1:37" x14ac:dyDescent="0.3">
      <c r="A24" s="357"/>
      <c r="B24" s="191" t="s">
        <v>1948</v>
      </c>
      <c r="C24" s="216">
        <f>SUM(D24:AA24)</f>
        <v>1128</v>
      </c>
      <c r="D24" s="288"/>
      <c r="E24" s="288">
        <v>58</v>
      </c>
      <c r="F24" s="698">
        <v>6</v>
      </c>
      <c r="G24" s="698">
        <v>72</v>
      </c>
      <c r="H24" s="698">
        <v>54</v>
      </c>
      <c r="I24" s="698">
        <v>0</v>
      </c>
      <c r="J24" s="698">
        <v>63</v>
      </c>
      <c r="K24" s="698">
        <v>10</v>
      </c>
      <c r="L24" s="698">
        <v>6</v>
      </c>
      <c r="M24" s="698">
        <v>5</v>
      </c>
      <c r="N24" s="698">
        <f>N18*2+N19*5+N21*10+N22*20</f>
        <v>22</v>
      </c>
      <c r="O24" s="698">
        <f>O18*2+O19*5+O21*10+O22*20</f>
        <v>47</v>
      </c>
      <c r="P24" s="698">
        <f t="shared" ref="P24:W24" si="14">P18*2+P19*5+P21*10+P22*20</f>
        <v>50</v>
      </c>
      <c r="Q24" s="698">
        <f t="shared" si="14"/>
        <v>77</v>
      </c>
      <c r="R24" s="698">
        <f t="shared" si="14"/>
        <v>26</v>
      </c>
      <c r="S24" s="347">
        <f t="shared" si="14"/>
        <v>63</v>
      </c>
      <c r="T24" s="281">
        <f t="shared" si="14"/>
        <v>38</v>
      </c>
      <c r="U24" s="180">
        <f t="shared" si="14"/>
        <v>89</v>
      </c>
      <c r="V24" s="180">
        <f t="shared" si="14"/>
        <v>160</v>
      </c>
      <c r="W24" s="180">
        <f t="shared" si="14"/>
        <v>65</v>
      </c>
      <c r="X24" s="907">
        <v>54</v>
      </c>
      <c r="Y24" s="907">
        <v>63</v>
      </c>
      <c r="Z24" s="907">
        <v>46</v>
      </c>
      <c r="AA24" s="908">
        <v>54</v>
      </c>
      <c r="AB24" s="357"/>
      <c r="AC24" s="357"/>
      <c r="AD24" s="357"/>
      <c r="AE24" s="357"/>
      <c r="AF24" s="357"/>
      <c r="AG24" s="357"/>
      <c r="AH24" s="357"/>
      <c r="AI24" s="357"/>
      <c r="AJ24" s="357"/>
      <c r="AK24" s="357"/>
    </row>
    <row r="25" spans="1:37" ht="15" thickBot="1" x14ac:dyDescent="0.35">
      <c r="A25" s="357"/>
      <c r="B25" s="192" t="s">
        <v>7</v>
      </c>
      <c r="C25" s="217">
        <f>SUM(D25:AA25)</f>
        <v>443</v>
      </c>
      <c r="D25" s="287"/>
      <c r="E25" s="287">
        <v>27</v>
      </c>
      <c r="F25" s="699">
        <v>3</v>
      </c>
      <c r="G25" s="699">
        <v>25</v>
      </c>
      <c r="H25" s="699">
        <v>27</v>
      </c>
      <c r="I25" s="699">
        <v>0</v>
      </c>
      <c r="J25" s="699">
        <v>21</v>
      </c>
      <c r="K25" s="699">
        <v>5</v>
      </c>
      <c r="L25" s="699">
        <v>3</v>
      </c>
      <c r="M25" s="699">
        <v>1</v>
      </c>
      <c r="N25" s="699">
        <v>7</v>
      </c>
      <c r="O25" s="699">
        <v>22</v>
      </c>
      <c r="P25" s="699">
        <v>21</v>
      </c>
      <c r="Q25" s="699">
        <f>SUM(Q18:Q22)</f>
        <v>33</v>
      </c>
      <c r="R25" s="699">
        <v>13</v>
      </c>
      <c r="S25" s="348">
        <v>17</v>
      </c>
      <c r="T25" s="179">
        <v>19</v>
      </c>
      <c r="U25" s="171">
        <v>26</v>
      </c>
      <c r="V25" s="171">
        <v>38</v>
      </c>
      <c r="W25" s="171">
        <v>31</v>
      </c>
      <c r="X25" s="121">
        <v>24</v>
      </c>
      <c r="Y25" s="121">
        <v>30</v>
      </c>
      <c r="Z25" s="121">
        <v>23</v>
      </c>
      <c r="AA25" s="122">
        <v>27</v>
      </c>
      <c r="AB25" s="357"/>
      <c r="AC25" s="357"/>
      <c r="AD25" s="357"/>
      <c r="AE25" s="357"/>
      <c r="AF25" s="357"/>
      <c r="AG25" s="357"/>
      <c r="AH25" s="357"/>
      <c r="AI25" s="357"/>
      <c r="AJ25" s="357"/>
      <c r="AK25" s="357"/>
    </row>
    <row r="26" spans="1:37" ht="15" thickBot="1" x14ac:dyDescent="0.35">
      <c r="A26" s="357"/>
      <c r="B26" s="469"/>
      <c r="C26" s="470"/>
      <c r="D26" s="470"/>
      <c r="E26" s="470"/>
      <c r="F26" s="471"/>
      <c r="G26" s="471"/>
      <c r="H26" s="471"/>
      <c r="I26" s="471"/>
      <c r="J26" s="471"/>
      <c r="K26" s="471"/>
      <c r="L26" s="471"/>
      <c r="M26" s="471"/>
      <c r="N26" s="471"/>
      <c r="O26" s="471"/>
      <c r="P26" s="470"/>
      <c r="Q26" s="471"/>
      <c r="R26" s="471"/>
      <c r="S26" s="471"/>
      <c r="T26" s="470"/>
      <c r="U26" s="471"/>
      <c r="V26" s="471"/>
      <c r="W26" s="358"/>
      <c r="X26" s="358"/>
      <c r="Y26" s="358"/>
      <c r="Z26" s="358"/>
      <c r="AA26" s="358"/>
      <c r="AB26" s="357"/>
      <c r="AC26" s="357"/>
      <c r="AD26" s="357"/>
      <c r="AE26" s="357"/>
      <c r="AF26" s="357"/>
      <c r="AG26" s="357"/>
      <c r="AH26" s="357"/>
      <c r="AI26" s="357"/>
      <c r="AJ26" s="357"/>
      <c r="AK26" s="357"/>
    </row>
    <row r="27" spans="1:37" ht="15" thickBot="1" x14ac:dyDescent="0.35">
      <c r="A27" s="357"/>
      <c r="B27" s="188" t="s">
        <v>687</v>
      </c>
      <c r="C27" s="470"/>
      <c r="D27" s="470"/>
      <c r="E27" s="470"/>
      <c r="F27" s="471"/>
      <c r="G27" s="471"/>
      <c r="H27" s="471"/>
      <c r="I27" s="471"/>
      <c r="J27" s="471"/>
      <c r="K27" s="471"/>
      <c r="L27" s="471"/>
      <c r="M27" s="471"/>
      <c r="N27" s="471"/>
      <c r="O27" s="471"/>
      <c r="P27" s="470"/>
      <c r="Q27" s="471"/>
      <c r="R27" s="471"/>
      <c r="S27" s="471"/>
      <c r="T27" s="470"/>
      <c r="U27" s="471"/>
      <c r="V27" s="471"/>
      <c r="W27" s="358"/>
      <c r="X27" s="358"/>
      <c r="Y27" s="358"/>
      <c r="Z27" s="358"/>
      <c r="AA27" s="358"/>
      <c r="AB27" s="357"/>
      <c r="AC27" s="357"/>
      <c r="AD27" s="357"/>
      <c r="AE27" s="357"/>
      <c r="AF27" s="357"/>
      <c r="AG27" s="357"/>
      <c r="AH27" s="357"/>
      <c r="AI27" s="357"/>
      <c r="AJ27" s="357"/>
      <c r="AK27" s="357"/>
    </row>
    <row r="28" spans="1:37" x14ac:dyDescent="0.3">
      <c r="A28" s="357"/>
      <c r="B28" s="189" t="s">
        <v>501</v>
      </c>
      <c r="C28" s="214">
        <f t="shared" ref="C28:C33" si="15">SUM(D28:W28)</f>
        <v>331</v>
      </c>
      <c r="D28" s="285"/>
      <c r="E28" s="285">
        <v>26</v>
      </c>
      <c r="F28" s="694">
        <v>5</v>
      </c>
      <c r="G28" s="694">
        <v>17</v>
      </c>
      <c r="H28" s="694">
        <v>25</v>
      </c>
      <c r="I28" s="694">
        <v>1</v>
      </c>
      <c r="J28" s="694">
        <v>15</v>
      </c>
      <c r="K28" s="694">
        <v>0</v>
      </c>
      <c r="L28" s="694">
        <v>16</v>
      </c>
      <c r="M28" s="694">
        <v>1</v>
      </c>
      <c r="N28" s="694">
        <v>5</v>
      </c>
      <c r="O28" s="694">
        <v>25</v>
      </c>
      <c r="P28" s="694">
        <v>18</v>
      </c>
      <c r="Q28" s="694">
        <f>38/2</f>
        <v>19</v>
      </c>
      <c r="R28" s="694">
        <v>21</v>
      </c>
      <c r="S28" s="345">
        <v>21</v>
      </c>
      <c r="T28" s="177">
        <v>24</v>
      </c>
      <c r="U28" s="169">
        <v>29</v>
      </c>
      <c r="V28" s="169">
        <v>31</v>
      </c>
      <c r="W28" s="232">
        <v>32</v>
      </c>
      <c r="X28" s="472"/>
      <c r="Y28" s="357"/>
      <c r="Z28" s="357"/>
      <c r="AA28" s="357"/>
      <c r="AB28" s="357"/>
      <c r="AC28" s="357"/>
      <c r="AD28" s="357"/>
      <c r="AE28" s="357"/>
      <c r="AF28" s="357"/>
      <c r="AG28" s="357"/>
      <c r="AH28" s="357"/>
      <c r="AI28" s="357"/>
      <c r="AJ28" s="357"/>
      <c r="AK28" s="357"/>
    </row>
    <row r="29" spans="1:37" x14ac:dyDescent="0.3">
      <c r="A29" s="357"/>
      <c r="B29" s="189" t="s">
        <v>708</v>
      </c>
      <c r="C29" s="215">
        <f t="shared" si="15"/>
        <v>15</v>
      </c>
      <c r="D29" s="286"/>
      <c r="E29" s="286" t="s">
        <v>107</v>
      </c>
      <c r="F29" s="696" t="s">
        <v>107</v>
      </c>
      <c r="G29" s="696" t="s">
        <v>107</v>
      </c>
      <c r="H29" s="696">
        <v>0</v>
      </c>
      <c r="I29" s="696">
        <v>0</v>
      </c>
      <c r="J29" s="696">
        <v>1</v>
      </c>
      <c r="K29" s="696">
        <v>0</v>
      </c>
      <c r="L29" s="696">
        <v>0</v>
      </c>
      <c r="M29" s="696">
        <v>0</v>
      </c>
      <c r="N29" s="696">
        <v>0</v>
      </c>
      <c r="O29" s="696">
        <v>3</v>
      </c>
      <c r="P29" s="696">
        <v>1</v>
      </c>
      <c r="Q29" s="696">
        <v>2</v>
      </c>
      <c r="R29" s="696">
        <v>0</v>
      </c>
      <c r="S29" s="346">
        <v>1</v>
      </c>
      <c r="T29" s="178">
        <v>0</v>
      </c>
      <c r="U29" s="170">
        <v>2</v>
      </c>
      <c r="V29" s="170">
        <v>3</v>
      </c>
      <c r="W29" s="231">
        <v>2</v>
      </c>
      <c r="X29" s="472"/>
      <c r="Y29" s="357"/>
      <c r="Z29" s="357"/>
      <c r="AA29" s="357"/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</row>
    <row r="30" spans="1:37" x14ac:dyDescent="0.3">
      <c r="A30" s="357"/>
      <c r="B30" s="189" t="s">
        <v>2408</v>
      </c>
      <c r="C30" s="215">
        <f t="shared" si="15"/>
        <v>1</v>
      </c>
      <c r="D30" s="286"/>
      <c r="E30" s="286">
        <v>1</v>
      </c>
      <c r="F30" s="696">
        <v>0</v>
      </c>
      <c r="G30" s="696">
        <v>0</v>
      </c>
      <c r="H30" s="696" t="s">
        <v>107</v>
      </c>
      <c r="I30" s="696" t="s">
        <v>107</v>
      </c>
      <c r="J30" s="696" t="s">
        <v>107</v>
      </c>
      <c r="K30" s="696" t="s">
        <v>107</v>
      </c>
      <c r="L30" s="696" t="s">
        <v>107</v>
      </c>
      <c r="M30" s="696" t="s">
        <v>107</v>
      </c>
      <c r="N30" s="696" t="s">
        <v>107</v>
      </c>
      <c r="O30" s="696" t="s">
        <v>107</v>
      </c>
      <c r="P30" s="696" t="s">
        <v>107</v>
      </c>
      <c r="Q30" s="696" t="s">
        <v>107</v>
      </c>
      <c r="R30" s="696" t="s">
        <v>107</v>
      </c>
      <c r="S30" s="346" t="s">
        <v>107</v>
      </c>
      <c r="T30" s="178" t="s">
        <v>107</v>
      </c>
      <c r="U30" s="170" t="s">
        <v>107</v>
      </c>
      <c r="V30" s="170" t="s">
        <v>107</v>
      </c>
      <c r="W30" s="231" t="s">
        <v>107</v>
      </c>
      <c r="X30" s="472"/>
      <c r="Y30" s="357"/>
      <c r="Z30" s="357"/>
      <c r="AA30" s="357"/>
      <c r="AB30" s="357"/>
      <c r="AC30" s="357"/>
      <c r="AD30" s="357"/>
      <c r="AE30" s="357"/>
      <c r="AF30" s="357"/>
      <c r="AG30" s="357"/>
      <c r="AH30" s="357"/>
      <c r="AI30" s="357"/>
      <c r="AJ30" s="357"/>
      <c r="AK30" s="357"/>
    </row>
    <row r="31" spans="1:37" x14ac:dyDescent="0.3">
      <c r="A31" s="357"/>
      <c r="B31" s="189" t="s">
        <v>82</v>
      </c>
      <c r="C31" s="215">
        <f t="shared" si="15"/>
        <v>5</v>
      </c>
      <c r="D31" s="286"/>
      <c r="E31" s="286">
        <v>0</v>
      </c>
      <c r="F31" s="696">
        <v>1</v>
      </c>
      <c r="G31" s="696">
        <v>1</v>
      </c>
      <c r="H31" s="696">
        <v>0</v>
      </c>
      <c r="I31" s="696">
        <v>0</v>
      </c>
      <c r="J31" s="696">
        <v>0</v>
      </c>
      <c r="K31" s="696">
        <v>0</v>
      </c>
      <c r="L31" s="696">
        <v>1</v>
      </c>
      <c r="M31" s="696">
        <v>0</v>
      </c>
      <c r="N31" s="696">
        <v>0</v>
      </c>
      <c r="O31" s="696">
        <v>0</v>
      </c>
      <c r="P31" s="696">
        <v>0</v>
      </c>
      <c r="Q31" s="696">
        <v>0</v>
      </c>
      <c r="R31" s="696">
        <v>0</v>
      </c>
      <c r="S31" s="346">
        <v>1</v>
      </c>
      <c r="T31" s="178">
        <v>0</v>
      </c>
      <c r="U31" s="170">
        <v>1</v>
      </c>
      <c r="V31" s="170">
        <v>0</v>
      </c>
      <c r="W31" s="170">
        <v>0</v>
      </c>
      <c r="X31" s="909"/>
      <c r="Y31" s="910"/>
      <c r="Z31" s="910"/>
      <c r="AA31" s="910"/>
      <c r="AB31" s="357"/>
      <c r="AC31" s="357"/>
      <c r="AD31" s="357"/>
      <c r="AE31" s="357"/>
      <c r="AF31" s="357"/>
      <c r="AG31" s="357"/>
      <c r="AH31" s="357"/>
      <c r="AI31" s="357"/>
      <c r="AJ31" s="357"/>
      <c r="AK31" s="357"/>
    </row>
    <row r="32" spans="1:37" x14ac:dyDescent="0.3">
      <c r="A32" s="357"/>
      <c r="B32" s="189" t="s">
        <v>709</v>
      </c>
      <c r="C32" s="215">
        <f t="shared" si="15"/>
        <v>6</v>
      </c>
      <c r="D32" s="286"/>
      <c r="E32" s="286" t="s">
        <v>107</v>
      </c>
      <c r="F32" s="696" t="s">
        <v>107</v>
      </c>
      <c r="G32" s="696" t="s">
        <v>107</v>
      </c>
      <c r="H32" s="696">
        <v>0</v>
      </c>
      <c r="I32" s="696">
        <v>0</v>
      </c>
      <c r="J32" s="696">
        <v>0</v>
      </c>
      <c r="K32" s="696">
        <v>0</v>
      </c>
      <c r="L32" s="696">
        <v>0</v>
      </c>
      <c r="M32" s="696">
        <v>0</v>
      </c>
      <c r="N32" s="696">
        <v>0</v>
      </c>
      <c r="O32" s="696">
        <v>0</v>
      </c>
      <c r="P32" s="696">
        <v>0</v>
      </c>
      <c r="Q32" s="696">
        <v>0</v>
      </c>
      <c r="R32" s="696">
        <v>0</v>
      </c>
      <c r="S32" s="346">
        <v>1</v>
      </c>
      <c r="T32" s="178">
        <v>0</v>
      </c>
      <c r="U32" s="170">
        <v>1</v>
      </c>
      <c r="V32" s="170">
        <v>3</v>
      </c>
      <c r="W32" s="170">
        <v>1</v>
      </c>
      <c r="X32" s="1263"/>
      <c r="Y32" s="910"/>
      <c r="Z32" s="910"/>
      <c r="AA32" s="910"/>
      <c r="AB32" s="357"/>
      <c r="AC32" s="357"/>
      <c r="AD32" s="357"/>
      <c r="AE32" s="357"/>
      <c r="AF32" s="357"/>
      <c r="AG32" s="357"/>
      <c r="AH32" s="357"/>
      <c r="AI32" s="357"/>
      <c r="AJ32" s="357"/>
      <c r="AK32" s="357"/>
    </row>
    <row r="33" spans="1:37" ht="15" thickBot="1" x14ac:dyDescent="0.35">
      <c r="A33" s="357"/>
      <c r="B33" s="191" t="s">
        <v>2410</v>
      </c>
      <c r="C33" s="215">
        <f t="shared" si="15"/>
        <v>0</v>
      </c>
      <c r="D33" s="288"/>
      <c r="E33" s="288">
        <v>0</v>
      </c>
      <c r="F33" s="698">
        <v>0</v>
      </c>
      <c r="G33" s="698">
        <v>0</v>
      </c>
      <c r="H33" s="698" t="s">
        <v>107</v>
      </c>
      <c r="I33" s="698" t="s">
        <v>107</v>
      </c>
      <c r="J33" s="698" t="s">
        <v>107</v>
      </c>
      <c r="K33" s="698" t="s">
        <v>107</v>
      </c>
      <c r="L33" s="698" t="s">
        <v>107</v>
      </c>
      <c r="M33" s="698" t="s">
        <v>107</v>
      </c>
      <c r="N33" s="698" t="s">
        <v>107</v>
      </c>
      <c r="O33" s="698" t="s">
        <v>107</v>
      </c>
      <c r="P33" s="698" t="s">
        <v>107</v>
      </c>
      <c r="Q33" s="698" t="s">
        <v>107</v>
      </c>
      <c r="R33" s="698" t="s">
        <v>107</v>
      </c>
      <c r="S33" s="347" t="s">
        <v>107</v>
      </c>
      <c r="T33" s="281" t="s">
        <v>107</v>
      </c>
      <c r="U33" s="180" t="s">
        <v>107</v>
      </c>
      <c r="V33" s="180" t="s">
        <v>107</v>
      </c>
      <c r="W33" s="180" t="s">
        <v>107</v>
      </c>
      <c r="X33" s="911"/>
      <c r="Y33" s="912"/>
      <c r="Z33" s="912"/>
      <c r="AA33" s="912"/>
      <c r="AB33" s="357"/>
      <c r="AC33" s="357"/>
      <c r="AD33" s="357"/>
      <c r="AE33" s="357"/>
      <c r="AF33" s="357"/>
      <c r="AG33" s="357"/>
      <c r="AH33" s="357"/>
      <c r="AI33" s="357"/>
      <c r="AJ33" s="357"/>
      <c r="AK33" s="357"/>
    </row>
    <row r="34" spans="1:37" x14ac:dyDescent="0.3">
      <c r="A34" s="357"/>
      <c r="B34" s="191" t="s">
        <v>1948</v>
      </c>
      <c r="C34" s="216">
        <f>SUM(D34:AA34)</f>
        <v>1255</v>
      </c>
      <c r="D34" s="288"/>
      <c r="E34" s="288">
        <v>56</v>
      </c>
      <c r="F34" s="698">
        <v>20</v>
      </c>
      <c r="G34" s="698">
        <v>44</v>
      </c>
      <c r="H34" s="698">
        <v>50</v>
      </c>
      <c r="I34" s="698">
        <v>2</v>
      </c>
      <c r="J34" s="698">
        <v>35</v>
      </c>
      <c r="K34" s="698">
        <v>0</v>
      </c>
      <c r="L34" s="698">
        <v>42</v>
      </c>
      <c r="M34" s="698">
        <v>2</v>
      </c>
      <c r="N34" s="698">
        <f>N28*2+N29*5+N31*10+N32*20</f>
        <v>10</v>
      </c>
      <c r="O34" s="698">
        <f t="shared" ref="O34:W34" si="16">O28*2+O29*5+O31*10+O32*20</f>
        <v>65</v>
      </c>
      <c r="P34" s="698">
        <f t="shared" si="16"/>
        <v>41</v>
      </c>
      <c r="Q34" s="698">
        <f t="shared" si="16"/>
        <v>48</v>
      </c>
      <c r="R34" s="698">
        <f t="shared" si="16"/>
        <v>42</v>
      </c>
      <c r="S34" s="347">
        <f t="shared" si="16"/>
        <v>77</v>
      </c>
      <c r="T34" s="281">
        <f t="shared" si="16"/>
        <v>48</v>
      </c>
      <c r="U34" s="180">
        <f t="shared" si="16"/>
        <v>98</v>
      </c>
      <c r="V34" s="180">
        <f t="shared" si="16"/>
        <v>137</v>
      </c>
      <c r="W34" s="180">
        <f t="shared" si="16"/>
        <v>94</v>
      </c>
      <c r="X34" s="904">
        <v>42</v>
      </c>
      <c r="Y34" s="904">
        <v>141</v>
      </c>
      <c r="Z34" s="904">
        <v>48</v>
      </c>
      <c r="AA34" s="905">
        <v>113</v>
      </c>
      <c r="AB34" s="357"/>
      <c r="AC34" s="357"/>
      <c r="AD34" s="357"/>
      <c r="AE34" s="357"/>
      <c r="AF34" s="357"/>
      <c r="AG34" s="357"/>
      <c r="AH34" s="357"/>
      <c r="AI34" s="357"/>
      <c r="AJ34" s="357"/>
      <c r="AK34" s="357"/>
    </row>
    <row r="35" spans="1:37" ht="15" thickBot="1" x14ac:dyDescent="0.35">
      <c r="A35" s="357"/>
      <c r="B35" s="192" t="s">
        <v>7</v>
      </c>
      <c r="C35" s="217">
        <f>SUM(D35:AA35)</f>
        <v>515</v>
      </c>
      <c r="D35" s="287"/>
      <c r="E35" s="287">
        <v>27</v>
      </c>
      <c r="F35" s="699">
        <v>5</v>
      </c>
      <c r="G35" s="699">
        <v>17</v>
      </c>
      <c r="H35" s="699">
        <v>25</v>
      </c>
      <c r="I35" s="699">
        <v>1</v>
      </c>
      <c r="J35" s="699">
        <v>16</v>
      </c>
      <c r="K35" s="699">
        <v>0</v>
      </c>
      <c r="L35" s="699">
        <v>17</v>
      </c>
      <c r="M35" s="699">
        <v>1</v>
      </c>
      <c r="N35" s="699">
        <v>33</v>
      </c>
      <c r="O35" s="699">
        <v>28</v>
      </c>
      <c r="P35" s="699">
        <v>19</v>
      </c>
      <c r="Q35" s="699">
        <f>SUM(Q28:Q32)</f>
        <v>21</v>
      </c>
      <c r="R35" s="699">
        <v>21</v>
      </c>
      <c r="S35" s="348">
        <v>24</v>
      </c>
      <c r="T35" s="179">
        <v>24</v>
      </c>
      <c r="U35" s="171">
        <v>33</v>
      </c>
      <c r="V35" s="171">
        <v>37</v>
      </c>
      <c r="W35" s="171">
        <v>35</v>
      </c>
      <c r="X35" s="121">
        <v>21</v>
      </c>
      <c r="Y35" s="121">
        <v>44</v>
      </c>
      <c r="Z35" s="121">
        <v>20</v>
      </c>
      <c r="AA35" s="122">
        <v>46</v>
      </c>
      <c r="AB35" s="357"/>
      <c r="AC35" s="357"/>
      <c r="AD35" s="357"/>
      <c r="AE35" s="357"/>
      <c r="AF35" s="357"/>
      <c r="AG35" s="357"/>
      <c r="AH35" s="357"/>
      <c r="AI35" s="357"/>
      <c r="AJ35" s="357"/>
      <c r="AK35" s="357"/>
    </row>
    <row r="36" spans="1:37" ht="15" thickBot="1" x14ac:dyDescent="0.35">
      <c r="A36" s="357"/>
      <c r="B36" s="469"/>
      <c r="C36" s="470"/>
      <c r="D36" s="470"/>
      <c r="E36" s="470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0"/>
      <c r="Q36" s="471"/>
      <c r="R36" s="471"/>
      <c r="S36" s="471"/>
      <c r="T36" s="470"/>
      <c r="U36" s="471"/>
      <c r="V36" s="471"/>
      <c r="W36" s="358"/>
      <c r="X36" s="358"/>
      <c r="Y36" s="358"/>
      <c r="Z36" s="358"/>
      <c r="AA36" s="358"/>
      <c r="AB36" s="357"/>
      <c r="AC36" s="357"/>
      <c r="AD36" s="357"/>
      <c r="AE36" s="357"/>
      <c r="AF36" s="357"/>
      <c r="AG36" s="357"/>
      <c r="AH36" s="357"/>
      <c r="AI36" s="357"/>
      <c r="AJ36" s="357"/>
      <c r="AK36" s="357"/>
    </row>
    <row r="37" spans="1:37" ht="15" thickBot="1" x14ac:dyDescent="0.35">
      <c r="A37" s="357"/>
      <c r="B37" s="188" t="s">
        <v>688</v>
      </c>
      <c r="C37" s="470"/>
      <c r="D37" s="470"/>
      <c r="E37" s="470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0"/>
      <c r="Q37" s="471"/>
      <c r="R37" s="471"/>
      <c r="S37" s="471"/>
      <c r="T37" s="470"/>
      <c r="U37" s="471"/>
      <c r="V37" s="471"/>
      <c r="W37" s="358"/>
      <c r="X37" s="358"/>
      <c r="Y37" s="358"/>
      <c r="Z37" s="358"/>
      <c r="AA37" s="358"/>
      <c r="AB37" s="357"/>
      <c r="AC37" s="357"/>
      <c r="AD37" s="357"/>
      <c r="AE37" s="357"/>
      <c r="AF37" s="357"/>
      <c r="AG37" s="357"/>
      <c r="AH37" s="357"/>
      <c r="AI37" s="357"/>
      <c r="AJ37" s="357"/>
      <c r="AK37" s="357"/>
    </row>
    <row r="38" spans="1:37" x14ac:dyDescent="0.3">
      <c r="A38" s="357"/>
      <c r="B38" s="189" t="s">
        <v>689</v>
      </c>
      <c r="C38" s="214">
        <f>SUM(D38:AA38)</f>
        <v>67</v>
      </c>
      <c r="D38" s="285"/>
      <c r="E38" s="285">
        <v>2</v>
      </c>
      <c r="F38" s="694">
        <v>1</v>
      </c>
      <c r="G38" s="694">
        <v>1</v>
      </c>
      <c r="H38" s="694">
        <v>10</v>
      </c>
      <c r="I38" s="694">
        <v>0</v>
      </c>
      <c r="J38" s="694">
        <v>4</v>
      </c>
      <c r="K38" s="694">
        <v>0</v>
      </c>
      <c r="L38" s="694">
        <v>2</v>
      </c>
      <c r="M38" s="694">
        <v>1</v>
      </c>
      <c r="N38" s="694">
        <v>0</v>
      </c>
      <c r="O38" s="694">
        <v>4</v>
      </c>
      <c r="P38" s="694">
        <v>0</v>
      </c>
      <c r="Q38" s="694">
        <v>5</v>
      </c>
      <c r="R38" s="694">
        <v>5</v>
      </c>
      <c r="S38" s="345">
        <v>3</v>
      </c>
      <c r="T38" s="177">
        <v>1</v>
      </c>
      <c r="U38" s="169">
        <v>3</v>
      </c>
      <c r="V38" s="169">
        <v>4</v>
      </c>
      <c r="W38" s="169">
        <v>7</v>
      </c>
      <c r="X38" s="117">
        <v>6</v>
      </c>
      <c r="Y38" s="117">
        <v>3</v>
      </c>
      <c r="Z38" s="117">
        <v>2</v>
      </c>
      <c r="AA38" s="118">
        <v>3</v>
      </c>
      <c r="AB38" s="357"/>
      <c r="AC38" s="357"/>
      <c r="AD38" s="357"/>
      <c r="AE38" s="357"/>
      <c r="AF38" s="357"/>
      <c r="AG38" s="357"/>
      <c r="AH38" s="357"/>
      <c r="AI38" s="357"/>
      <c r="AJ38" s="357"/>
      <c r="AK38" s="357"/>
    </row>
    <row r="39" spans="1:37" x14ac:dyDescent="0.3">
      <c r="A39" s="357"/>
      <c r="B39" s="189" t="s">
        <v>690</v>
      </c>
      <c r="C39" s="218" t="s">
        <v>2411</v>
      </c>
      <c r="D39" s="289"/>
      <c r="E39" s="1064" t="s">
        <v>1439</v>
      </c>
      <c r="F39" s="1092" t="s">
        <v>128</v>
      </c>
      <c r="G39" s="1092" t="s">
        <v>11</v>
      </c>
      <c r="H39" s="700" t="s">
        <v>2310</v>
      </c>
      <c r="I39" s="700" t="s">
        <v>11</v>
      </c>
      <c r="J39" s="1092" t="s">
        <v>105</v>
      </c>
      <c r="K39" s="700" t="s">
        <v>11</v>
      </c>
      <c r="L39" s="700" t="s">
        <v>770</v>
      </c>
      <c r="M39" s="700" t="s">
        <v>128</v>
      </c>
      <c r="N39" s="700" t="s">
        <v>11</v>
      </c>
      <c r="O39" s="700" t="s">
        <v>105</v>
      </c>
      <c r="P39" s="700" t="s">
        <v>11</v>
      </c>
      <c r="Q39" s="700" t="s">
        <v>582</v>
      </c>
      <c r="R39" s="700" t="s">
        <v>113</v>
      </c>
      <c r="S39" s="349" t="s">
        <v>705</v>
      </c>
      <c r="T39" s="282" t="s">
        <v>984</v>
      </c>
      <c r="U39" s="172" t="s">
        <v>705</v>
      </c>
      <c r="V39" s="172" t="s">
        <v>705</v>
      </c>
      <c r="W39" s="172" t="s">
        <v>704</v>
      </c>
      <c r="X39" s="123" t="s">
        <v>704</v>
      </c>
      <c r="Y39" s="123" t="s">
        <v>705</v>
      </c>
      <c r="Z39" s="123" t="s">
        <v>706</v>
      </c>
      <c r="AA39" s="124" t="s">
        <v>707</v>
      </c>
      <c r="AB39" s="357"/>
      <c r="AC39" s="357"/>
      <c r="AD39" s="357"/>
      <c r="AE39" s="357"/>
      <c r="AF39" s="357"/>
      <c r="AG39" s="357"/>
      <c r="AH39" s="357"/>
      <c r="AI39" s="357"/>
      <c r="AJ39" s="357"/>
      <c r="AK39" s="357"/>
    </row>
    <row r="40" spans="1:37" ht="15" thickBot="1" x14ac:dyDescent="0.35">
      <c r="A40" s="357"/>
      <c r="B40" s="192" t="s">
        <v>691</v>
      </c>
      <c r="C40" s="219" t="s">
        <v>2528</v>
      </c>
      <c r="D40" s="290"/>
      <c r="E40" s="290" t="s">
        <v>11</v>
      </c>
      <c r="F40" s="1093" t="s">
        <v>11</v>
      </c>
      <c r="G40" s="1093" t="s">
        <v>105</v>
      </c>
      <c r="H40" s="701" t="s">
        <v>2311</v>
      </c>
      <c r="I40" s="701" t="s">
        <v>11</v>
      </c>
      <c r="J40" s="1093" t="s">
        <v>582</v>
      </c>
      <c r="K40" s="701" t="s">
        <v>11</v>
      </c>
      <c r="L40" s="701" t="s">
        <v>11</v>
      </c>
      <c r="M40" s="701" t="s">
        <v>11</v>
      </c>
      <c r="N40" s="701" t="s">
        <v>11</v>
      </c>
      <c r="O40" s="701" t="s">
        <v>113</v>
      </c>
      <c r="P40" s="701" t="s">
        <v>11</v>
      </c>
      <c r="Q40" s="701" t="s">
        <v>511</v>
      </c>
      <c r="R40" s="701" t="s">
        <v>1439</v>
      </c>
      <c r="S40" s="350" t="s">
        <v>984</v>
      </c>
      <c r="T40" s="283" t="s">
        <v>11</v>
      </c>
      <c r="U40" s="173" t="s">
        <v>984</v>
      </c>
      <c r="V40" s="173" t="s">
        <v>845</v>
      </c>
      <c r="W40" s="173" t="s">
        <v>710</v>
      </c>
      <c r="X40" s="125" t="s">
        <v>707</v>
      </c>
      <c r="Y40" s="125" t="s">
        <v>706</v>
      </c>
      <c r="Z40" s="125" t="s">
        <v>706</v>
      </c>
      <c r="AA40" s="126" t="s">
        <v>11</v>
      </c>
      <c r="AB40" s="357"/>
      <c r="AC40" s="357"/>
      <c r="AD40" s="357"/>
      <c r="AE40" s="357"/>
      <c r="AF40" s="357"/>
      <c r="AG40" s="357"/>
      <c r="AH40" s="357"/>
      <c r="AI40" s="357"/>
      <c r="AJ40" s="357"/>
      <c r="AK40" s="357"/>
    </row>
    <row r="41" spans="1:37" ht="15" thickBot="1" x14ac:dyDescent="0.35">
      <c r="A41" s="357"/>
      <c r="B41" s="469"/>
      <c r="C41" s="470"/>
      <c r="D41" s="470"/>
      <c r="E41" s="470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0"/>
      <c r="Q41" s="471"/>
      <c r="R41" s="471"/>
      <c r="S41" s="471"/>
      <c r="T41" s="470"/>
      <c r="U41" s="471"/>
      <c r="V41" s="471"/>
      <c r="W41" s="358"/>
      <c r="X41" s="358"/>
      <c r="Y41" s="358"/>
      <c r="Z41" s="358"/>
      <c r="AA41" s="358"/>
      <c r="AB41" s="357"/>
      <c r="AC41" s="357"/>
      <c r="AD41" s="357"/>
      <c r="AE41" s="357"/>
      <c r="AF41" s="357"/>
      <c r="AG41" s="357"/>
      <c r="AH41" s="357"/>
      <c r="AI41" s="357"/>
      <c r="AJ41" s="357"/>
      <c r="AK41" s="357"/>
    </row>
    <row r="42" spans="1:37" ht="15" thickBot="1" x14ac:dyDescent="0.35">
      <c r="A42" s="357"/>
      <c r="B42" s="188" t="s">
        <v>692</v>
      </c>
      <c r="C42" s="470"/>
      <c r="D42" s="470"/>
      <c r="E42" s="470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0"/>
      <c r="Q42" s="471"/>
      <c r="R42" s="471"/>
      <c r="S42" s="471"/>
      <c r="T42" s="470"/>
      <c r="U42" s="471"/>
      <c r="V42" s="471"/>
      <c r="W42" s="358"/>
      <c r="X42" s="358"/>
      <c r="Y42" s="358"/>
      <c r="Z42" s="358"/>
      <c r="AA42" s="358"/>
      <c r="AB42" s="357"/>
      <c r="AC42" s="357"/>
      <c r="AD42" s="357"/>
      <c r="AE42" s="357"/>
      <c r="AF42" s="357"/>
      <c r="AG42" s="357"/>
      <c r="AH42" s="357"/>
      <c r="AI42" s="357"/>
      <c r="AJ42" s="357"/>
      <c r="AK42" s="357"/>
    </row>
    <row r="43" spans="1:37" x14ac:dyDescent="0.3">
      <c r="A43" s="357"/>
      <c r="B43" s="189" t="s">
        <v>540</v>
      </c>
      <c r="C43" s="214">
        <f t="shared" ref="C43:C48" si="17">SUM(D43:AA43)</f>
        <v>118</v>
      </c>
      <c r="D43" s="285"/>
      <c r="E43" s="285">
        <v>4</v>
      </c>
      <c r="F43" s="694">
        <v>1</v>
      </c>
      <c r="G43" s="694">
        <v>1</v>
      </c>
      <c r="H43" s="694">
        <v>8</v>
      </c>
      <c r="I43" s="694">
        <v>0</v>
      </c>
      <c r="J43" s="694">
        <v>2</v>
      </c>
      <c r="K43" s="694">
        <v>0</v>
      </c>
      <c r="L43" s="694">
        <v>7</v>
      </c>
      <c r="M43" s="694">
        <v>1</v>
      </c>
      <c r="N43" s="694">
        <v>4</v>
      </c>
      <c r="O43" s="694">
        <v>9</v>
      </c>
      <c r="P43" s="694">
        <f>'17-18J'!$L$55</f>
        <v>6</v>
      </c>
      <c r="Q43" s="694">
        <f>'16-17J'!$L$55</f>
        <v>7</v>
      </c>
      <c r="R43" s="694">
        <v>7</v>
      </c>
      <c r="S43" s="345">
        <v>6</v>
      </c>
      <c r="T43" s="177">
        <v>6</v>
      </c>
      <c r="U43" s="169">
        <v>3</v>
      </c>
      <c r="V43" s="169">
        <v>5</v>
      </c>
      <c r="W43" s="169">
        <v>7</v>
      </c>
      <c r="X43" s="117">
        <v>3</v>
      </c>
      <c r="Y43" s="117">
        <v>13</v>
      </c>
      <c r="Z43" s="117">
        <v>7</v>
      </c>
      <c r="AA43" s="118">
        <v>11</v>
      </c>
      <c r="AB43" s="357"/>
      <c r="AC43" s="357"/>
      <c r="AD43" s="357"/>
      <c r="AE43" s="357"/>
      <c r="AF43" s="357"/>
      <c r="AG43" s="357"/>
      <c r="AH43" s="357"/>
      <c r="AI43" s="357"/>
      <c r="AJ43" s="357"/>
      <c r="AK43" s="357"/>
    </row>
    <row r="44" spans="1:37" x14ac:dyDescent="0.3">
      <c r="A44" s="357"/>
      <c r="B44" s="189" t="s">
        <v>545</v>
      </c>
      <c r="C44" s="215">
        <f t="shared" si="17"/>
        <v>20</v>
      </c>
      <c r="D44" s="286"/>
      <c r="E44" s="286">
        <v>1</v>
      </c>
      <c r="F44" s="696">
        <v>1</v>
      </c>
      <c r="G44" s="696">
        <v>1</v>
      </c>
      <c r="H44" s="696">
        <v>0</v>
      </c>
      <c r="I44" s="696">
        <v>0</v>
      </c>
      <c r="J44" s="696">
        <v>4</v>
      </c>
      <c r="K44" s="696">
        <v>0</v>
      </c>
      <c r="L44" s="696">
        <v>0</v>
      </c>
      <c r="M44" s="696">
        <v>1</v>
      </c>
      <c r="N44" s="696">
        <v>0</v>
      </c>
      <c r="O44" s="696">
        <v>0</v>
      </c>
      <c r="P44" s="696">
        <f>'17-18J'!$O$55</f>
        <v>0</v>
      </c>
      <c r="Q44" s="696">
        <f>'16-17J'!$O$55</f>
        <v>2</v>
      </c>
      <c r="R44" s="696">
        <v>0</v>
      </c>
      <c r="S44" s="346">
        <v>0</v>
      </c>
      <c r="T44" s="178">
        <v>1</v>
      </c>
      <c r="U44" s="170">
        <v>2</v>
      </c>
      <c r="V44" s="170">
        <v>2</v>
      </c>
      <c r="W44" s="170">
        <v>1</v>
      </c>
      <c r="X44" s="119">
        <v>0</v>
      </c>
      <c r="Y44" s="119">
        <v>0</v>
      </c>
      <c r="Z44" s="119">
        <v>2</v>
      </c>
      <c r="AA44" s="120">
        <v>2</v>
      </c>
      <c r="AB44" s="357"/>
      <c r="AC44" s="357"/>
      <c r="AD44" s="357"/>
      <c r="AE44" s="357"/>
      <c r="AF44" s="357"/>
      <c r="AG44" s="357"/>
      <c r="AH44" s="357"/>
      <c r="AI44" s="357"/>
      <c r="AJ44" s="357"/>
      <c r="AK44" s="357"/>
    </row>
    <row r="45" spans="1:37" x14ac:dyDescent="0.3">
      <c r="A45" s="357"/>
      <c r="B45" s="189" t="s">
        <v>637</v>
      </c>
      <c r="C45" s="215">
        <f t="shared" si="17"/>
        <v>17</v>
      </c>
      <c r="D45" s="286"/>
      <c r="E45" s="286">
        <v>2</v>
      </c>
      <c r="F45" s="696">
        <v>0</v>
      </c>
      <c r="G45" s="696">
        <v>1</v>
      </c>
      <c r="H45" s="696">
        <v>1</v>
      </c>
      <c r="I45" s="696">
        <v>0</v>
      </c>
      <c r="J45" s="696">
        <v>0</v>
      </c>
      <c r="K45" s="696">
        <v>0</v>
      </c>
      <c r="L45" s="696">
        <v>0</v>
      </c>
      <c r="M45" s="696">
        <v>0</v>
      </c>
      <c r="N45" s="696">
        <v>0</v>
      </c>
      <c r="O45" s="696">
        <v>0</v>
      </c>
      <c r="P45" s="696">
        <f>'17-18J'!$Q$55</f>
        <v>1</v>
      </c>
      <c r="Q45" s="696">
        <f>'16-17J'!$Q$55</f>
        <v>0</v>
      </c>
      <c r="R45" s="696">
        <v>0</v>
      </c>
      <c r="S45" s="346">
        <v>1</v>
      </c>
      <c r="T45" s="178">
        <v>2</v>
      </c>
      <c r="U45" s="170">
        <v>1</v>
      </c>
      <c r="V45" s="170">
        <v>2</v>
      </c>
      <c r="W45" s="170">
        <v>0</v>
      </c>
      <c r="X45" s="119">
        <v>0</v>
      </c>
      <c r="Y45" s="119">
        <v>0</v>
      </c>
      <c r="Z45" s="119">
        <v>2</v>
      </c>
      <c r="AA45" s="120">
        <v>4</v>
      </c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</row>
    <row r="46" spans="1:37" x14ac:dyDescent="0.3">
      <c r="A46" s="357"/>
      <c r="B46" s="189" t="s">
        <v>693</v>
      </c>
      <c r="C46" s="215">
        <f t="shared" si="17"/>
        <v>8</v>
      </c>
      <c r="D46" s="286"/>
      <c r="E46" s="286">
        <v>0</v>
      </c>
      <c r="F46" s="696">
        <v>0</v>
      </c>
      <c r="G46" s="696">
        <v>1</v>
      </c>
      <c r="H46" s="696">
        <v>0</v>
      </c>
      <c r="I46" s="696">
        <v>0</v>
      </c>
      <c r="J46" s="696">
        <v>0</v>
      </c>
      <c r="K46" s="696">
        <v>0</v>
      </c>
      <c r="L46" s="696">
        <v>0</v>
      </c>
      <c r="M46" s="696">
        <v>0</v>
      </c>
      <c r="N46" s="696">
        <v>0</v>
      </c>
      <c r="O46" s="696">
        <v>1</v>
      </c>
      <c r="P46" s="696">
        <f>'17-18J'!$P$55</f>
        <v>0</v>
      </c>
      <c r="Q46" s="696">
        <f>'16-17J'!$P$55</f>
        <v>0</v>
      </c>
      <c r="R46" s="696">
        <v>0</v>
      </c>
      <c r="S46" s="346">
        <v>1</v>
      </c>
      <c r="T46" s="178">
        <v>1</v>
      </c>
      <c r="U46" s="170">
        <v>1</v>
      </c>
      <c r="V46" s="170">
        <v>2</v>
      </c>
      <c r="W46" s="170">
        <v>0</v>
      </c>
      <c r="X46" s="119">
        <v>0</v>
      </c>
      <c r="Y46" s="119">
        <v>1</v>
      </c>
      <c r="Z46" s="119">
        <v>0</v>
      </c>
      <c r="AA46" s="120">
        <v>0</v>
      </c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</row>
    <row r="47" spans="1:37" x14ac:dyDescent="0.3">
      <c r="A47" s="357"/>
      <c r="B47" s="191" t="s">
        <v>669</v>
      </c>
      <c r="C47" s="216">
        <f t="shared" si="17"/>
        <v>3</v>
      </c>
      <c r="D47" s="288"/>
      <c r="E47" s="288">
        <v>1</v>
      </c>
      <c r="F47" s="698">
        <v>0</v>
      </c>
      <c r="G47" s="698">
        <v>0</v>
      </c>
      <c r="H47" s="698">
        <v>0</v>
      </c>
      <c r="I47" s="698">
        <v>0</v>
      </c>
      <c r="J47" s="698">
        <v>1</v>
      </c>
      <c r="K47" s="698">
        <v>0</v>
      </c>
      <c r="L47" s="698">
        <v>0</v>
      </c>
      <c r="M47" s="698">
        <v>1</v>
      </c>
      <c r="N47" s="698"/>
      <c r="O47" s="698"/>
      <c r="P47" s="698"/>
      <c r="Q47" s="698"/>
      <c r="R47" s="698"/>
      <c r="S47" s="347"/>
      <c r="T47" s="281"/>
      <c r="U47" s="180"/>
      <c r="V47" s="180"/>
      <c r="W47" s="180"/>
      <c r="X47" s="1006"/>
      <c r="Y47" s="1006"/>
      <c r="Z47" s="1006"/>
      <c r="AA47" s="100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</row>
    <row r="48" spans="1:37" ht="15" thickBot="1" x14ac:dyDescent="0.35">
      <c r="A48" s="357"/>
      <c r="B48" s="192" t="s">
        <v>139</v>
      </c>
      <c r="C48" s="217">
        <f t="shared" si="17"/>
        <v>16</v>
      </c>
      <c r="D48" s="287"/>
      <c r="E48" s="287">
        <v>2</v>
      </c>
      <c r="F48" s="699">
        <v>0</v>
      </c>
      <c r="G48" s="699">
        <v>2</v>
      </c>
      <c r="H48" s="699">
        <v>1</v>
      </c>
      <c r="I48" s="699">
        <v>0</v>
      </c>
      <c r="J48" s="699">
        <v>0</v>
      </c>
      <c r="K48" s="699">
        <v>0</v>
      </c>
      <c r="L48" s="699">
        <v>1</v>
      </c>
      <c r="M48" s="699">
        <v>0</v>
      </c>
      <c r="N48" s="699">
        <v>0</v>
      </c>
      <c r="O48" s="699">
        <v>1</v>
      </c>
      <c r="P48" s="699">
        <f>'17-18J'!$R$55</f>
        <v>2</v>
      </c>
      <c r="Q48" s="699">
        <f>'16-17J'!$R$55</f>
        <v>1</v>
      </c>
      <c r="R48" s="699">
        <v>0</v>
      </c>
      <c r="S48" s="348">
        <v>2</v>
      </c>
      <c r="T48" s="179">
        <v>1</v>
      </c>
      <c r="U48" s="171">
        <v>0</v>
      </c>
      <c r="V48" s="171">
        <v>0</v>
      </c>
      <c r="W48" s="171">
        <v>0</v>
      </c>
      <c r="X48" s="121">
        <v>0</v>
      </c>
      <c r="Y48" s="121">
        <v>2</v>
      </c>
      <c r="Z48" s="121">
        <v>1</v>
      </c>
      <c r="AA48" s="122">
        <v>0</v>
      </c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</row>
    <row r="49" spans="1:37" ht="15" thickBot="1" x14ac:dyDescent="0.35">
      <c r="A49" s="357"/>
      <c r="B49" s="469"/>
      <c r="C49" s="470"/>
      <c r="D49" s="470"/>
      <c r="E49" s="470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0"/>
      <c r="Q49" s="471"/>
      <c r="R49" s="471"/>
      <c r="S49" s="471"/>
      <c r="T49" s="470"/>
      <c r="U49" s="471"/>
      <c r="V49" s="471"/>
      <c r="W49" s="358"/>
      <c r="X49" s="358"/>
      <c r="Y49" s="358"/>
      <c r="Z49" s="358"/>
      <c r="AA49" s="358"/>
      <c r="AB49" s="357"/>
      <c r="AC49" s="357"/>
      <c r="AD49" s="357"/>
      <c r="AE49" s="357"/>
      <c r="AF49" s="357"/>
      <c r="AG49" s="357"/>
      <c r="AH49" s="357"/>
      <c r="AI49" s="357"/>
      <c r="AJ49" s="357"/>
      <c r="AK49" s="357"/>
    </row>
    <row r="50" spans="1:37" ht="15" thickBot="1" x14ac:dyDescent="0.35">
      <c r="A50" s="357"/>
      <c r="B50" s="188" t="s">
        <v>694</v>
      </c>
      <c r="C50" s="470"/>
      <c r="D50" s="470"/>
      <c r="E50" s="470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0"/>
      <c r="Q50" s="471"/>
      <c r="R50" s="471"/>
      <c r="S50" s="471"/>
      <c r="T50" s="470"/>
      <c r="U50" s="471"/>
      <c r="V50" s="471"/>
      <c r="W50" s="358"/>
      <c r="X50" s="358"/>
      <c r="Y50" s="358"/>
      <c r="Z50" s="358"/>
      <c r="AA50" s="358"/>
      <c r="AB50" s="357"/>
      <c r="AC50" s="357"/>
      <c r="AD50" s="357"/>
      <c r="AE50" s="357"/>
      <c r="AF50" s="357"/>
      <c r="AG50" s="357"/>
      <c r="AH50" s="357"/>
      <c r="AI50" s="357"/>
      <c r="AJ50" s="357"/>
      <c r="AK50" s="357"/>
    </row>
    <row r="51" spans="1:37" x14ac:dyDescent="0.3">
      <c r="A51" s="357"/>
      <c r="B51" s="189" t="s">
        <v>540</v>
      </c>
      <c r="C51" s="214">
        <f t="shared" ref="C51:C56" si="18">SUM(D51:AA51)</f>
        <v>104</v>
      </c>
      <c r="D51" s="285"/>
      <c r="E51" s="285">
        <v>6</v>
      </c>
      <c r="F51" s="694">
        <v>0</v>
      </c>
      <c r="G51" s="694">
        <v>6</v>
      </c>
      <c r="H51" s="694">
        <v>11</v>
      </c>
      <c r="I51" s="694">
        <v>0</v>
      </c>
      <c r="J51" s="694">
        <v>7</v>
      </c>
      <c r="K51" s="694">
        <v>2</v>
      </c>
      <c r="L51" s="694">
        <v>0</v>
      </c>
      <c r="M51" s="694">
        <v>0</v>
      </c>
      <c r="N51" s="694">
        <v>0</v>
      </c>
      <c r="O51" s="694">
        <v>3</v>
      </c>
      <c r="P51" s="694">
        <f>'17-18J'!$L$56</f>
        <v>2</v>
      </c>
      <c r="Q51" s="694">
        <f>'16-17J'!$L$56</f>
        <v>11</v>
      </c>
      <c r="R51" s="694">
        <v>5</v>
      </c>
      <c r="S51" s="345">
        <v>2</v>
      </c>
      <c r="T51" s="177">
        <v>5</v>
      </c>
      <c r="U51" s="169">
        <v>4</v>
      </c>
      <c r="V51" s="169">
        <v>5</v>
      </c>
      <c r="W51" s="169">
        <v>6</v>
      </c>
      <c r="X51" s="117">
        <v>11</v>
      </c>
      <c r="Y51" s="117">
        <v>10</v>
      </c>
      <c r="Z51" s="117">
        <v>1</v>
      </c>
      <c r="AA51" s="118">
        <v>7</v>
      </c>
      <c r="AB51" s="357"/>
      <c r="AC51" s="357"/>
      <c r="AD51" s="357"/>
      <c r="AE51" s="357"/>
      <c r="AF51" s="357"/>
      <c r="AG51" s="357"/>
      <c r="AH51" s="357"/>
      <c r="AI51" s="357"/>
      <c r="AJ51" s="357"/>
      <c r="AK51" s="357"/>
    </row>
    <row r="52" spans="1:37" x14ac:dyDescent="0.3">
      <c r="A52" s="357"/>
      <c r="B52" s="189" t="s">
        <v>545</v>
      </c>
      <c r="C52" s="215">
        <f t="shared" si="18"/>
        <v>15</v>
      </c>
      <c r="D52" s="286"/>
      <c r="E52" s="286">
        <v>0</v>
      </c>
      <c r="F52" s="696">
        <v>0</v>
      </c>
      <c r="G52" s="696">
        <v>0</v>
      </c>
      <c r="H52" s="696">
        <v>0</v>
      </c>
      <c r="I52" s="696">
        <v>0</v>
      </c>
      <c r="J52" s="696">
        <v>2</v>
      </c>
      <c r="K52" s="696">
        <v>0</v>
      </c>
      <c r="L52" s="696">
        <v>1</v>
      </c>
      <c r="M52" s="696">
        <v>0</v>
      </c>
      <c r="N52" s="696">
        <v>0</v>
      </c>
      <c r="O52" s="696">
        <v>0</v>
      </c>
      <c r="P52" s="696">
        <f>'17-18J'!$O$56</f>
        <v>0</v>
      </c>
      <c r="Q52" s="696">
        <f>'16-17J'!$O$56</f>
        <v>0</v>
      </c>
      <c r="R52" s="696">
        <v>1</v>
      </c>
      <c r="S52" s="346">
        <v>3</v>
      </c>
      <c r="T52" s="178">
        <v>0</v>
      </c>
      <c r="U52" s="170">
        <v>1</v>
      </c>
      <c r="V52" s="170">
        <v>0</v>
      </c>
      <c r="W52" s="170">
        <v>0</v>
      </c>
      <c r="X52" s="119">
        <v>1</v>
      </c>
      <c r="Y52" s="119">
        <v>1</v>
      </c>
      <c r="Z52" s="119">
        <v>4</v>
      </c>
      <c r="AA52" s="120">
        <v>1</v>
      </c>
      <c r="AB52" s="357"/>
      <c r="AC52" s="357"/>
      <c r="AD52" s="357"/>
      <c r="AE52" s="357"/>
      <c r="AF52" s="357"/>
      <c r="AG52" s="357"/>
      <c r="AH52" s="357"/>
      <c r="AI52" s="357"/>
      <c r="AJ52" s="357"/>
      <c r="AK52" s="357"/>
    </row>
    <row r="53" spans="1:37" x14ac:dyDescent="0.3">
      <c r="A53" s="357"/>
      <c r="B53" s="189" t="s">
        <v>637</v>
      </c>
      <c r="C53" s="215">
        <f t="shared" si="18"/>
        <v>12</v>
      </c>
      <c r="D53" s="286"/>
      <c r="E53" s="286">
        <v>0</v>
      </c>
      <c r="F53" s="696">
        <v>0</v>
      </c>
      <c r="G53" s="696">
        <v>0</v>
      </c>
      <c r="H53" s="696">
        <v>2</v>
      </c>
      <c r="I53" s="696">
        <v>0</v>
      </c>
      <c r="J53" s="696">
        <v>1</v>
      </c>
      <c r="K53" s="696">
        <v>0</v>
      </c>
      <c r="L53" s="696">
        <v>0</v>
      </c>
      <c r="M53" s="696">
        <v>0</v>
      </c>
      <c r="N53" s="696">
        <v>1</v>
      </c>
      <c r="O53" s="696">
        <v>2</v>
      </c>
      <c r="P53" s="696">
        <f>'17-18J'!$Q$56</f>
        <v>0</v>
      </c>
      <c r="Q53" s="696">
        <f>'16-17J'!$Q$56</f>
        <v>1</v>
      </c>
      <c r="R53" s="696">
        <v>0</v>
      </c>
      <c r="S53" s="346">
        <v>0</v>
      </c>
      <c r="T53" s="178">
        <v>0</v>
      </c>
      <c r="U53" s="170">
        <v>1</v>
      </c>
      <c r="V53" s="170">
        <v>1</v>
      </c>
      <c r="W53" s="170">
        <v>1</v>
      </c>
      <c r="X53" s="119">
        <v>0</v>
      </c>
      <c r="Y53" s="119">
        <v>0</v>
      </c>
      <c r="Z53" s="119">
        <v>2</v>
      </c>
      <c r="AA53" s="120">
        <v>0</v>
      </c>
      <c r="AB53" s="357"/>
      <c r="AC53" s="357"/>
      <c r="AD53" s="357"/>
      <c r="AE53" s="357"/>
      <c r="AF53" s="357"/>
      <c r="AG53" s="357"/>
      <c r="AH53" s="357"/>
      <c r="AI53" s="357"/>
      <c r="AJ53" s="357"/>
      <c r="AK53" s="357"/>
    </row>
    <row r="54" spans="1:37" x14ac:dyDescent="0.3">
      <c r="A54" s="357"/>
      <c r="B54" s="189" t="s">
        <v>693</v>
      </c>
      <c r="C54" s="215">
        <f t="shared" si="18"/>
        <v>2</v>
      </c>
      <c r="D54" s="286"/>
      <c r="E54" s="286">
        <v>0</v>
      </c>
      <c r="F54" s="696">
        <v>0</v>
      </c>
      <c r="G54" s="696">
        <v>0</v>
      </c>
      <c r="H54" s="696">
        <v>0</v>
      </c>
      <c r="I54" s="696">
        <v>0</v>
      </c>
      <c r="J54" s="696">
        <v>0</v>
      </c>
      <c r="K54" s="696">
        <v>0</v>
      </c>
      <c r="L54" s="696">
        <v>0</v>
      </c>
      <c r="M54" s="696">
        <v>0</v>
      </c>
      <c r="N54" s="696">
        <v>0</v>
      </c>
      <c r="O54" s="696">
        <v>0</v>
      </c>
      <c r="P54" s="696">
        <f>'17-18J'!$P$56</f>
        <v>0</v>
      </c>
      <c r="Q54" s="696">
        <f>'16-17J'!$P$56</f>
        <v>0</v>
      </c>
      <c r="R54" s="696">
        <v>0</v>
      </c>
      <c r="S54" s="346">
        <v>0</v>
      </c>
      <c r="T54" s="178">
        <v>0</v>
      </c>
      <c r="U54" s="170">
        <v>0</v>
      </c>
      <c r="V54" s="170">
        <v>0</v>
      </c>
      <c r="W54" s="170">
        <v>1</v>
      </c>
      <c r="X54" s="119">
        <v>1</v>
      </c>
      <c r="Y54" s="119">
        <v>0</v>
      </c>
      <c r="Z54" s="119">
        <v>0</v>
      </c>
      <c r="AA54" s="120">
        <v>0</v>
      </c>
      <c r="AB54" s="357"/>
      <c r="AC54" s="357"/>
      <c r="AD54" s="357"/>
      <c r="AE54" s="357"/>
      <c r="AF54" s="357"/>
      <c r="AG54" s="357"/>
      <c r="AH54" s="357"/>
      <c r="AI54" s="357"/>
      <c r="AJ54" s="357"/>
      <c r="AK54" s="357"/>
    </row>
    <row r="55" spans="1:37" x14ac:dyDescent="0.3">
      <c r="A55" s="357"/>
      <c r="B55" s="191" t="s">
        <v>669</v>
      </c>
      <c r="C55" s="216">
        <f t="shared" si="18"/>
        <v>1</v>
      </c>
      <c r="D55" s="288"/>
      <c r="E55" s="288">
        <v>0</v>
      </c>
      <c r="F55" s="698">
        <v>0</v>
      </c>
      <c r="G55" s="698">
        <v>0</v>
      </c>
      <c r="H55" s="698">
        <v>1</v>
      </c>
      <c r="I55" s="698">
        <v>0</v>
      </c>
      <c r="J55" s="698">
        <v>0</v>
      </c>
      <c r="K55" s="698">
        <v>0</v>
      </c>
      <c r="L55" s="698">
        <v>0</v>
      </c>
      <c r="M55" s="698">
        <v>0</v>
      </c>
      <c r="N55" s="698">
        <v>0</v>
      </c>
      <c r="O55" s="698">
        <v>0</v>
      </c>
      <c r="P55" s="698">
        <v>0</v>
      </c>
      <c r="Q55" s="698">
        <v>0</v>
      </c>
      <c r="R55" s="698">
        <v>0</v>
      </c>
      <c r="S55" s="347">
        <v>0</v>
      </c>
      <c r="T55" s="281">
        <v>0</v>
      </c>
      <c r="U55" s="180">
        <v>0</v>
      </c>
      <c r="V55" s="180">
        <v>0</v>
      </c>
      <c r="W55" s="180">
        <v>0</v>
      </c>
      <c r="X55" s="1006">
        <v>0</v>
      </c>
      <c r="Y55" s="1006">
        <v>0</v>
      </c>
      <c r="Z55" s="1006">
        <v>0</v>
      </c>
      <c r="AA55" s="1007">
        <v>0</v>
      </c>
      <c r="AB55" s="357"/>
      <c r="AC55" s="357"/>
      <c r="AD55" s="357"/>
      <c r="AE55" s="357"/>
      <c r="AF55" s="357"/>
      <c r="AG55" s="357"/>
      <c r="AH55" s="357"/>
      <c r="AI55" s="357"/>
      <c r="AJ55" s="357"/>
      <c r="AK55" s="357"/>
    </row>
    <row r="56" spans="1:37" ht="15" thickBot="1" x14ac:dyDescent="0.35">
      <c r="A56" s="357"/>
      <c r="B56" s="192" t="s">
        <v>139</v>
      </c>
      <c r="C56" s="217">
        <f t="shared" si="18"/>
        <v>22</v>
      </c>
      <c r="D56" s="287"/>
      <c r="E56" s="287">
        <v>2</v>
      </c>
      <c r="F56" s="699">
        <v>0</v>
      </c>
      <c r="G56" s="699">
        <v>0</v>
      </c>
      <c r="H56" s="699">
        <v>2</v>
      </c>
      <c r="I56" s="699">
        <v>0</v>
      </c>
      <c r="J56" s="699">
        <v>2</v>
      </c>
      <c r="K56" s="699">
        <v>0</v>
      </c>
      <c r="L56" s="699">
        <v>0</v>
      </c>
      <c r="M56" s="699">
        <v>0</v>
      </c>
      <c r="N56" s="699">
        <v>0</v>
      </c>
      <c r="O56" s="699">
        <v>0</v>
      </c>
      <c r="P56" s="699">
        <f>'17-18J'!$R$56</f>
        <v>3</v>
      </c>
      <c r="Q56" s="699">
        <f>'16-17J'!$R$56</f>
        <v>1</v>
      </c>
      <c r="R56" s="699">
        <v>0</v>
      </c>
      <c r="S56" s="348">
        <v>1</v>
      </c>
      <c r="T56" s="179">
        <v>0</v>
      </c>
      <c r="U56" s="171">
        <v>1</v>
      </c>
      <c r="V56" s="171">
        <v>1</v>
      </c>
      <c r="W56" s="171">
        <v>0</v>
      </c>
      <c r="X56" s="121">
        <v>3</v>
      </c>
      <c r="Y56" s="121">
        <v>2</v>
      </c>
      <c r="Z56" s="121">
        <v>4</v>
      </c>
      <c r="AA56" s="122">
        <v>0</v>
      </c>
      <c r="AB56" s="357"/>
      <c r="AC56" s="357"/>
      <c r="AD56" s="357"/>
      <c r="AE56" s="357"/>
      <c r="AF56" s="357"/>
      <c r="AG56" s="357"/>
      <c r="AH56" s="357"/>
      <c r="AI56" s="357"/>
      <c r="AJ56" s="357"/>
      <c r="AK56" s="357"/>
    </row>
    <row r="57" spans="1:37" ht="15" thickBot="1" x14ac:dyDescent="0.35">
      <c r="A57" s="357"/>
      <c r="B57" s="469"/>
      <c r="C57" s="470"/>
      <c r="D57" s="470"/>
      <c r="E57" s="470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0"/>
      <c r="Q57" s="471"/>
      <c r="R57" s="471"/>
      <c r="S57" s="471"/>
      <c r="T57" s="470"/>
      <c r="U57" s="471"/>
      <c r="V57" s="471"/>
      <c r="W57" s="358"/>
      <c r="X57" s="358"/>
      <c r="Y57" s="358"/>
      <c r="Z57" s="358"/>
      <c r="AA57" s="358"/>
      <c r="AB57" s="357"/>
      <c r="AC57" s="357"/>
      <c r="AD57" s="357"/>
      <c r="AE57" s="357"/>
      <c r="AF57" s="357"/>
      <c r="AG57" s="357"/>
      <c r="AH57" s="357"/>
      <c r="AI57" s="357"/>
      <c r="AJ57" s="357"/>
      <c r="AK57" s="357"/>
    </row>
    <row r="58" spans="1:37" ht="15" thickBot="1" x14ac:dyDescent="0.35">
      <c r="A58" s="357"/>
      <c r="B58" s="188" t="s">
        <v>695</v>
      </c>
      <c r="C58" s="470"/>
      <c r="D58" s="470"/>
      <c r="E58" s="470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0"/>
      <c r="Q58" s="471"/>
      <c r="R58" s="471"/>
      <c r="S58" s="471"/>
      <c r="T58" s="470"/>
      <c r="U58" s="471"/>
      <c r="V58" s="471"/>
      <c r="W58" s="358"/>
      <c r="X58" s="358"/>
      <c r="Y58" s="358"/>
      <c r="Z58" s="358"/>
      <c r="AA58" s="358"/>
      <c r="AB58" s="357"/>
      <c r="AC58" s="357"/>
      <c r="AD58" s="357"/>
      <c r="AE58" s="357"/>
      <c r="AF58" s="357"/>
      <c r="AG58" s="357"/>
      <c r="AH58" s="357"/>
      <c r="AI58" s="357"/>
      <c r="AJ58" s="357"/>
      <c r="AK58" s="357"/>
    </row>
    <row r="59" spans="1:37" x14ac:dyDescent="0.3">
      <c r="A59" s="357"/>
      <c r="B59" s="189" t="s">
        <v>690</v>
      </c>
      <c r="C59" s="214">
        <f>SUM(D59:AA59)</f>
        <v>12</v>
      </c>
      <c r="D59" s="285"/>
      <c r="E59" s="285">
        <v>0</v>
      </c>
      <c r="F59" s="694">
        <v>0</v>
      </c>
      <c r="G59" s="694">
        <v>3</v>
      </c>
      <c r="H59" s="694">
        <v>1</v>
      </c>
      <c r="I59" s="694">
        <v>0</v>
      </c>
      <c r="J59" s="694">
        <v>1</v>
      </c>
      <c r="K59" s="694">
        <v>0</v>
      </c>
      <c r="L59" s="694">
        <v>0</v>
      </c>
      <c r="M59" s="694">
        <v>0</v>
      </c>
      <c r="N59" s="694">
        <v>0</v>
      </c>
      <c r="O59" s="694">
        <v>0</v>
      </c>
      <c r="P59" s="694">
        <v>0</v>
      </c>
      <c r="Q59" s="694">
        <v>0</v>
      </c>
      <c r="R59" s="694">
        <v>0</v>
      </c>
      <c r="S59" s="345">
        <v>2</v>
      </c>
      <c r="T59" s="177">
        <v>1</v>
      </c>
      <c r="U59" s="169">
        <v>1</v>
      </c>
      <c r="V59" s="169">
        <v>1</v>
      </c>
      <c r="W59" s="169">
        <v>1</v>
      </c>
      <c r="X59" s="117">
        <v>0</v>
      </c>
      <c r="Y59" s="117">
        <v>0</v>
      </c>
      <c r="Z59" s="117">
        <v>0</v>
      </c>
      <c r="AA59" s="118">
        <v>1</v>
      </c>
      <c r="AB59" s="357"/>
      <c r="AC59" s="357"/>
      <c r="AD59" s="357"/>
      <c r="AE59" s="357"/>
      <c r="AF59" s="357"/>
      <c r="AG59" s="357"/>
      <c r="AH59" s="357"/>
      <c r="AI59" s="357"/>
      <c r="AJ59" s="357"/>
      <c r="AK59" s="357"/>
    </row>
    <row r="60" spans="1:37" ht="15" thickBot="1" x14ac:dyDescent="0.35">
      <c r="A60" s="357"/>
      <c r="B60" s="192" t="s">
        <v>691</v>
      </c>
      <c r="C60" s="217">
        <f>SUM(D60:AA60)</f>
        <v>6</v>
      </c>
      <c r="D60" s="287"/>
      <c r="E60" s="287">
        <v>0</v>
      </c>
      <c r="F60" s="699">
        <v>0</v>
      </c>
      <c r="G60" s="699">
        <v>0</v>
      </c>
      <c r="H60" s="699">
        <v>0</v>
      </c>
      <c r="I60" s="699">
        <v>0</v>
      </c>
      <c r="J60" s="699">
        <v>1</v>
      </c>
      <c r="K60" s="699">
        <v>0</v>
      </c>
      <c r="L60" s="699">
        <v>0</v>
      </c>
      <c r="M60" s="699">
        <v>0</v>
      </c>
      <c r="N60" s="699">
        <v>0</v>
      </c>
      <c r="O60" s="699">
        <v>0</v>
      </c>
      <c r="P60" s="699">
        <v>0</v>
      </c>
      <c r="Q60" s="699">
        <v>0</v>
      </c>
      <c r="R60" s="699">
        <v>0</v>
      </c>
      <c r="S60" s="348">
        <v>0</v>
      </c>
      <c r="T60" s="179">
        <v>1</v>
      </c>
      <c r="U60" s="171">
        <v>0</v>
      </c>
      <c r="V60" s="171">
        <v>1</v>
      </c>
      <c r="W60" s="171">
        <v>0</v>
      </c>
      <c r="X60" s="121">
        <v>1</v>
      </c>
      <c r="Y60" s="121">
        <v>0</v>
      </c>
      <c r="Z60" s="121">
        <v>1</v>
      </c>
      <c r="AA60" s="122">
        <v>1</v>
      </c>
      <c r="AB60" s="357"/>
      <c r="AC60" s="357"/>
      <c r="AD60" s="357"/>
      <c r="AE60" s="357"/>
      <c r="AF60" s="357"/>
      <c r="AG60" s="357"/>
      <c r="AH60" s="357"/>
      <c r="AI60" s="357"/>
      <c r="AJ60" s="357"/>
      <c r="AK60" s="357"/>
    </row>
    <row r="61" spans="1:37" ht="15" thickBot="1" x14ac:dyDescent="0.35">
      <c r="A61" s="357"/>
      <c r="B61" s="469"/>
      <c r="C61" s="470"/>
      <c r="D61" s="470"/>
      <c r="E61" s="470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0"/>
      <c r="Q61" s="471"/>
      <c r="R61" s="471"/>
      <c r="S61" s="471"/>
      <c r="T61" s="470"/>
      <c r="U61" s="471"/>
      <c r="V61" s="471"/>
      <c r="W61" s="358"/>
      <c r="X61" s="358"/>
      <c r="Y61" s="358"/>
      <c r="Z61" s="358"/>
      <c r="AA61" s="358"/>
      <c r="AB61" s="357"/>
      <c r="AC61" s="357"/>
      <c r="AD61" s="357"/>
      <c r="AE61" s="357"/>
      <c r="AF61" s="357"/>
      <c r="AG61" s="357"/>
      <c r="AH61" s="357"/>
      <c r="AI61" s="357"/>
      <c r="AJ61" s="357"/>
      <c r="AK61" s="357"/>
    </row>
    <row r="62" spans="1:37" ht="15" thickBot="1" x14ac:dyDescent="0.35">
      <c r="A62" s="357"/>
      <c r="B62" s="188" t="s">
        <v>697</v>
      </c>
      <c r="C62" s="470"/>
      <c r="D62" s="470"/>
      <c r="E62" s="470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0"/>
      <c r="Q62" s="471"/>
      <c r="R62" s="471"/>
      <c r="S62" s="471"/>
      <c r="T62" s="470"/>
      <c r="U62" s="471"/>
      <c r="V62" s="471"/>
      <c r="W62" s="358"/>
      <c r="X62" s="358"/>
      <c r="Y62" s="358"/>
      <c r="Z62" s="358"/>
      <c r="AA62" s="358"/>
      <c r="AB62" s="357"/>
      <c r="AC62" s="357"/>
      <c r="AD62" s="357"/>
      <c r="AE62" s="357"/>
      <c r="AF62" s="357"/>
      <c r="AG62" s="357"/>
      <c r="AH62" s="357"/>
      <c r="AI62" s="357"/>
      <c r="AJ62" s="357"/>
      <c r="AK62" s="357"/>
    </row>
    <row r="63" spans="1:37" x14ac:dyDescent="0.3">
      <c r="A63" s="357"/>
      <c r="B63" s="189" t="s">
        <v>698</v>
      </c>
      <c r="C63" s="214">
        <f>SUM(D63:AA63)</f>
        <v>4</v>
      </c>
      <c r="D63" s="681"/>
      <c r="E63" s="681">
        <v>0</v>
      </c>
      <c r="F63" s="913">
        <v>0</v>
      </c>
      <c r="G63" s="913">
        <v>0</v>
      </c>
      <c r="H63" s="913">
        <v>0</v>
      </c>
      <c r="I63" s="913">
        <v>0</v>
      </c>
      <c r="J63" s="913">
        <v>0</v>
      </c>
      <c r="K63" s="913">
        <v>0</v>
      </c>
      <c r="L63" s="913">
        <v>0</v>
      </c>
      <c r="M63" s="913">
        <v>0</v>
      </c>
      <c r="N63" s="913">
        <v>0</v>
      </c>
      <c r="O63" s="913">
        <v>1</v>
      </c>
      <c r="P63" s="913">
        <f>'17-18J'!$M$55</f>
        <v>0</v>
      </c>
      <c r="Q63" s="694">
        <f>'16-17J'!$M$55</f>
        <v>0</v>
      </c>
      <c r="R63" s="694">
        <v>0</v>
      </c>
      <c r="S63" s="345">
        <v>0</v>
      </c>
      <c r="T63" s="177">
        <v>0</v>
      </c>
      <c r="U63" s="169">
        <v>0</v>
      </c>
      <c r="V63" s="169">
        <v>0</v>
      </c>
      <c r="W63" s="169">
        <v>1</v>
      </c>
      <c r="X63" s="117">
        <v>1</v>
      </c>
      <c r="Y63" s="117">
        <v>1</v>
      </c>
      <c r="Z63" s="117">
        <v>0</v>
      </c>
      <c r="AA63" s="118">
        <v>0</v>
      </c>
      <c r="AB63" s="357"/>
      <c r="AC63" s="357"/>
      <c r="AD63" s="357"/>
      <c r="AE63" s="357"/>
      <c r="AF63" s="357"/>
      <c r="AG63" s="357"/>
      <c r="AH63" s="357"/>
      <c r="AI63" s="357"/>
      <c r="AJ63" s="357"/>
      <c r="AK63" s="357"/>
    </row>
    <row r="64" spans="1:37" ht="15" thickBot="1" x14ac:dyDescent="0.35">
      <c r="A64" s="357"/>
      <c r="B64" s="192" t="s">
        <v>691</v>
      </c>
      <c r="C64" s="217">
        <f>SUM(D64:AA64)</f>
        <v>9</v>
      </c>
      <c r="D64" s="341"/>
      <c r="E64" s="341">
        <v>0</v>
      </c>
      <c r="F64" s="697">
        <v>1</v>
      </c>
      <c r="G64" s="697">
        <v>0</v>
      </c>
      <c r="H64" s="697">
        <v>0</v>
      </c>
      <c r="I64" s="697">
        <v>0</v>
      </c>
      <c r="J64" s="697">
        <v>0</v>
      </c>
      <c r="K64" s="697">
        <v>0</v>
      </c>
      <c r="L64" s="697">
        <v>1</v>
      </c>
      <c r="M64" s="697">
        <v>1</v>
      </c>
      <c r="N64" s="697">
        <v>0</v>
      </c>
      <c r="O64" s="697">
        <v>0</v>
      </c>
      <c r="P64" s="697">
        <f>'17-18J'!$M$56</f>
        <v>0</v>
      </c>
      <c r="Q64" s="699">
        <f>'16-17J'!$M$56</f>
        <v>0</v>
      </c>
      <c r="R64" s="699">
        <v>2</v>
      </c>
      <c r="S64" s="348">
        <v>0</v>
      </c>
      <c r="T64" s="179">
        <v>0</v>
      </c>
      <c r="U64" s="171">
        <v>1</v>
      </c>
      <c r="V64" s="171">
        <v>0</v>
      </c>
      <c r="W64" s="171">
        <v>0</v>
      </c>
      <c r="X64" s="121">
        <v>1</v>
      </c>
      <c r="Y64" s="121">
        <v>1</v>
      </c>
      <c r="Z64" s="121">
        <v>1</v>
      </c>
      <c r="AA64" s="122">
        <v>0</v>
      </c>
      <c r="AB64" s="357"/>
      <c r="AC64" s="357"/>
      <c r="AD64" s="357"/>
      <c r="AE64" s="357"/>
      <c r="AF64" s="357"/>
      <c r="AG64" s="357"/>
      <c r="AH64" s="357"/>
      <c r="AI64" s="357"/>
      <c r="AJ64" s="357"/>
      <c r="AK64" s="357"/>
    </row>
    <row r="65" spans="1:37" ht="15" thickBot="1" x14ac:dyDescent="0.35">
      <c r="A65" s="357"/>
      <c r="B65" s="469"/>
      <c r="C65" s="470"/>
      <c r="D65" s="474"/>
      <c r="E65" s="474"/>
      <c r="F65" s="1005"/>
      <c r="G65" s="1005"/>
      <c r="H65" s="1005"/>
      <c r="I65" s="1005"/>
      <c r="J65" s="1005"/>
      <c r="K65" s="1005"/>
      <c r="L65" s="1005"/>
      <c r="M65" s="1005"/>
      <c r="N65" s="1005"/>
      <c r="O65" s="1005"/>
      <c r="P65" s="474"/>
      <c r="Q65" s="473"/>
      <c r="R65" s="473"/>
      <c r="S65" s="473"/>
      <c r="T65" s="470"/>
      <c r="U65" s="471"/>
      <c r="V65" s="471"/>
      <c r="W65" s="358"/>
      <c r="X65" s="358"/>
      <c r="Y65" s="358"/>
      <c r="Z65" s="358"/>
      <c r="AA65" s="358"/>
      <c r="AB65" s="357"/>
      <c r="AC65" s="357"/>
      <c r="AD65" s="357"/>
      <c r="AE65" s="357"/>
      <c r="AF65" s="357"/>
      <c r="AG65" s="357"/>
      <c r="AH65" s="357"/>
      <c r="AI65" s="357"/>
      <c r="AJ65" s="357"/>
      <c r="AK65" s="357"/>
    </row>
    <row r="66" spans="1:37" x14ac:dyDescent="0.3">
      <c r="A66" s="357"/>
      <c r="B66" s="188" t="s">
        <v>696</v>
      </c>
      <c r="C66" s="174">
        <f>SUM(D66:AA66)</f>
        <v>52</v>
      </c>
      <c r="D66" s="285"/>
      <c r="E66" s="285">
        <v>2</v>
      </c>
      <c r="F66" s="694">
        <v>1</v>
      </c>
      <c r="G66" s="694">
        <v>4</v>
      </c>
      <c r="H66" s="694">
        <v>5</v>
      </c>
      <c r="I66" s="694">
        <v>0</v>
      </c>
      <c r="J66" s="694">
        <v>4</v>
      </c>
      <c r="K66" s="694">
        <v>0</v>
      </c>
      <c r="L66" s="694">
        <v>5</v>
      </c>
      <c r="M66" s="694">
        <v>2</v>
      </c>
      <c r="N66" s="694">
        <v>0</v>
      </c>
      <c r="O66" s="694">
        <v>6</v>
      </c>
      <c r="P66" s="694">
        <f>'17-18J'!$J$60</f>
        <v>2</v>
      </c>
      <c r="Q66" s="694">
        <f>'16-17J'!$J$60</f>
        <v>2</v>
      </c>
      <c r="R66" s="694">
        <v>3</v>
      </c>
      <c r="S66" s="345">
        <v>6</v>
      </c>
      <c r="T66" s="177">
        <v>2</v>
      </c>
      <c r="U66" s="169">
        <v>1</v>
      </c>
      <c r="V66" s="232">
        <v>1</v>
      </c>
      <c r="W66" s="177">
        <v>0</v>
      </c>
      <c r="X66" s="117">
        <v>3</v>
      </c>
      <c r="Y66" s="117">
        <v>0</v>
      </c>
      <c r="Z66" s="117">
        <v>1</v>
      </c>
      <c r="AA66" s="118">
        <v>2</v>
      </c>
      <c r="AB66" s="357"/>
      <c r="AC66" s="357"/>
      <c r="AD66" s="357"/>
      <c r="AE66" s="357"/>
      <c r="AF66" s="357"/>
      <c r="AG66" s="357"/>
      <c r="AH66" s="357"/>
      <c r="AI66" s="357"/>
      <c r="AJ66" s="357"/>
      <c r="AK66" s="357"/>
    </row>
    <row r="67" spans="1:37" x14ac:dyDescent="0.3">
      <c r="A67" s="357"/>
      <c r="B67" s="189" t="s">
        <v>699</v>
      </c>
      <c r="C67" s="175">
        <f>SUM(D67:AA67)</f>
        <v>65</v>
      </c>
      <c r="D67" s="286"/>
      <c r="E67" s="286">
        <v>4</v>
      </c>
      <c r="F67" s="696">
        <v>1</v>
      </c>
      <c r="G67" s="696">
        <v>3</v>
      </c>
      <c r="H67" s="696">
        <v>5</v>
      </c>
      <c r="I67" s="696">
        <v>1</v>
      </c>
      <c r="J67" s="696">
        <v>1</v>
      </c>
      <c r="K67" s="696">
        <v>0</v>
      </c>
      <c r="L67" s="696">
        <v>8</v>
      </c>
      <c r="M67" s="696">
        <v>0</v>
      </c>
      <c r="N67" s="696">
        <v>1</v>
      </c>
      <c r="O67" s="696">
        <v>6</v>
      </c>
      <c r="P67" s="696">
        <f>'17-18J'!$J$61</f>
        <v>3</v>
      </c>
      <c r="Q67" s="696">
        <f>'16-17J'!$J$61</f>
        <v>0</v>
      </c>
      <c r="R67" s="696">
        <v>5</v>
      </c>
      <c r="S67" s="346">
        <v>3</v>
      </c>
      <c r="T67" s="178">
        <v>4</v>
      </c>
      <c r="U67" s="170">
        <v>3</v>
      </c>
      <c r="V67" s="231">
        <v>6</v>
      </c>
      <c r="W67" s="178">
        <v>4</v>
      </c>
      <c r="X67" s="119">
        <v>1</v>
      </c>
      <c r="Y67" s="119">
        <v>3</v>
      </c>
      <c r="Z67" s="119">
        <v>2</v>
      </c>
      <c r="AA67" s="120">
        <v>1</v>
      </c>
      <c r="AB67" s="357"/>
      <c r="AC67" s="357"/>
      <c r="AD67" s="357"/>
      <c r="AE67" s="357"/>
      <c r="AF67" s="357"/>
      <c r="AG67" s="357"/>
      <c r="AH67" s="357"/>
      <c r="AI67" s="357"/>
      <c r="AJ67" s="357"/>
      <c r="AK67" s="357"/>
    </row>
    <row r="68" spans="1:37" ht="15" thickBot="1" x14ac:dyDescent="0.35">
      <c r="A68" s="357"/>
      <c r="B68" s="192" t="s">
        <v>700</v>
      </c>
      <c r="C68" s="176">
        <f>SUM(D68:AA68)</f>
        <v>51</v>
      </c>
      <c r="D68" s="287"/>
      <c r="E68" s="287">
        <v>2</v>
      </c>
      <c r="F68" s="699">
        <v>1</v>
      </c>
      <c r="G68" s="699">
        <v>4</v>
      </c>
      <c r="H68" s="699">
        <v>5</v>
      </c>
      <c r="I68" s="699">
        <v>0</v>
      </c>
      <c r="J68" s="699">
        <v>5</v>
      </c>
      <c r="K68" s="699">
        <v>2</v>
      </c>
      <c r="L68" s="699">
        <v>2</v>
      </c>
      <c r="M68" s="699">
        <v>0</v>
      </c>
      <c r="N68" s="699">
        <v>0</v>
      </c>
      <c r="O68" s="699">
        <v>0</v>
      </c>
      <c r="P68" s="699">
        <f>'17-18J'!$J$62</f>
        <v>1</v>
      </c>
      <c r="Q68" s="699">
        <f>'16-17J'!$J$62</f>
        <v>2</v>
      </c>
      <c r="R68" s="699">
        <v>3</v>
      </c>
      <c r="S68" s="348">
        <v>1</v>
      </c>
      <c r="T68" s="179">
        <v>2</v>
      </c>
      <c r="U68" s="171">
        <v>3</v>
      </c>
      <c r="V68" s="255">
        <v>2</v>
      </c>
      <c r="W68" s="179">
        <v>3</v>
      </c>
      <c r="X68" s="121">
        <v>2</v>
      </c>
      <c r="Y68" s="121">
        <v>1</v>
      </c>
      <c r="Z68" s="121">
        <v>7</v>
      </c>
      <c r="AA68" s="122">
        <v>3</v>
      </c>
      <c r="AB68" s="357"/>
      <c r="AC68" s="357"/>
      <c r="AD68" s="357"/>
      <c r="AE68" s="357"/>
      <c r="AF68" s="357"/>
      <c r="AG68" s="357"/>
      <c r="AH68" s="357"/>
      <c r="AI68" s="357"/>
      <c r="AJ68" s="357"/>
      <c r="AK68" s="357"/>
    </row>
    <row r="69" spans="1:37" x14ac:dyDescent="0.3">
      <c r="A69" s="357"/>
      <c r="B69" s="357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7"/>
      <c r="AC69" s="357"/>
      <c r="AD69" s="357"/>
      <c r="AE69" s="357"/>
      <c r="AF69" s="357"/>
      <c r="AG69" s="357"/>
      <c r="AH69" s="357"/>
      <c r="AI69" s="357"/>
      <c r="AJ69" s="357"/>
      <c r="AK69" s="357"/>
    </row>
    <row r="70" spans="1:37" x14ac:dyDescent="0.3">
      <c r="A70" s="357"/>
      <c r="B70" s="357"/>
      <c r="C70" s="357"/>
      <c r="D70" s="357"/>
      <c r="E70" s="357"/>
      <c r="F70" s="357"/>
      <c r="G70" s="357"/>
      <c r="H70" s="357"/>
      <c r="I70" s="357"/>
      <c r="J70" s="357"/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  <c r="AD70" s="357"/>
      <c r="AE70" s="357"/>
      <c r="AF70" s="357"/>
      <c r="AG70" s="357"/>
      <c r="AH70" s="357"/>
      <c r="AI70" s="357"/>
      <c r="AJ70" s="357"/>
      <c r="AK70" s="357"/>
    </row>
    <row r="71" spans="1:37" x14ac:dyDescent="0.3">
      <c r="A71" s="357"/>
      <c r="B71" s="357"/>
      <c r="C71" s="357"/>
      <c r="D71" s="357"/>
      <c r="E71" s="357"/>
      <c r="F71" s="357"/>
      <c r="G71" s="357"/>
      <c r="H71" s="357"/>
      <c r="I71" s="357"/>
      <c r="J71" s="357"/>
      <c r="K71" s="357"/>
      <c r="L71" s="357"/>
      <c r="M71" s="357"/>
      <c r="N71" s="357"/>
      <c r="O71" s="357"/>
      <c r="P71" s="357"/>
      <c r="Q71" s="357"/>
      <c r="R71" s="357"/>
      <c r="S71" s="357"/>
      <c r="T71" s="357"/>
      <c r="U71" s="357"/>
      <c r="V71" s="357"/>
      <c r="W71" s="357"/>
      <c r="X71" s="357"/>
      <c r="Y71" s="357"/>
      <c r="Z71" s="357"/>
      <c r="AA71" s="357"/>
      <c r="AB71" s="357"/>
      <c r="AC71" s="357"/>
      <c r="AD71" s="357"/>
      <c r="AE71" s="357"/>
      <c r="AF71" s="357"/>
      <c r="AG71" s="357"/>
      <c r="AH71" s="357"/>
      <c r="AI71" s="357"/>
      <c r="AJ71" s="357"/>
      <c r="AK71" s="357"/>
    </row>
    <row r="72" spans="1:37" x14ac:dyDescent="0.3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  <c r="AE72" s="357"/>
      <c r="AF72" s="357"/>
      <c r="AG72" s="357"/>
      <c r="AH72" s="357"/>
      <c r="AI72" s="357"/>
      <c r="AJ72" s="357"/>
      <c r="AK72" s="357"/>
    </row>
    <row r="73" spans="1:37" x14ac:dyDescent="0.3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357"/>
      <c r="AI73" s="357"/>
      <c r="AJ73" s="357"/>
      <c r="AK73" s="357"/>
    </row>
    <row r="74" spans="1:37" x14ac:dyDescent="0.3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  <c r="AE74" s="357"/>
      <c r="AF74" s="357"/>
      <c r="AG74" s="357"/>
      <c r="AH74" s="357"/>
      <c r="AI74" s="357"/>
      <c r="AJ74" s="357"/>
      <c r="AK74" s="357"/>
    </row>
    <row r="75" spans="1:37" x14ac:dyDescent="0.3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  <c r="AD75" s="357"/>
      <c r="AE75" s="357"/>
      <c r="AF75" s="357"/>
      <c r="AG75" s="357"/>
      <c r="AH75" s="357"/>
      <c r="AI75" s="357"/>
      <c r="AJ75" s="357"/>
      <c r="AK75" s="357"/>
    </row>
    <row r="76" spans="1:37" x14ac:dyDescent="0.3">
      <c r="A76" s="357"/>
      <c r="B76" s="357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357"/>
      <c r="AH76" s="357"/>
      <c r="AI76" s="357"/>
      <c r="AJ76" s="357"/>
      <c r="AK76" s="357"/>
    </row>
    <row r="77" spans="1:37" x14ac:dyDescent="0.3">
      <c r="A77" s="357"/>
      <c r="B77" s="357"/>
      <c r="C77" s="357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7"/>
      <c r="U77" s="357"/>
      <c r="V77" s="357"/>
      <c r="W77" s="357"/>
      <c r="X77" s="357"/>
      <c r="Y77" s="357"/>
      <c r="Z77" s="357"/>
      <c r="AA77" s="357"/>
      <c r="AB77" s="357"/>
      <c r="AC77" s="357"/>
      <c r="AD77" s="357"/>
      <c r="AE77" s="357"/>
      <c r="AF77" s="357"/>
      <c r="AG77" s="357"/>
      <c r="AH77" s="357"/>
      <c r="AI77" s="357"/>
      <c r="AJ77" s="357"/>
      <c r="AK77" s="357"/>
    </row>
    <row r="78" spans="1:37" x14ac:dyDescent="0.3">
      <c r="A78" s="357"/>
      <c r="B78" s="357"/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</row>
    <row r="79" spans="1:37" x14ac:dyDescent="0.3">
      <c r="A79" s="357"/>
      <c r="B79" s="357"/>
      <c r="C79" s="357"/>
      <c r="D79" s="357"/>
      <c r="E79" s="357"/>
      <c r="F79" s="357"/>
      <c r="G79" s="357"/>
      <c r="H79" s="357"/>
      <c r="I79" s="357"/>
      <c r="J79" s="357"/>
      <c r="K79" s="357"/>
      <c r="L79" s="357"/>
      <c r="M79" s="357"/>
      <c r="N79" s="357"/>
      <c r="O79" s="357"/>
      <c r="P79" s="357"/>
      <c r="Q79" s="357"/>
      <c r="R79" s="357"/>
      <c r="S79" s="357"/>
      <c r="T79" s="357"/>
      <c r="U79" s="357"/>
      <c r="V79" s="357"/>
      <c r="W79" s="357"/>
      <c r="X79" s="357"/>
      <c r="Y79" s="357"/>
      <c r="Z79" s="357"/>
      <c r="AA79" s="357"/>
      <c r="AB79" s="357"/>
      <c r="AC79" s="357"/>
      <c r="AD79" s="357"/>
      <c r="AE79" s="357"/>
      <c r="AF79" s="357"/>
      <c r="AG79" s="357"/>
      <c r="AH79" s="357"/>
      <c r="AI79" s="357"/>
      <c r="AJ79" s="357"/>
      <c r="AK79" s="357"/>
    </row>
    <row r="80" spans="1:37" x14ac:dyDescent="0.3">
      <c r="A80" s="357"/>
      <c r="B80" s="357"/>
      <c r="C80" s="357"/>
      <c r="D80" s="357"/>
      <c r="E80" s="357"/>
      <c r="F80" s="357"/>
      <c r="G80" s="357"/>
      <c r="H80" s="357"/>
      <c r="I80" s="357"/>
      <c r="J80" s="357"/>
      <c r="K80" s="357"/>
      <c r="L80" s="357"/>
      <c r="M80" s="357"/>
      <c r="N80" s="357"/>
      <c r="O80" s="357"/>
      <c r="P80" s="357"/>
      <c r="Q80" s="357"/>
      <c r="R80" s="357"/>
      <c r="S80" s="357"/>
      <c r="T80" s="357"/>
      <c r="U80" s="357"/>
      <c r="V80" s="357"/>
      <c r="W80" s="357"/>
      <c r="X80" s="357"/>
      <c r="Y80" s="357"/>
      <c r="Z80" s="357"/>
      <c r="AA80" s="357"/>
      <c r="AB80" s="357"/>
      <c r="AC80" s="357"/>
      <c r="AD80" s="357"/>
      <c r="AE80" s="357"/>
      <c r="AF80" s="357"/>
      <c r="AG80" s="357"/>
      <c r="AH80" s="357"/>
      <c r="AI80" s="357"/>
      <c r="AJ80" s="357"/>
      <c r="AK80" s="357"/>
    </row>
    <row r="81" spans="1:37" x14ac:dyDescent="0.3">
      <c r="A81" s="357"/>
      <c r="B81" s="357"/>
      <c r="C81" s="357"/>
      <c r="D81" s="357"/>
      <c r="E81" s="357"/>
      <c r="F81" s="357"/>
      <c r="G81" s="357"/>
      <c r="H81" s="357"/>
      <c r="I81" s="357"/>
      <c r="J81" s="357"/>
      <c r="K81" s="357"/>
      <c r="L81" s="357"/>
      <c r="M81" s="357"/>
      <c r="N81" s="357"/>
      <c r="O81" s="357"/>
      <c r="P81" s="357"/>
      <c r="Q81" s="357"/>
      <c r="R81" s="357"/>
      <c r="S81" s="357"/>
      <c r="T81" s="357"/>
      <c r="U81" s="357"/>
      <c r="V81" s="357"/>
      <c r="W81" s="357"/>
      <c r="X81" s="357"/>
      <c r="Y81" s="357"/>
      <c r="Z81" s="357"/>
      <c r="AA81" s="357"/>
      <c r="AB81" s="357"/>
      <c r="AC81" s="357"/>
      <c r="AD81" s="357"/>
      <c r="AE81" s="357"/>
      <c r="AF81" s="357"/>
      <c r="AG81" s="357"/>
      <c r="AH81" s="357"/>
      <c r="AI81" s="357"/>
      <c r="AJ81" s="357"/>
      <c r="AK81" s="357"/>
    </row>
    <row r="82" spans="1:37" x14ac:dyDescent="0.3">
      <c r="A82" s="357"/>
      <c r="B82" s="357"/>
      <c r="C82" s="357"/>
      <c r="D82" s="357"/>
      <c r="E82" s="357"/>
      <c r="F82" s="357"/>
      <c r="G82" s="357"/>
      <c r="H82" s="357"/>
      <c r="I82" s="357"/>
      <c r="J82" s="357"/>
      <c r="K82" s="357"/>
      <c r="L82" s="357"/>
      <c r="M82" s="357"/>
      <c r="N82" s="357"/>
      <c r="O82" s="357"/>
      <c r="P82" s="357"/>
      <c r="Q82" s="357"/>
      <c r="R82" s="357"/>
      <c r="S82" s="357"/>
      <c r="T82" s="357"/>
      <c r="U82" s="357"/>
      <c r="V82" s="357"/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357"/>
      <c r="AH82" s="357"/>
      <c r="AI82" s="357"/>
      <c r="AJ82" s="357"/>
      <c r="AK82" s="357"/>
    </row>
    <row r="83" spans="1:37" x14ac:dyDescent="0.3">
      <c r="A83" s="357"/>
      <c r="B83" s="357"/>
      <c r="C83" s="357"/>
      <c r="D83" s="357"/>
      <c r="E83" s="357"/>
      <c r="F83" s="357"/>
      <c r="G83" s="357"/>
      <c r="H83" s="357"/>
      <c r="I83" s="357"/>
      <c r="J83" s="357"/>
      <c r="K83" s="357"/>
      <c r="L83" s="357"/>
      <c r="M83" s="357"/>
      <c r="N83" s="357"/>
      <c r="O83" s="357"/>
      <c r="P83" s="357"/>
      <c r="Q83" s="357"/>
      <c r="R83" s="357"/>
      <c r="S83" s="357"/>
      <c r="T83" s="357"/>
      <c r="U83" s="357"/>
      <c r="V83" s="357"/>
      <c r="W83" s="357"/>
      <c r="X83" s="357"/>
      <c r="Y83" s="357"/>
      <c r="Z83" s="357"/>
      <c r="AA83" s="357"/>
      <c r="AB83" s="357"/>
      <c r="AC83" s="357"/>
      <c r="AD83" s="357"/>
      <c r="AE83" s="357"/>
      <c r="AF83" s="357"/>
      <c r="AG83" s="357"/>
      <c r="AH83" s="357"/>
      <c r="AI83" s="357"/>
      <c r="AJ83" s="357"/>
      <c r="AK83" s="357"/>
    </row>
    <row r="84" spans="1:37" x14ac:dyDescent="0.3">
      <c r="A84" s="357"/>
      <c r="B84" s="357"/>
      <c r="C84" s="357"/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357"/>
      <c r="T84" s="357"/>
      <c r="U84" s="357"/>
      <c r="V84" s="357"/>
      <c r="W84" s="357"/>
      <c r="X84" s="357"/>
      <c r="Y84" s="357"/>
      <c r="Z84" s="357"/>
      <c r="AA84" s="357"/>
      <c r="AB84" s="357"/>
      <c r="AC84" s="357"/>
      <c r="AD84" s="357"/>
      <c r="AE84" s="357"/>
      <c r="AF84" s="357"/>
      <c r="AG84" s="357"/>
      <c r="AH84" s="357"/>
      <c r="AI84" s="357"/>
      <c r="AJ84" s="357"/>
      <c r="AK84" s="357"/>
    </row>
    <row r="85" spans="1:37" x14ac:dyDescent="0.3">
      <c r="A85" s="357"/>
      <c r="B85" s="357"/>
      <c r="C85" s="357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7"/>
      <c r="U85" s="357"/>
      <c r="V85" s="357"/>
      <c r="W85" s="357"/>
      <c r="X85" s="357"/>
      <c r="Y85" s="357"/>
      <c r="Z85" s="357"/>
      <c r="AA85" s="357"/>
      <c r="AB85" s="357"/>
      <c r="AC85" s="357"/>
      <c r="AD85" s="357"/>
      <c r="AE85" s="357"/>
      <c r="AF85" s="357"/>
      <c r="AG85" s="357"/>
      <c r="AH85" s="357"/>
      <c r="AI85" s="357"/>
      <c r="AJ85" s="357"/>
      <c r="AK85" s="357"/>
    </row>
    <row r="86" spans="1:37" x14ac:dyDescent="0.3">
      <c r="A86" s="357"/>
      <c r="B86" s="357"/>
      <c r="C86" s="357"/>
      <c r="D86" s="357"/>
      <c r="E86" s="357"/>
      <c r="F86" s="357"/>
      <c r="G86" s="357"/>
      <c r="H86" s="357"/>
      <c r="I86" s="357"/>
      <c r="J86" s="357"/>
      <c r="K86" s="357"/>
      <c r="L86" s="357"/>
      <c r="M86" s="357"/>
      <c r="N86" s="357"/>
      <c r="O86" s="357"/>
      <c r="P86" s="357"/>
      <c r="Q86" s="357"/>
      <c r="R86" s="357"/>
      <c r="S86" s="357"/>
      <c r="T86" s="357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357"/>
      <c r="AI86" s="357"/>
      <c r="AJ86" s="357"/>
      <c r="AK86" s="357"/>
    </row>
    <row r="87" spans="1:37" x14ac:dyDescent="0.3">
      <c r="A87" s="357"/>
      <c r="B87" s="357"/>
      <c r="C87" s="357"/>
      <c r="D87" s="357"/>
      <c r="E87" s="357"/>
      <c r="F87" s="357"/>
      <c r="G87" s="357"/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57"/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357"/>
      <c r="AH87" s="357"/>
      <c r="AI87" s="357"/>
      <c r="AJ87" s="357"/>
      <c r="AK87" s="357"/>
    </row>
    <row r="88" spans="1:37" x14ac:dyDescent="0.3">
      <c r="A88" s="357"/>
      <c r="B88" s="357"/>
      <c r="C88" s="357"/>
      <c r="D88" s="357"/>
      <c r="E88" s="357"/>
      <c r="F88" s="357"/>
      <c r="G88" s="357"/>
      <c r="H88" s="357"/>
      <c r="I88" s="357"/>
      <c r="J88" s="357"/>
      <c r="K88" s="357"/>
      <c r="L88" s="357"/>
      <c r="M88" s="357"/>
      <c r="N88" s="357"/>
      <c r="O88" s="357"/>
      <c r="P88" s="357"/>
      <c r="Q88" s="357"/>
      <c r="R88" s="357"/>
      <c r="S88" s="357"/>
      <c r="T88" s="357"/>
      <c r="U88" s="357"/>
      <c r="V88" s="357"/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357"/>
      <c r="AH88" s="357"/>
      <c r="AI88" s="357"/>
      <c r="AJ88" s="357"/>
      <c r="AK88" s="357"/>
    </row>
    <row r="89" spans="1:37" x14ac:dyDescent="0.3">
      <c r="A89" s="357"/>
      <c r="B89" s="357"/>
      <c r="C89" s="357"/>
      <c r="D89" s="357"/>
      <c r="E89" s="357"/>
      <c r="F89" s="357"/>
      <c r="G89" s="357"/>
      <c r="H89" s="357"/>
      <c r="I89" s="357"/>
      <c r="J89" s="357"/>
      <c r="K89" s="357"/>
      <c r="L89" s="357"/>
      <c r="M89" s="357"/>
      <c r="N89" s="357"/>
      <c r="O89" s="357"/>
      <c r="P89" s="357"/>
      <c r="Q89" s="357"/>
      <c r="R89" s="357"/>
      <c r="S89" s="357"/>
      <c r="T89" s="357"/>
      <c r="U89" s="357"/>
      <c r="V89" s="357"/>
      <c r="W89" s="357"/>
      <c r="X89" s="357"/>
      <c r="Y89" s="357"/>
      <c r="Z89" s="357"/>
      <c r="AA89" s="357"/>
      <c r="AB89" s="357"/>
      <c r="AC89" s="357"/>
      <c r="AD89" s="357"/>
      <c r="AE89" s="357"/>
      <c r="AF89" s="357"/>
      <c r="AG89" s="357"/>
      <c r="AH89" s="357"/>
      <c r="AI89" s="357"/>
      <c r="AJ89" s="357"/>
      <c r="AK89" s="357"/>
    </row>
    <row r="90" spans="1:37" x14ac:dyDescent="0.3">
      <c r="A90" s="357"/>
      <c r="B90" s="357"/>
      <c r="C90" s="357"/>
      <c r="D90" s="357"/>
      <c r="E90" s="357"/>
      <c r="F90" s="357"/>
      <c r="G90" s="357"/>
      <c r="H90" s="357"/>
      <c r="I90" s="357"/>
      <c r="J90" s="357"/>
      <c r="K90" s="357"/>
      <c r="L90" s="357"/>
      <c r="M90" s="357"/>
      <c r="N90" s="357"/>
      <c r="O90" s="357"/>
      <c r="P90" s="357"/>
      <c r="Q90" s="357"/>
      <c r="R90" s="357"/>
      <c r="S90" s="357"/>
      <c r="T90" s="357"/>
      <c r="U90" s="357"/>
      <c r="V90" s="357"/>
      <c r="W90" s="357"/>
      <c r="X90" s="357"/>
      <c r="Y90" s="357"/>
      <c r="Z90" s="357"/>
      <c r="AA90" s="357"/>
      <c r="AB90" s="357"/>
      <c r="AC90" s="357"/>
      <c r="AD90" s="357"/>
      <c r="AE90" s="357"/>
      <c r="AF90" s="357"/>
      <c r="AG90" s="357"/>
      <c r="AH90" s="357"/>
      <c r="AI90" s="357"/>
      <c r="AJ90" s="357"/>
      <c r="AK90" s="357"/>
    </row>
    <row r="91" spans="1:37" x14ac:dyDescent="0.3">
      <c r="A91" s="357"/>
      <c r="B91" s="357"/>
      <c r="C91" s="357"/>
      <c r="D91" s="357"/>
      <c r="E91" s="357"/>
      <c r="F91" s="357"/>
      <c r="G91" s="357"/>
      <c r="H91" s="357"/>
      <c r="I91" s="357"/>
      <c r="J91" s="357"/>
      <c r="K91" s="357"/>
      <c r="L91" s="357"/>
      <c r="M91" s="357"/>
      <c r="N91" s="357"/>
      <c r="O91" s="357"/>
      <c r="P91" s="357"/>
      <c r="Q91" s="357"/>
      <c r="R91" s="357"/>
      <c r="S91" s="357"/>
      <c r="T91" s="357"/>
      <c r="U91" s="357"/>
      <c r="V91" s="357"/>
      <c r="W91" s="357"/>
      <c r="X91" s="357"/>
      <c r="Y91" s="357"/>
      <c r="Z91" s="357"/>
      <c r="AA91" s="357"/>
      <c r="AB91" s="357"/>
      <c r="AC91" s="357"/>
      <c r="AD91" s="357"/>
      <c r="AE91" s="357"/>
      <c r="AF91" s="357"/>
      <c r="AG91" s="357"/>
      <c r="AH91" s="357"/>
      <c r="AI91" s="357"/>
      <c r="AJ91" s="357"/>
      <c r="AK91" s="357"/>
    </row>
    <row r="92" spans="1:37" x14ac:dyDescent="0.3">
      <c r="A92" s="357"/>
      <c r="B92" s="357"/>
      <c r="C92" s="357"/>
      <c r="D92" s="357"/>
      <c r="E92" s="357"/>
      <c r="F92" s="357"/>
      <c r="G92" s="357"/>
      <c r="H92" s="357"/>
      <c r="I92" s="357"/>
      <c r="J92" s="357"/>
      <c r="K92" s="357"/>
      <c r="L92" s="357"/>
      <c r="M92" s="357"/>
      <c r="N92" s="357"/>
      <c r="O92" s="357"/>
      <c r="P92" s="357"/>
      <c r="Q92" s="357"/>
      <c r="R92" s="357"/>
      <c r="S92" s="357"/>
      <c r="T92" s="357"/>
      <c r="U92" s="357"/>
      <c r="V92" s="357"/>
      <c r="W92" s="357"/>
      <c r="X92" s="357"/>
      <c r="Y92" s="357"/>
      <c r="Z92" s="357"/>
      <c r="AA92" s="357"/>
      <c r="AB92" s="357"/>
      <c r="AC92" s="357"/>
      <c r="AD92" s="357"/>
      <c r="AE92" s="357"/>
      <c r="AF92" s="357"/>
      <c r="AG92" s="357"/>
      <c r="AH92" s="357"/>
      <c r="AI92" s="357"/>
      <c r="AJ92" s="357"/>
      <c r="AK92" s="357"/>
    </row>
    <row r="93" spans="1:37" x14ac:dyDescent="0.3">
      <c r="A93" s="357"/>
      <c r="B93" s="357"/>
      <c r="C93" s="357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7"/>
      <c r="U93" s="357"/>
      <c r="V93" s="357"/>
      <c r="W93" s="357"/>
      <c r="X93" s="357"/>
      <c r="Y93" s="357"/>
      <c r="Z93" s="357"/>
      <c r="AA93" s="357"/>
      <c r="AB93" s="357"/>
      <c r="AC93" s="357"/>
      <c r="AD93" s="357"/>
      <c r="AE93" s="357"/>
      <c r="AF93" s="357"/>
      <c r="AG93" s="357"/>
      <c r="AH93" s="357"/>
      <c r="AI93" s="357"/>
      <c r="AJ93" s="357"/>
      <c r="AK93" s="357"/>
    </row>
    <row r="94" spans="1:37" x14ac:dyDescent="0.3">
      <c r="A94" s="357"/>
      <c r="B94" s="357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357"/>
    </row>
    <row r="95" spans="1:37" x14ac:dyDescent="0.3">
      <c r="A95" s="357"/>
      <c r="B95" s="357"/>
      <c r="C95" s="357"/>
      <c r="D95" s="357"/>
      <c r="E95" s="357"/>
      <c r="F95" s="357"/>
      <c r="G95" s="357"/>
      <c r="H95" s="357"/>
      <c r="I95" s="357"/>
      <c r="J95" s="357"/>
      <c r="K95" s="357"/>
      <c r="L95" s="357"/>
      <c r="M95" s="357"/>
      <c r="N95" s="357"/>
      <c r="O95" s="357"/>
      <c r="P95" s="357"/>
      <c r="Q95" s="357"/>
      <c r="R95" s="357"/>
      <c r="S95" s="357"/>
      <c r="T95" s="357"/>
      <c r="U95" s="357"/>
      <c r="V95" s="357"/>
      <c r="W95" s="357"/>
      <c r="X95" s="357"/>
      <c r="Y95" s="357"/>
      <c r="Z95" s="357"/>
      <c r="AA95" s="357"/>
      <c r="AB95" s="357"/>
      <c r="AC95" s="357"/>
      <c r="AD95" s="357"/>
      <c r="AE95" s="357"/>
      <c r="AF95" s="357"/>
      <c r="AG95" s="357"/>
      <c r="AH95" s="357"/>
      <c r="AI95" s="357"/>
      <c r="AJ95" s="357"/>
      <c r="AK95" s="357"/>
    </row>
    <row r="96" spans="1:37" x14ac:dyDescent="0.3">
      <c r="A96" s="357"/>
      <c r="B96" s="357"/>
      <c r="C96" s="357"/>
      <c r="D96" s="357"/>
      <c r="E96" s="357"/>
      <c r="F96" s="357"/>
      <c r="G96" s="357"/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  <c r="AK96" s="357"/>
    </row>
    <row r="97" spans="1:37" x14ac:dyDescent="0.3">
      <c r="A97" s="357"/>
      <c r="B97" s="357"/>
      <c r="C97" s="357"/>
      <c r="D97" s="357"/>
      <c r="E97" s="357"/>
      <c r="F97" s="357"/>
      <c r="G97" s="357"/>
      <c r="H97" s="357"/>
      <c r="I97" s="357"/>
      <c r="J97" s="357"/>
      <c r="K97" s="357"/>
      <c r="L97" s="357"/>
      <c r="M97" s="357"/>
      <c r="N97" s="357"/>
      <c r="O97" s="357"/>
      <c r="P97" s="357"/>
      <c r="Q97" s="357"/>
      <c r="R97" s="357"/>
      <c r="S97" s="357"/>
      <c r="T97" s="357"/>
      <c r="U97" s="357"/>
      <c r="V97" s="357"/>
      <c r="W97" s="357"/>
      <c r="X97" s="357"/>
      <c r="Y97" s="357"/>
      <c r="Z97" s="357"/>
      <c r="AA97" s="357"/>
      <c r="AB97" s="357"/>
      <c r="AC97" s="357"/>
      <c r="AD97" s="357"/>
      <c r="AE97" s="357"/>
      <c r="AF97" s="357"/>
      <c r="AG97" s="357"/>
      <c r="AH97" s="357"/>
      <c r="AI97" s="357"/>
      <c r="AJ97" s="357"/>
      <c r="AK97" s="357"/>
    </row>
    <row r="98" spans="1:37" x14ac:dyDescent="0.3">
      <c r="A98" s="357"/>
      <c r="B98" s="357"/>
      <c r="C98" s="357"/>
      <c r="D98" s="357"/>
      <c r="E98" s="357"/>
      <c r="F98" s="357"/>
      <c r="G98" s="357"/>
      <c r="H98" s="357"/>
      <c r="I98" s="357"/>
      <c r="J98" s="357"/>
      <c r="K98" s="357"/>
      <c r="L98" s="357"/>
      <c r="M98" s="357"/>
      <c r="N98" s="357"/>
      <c r="O98" s="357"/>
      <c r="P98" s="357"/>
      <c r="Q98" s="357"/>
      <c r="R98" s="357"/>
      <c r="S98" s="357"/>
      <c r="T98" s="357"/>
      <c r="U98" s="357"/>
      <c r="V98" s="357"/>
      <c r="W98" s="357"/>
      <c r="X98" s="357"/>
      <c r="Y98" s="357"/>
      <c r="Z98" s="357"/>
      <c r="AA98" s="357"/>
      <c r="AB98" s="357"/>
      <c r="AC98" s="357"/>
      <c r="AD98" s="357"/>
      <c r="AE98" s="357"/>
      <c r="AF98" s="357"/>
      <c r="AG98" s="357"/>
      <c r="AH98" s="357"/>
      <c r="AI98" s="357"/>
      <c r="AJ98" s="357"/>
      <c r="AK98" s="357"/>
    </row>
    <row r="99" spans="1:37" x14ac:dyDescent="0.3">
      <c r="A99" s="357"/>
      <c r="B99" s="357"/>
      <c r="C99" s="357"/>
      <c r="D99" s="357"/>
      <c r="E99" s="357"/>
      <c r="F99" s="357"/>
      <c r="G99" s="357"/>
      <c r="H99" s="357"/>
      <c r="I99" s="357"/>
      <c r="J99" s="357"/>
      <c r="K99" s="357"/>
      <c r="L99" s="357"/>
      <c r="M99" s="357"/>
      <c r="N99" s="357"/>
      <c r="O99" s="357"/>
      <c r="P99" s="357"/>
      <c r="Q99" s="357"/>
      <c r="R99" s="357"/>
      <c r="S99" s="357"/>
      <c r="T99" s="357"/>
      <c r="U99" s="357"/>
      <c r="V99" s="357"/>
      <c r="W99" s="357"/>
      <c r="X99" s="357"/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</row>
    <row r="100" spans="1:37" x14ac:dyDescent="0.3">
      <c r="A100" s="357"/>
      <c r="B100" s="357"/>
      <c r="C100" s="357"/>
      <c r="D100" s="357"/>
      <c r="E100" s="357"/>
      <c r="F100" s="357"/>
      <c r="G100" s="357"/>
      <c r="H100" s="357"/>
      <c r="I100" s="357"/>
      <c r="J100" s="357"/>
      <c r="K100" s="357"/>
      <c r="L100" s="357"/>
      <c r="M100" s="357"/>
      <c r="N100" s="357"/>
      <c r="O100" s="357"/>
      <c r="P100" s="357"/>
      <c r="Q100" s="357"/>
      <c r="R100" s="357"/>
      <c r="S100" s="357"/>
      <c r="T100" s="357"/>
      <c r="U100" s="357"/>
      <c r="V100" s="357"/>
      <c r="W100" s="357"/>
      <c r="X100" s="357"/>
      <c r="Y100" s="357"/>
      <c r="Z100" s="357"/>
      <c r="AA100" s="357"/>
      <c r="AB100" s="357"/>
      <c r="AC100" s="357"/>
      <c r="AD100" s="357"/>
      <c r="AE100" s="357"/>
      <c r="AF100" s="357"/>
      <c r="AG100" s="357"/>
      <c r="AH100" s="357"/>
      <c r="AI100" s="357"/>
      <c r="AJ100" s="357"/>
      <c r="AK100" s="357"/>
    </row>
    <row r="101" spans="1:37" x14ac:dyDescent="0.3">
      <c r="A101" s="357"/>
      <c r="B101" s="357"/>
      <c r="C101" s="357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7"/>
      <c r="U101" s="357"/>
      <c r="V101" s="357"/>
      <c r="W101" s="357"/>
      <c r="X101" s="357"/>
      <c r="Y101" s="357"/>
      <c r="Z101" s="357"/>
      <c r="AA101" s="357"/>
      <c r="AB101" s="357"/>
      <c r="AC101" s="357"/>
      <c r="AD101" s="357"/>
      <c r="AE101" s="357"/>
      <c r="AF101" s="357"/>
      <c r="AG101" s="357"/>
      <c r="AH101" s="357"/>
      <c r="AI101" s="357"/>
      <c r="AJ101" s="357"/>
      <c r="AK101" s="357"/>
    </row>
    <row r="102" spans="1:37" x14ac:dyDescent="0.3">
      <c r="A102" s="357"/>
      <c r="B102" s="357"/>
      <c r="C102" s="357"/>
      <c r="D102" s="357"/>
      <c r="E102" s="357"/>
      <c r="F102" s="357"/>
      <c r="G102" s="357"/>
      <c r="H102" s="357"/>
      <c r="I102" s="357"/>
      <c r="J102" s="357"/>
      <c r="K102" s="357"/>
      <c r="L102" s="357"/>
      <c r="M102" s="357"/>
      <c r="N102" s="357"/>
      <c r="O102" s="357"/>
      <c r="P102" s="357"/>
      <c r="Q102" s="357"/>
      <c r="R102" s="357"/>
      <c r="S102" s="357"/>
      <c r="T102" s="357"/>
      <c r="U102" s="357"/>
      <c r="V102" s="357"/>
      <c r="W102" s="357"/>
      <c r="X102" s="357"/>
      <c r="Y102" s="357"/>
      <c r="Z102" s="357"/>
      <c r="AA102" s="357"/>
      <c r="AB102" s="357"/>
      <c r="AC102" s="357"/>
      <c r="AD102" s="357"/>
      <c r="AE102" s="357"/>
      <c r="AF102" s="357"/>
      <c r="AG102" s="357"/>
      <c r="AH102" s="357"/>
      <c r="AI102" s="357"/>
      <c r="AJ102" s="357"/>
      <c r="AK102" s="357"/>
    </row>
    <row r="103" spans="1:37" x14ac:dyDescent="0.3">
      <c r="A103" s="357"/>
      <c r="B103" s="357"/>
      <c r="C103" s="357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</row>
    <row r="104" spans="1:37" x14ac:dyDescent="0.3">
      <c r="A104" s="357"/>
      <c r="B104" s="357"/>
      <c r="C104" s="357"/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N104" s="357"/>
      <c r="O104" s="357"/>
      <c r="P104" s="357"/>
      <c r="Q104" s="357"/>
      <c r="R104" s="357"/>
      <c r="S104" s="357"/>
      <c r="T104" s="357"/>
      <c r="U104" s="357"/>
      <c r="V104" s="357"/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357"/>
      <c r="AH104" s="357"/>
      <c r="AI104" s="357"/>
      <c r="AJ104" s="357"/>
      <c r="AK104" s="357"/>
    </row>
    <row r="105" spans="1:37" x14ac:dyDescent="0.3">
      <c r="A105" s="357"/>
    </row>
  </sheetData>
  <phoneticPr fontId="10" type="noConversion"/>
  <pageMargins left="0.25" right="0.25" top="0.75" bottom="0.75" header="0.3" footer="0.3"/>
  <pageSetup paperSize="9" scale="49" orientation="portrait" r:id="rId1"/>
  <headerFooter alignWithMargins="0"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AA40 T40" numberStoredAsText="1"/>
    <ignoredError sqref="U7" twoDigitTextYear="1"/>
    <ignoredError sqref="C12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  <pageSetUpPr fitToPage="1"/>
  </sheetPr>
  <dimension ref="B2:M516"/>
  <sheetViews>
    <sheetView zoomScale="145" zoomScaleNormal="145" workbookViewId="0">
      <selection activeCell="G4" sqref="G4"/>
    </sheetView>
  </sheetViews>
  <sheetFormatPr defaultColWidth="12.33203125" defaultRowHeight="14.4" x14ac:dyDescent="0.3"/>
  <cols>
    <col min="1" max="1" width="2.88671875" style="357" customWidth="1"/>
    <col min="2" max="3" width="12.33203125" style="357" customWidth="1"/>
    <col min="4" max="4" width="2.44140625" style="357" customWidth="1"/>
    <col min="5" max="5" width="12.6640625" style="357" customWidth="1"/>
    <col min="6" max="6" width="12.33203125" style="357" customWidth="1"/>
    <col min="7" max="7" width="27" style="357" customWidth="1"/>
    <col min="8" max="8" width="8.6640625" style="377" customWidth="1"/>
    <col min="9" max="9" width="31" style="357" bestFit="1" customWidth="1"/>
    <col min="10" max="10" width="2.88671875" style="357" customWidth="1"/>
    <col min="11" max="11" width="53.5546875" style="357" customWidth="1"/>
    <col min="12" max="12" width="6" style="357" customWidth="1"/>
    <col min="13" max="16384" width="12.33203125" style="357"/>
  </cols>
  <sheetData>
    <row r="2" spans="2:11" s="377" customFormat="1" ht="36.6" x14ac:dyDescent="0.85">
      <c r="B2" s="379" t="s">
        <v>0</v>
      </c>
      <c r="F2" s="381" t="s">
        <v>1106</v>
      </c>
    </row>
    <row r="3" spans="2:11" s="377" customFormat="1" ht="15" customHeight="1" x14ac:dyDescent="0.45">
      <c r="B3" s="397"/>
      <c r="F3" s="398"/>
    </row>
    <row r="4" spans="2:11" s="1066" customFormat="1" ht="15" customHeight="1" x14ac:dyDescent="0.3">
      <c r="B4" s="1065" t="s">
        <v>2714</v>
      </c>
      <c r="E4" s="1067" t="s">
        <v>2080</v>
      </c>
      <c r="F4" s="1067"/>
    </row>
    <row r="5" spans="2:11" s="377" customFormat="1" ht="15" customHeight="1" x14ac:dyDescent="0.3"/>
    <row r="6" spans="2:11" s="377" customFormat="1" ht="15" customHeight="1" x14ac:dyDescent="0.3">
      <c r="B6" s="423" t="s">
        <v>204</v>
      </c>
      <c r="C6" s="311"/>
      <c r="D6" s="311"/>
      <c r="E6" s="424">
        <v>45717</v>
      </c>
      <c r="F6" s="1094" t="s">
        <v>2760</v>
      </c>
      <c r="G6" s="426" t="s">
        <v>2761</v>
      </c>
      <c r="H6" s="1094" t="s">
        <v>258</v>
      </c>
      <c r="I6" s="311" t="s">
        <v>796</v>
      </c>
      <c r="J6" s="311"/>
      <c r="K6" s="333" t="s">
        <v>2762</v>
      </c>
    </row>
    <row r="7" spans="2:11" s="377" customFormat="1" ht="3.75" customHeight="1" x14ac:dyDescent="0.3">
      <c r="B7" s="399"/>
      <c r="C7" s="357"/>
      <c r="D7" s="357"/>
      <c r="E7" s="400"/>
      <c r="F7" s="386"/>
      <c r="G7" s="358"/>
      <c r="H7" s="386"/>
      <c r="I7" s="357"/>
      <c r="J7" s="357"/>
      <c r="K7" s="357"/>
    </row>
    <row r="8" spans="2:11" s="377" customFormat="1" ht="15" customHeight="1" x14ac:dyDescent="0.3">
      <c r="B8" s="423" t="s">
        <v>203</v>
      </c>
      <c r="C8" s="311"/>
      <c r="D8" s="311"/>
      <c r="E8" s="424">
        <v>45725</v>
      </c>
      <c r="F8" s="1094" t="s">
        <v>2763</v>
      </c>
      <c r="G8" s="426" t="s">
        <v>2416</v>
      </c>
      <c r="H8" s="1094" t="s">
        <v>903</v>
      </c>
      <c r="I8" s="311" t="s">
        <v>796</v>
      </c>
      <c r="J8" s="311"/>
      <c r="K8" s="333" t="s">
        <v>2764</v>
      </c>
    </row>
    <row r="9" spans="2:11" s="377" customFormat="1" ht="3.75" customHeight="1" x14ac:dyDescent="0.3">
      <c r="B9" s="399"/>
      <c r="C9" s="357"/>
      <c r="D9" s="357"/>
      <c r="E9" s="400"/>
      <c r="F9" s="386"/>
      <c r="G9" s="358"/>
      <c r="H9" s="386"/>
      <c r="I9" s="357"/>
      <c r="J9" s="357"/>
      <c r="K9" s="357"/>
    </row>
    <row r="10" spans="2:11" s="377" customFormat="1" ht="15" customHeight="1" x14ac:dyDescent="0.3">
      <c r="B10" s="423" t="s">
        <v>199</v>
      </c>
      <c r="C10" s="311"/>
      <c r="D10" s="311"/>
      <c r="E10" s="424">
        <v>45703</v>
      </c>
      <c r="F10" s="1094" t="s">
        <v>1170</v>
      </c>
      <c r="G10" s="426" t="s">
        <v>2206</v>
      </c>
      <c r="H10" s="1094" t="s">
        <v>2766</v>
      </c>
      <c r="I10" s="311" t="s">
        <v>2765</v>
      </c>
      <c r="J10" s="311"/>
      <c r="K10" s="333" t="s">
        <v>2767</v>
      </c>
    </row>
    <row r="11" spans="2:11" s="377" customFormat="1" ht="3.75" customHeight="1" x14ac:dyDescent="0.3">
      <c r="B11" s="399"/>
      <c r="C11" s="357"/>
      <c r="D11" s="357"/>
      <c r="E11" s="402"/>
      <c r="F11" s="403"/>
      <c r="G11" s="404"/>
      <c r="H11" s="403"/>
      <c r="I11" s="405"/>
      <c r="J11" s="405"/>
      <c r="K11" s="405"/>
    </row>
    <row r="12" spans="2:11" s="377" customFormat="1" ht="15" customHeight="1" x14ac:dyDescent="0.3">
      <c r="B12" s="423" t="s">
        <v>202</v>
      </c>
      <c r="C12" s="311"/>
      <c r="D12" s="311"/>
      <c r="E12" s="424">
        <v>45695</v>
      </c>
      <c r="F12" s="1094" t="s">
        <v>2768</v>
      </c>
      <c r="G12" s="426" t="s">
        <v>2769</v>
      </c>
      <c r="H12" s="1094" t="s">
        <v>1680</v>
      </c>
      <c r="I12" s="311" t="s">
        <v>796</v>
      </c>
      <c r="J12" s="311"/>
      <c r="K12" s="333"/>
    </row>
    <row r="13" spans="2:11" s="377" customFormat="1" ht="3.75" customHeight="1" x14ac:dyDescent="0.3">
      <c r="B13" s="399"/>
      <c r="C13" s="357"/>
      <c r="D13" s="357"/>
      <c r="E13" s="400"/>
      <c r="F13" s="386"/>
      <c r="G13" s="358"/>
      <c r="H13" s="386"/>
      <c r="I13" s="357"/>
      <c r="J13" s="357"/>
      <c r="K13" s="357"/>
    </row>
    <row r="14" spans="2:11" s="377" customFormat="1" ht="15" customHeight="1" x14ac:dyDescent="0.3">
      <c r="B14" s="423" t="s">
        <v>201</v>
      </c>
      <c r="C14" s="311"/>
      <c r="D14" s="311"/>
      <c r="E14" s="424">
        <v>45703</v>
      </c>
      <c r="F14" s="426">
        <v>13</v>
      </c>
      <c r="G14" s="426" t="s">
        <v>2206</v>
      </c>
      <c r="H14" s="1094" t="s">
        <v>2766</v>
      </c>
      <c r="I14" s="311" t="s">
        <v>2765</v>
      </c>
      <c r="J14" s="311"/>
      <c r="K14" s="333"/>
    </row>
    <row r="15" spans="2:11" s="377" customFormat="1" ht="3.75" customHeight="1" x14ac:dyDescent="0.3">
      <c r="B15" s="399"/>
      <c r="C15" s="357"/>
      <c r="D15" s="357"/>
      <c r="E15" s="400"/>
      <c r="F15" s="386"/>
      <c r="G15" s="358"/>
      <c r="H15" s="386"/>
      <c r="I15" s="357"/>
      <c r="J15" s="357"/>
      <c r="K15" s="357"/>
    </row>
    <row r="16" spans="2:11" s="377" customFormat="1" ht="15" customHeight="1" x14ac:dyDescent="0.3">
      <c r="B16" s="423" t="s">
        <v>1669</v>
      </c>
      <c r="C16" s="311"/>
      <c r="D16" s="311"/>
      <c r="E16" s="424">
        <v>45562</v>
      </c>
      <c r="F16" s="426">
        <v>8</v>
      </c>
      <c r="G16" s="426" t="s">
        <v>2770</v>
      </c>
      <c r="H16" s="1094" t="s">
        <v>2772</v>
      </c>
      <c r="I16" s="311" t="s">
        <v>796</v>
      </c>
      <c r="J16" s="311"/>
      <c r="K16" s="333"/>
    </row>
    <row r="17" spans="2:11" s="377" customFormat="1" ht="15" customHeight="1" x14ac:dyDescent="0.3">
      <c r="B17" s="423"/>
      <c r="C17" s="311"/>
      <c r="D17" s="311"/>
      <c r="E17" s="424">
        <v>45577</v>
      </c>
      <c r="F17" s="426">
        <v>8</v>
      </c>
      <c r="G17" s="426" t="s">
        <v>2771</v>
      </c>
      <c r="H17" s="1094" t="s">
        <v>857</v>
      </c>
      <c r="I17" s="311" t="s">
        <v>2539</v>
      </c>
      <c r="J17" s="311"/>
      <c r="K17" s="333"/>
    </row>
    <row r="18" spans="2:11" s="377" customFormat="1" ht="15" customHeight="1" x14ac:dyDescent="0.3">
      <c r="B18" s="423"/>
      <c r="C18" s="311"/>
      <c r="D18" s="311"/>
      <c r="E18" s="424">
        <v>45703</v>
      </c>
      <c r="F18" s="426">
        <v>8</v>
      </c>
      <c r="G18" s="426" t="s">
        <v>2191</v>
      </c>
      <c r="H18" s="1264" t="s">
        <v>757</v>
      </c>
      <c r="I18" s="311" t="s">
        <v>2765</v>
      </c>
      <c r="J18" s="311"/>
      <c r="K18" s="333"/>
    </row>
    <row r="19" spans="2:11" s="377" customFormat="1" ht="3.75" customHeight="1" x14ac:dyDescent="0.3">
      <c r="B19" s="399"/>
      <c r="C19" s="357"/>
      <c r="D19" s="357"/>
      <c r="E19" s="400"/>
      <c r="F19" s="386"/>
      <c r="G19" s="358"/>
      <c r="H19" s="386"/>
      <c r="I19" s="357"/>
      <c r="J19" s="357"/>
      <c r="K19" s="357"/>
    </row>
    <row r="20" spans="2:11" s="377" customFormat="1" ht="15" customHeight="1" x14ac:dyDescent="0.3">
      <c r="B20" s="423" t="s">
        <v>194</v>
      </c>
      <c r="C20" s="311"/>
      <c r="D20" s="311"/>
      <c r="E20" s="424">
        <v>45577</v>
      </c>
      <c r="F20" s="426">
        <v>7</v>
      </c>
      <c r="G20" s="426" t="s">
        <v>2192</v>
      </c>
      <c r="H20" s="1094" t="s">
        <v>1234</v>
      </c>
      <c r="I20" s="311" t="s">
        <v>2539</v>
      </c>
      <c r="J20" s="311"/>
      <c r="K20" s="333"/>
    </row>
    <row r="21" spans="2:11" s="377" customFormat="1" ht="15" customHeight="1" x14ac:dyDescent="0.3">
      <c r="B21" s="423"/>
      <c r="C21" s="311"/>
      <c r="D21" s="311"/>
      <c r="E21" s="424">
        <v>45703</v>
      </c>
      <c r="F21" s="426">
        <v>7</v>
      </c>
      <c r="G21" s="426" t="s">
        <v>2206</v>
      </c>
      <c r="H21" s="1094" t="s">
        <v>2766</v>
      </c>
      <c r="I21" s="311" t="s">
        <v>2765</v>
      </c>
      <c r="J21" s="311"/>
      <c r="K21" s="333"/>
    </row>
    <row r="22" spans="2:11" s="377" customFormat="1" ht="15" customHeight="1" x14ac:dyDescent="0.3">
      <c r="B22" s="423"/>
      <c r="C22" s="311"/>
      <c r="D22" s="311"/>
      <c r="E22" s="424">
        <v>45745</v>
      </c>
      <c r="F22" s="426">
        <v>7</v>
      </c>
      <c r="G22" s="426" t="s">
        <v>1039</v>
      </c>
      <c r="H22" s="1094" t="s">
        <v>1680</v>
      </c>
      <c r="I22" s="311" t="s">
        <v>796</v>
      </c>
      <c r="J22" s="311"/>
      <c r="K22" s="333"/>
    </row>
    <row r="23" spans="2:11" s="377" customFormat="1" ht="3.75" customHeight="1" x14ac:dyDescent="0.3">
      <c r="B23" s="399"/>
      <c r="C23" s="357"/>
      <c r="D23" s="357"/>
      <c r="E23" s="358"/>
      <c r="F23" s="386"/>
      <c r="G23" s="358"/>
      <c r="H23" s="386"/>
      <c r="I23" s="357"/>
      <c r="J23" s="357"/>
      <c r="K23" s="357"/>
    </row>
    <row r="24" spans="2:11" s="377" customFormat="1" ht="15" customHeight="1" x14ac:dyDescent="0.3">
      <c r="B24" s="423" t="s">
        <v>198</v>
      </c>
      <c r="C24" s="311"/>
      <c r="D24" s="311"/>
      <c r="E24" s="437">
        <v>45562</v>
      </c>
      <c r="F24" s="438" t="s">
        <v>1670</v>
      </c>
      <c r="G24" s="439" t="s">
        <v>2770</v>
      </c>
      <c r="H24" s="1264" t="s">
        <v>2772</v>
      </c>
      <c r="I24" s="440" t="s">
        <v>796</v>
      </c>
      <c r="J24" s="440"/>
      <c r="K24" s="441" t="s">
        <v>45</v>
      </c>
    </row>
    <row r="25" spans="2:11" s="377" customFormat="1" ht="15" customHeight="1" x14ac:dyDescent="0.3">
      <c r="B25" s="423"/>
      <c r="C25" s="311"/>
      <c r="D25" s="311"/>
      <c r="E25" s="437">
        <v>45626</v>
      </c>
      <c r="F25" s="438" t="s">
        <v>1670</v>
      </c>
      <c r="G25" s="439" t="s">
        <v>1454</v>
      </c>
      <c r="H25" s="1264" t="s">
        <v>715</v>
      </c>
      <c r="I25" s="440" t="s">
        <v>796</v>
      </c>
      <c r="J25" s="440"/>
      <c r="K25" s="441" t="s">
        <v>45</v>
      </c>
    </row>
    <row r="26" spans="2:11" s="377" customFormat="1" ht="15" customHeight="1" x14ac:dyDescent="0.3">
      <c r="B26" s="423"/>
      <c r="C26" s="311"/>
      <c r="D26" s="311"/>
      <c r="E26" s="437">
        <v>45717</v>
      </c>
      <c r="F26" s="438" t="s">
        <v>1670</v>
      </c>
      <c r="G26" s="439" t="s">
        <v>780</v>
      </c>
      <c r="H26" s="1264" t="s">
        <v>506</v>
      </c>
      <c r="I26" s="440" t="s">
        <v>796</v>
      </c>
      <c r="J26" s="440"/>
      <c r="K26" s="441" t="s">
        <v>45</v>
      </c>
    </row>
    <row r="27" spans="2:11" s="377" customFormat="1" ht="15" customHeight="1" x14ac:dyDescent="0.3">
      <c r="B27" s="423"/>
      <c r="C27" s="311"/>
      <c r="D27" s="311"/>
      <c r="E27" s="437">
        <v>45577</v>
      </c>
      <c r="F27" s="438" t="s">
        <v>2773</v>
      </c>
      <c r="G27" s="439" t="s">
        <v>2771</v>
      </c>
      <c r="H27" s="1264" t="s">
        <v>857</v>
      </c>
      <c r="I27" s="440" t="s">
        <v>2539</v>
      </c>
      <c r="J27" s="440"/>
      <c r="K27" s="441" t="s">
        <v>2774</v>
      </c>
    </row>
    <row r="28" spans="2:11" s="377" customFormat="1" ht="3.75" customHeight="1" x14ac:dyDescent="0.3">
      <c r="B28" s="399"/>
      <c r="C28" s="357"/>
      <c r="D28" s="357"/>
      <c r="E28" s="400"/>
      <c r="F28" s="386"/>
      <c r="G28" s="358"/>
      <c r="H28" s="386"/>
      <c r="I28" s="357"/>
      <c r="J28" s="357"/>
      <c r="K28" s="357"/>
    </row>
    <row r="29" spans="2:11" s="377" customFormat="1" ht="15" customHeight="1" x14ac:dyDescent="0.3">
      <c r="B29" s="423" t="s">
        <v>195</v>
      </c>
      <c r="C29" s="311"/>
      <c r="D29" s="311"/>
      <c r="E29" s="437">
        <v>45703</v>
      </c>
      <c r="F29" s="438" t="s">
        <v>1450</v>
      </c>
      <c r="G29" s="439" t="s">
        <v>2191</v>
      </c>
      <c r="H29" s="1264" t="s">
        <v>757</v>
      </c>
      <c r="I29" s="440" t="s">
        <v>2765</v>
      </c>
      <c r="J29" s="440"/>
      <c r="K29" s="441" t="s">
        <v>265</v>
      </c>
    </row>
    <row r="30" spans="2:11" s="377" customFormat="1" ht="15" customHeight="1" x14ac:dyDescent="0.3">
      <c r="B30" s="423"/>
      <c r="C30" s="311"/>
      <c r="D30" s="311"/>
      <c r="E30" s="437">
        <v>45745</v>
      </c>
      <c r="F30" s="438" t="s">
        <v>1450</v>
      </c>
      <c r="G30" s="439" t="s">
        <v>1039</v>
      </c>
      <c r="H30" s="1264" t="s">
        <v>1680</v>
      </c>
      <c r="I30" s="440" t="s">
        <v>796</v>
      </c>
      <c r="J30" s="440"/>
      <c r="K30" s="441" t="s">
        <v>265</v>
      </c>
    </row>
    <row r="31" spans="2:11" s="377" customFormat="1" ht="3.75" customHeight="1" x14ac:dyDescent="0.3">
      <c r="B31" s="399"/>
      <c r="C31" s="357"/>
      <c r="D31" s="357"/>
      <c r="E31" s="400"/>
      <c r="F31" s="386"/>
      <c r="G31" s="358"/>
      <c r="H31" s="386"/>
      <c r="I31" s="357"/>
      <c r="J31" s="357"/>
      <c r="K31" s="357"/>
    </row>
    <row r="32" spans="2:11" s="377" customFormat="1" ht="15" customHeight="1" x14ac:dyDescent="0.3">
      <c r="B32" s="423" t="s">
        <v>197</v>
      </c>
      <c r="C32" s="311"/>
      <c r="D32" s="311"/>
      <c r="E32" s="424">
        <v>45562</v>
      </c>
      <c r="F32" s="425" t="s">
        <v>572</v>
      </c>
      <c r="G32" s="439" t="s">
        <v>2770</v>
      </c>
      <c r="H32" s="1264" t="s">
        <v>2772</v>
      </c>
      <c r="I32" s="440" t="s">
        <v>796</v>
      </c>
      <c r="J32" s="311"/>
      <c r="K32" s="333" t="s">
        <v>2776</v>
      </c>
    </row>
    <row r="33" spans="2:11" s="377" customFormat="1" ht="15" customHeight="1" x14ac:dyDescent="0.3">
      <c r="B33" s="423"/>
      <c r="C33" s="311"/>
      <c r="D33" s="311"/>
      <c r="E33" s="424">
        <v>45577</v>
      </c>
      <c r="F33" s="425" t="s">
        <v>572</v>
      </c>
      <c r="G33" s="426" t="s">
        <v>2771</v>
      </c>
      <c r="H33" s="1094" t="s">
        <v>857</v>
      </c>
      <c r="I33" s="311" t="s">
        <v>2539</v>
      </c>
      <c r="J33" s="311"/>
      <c r="K33" s="333" t="s">
        <v>2775</v>
      </c>
    </row>
    <row r="34" spans="2:11" s="377" customFormat="1" ht="3.75" customHeight="1" x14ac:dyDescent="0.3">
      <c r="B34" s="399"/>
      <c r="C34" s="357"/>
      <c r="D34" s="357"/>
      <c r="E34" s="400"/>
      <c r="F34" s="386"/>
      <c r="G34" s="358"/>
      <c r="H34" s="386"/>
      <c r="I34" s="357"/>
      <c r="J34" s="357"/>
      <c r="K34" s="357"/>
    </row>
    <row r="35" spans="2:11" s="377" customFormat="1" ht="15" customHeight="1" x14ac:dyDescent="0.3">
      <c r="B35" s="423" t="s">
        <v>196</v>
      </c>
      <c r="C35" s="311"/>
      <c r="D35" s="311"/>
      <c r="E35" s="424">
        <v>45675</v>
      </c>
      <c r="F35" s="425" t="s">
        <v>572</v>
      </c>
      <c r="G35" s="426" t="s">
        <v>163</v>
      </c>
      <c r="H35" s="1094" t="s">
        <v>713</v>
      </c>
      <c r="I35" s="311" t="s">
        <v>796</v>
      </c>
      <c r="J35" s="311"/>
      <c r="K35" s="333" t="s">
        <v>2777</v>
      </c>
    </row>
    <row r="36" spans="2:11" s="377" customFormat="1" ht="15" customHeight="1" x14ac:dyDescent="0.3">
      <c r="B36" s="423"/>
      <c r="C36" s="311"/>
      <c r="D36" s="311"/>
      <c r="E36" s="424">
        <v>45703</v>
      </c>
      <c r="F36" s="425" t="s">
        <v>2778</v>
      </c>
      <c r="G36" s="426" t="s">
        <v>2206</v>
      </c>
      <c r="H36" s="1094" t="s">
        <v>2766</v>
      </c>
      <c r="I36" s="311" t="s">
        <v>2765</v>
      </c>
      <c r="J36" s="311"/>
      <c r="K36" s="333" t="s">
        <v>2779</v>
      </c>
    </row>
    <row r="37" spans="2:11" s="377" customFormat="1" ht="15" customHeight="1" x14ac:dyDescent="0.3">
      <c r="B37" s="423"/>
      <c r="C37" s="311"/>
      <c r="D37" s="311"/>
      <c r="E37" s="424">
        <v>45745</v>
      </c>
      <c r="F37" s="425" t="s">
        <v>572</v>
      </c>
      <c r="G37" s="439" t="s">
        <v>1039</v>
      </c>
      <c r="H37" s="1264" t="s">
        <v>1680</v>
      </c>
      <c r="I37" s="440" t="s">
        <v>796</v>
      </c>
      <c r="J37" s="311"/>
      <c r="K37" s="333" t="s">
        <v>2780</v>
      </c>
    </row>
    <row r="38" spans="2:11" s="377" customFormat="1" ht="3.75" customHeight="1" x14ac:dyDescent="0.3">
      <c r="B38" s="399"/>
      <c r="C38" s="357"/>
      <c r="D38" s="357"/>
      <c r="E38" s="358"/>
      <c r="F38" s="386"/>
      <c r="G38" s="358"/>
      <c r="H38" s="386"/>
      <c r="I38" s="357"/>
      <c r="J38" s="357"/>
      <c r="K38" s="357"/>
    </row>
    <row r="39" spans="2:11" s="377" customFormat="1" ht="15" customHeight="1" x14ac:dyDescent="0.3">
      <c r="B39" s="423" t="s">
        <v>77</v>
      </c>
      <c r="C39" s="311"/>
      <c r="D39" s="311"/>
      <c r="E39" s="424">
        <v>45562</v>
      </c>
      <c r="F39" s="1094" t="s">
        <v>1456</v>
      </c>
      <c r="G39" s="439" t="s">
        <v>2770</v>
      </c>
      <c r="H39" s="1264" t="s">
        <v>2772</v>
      </c>
      <c r="I39" s="440" t="s">
        <v>796</v>
      </c>
      <c r="J39" s="311"/>
      <c r="K39" s="333" t="s">
        <v>2781</v>
      </c>
    </row>
    <row r="40" spans="2:11" s="377" customFormat="1" ht="3.75" customHeight="1" x14ac:dyDescent="0.3">
      <c r="B40" s="399"/>
      <c r="C40" s="357"/>
      <c r="D40" s="357"/>
      <c r="E40" s="400"/>
      <c r="F40" s="386"/>
      <c r="G40" s="358"/>
      <c r="H40" s="386"/>
      <c r="I40" s="357"/>
      <c r="J40" s="357"/>
      <c r="K40" s="357"/>
    </row>
    <row r="41" spans="2:11" s="377" customFormat="1" ht="15" customHeight="1" x14ac:dyDescent="0.3">
      <c r="B41" s="423" t="s">
        <v>76</v>
      </c>
      <c r="C41" s="311"/>
      <c r="D41" s="311"/>
      <c r="E41" s="424">
        <v>45745</v>
      </c>
      <c r="F41" s="425" t="s">
        <v>134</v>
      </c>
      <c r="G41" s="439" t="s">
        <v>1039</v>
      </c>
      <c r="H41" s="1264" t="s">
        <v>1680</v>
      </c>
      <c r="I41" s="440" t="s">
        <v>796</v>
      </c>
      <c r="J41" s="311"/>
      <c r="K41" s="333" t="s">
        <v>2782</v>
      </c>
    </row>
    <row r="42" spans="2:11" s="377" customFormat="1" ht="3.75" customHeight="1" x14ac:dyDescent="0.3">
      <c r="B42" s="399"/>
      <c r="C42" s="357"/>
      <c r="D42" s="357"/>
      <c r="E42" s="400"/>
      <c r="F42" s="386"/>
      <c r="G42" s="358"/>
      <c r="H42" s="386"/>
      <c r="I42" s="357"/>
      <c r="J42" s="357"/>
      <c r="K42" s="357"/>
    </row>
    <row r="43" spans="2:11" s="377" customFormat="1" ht="15" customHeight="1" x14ac:dyDescent="0.3">
      <c r="B43" s="423" t="s">
        <v>735</v>
      </c>
      <c r="C43" s="311"/>
      <c r="D43" s="311"/>
      <c r="E43" s="424"/>
      <c r="F43" s="426">
        <v>5</v>
      </c>
      <c r="G43" s="426"/>
      <c r="H43" s="425"/>
      <c r="I43" s="311"/>
      <c r="J43" s="311"/>
      <c r="K43" s="333" t="s">
        <v>2783</v>
      </c>
    </row>
    <row r="44" spans="2:11" s="377" customFormat="1" ht="15" customHeight="1" x14ac:dyDescent="0.45">
      <c r="B44" s="397"/>
      <c r="F44" s="398"/>
    </row>
    <row r="45" spans="2:11" s="377" customFormat="1" ht="15" customHeight="1" x14ac:dyDescent="0.45">
      <c r="B45" s="397"/>
      <c r="F45" s="398"/>
    </row>
    <row r="46" spans="2:11" s="377" customFormat="1" ht="15" customHeight="1" x14ac:dyDescent="0.45">
      <c r="B46" s="397"/>
      <c r="F46" s="398"/>
    </row>
    <row r="47" spans="2:11" s="377" customFormat="1" ht="15" customHeight="1" x14ac:dyDescent="0.45">
      <c r="B47" s="397"/>
      <c r="F47" s="398"/>
    </row>
    <row r="48" spans="2:11" s="377" customFormat="1" ht="15" customHeight="1" x14ac:dyDescent="0.45">
      <c r="B48" s="397"/>
      <c r="F48" s="398"/>
    </row>
    <row r="49" spans="2:11" s="1066" customFormat="1" ht="15" customHeight="1" x14ac:dyDescent="0.3">
      <c r="B49" s="1065" t="s">
        <v>2412</v>
      </c>
      <c r="E49" s="1067" t="s">
        <v>702</v>
      </c>
      <c r="F49" s="1067" t="s">
        <v>2378</v>
      </c>
    </row>
    <row r="50" spans="2:11" s="377" customFormat="1" ht="15" customHeight="1" x14ac:dyDescent="0.3"/>
    <row r="51" spans="2:11" s="377" customFormat="1" ht="15" customHeight="1" x14ac:dyDescent="0.3">
      <c r="B51" s="423" t="s">
        <v>204</v>
      </c>
      <c r="C51" s="311"/>
      <c r="D51" s="311"/>
      <c r="E51" s="424">
        <v>45234</v>
      </c>
      <c r="F51" s="1094" t="s">
        <v>1612</v>
      </c>
      <c r="G51" s="426" t="s">
        <v>2413</v>
      </c>
      <c r="H51" s="1094" t="s">
        <v>810</v>
      </c>
      <c r="I51" s="311" t="s">
        <v>796</v>
      </c>
      <c r="J51" s="311"/>
      <c r="K51" s="333" t="s">
        <v>2414</v>
      </c>
    </row>
    <row r="52" spans="2:11" s="377" customFormat="1" ht="3.75" customHeight="1" x14ac:dyDescent="0.3">
      <c r="B52" s="399"/>
      <c r="C52" s="357"/>
      <c r="D52" s="357"/>
      <c r="E52" s="400"/>
      <c r="F52" s="386"/>
      <c r="G52" s="358"/>
      <c r="H52" s="386"/>
      <c r="I52" s="357"/>
      <c r="J52" s="357"/>
      <c r="K52" s="357"/>
    </row>
    <row r="53" spans="2:11" s="377" customFormat="1" ht="15" customHeight="1" x14ac:dyDescent="0.3">
      <c r="B53" s="423" t="s">
        <v>203</v>
      </c>
      <c r="C53" s="311"/>
      <c r="D53" s="311"/>
      <c r="E53" s="424">
        <v>45277</v>
      </c>
      <c r="F53" s="1094" t="s">
        <v>2415</v>
      </c>
      <c r="G53" s="426" t="s">
        <v>2416</v>
      </c>
      <c r="H53" s="1094" t="s">
        <v>906</v>
      </c>
      <c r="I53" s="311" t="s">
        <v>796</v>
      </c>
      <c r="J53" s="311"/>
      <c r="K53" s="333"/>
    </row>
    <row r="54" spans="2:11" s="377" customFormat="1" ht="3.75" customHeight="1" x14ac:dyDescent="0.3">
      <c r="B54" s="399"/>
      <c r="C54" s="357"/>
      <c r="D54" s="357"/>
      <c r="E54" s="400"/>
      <c r="F54" s="386"/>
      <c r="G54" s="358"/>
      <c r="H54" s="386"/>
      <c r="I54" s="357"/>
      <c r="J54" s="357"/>
      <c r="K54" s="357"/>
    </row>
    <row r="55" spans="2:11" s="377" customFormat="1" ht="15" customHeight="1" x14ac:dyDescent="0.3">
      <c r="B55" s="423" t="s">
        <v>199</v>
      </c>
      <c r="C55" s="311"/>
      <c r="D55" s="311"/>
      <c r="E55" s="424">
        <v>45297</v>
      </c>
      <c r="F55" s="1094" t="s">
        <v>2417</v>
      </c>
      <c r="G55" s="426" t="s">
        <v>2429</v>
      </c>
      <c r="H55" s="1094" t="s">
        <v>506</v>
      </c>
      <c r="I55" s="311" t="s">
        <v>731</v>
      </c>
      <c r="J55" s="311"/>
      <c r="K55" s="333" t="s">
        <v>2418</v>
      </c>
    </row>
    <row r="56" spans="2:11" s="377" customFormat="1" ht="3.75" customHeight="1" x14ac:dyDescent="0.3">
      <c r="B56" s="399"/>
      <c r="C56" s="357"/>
      <c r="D56" s="357"/>
      <c r="E56" s="402"/>
      <c r="F56" s="403"/>
      <c r="G56" s="404"/>
      <c r="H56" s="403"/>
      <c r="I56" s="405"/>
      <c r="J56" s="405"/>
      <c r="K56" s="405"/>
    </row>
    <row r="57" spans="2:11" s="377" customFormat="1" ht="15" customHeight="1" x14ac:dyDescent="0.3">
      <c r="B57" s="423" t="s">
        <v>202</v>
      </c>
      <c r="C57" s="311"/>
      <c r="D57" s="311"/>
      <c r="E57" s="424">
        <v>45339</v>
      </c>
      <c r="F57" s="1094" t="s">
        <v>2419</v>
      </c>
      <c r="G57" s="426" t="s">
        <v>2202</v>
      </c>
      <c r="H57" s="1094" t="s">
        <v>164</v>
      </c>
      <c r="I57" s="311" t="s">
        <v>796</v>
      </c>
      <c r="J57" s="311"/>
      <c r="K57" s="333"/>
    </row>
    <row r="58" spans="2:11" s="377" customFormat="1" ht="3.75" customHeight="1" x14ac:dyDescent="0.3">
      <c r="B58" s="399"/>
      <c r="C58" s="357"/>
      <c r="D58" s="357"/>
      <c r="E58" s="400"/>
      <c r="F58" s="386"/>
      <c r="G58" s="358"/>
      <c r="H58" s="386"/>
      <c r="I58" s="357"/>
      <c r="J58" s="357"/>
      <c r="K58" s="357"/>
    </row>
    <row r="59" spans="2:11" s="377" customFormat="1" ht="15" customHeight="1" x14ac:dyDescent="0.3">
      <c r="B59" s="423" t="s">
        <v>201</v>
      </c>
      <c r="C59" s="311"/>
      <c r="D59" s="311"/>
      <c r="E59" s="424">
        <v>45374</v>
      </c>
      <c r="F59" s="426">
        <v>18</v>
      </c>
      <c r="G59" s="426" t="s">
        <v>2420</v>
      </c>
      <c r="H59" s="1094" t="s">
        <v>2421</v>
      </c>
      <c r="I59" s="311" t="s">
        <v>796</v>
      </c>
      <c r="J59" s="311"/>
      <c r="K59" s="333"/>
    </row>
    <row r="60" spans="2:11" s="377" customFormat="1" ht="3.75" customHeight="1" x14ac:dyDescent="0.3">
      <c r="B60" s="399"/>
      <c r="C60" s="357"/>
      <c r="D60" s="357"/>
      <c r="E60" s="400"/>
      <c r="F60" s="386"/>
      <c r="G60" s="358"/>
      <c r="H60" s="386"/>
      <c r="I60" s="357"/>
      <c r="J60" s="357"/>
      <c r="K60" s="357"/>
    </row>
    <row r="61" spans="2:11" s="377" customFormat="1" ht="15" customHeight="1" x14ac:dyDescent="0.3">
      <c r="B61" s="423" t="s">
        <v>1669</v>
      </c>
      <c r="C61" s="311"/>
      <c r="D61" s="311"/>
      <c r="E61" s="424">
        <v>45213</v>
      </c>
      <c r="F61" s="426">
        <v>10</v>
      </c>
      <c r="G61" s="426" t="s">
        <v>1495</v>
      </c>
      <c r="H61" s="1094" t="s">
        <v>2422</v>
      </c>
      <c r="I61" s="311" t="s">
        <v>796</v>
      </c>
      <c r="J61" s="311"/>
      <c r="K61" s="333"/>
    </row>
    <row r="62" spans="2:11" s="377" customFormat="1" ht="3.75" customHeight="1" x14ac:dyDescent="0.3">
      <c r="B62" s="399"/>
      <c r="C62" s="357"/>
      <c r="D62" s="357"/>
      <c r="E62" s="400"/>
      <c r="F62" s="386"/>
      <c r="G62" s="358"/>
      <c r="H62" s="386"/>
      <c r="I62" s="357"/>
      <c r="J62" s="357"/>
      <c r="K62" s="357"/>
    </row>
    <row r="63" spans="2:11" s="377" customFormat="1" ht="15" customHeight="1" x14ac:dyDescent="0.3">
      <c r="B63" s="423" t="s">
        <v>194</v>
      </c>
      <c r="C63" s="311"/>
      <c r="D63" s="311"/>
      <c r="E63" s="424">
        <v>45374</v>
      </c>
      <c r="F63" s="426">
        <v>13</v>
      </c>
      <c r="G63" s="426" t="s">
        <v>2420</v>
      </c>
      <c r="H63" s="1094" t="s">
        <v>2421</v>
      </c>
      <c r="I63" s="311" t="s">
        <v>796</v>
      </c>
      <c r="J63" s="311"/>
      <c r="K63" s="333"/>
    </row>
    <row r="64" spans="2:11" s="377" customFormat="1" ht="3.75" customHeight="1" x14ac:dyDescent="0.3">
      <c r="B64" s="399"/>
      <c r="C64" s="357"/>
      <c r="D64" s="357"/>
      <c r="E64" s="358"/>
      <c r="F64" s="386"/>
      <c r="G64" s="358"/>
      <c r="H64" s="386"/>
      <c r="I64" s="357"/>
      <c r="J64" s="357"/>
      <c r="K64" s="357"/>
    </row>
    <row r="65" spans="2:11" s="377" customFormat="1" ht="15" customHeight="1" x14ac:dyDescent="0.3">
      <c r="B65" s="423" t="s">
        <v>198</v>
      </c>
      <c r="C65" s="311"/>
      <c r="D65" s="311"/>
      <c r="E65" s="437">
        <v>45374</v>
      </c>
      <c r="F65" s="438" t="s">
        <v>2423</v>
      </c>
      <c r="G65" s="439" t="s">
        <v>2420</v>
      </c>
      <c r="H65" s="1264" t="s">
        <v>2421</v>
      </c>
      <c r="I65" s="440" t="s">
        <v>796</v>
      </c>
      <c r="J65" s="440"/>
      <c r="K65" s="441" t="s">
        <v>2424</v>
      </c>
    </row>
    <row r="66" spans="2:11" s="377" customFormat="1" ht="3.75" customHeight="1" x14ac:dyDescent="0.3">
      <c r="B66" s="399"/>
      <c r="C66" s="357"/>
      <c r="D66" s="357"/>
      <c r="E66" s="400"/>
      <c r="F66" s="386"/>
      <c r="G66" s="358"/>
      <c r="H66" s="386"/>
      <c r="I66" s="357"/>
      <c r="J66" s="357"/>
      <c r="K66" s="357"/>
    </row>
    <row r="67" spans="2:11" s="377" customFormat="1" ht="15" customHeight="1" x14ac:dyDescent="0.3">
      <c r="B67" s="423" t="s">
        <v>195</v>
      </c>
      <c r="C67" s="311"/>
      <c r="D67" s="311"/>
      <c r="E67" s="437">
        <v>45339</v>
      </c>
      <c r="F67" s="438" t="s">
        <v>2526</v>
      </c>
      <c r="G67" s="439" t="s">
        <v>2202</v>
      </c>
      <c r="H67" s="1264" t="s">
        <v>164</v>
      </c>
      <c r="I67" s="440" t="s">
        <v>796</v>
      </c>
      <c r="J67" s="440"/>
      <c r="K67" s="441" t="s">
        <v>2485</v>
      </c>
    </row>
    <row r="68" spans="2:11" s="377" customFormat="1" ht="3.75" customHeight="1" x14ac:dyDescent="0.3">
      <c r="B68" s="399"/>
      <c r="C68" s="357"/>
      <c r="D68" s="357"/>
      <c r="E68" s="400"/>
      <c r="F68" s="386"/>
      <c r="G68" s="358"/>
      <c r="H68" s="386"/>
      <c r="I68" s="357"/>
      <c r="J68" s="357"/>
      <c r="K68" s="357"/>
    </row>
    <row r="69" spans="2:11" s="377" customFormat="1" ht="15" customHeight="1" x14ac:dyDescent="0.3">
      <c r="B69" s="423" t="s">
        <v>197</v>
      </c>
      <c r="C69" s="311"/>
      <c r="D69" s="311"/>
      <c r="E69" s="424">
        <v>45395</v>
      </c>
      <c r="F69" s="425" t="s">
        <v>171</v>
      </c>
      <c r="G69" s="426" t="s">
        <v>2351</v>
      </c>
      <c r="H69" s="1094" t="s">
        <v>2425</v>
      </c>
      <c r="I69" s="311" t="s">
        <v>1593</v>
      </c>
      <c r="J69" s="311"/>
      <c r="K69" s="333" t="s">
        <v>2426</v>
      </c>
    </row>
    <row r="70" spans="2:11" s="377" customFormat="1" ht="3.75" customHeight="1" x14ac:dyDescent="0.3">
      <c r="B70" s="399"/>
      <c r="C70" s="357"/>
      <c r="D70" s="357"/>
      <c r="E70" s="400"/>
      <c r="F70" s="386"/>
      <c r="G70" s="358"/>
      <c r="H70" s="386"/>
      <c r="I70" s="357"/>
      <c r="J70" s="357"/>
      <c r="K70" s="357"/>
    </row>
    <row r="71" spans="2:11" s="377" customFormat="1" ht="15" customHeight="1" x14ac:dyDescent="0.3">
      <c r="B71" s="423" t="s">
        <v>196</v>
      </c>
      <c r="C71" s="311"/>
      <c r="D71" s="311"/>
      <c r="E71" s="424">
        <v>45374</v>
      </c>
      <c r="F71" s="460" t="s">
        <v>2427</v>
      </c>
      <c r="G71" s="426" t="s">
        <v>2420</v>
      </c>
      <c r="H71" s="1094" t="s">
        <v>2421</v>
      </c>
      <c r="I71" s="311" t="s">
        <v>796</v>
      </c>
      <c r="J71" s="311"/>
      <c r="K71" s="333" t="s">
        <v>2428</v>
      </c>
    </row>
    <row r="72" spans="2:11" s="377" customFormat="1" ht="3.75" customHeight="1" x14ac:dyDescent="0.3">
      <c r="B72" s="399"/>
      <c r="C72" s="357"/>
      <c r="D72" s="357"/>
      <c r="E72" s="358"/>
      <c r="F72" s="386"/>
      <c r="G72" s="358"/>
      <c r="H72" s="386"/>
      <c r="I72" s="357"/>
      <c r="J72" s="357"/>
      <c r="K72" s="357"/>
    </row>
    <row r="73" spans="2:11" s="377" customFormat="1" ht="15" customHeight="1" x14ac:dyDescent="0.3">
      <c r="B73" s="423" t="s">
        <v>77</v>
      </c>
      <c r="C73" s="311"/>
      <c r="D73" s="311"/>
      <c r="E73" s="424">
        <v>45213</v>
      </c>
      <c r="F73" s="1094" t="s">
        <v>2371</v>
      </c>
      <c r="G73" s="426" t="s">
        <v>1495</v>
      </c>
      <c r="H73" s="425" t="s">
        <v>2422</v>
      </c>
      <c r="I73" s="311" t="s">
        <v>796</v>
      </c>
      <c r="J73" s="311"/>
      <c r="K73" s="333" t="s">
        <v>2430</v>
      </c>
    </row>
    <row r="74" spans="2:11" s="377" customFormat="1" ht="15" customHeight="1" x14ac:dyDescent="0.3">
      <c r="B74" s="423"/>
      <c r="C74" s="311"/>
      <c r="D74" s="311"/>
      <c r="E74" s="424">
        <v>45374</v>
      </c>
      <c r="F74" s="1094" t="s">
        <v>2371</v>
      </c>
      <c r="G74" s="426" t="s">
        <v>130</v>
      </c>
      <c r="H74" s="1094" t="s">
        <v>1190</v>
      </c>
      <c r="I74" s="311" t="s">
        <v>796</v>
      </c>
      <c r="J74" s="311"/>
      <c r="K74" s="333" t="s">
        <v>2431</v>
      </c>
    </row>
    <row r="75" spans="2:11" s="377" customFormat="1" ht="3.75" customHeight="1" x14ac:dyDescent="0.3">
      <c r="B75" s="399"/>
      <c r="C75" s="357"/>
      <c r="D75" s="357"/>
      <c r="E75" s="400"/>
      <c r="F75" s="386"/>
      <c r="G75" s="358"/>
      <c r="H75" s="386"/>
      <c r="I75" s="357"/>
      <c r="J75" s="357"/>
      <c r="K75" s="357"/>
    </row>
    <row r="76" spans="2:11" s="377" customFormat="1" ht="15" customHeight="1" x14ac:dyDescent="0.3">
      <c r="B76" s="423" t="s">
        <v>76</v>
      </c>
      <c r="C76" s="311"/>
      <c r="D76" s="311"/>
      <c r="E76" s="424">
        <v>45374</v>
      </c>
      <c r="F76" s="425" t="s">
        <v>2432</v>
      </c>
      <c r="G76" s="426" t="s">
        <v>2420</v>
      </c>
      <c r="H76" s="425" t="s">
        <v>2421</v>
      </c>
      <c r="I76" s="311" t="s">
        <v>796</v>
      </c>
      <c r="J76" s="311"/>
      <c r="K76" s="333" t="s">
        <v>2433</v>
      </c>
    </row>
    <row r="77" spans="2:11" s="377" customFormat="1" ht="3.75" customHeight="1" x14ac:dyDescent="0.3">
      <c r="B77" s="399"/>
      <c r="C77" s="357"/>
      <c r="D77" s="357"/>
      <c r="E77" s="400"/>
      <c r="F77" s="386"/>
      <c r="G77" s="358"/>
      <c r="H77" s="386"/>
      <c r="I77" s="357"/>
      <c r="J77" s="357"/>
      <c r="K77" s="357"/>
    </row>
    <row r="78" spans="2:11" s="377" customFormat="1" ht="15" customHeight="1" x14ac:dyDescent="0.3">
      <c r="B78" s="423" t="s">
        <v>735</v>
      </c>
      <c r="C78" s="311"/>
      <c r="D78" s="311"/>
      <c r="E78" s="424"/>
      <c r="F78" s="426">
        <v>8</v>
      </c>
      <c r="G78" s="426"/>
      <c r="H78" s="425"/>
      <c r="I78" s="311"/>
      <c r="J78" s="311"/>
      <c r="K78" s="333" t="s">
        <v>2484</v>
      </c>
    </row>
    <row r="79" spans="2:11" s="377" customFormat="1" ht="15" customHeight="1" x14ac:dyDescent="0.45">
      <c r="B79" s="397"/>
      <c r="F79" s="398"/>
    </row>
    <row r="80" spans="2:11" s="377" customFormat="1" ht="15" customHeight="1" x14ac:dyDescent="0.45">
      <c r="B80" s="397"/>
      <c r="F80" s="398"/>
    </row>
    <row r="81" spans="2:11" s="377" customFormat="1" ht="15" customHeight="1" x14ac:dyDescent="0.45">
      <c r="B81" s="397"/>
      <c r="F81" s="398"/>
    </row>
    <row r="82" spans="2:11" s="377" customFormat="1" ht="15" customHeight="1" x14ac:dyDescent="0.45">
      <c r="B82" s="397"/>
      <c r="F82" s="398"/>
    </row>
    <row r="83" spans="2:11" s="1066" customFormat="1" ht="15" customHeight="1" x14ac:dyDescent="0.3">
      <c r="B83" s="1065" t="s">
        <v>2313</v>
      </c>
      <c r="E83" s="1067" t="s">
        <v>702</v>
      </c>
      <c r="F83" s="1067"/>
    </row>
    <row r="84" spans="2:11" s="377" customFormat="1" ht="15" customHeight="1" x14ac:dyDescent="0.3"/>
    <row r="85" spans="2:11" s="377" customFormat="1" ht="15" customHeight="1" x14ac:dyDescent="0.3">
      <c r="B85" s="423" t="s">
        <v>204</v>
      </c>
      <c r="C85" s="311"/>
      <c r="D85" s="311"/>
      <c r="E85" s="424">
        <v>45017</v>
      </c>
      <c r="F85" s="425" t="s">
        <v>1613</v>
      </c>
      <c r="G85" s="426" t="s">
        <v>2314</v>
      </c>
      <c r="H85" s="425" t="s">
        <v>2052</v>
      </c>
      <c r="I85" s="311" t="s">
        <v>242</v>
      </c>
      <c r="J85" s="311"/>
      <c r="K85" s="333" t="s">
        <v>2315</v>
      </c>
    </row>
    <row r="86" spans="2:11" s="377" customFormat="1" ht="3.75" customHeight="1" x14ac:dyDescent="0.3">
      <c r="B86" s="399"/>
      <c r="C86" s="357"/>
      <c r="D86" s="357"/>
      <c r="E86" s="400"/>
      <c r="F86" s="386"/>
      <c r="G86" s="358"/>
      <c r="H86" s="386"/>
      <c r="I86" s="357"/>
      <c r="J86" s="357"/>
      <c r="K86" s="357"/>
    </row>
    <row r="87" spans="2:11" s="377" customFormat="1" ht="15" customHeight="1" x14ac:dyDescent="0.3">
      <c r="B87" s="423" t="s">
        <v>203</v>
      </c>
      <c r="C87" s="311"/>
      <c r="D87" s="311"/>
      <c r="E87" s="424">
        <v>45003</v>
      </c>
      <c r="F87" s="425" t="s">
        <v>2316</v>
      </c>
      <c r="G87" s="426" t="s">
        <v>2317</v>
      </c>
      <c r="H87" s="425" t="s">
        <v>2318</v>
      </c>
      <c r="I87" s="311" t="s">
        <v>1593</v>
      </c>
      <c r="J87" s="311"/>
      <c r="K87" s="333"/>
    </row>
    <row r="88" spans="2:11" s="377" customFormat="1" ht="3.75" customHeight="1" x14ac:dyDescent="0.3">
      <c r="B88" s="399"/>
      <c r="C88" s="357"/>
      <c r="D88" s="357"/>
      <c r="E88" s="400"/>
      <c r="F88" s="386"/>
      <c r="G88" s="358"/>
      <c r="H88" s="386"/>
      <c r="I88" s="357"/>
      <c r="J88" s="357"/>
      <c r="K88" s="357"/>
    </row>
    <row r="89" spans="2:11" s="377" customFormat="1" ht="15" customHeight="1" x14ac:dyDescent="0.3">
      <c r="B89" s="423" t="s">
        <v>199</v>
      </c>
      <c r="C89" s="311"/>
      <c r="D89" s="311"/>
      <c r="E89" s="424">
        <v>44828</v>
      </c>
      <c r="F89" s="425" t="s">
        <v>2319</v>
      </c>
      <c r="G89" s="426" t="s">
        <v>2320</v>
      </c>
      <c r="H89" s="425" t="s">
        <v>897</v>
      </c>
      <c r="I89" s="311" t="s">
        <v>796</v>
      </c>
      <c r="J89" s="311"/>
      <c r="K89" s="333" t="s">
        <v>2323</v>
      </c>
    </row>
    <row r="90" spans="2:11" s="377" customFormat="1" ht="3.75" customHeight="1" x14ac:dyDescent="0.3">
      <c r="B90" s="399"/>
      <c r="C90" s="357"/>
      <c r="D90" s="357"/>
      <c r="E90" s="402"/>
      <c r="F90" s="403"/>
      <c r="G90" s="404"/>
      <c r="H90" s="403"/>
      <c r="I90" s="405"/>
      <c r="J90" s="405"/>
      <c r="K90" s="405"/>
    </row>
    <row r="91" spans="2:11" s="377" customFormat="1" ht="15" customHeight="1" x14ac:dyDescent="0.3">
      <c r="B91" s="423" t="s">
        <v>202</v>
      </c>
      <c r="C91" s="311"/>
      <c r="D91" s="311"/>
      <c r="E91" s="424">
        <v>44850</v>
      </c>
      <c r="F91" s="425" t="s">
        <v>2321</v>
      </c>
      <c r="G91" s="426" t="s">
        <v>2322</v>
      </c>
      <c r="H91" s="425" t="s">
        <v>258</v>
      </c>
      <c r="I91" s="311" t="s">
        <v>796</v>
      </c>
      <c r="J91" s="311"/>
      <c r="K91" s="333"/>
    </row>
    <row r="92" spans="2:11" s="377" customFormat="1" ht="3.75" customHeight="1" x14ac:dyDescent="0.3">
      <c r="B92" s="399"/>
      <c r="C92" s="357"/>
      <c r="D92" s="357"/>
      <c r="E92" s="400"/>
      <c r="F92" s="386"/>
      <c r="G92" s="358"/>
      <c r="H92" s="386"/>
      <c r="I92" s="357"/>
      <c r="J92" s="357"/>
      <c r="K92" s="357"/>
    </row>
    <row r="93" spans="2:11" s="377" customFormat="1" ht="15" customHeight="1" x14ac:dyDescent="0.3">
      <c r="B93" s="423" t="s">
        <v>201</v>
      </c>
      <c r="C93" s="311"/>
      <c r="D93" s="311"/>
      <c r="E93" s="424">
        <v>44898</v>
      </c>
      <c r="F93" s="426">
        <v>18</v>
      </c>
      <c r="G93" s="426" t="s">
        <v>2324</v>
      </c>
      <c r="H93" s="425" t="s">
        <v>2325</v>
      </c>
      <c r="I93" s="311" t="s">
        <v>2297</v>
      </c>
      <c r="J93" s="311"/>
      <c r="K93" s="333"/>
    </row>
    <row r="94" spans="2:11" s="377" customFormat="1" ht="3.75" customHeight="1" x14ac:dyDescent="0.3">
      <c r="B94" s="399"/>
      <c r="C94" s="357"/>
      <c r="D94" s="357"/>
      <c r="E94" s="400"/>
      <c r="F94" s="386"/>
      <c r="G94" s="358"/>
      <c r="H94" s="386"/>
      <c r="I94" s="357"/>
      <c r="J94" s="357"/>
      <c r="K94" s="357"/>
    </row>
    <row r="95" spans="2:11" s="377" customFormat="1" ht="15" customHeight="1" x14ac:dyDescent="0.3">
      <c r="B95" s="423" t="s">
        <v>1669</v>
      </c>
      <c r="C95" s="311"/>
      <c r="D95" s="311"/>
      <c r="E95" s="424">
        <v>44898</v>
      </c>
      <c r="F95" s="426">
        <v>15</v>
      </c>
      <c r="G95" s="426" t="s">
        <v>2324</v>
      </c>
      <c r="H95" s="425" t="s">
        <v>2325</v>
      </c>
      <c r="I95" s="311" t="s">
        <v>2297</v>
      </c>
      <c r="J95" s="311"/>
      <c r="K95" s="333"/>
    </row>
    <row r="96" spans="2:11" s="377" customFormat="1" ht="3.75" customHeight="1" x14ac:dyDescent="0.3">
      <c r="B96" s="399"/>
      <c r="C96" s="357"/>
      <c r="D96" s="357"/>
      <c r="E96" s="400"/>
      <c r="F96" s="386"/>
      <c r="G96" s="358"/>
      <c r="H96" s="386"/>
      <c r="I96" s="357"/>
      <c r="J96" s="357"/>
      <c r="K96" s="357"/>
    </row>
    <row r="97" spans="2:11" s="377" customFormat="1" ht="15" customHeight="1" x14ac:dyDescent="0.3">
      <c r="B97" s="423" t="s">
        <v>194</v>
      </c>
      <c r="C97" s="311"/>
      <c r="D97" s="311"/>
      <c r="E97" s="424">
        <v>44850</v>
      </c>
      <c r="F97" s="426">
        <v>8</v>
      </c>
      <c r="G97" s="426" t="s">
        <v>2326</v>
      </c>
      <c r="H97" s="425" t="s">
        <v>1235</v>
      </c>
      <c r="I97" s="311" t="s">
        <v>796</v>
      </c>
      <c r="J97" s="311"/>
      <c r="K97" s="333"/>
    </row>
    <row r="98" spans="2:11" s="377" customFormat="1" ht="15" customHeight="1" x14ac:dyDescent="0.3">
      <c r="B98" s="423"/>
      <c r="C98" s="311"/>
      <c r="D98" s="311"/>
      <c r="E98" s="424">
        <v>44934</v>
      </c>
      <c r="F98" s="426">
        <v>8</v>
      </c>
      <c r="G98" s="426" t="s">
        <v>1965</v>
      </c>
      <c r="H98" s="425" t="s">
        <v>2059</v>
      </c>
      <c r="I98" s="311" t="s">
        <v>242</v>
      </c>
      <c r="J98" s="311"/>
      <c r="K98" s="333"/>
    </row>
    <row r="99" spans="2:11" s="377" customFormat="1" ht="3.75" customHeight="1" x14ac:dyDescent="0.3">
      <c r="B99" s="399"/>
      <c r="C99" s="357"/>
      <c r="D99" s="357"/>
      <c r="E99" s="358"/>
      <c r="F99" s="386"/>
      <c r="G99" s="358"/>
      <c r="H99" s="386"/>
      <c r="I99" s="357"/>
      <c r="J99" s="357"/>
      <c r="K99" s="357"/>
    </row>
    <row r="100" spans="2:11" s="377" customFormat="1" ht="15" customHeight="1" x14ac:dyDescent="0.3">
      <c r="B100" s="423" t="s">
        <v>198</v>
      </c>
      <c r="C100" s="311"/>
      <c r="D100" s="311"/>
      <c r="E100" s="437">
        <v>44947</v>
      </c>
      <c r="F100" s="438" t="s">
        <v>2327</v>
      </c>
      <c r="G100" s="439" t="s">
        <v>2328</v>
      </c>
      <c r="H100" s="438" t="s">
        <v>156</v>
      </c>
      <c r="I100" s="440" t="s">
        <v>2297</v>
      </c>
      <c r="J100" s="440"/>
      <c r="K100" s="441" t="s">
        <v>963</v>
      </c>
    </row>
    <row r="101" spans="2:11" s="377" customFormat="1" ht="3.75" customHeight="1" x14ac:dyDescent="0.3">
      <c r="B101" s="399"/>
      <c r="C101" s="357"/>
      <c r="D101" s="357"/>
      <c r="E101" s="400"/>
      <c r="F101" s="386"/>
      <c r="G101" s="358"/>
      <c r="H101" s="386"/>
      <c r="I101" s="357"/>
      <c r="J101" s="357"/>
      <c r="K101" s="357"/>
    </row>
    <row r="102" spans="2:11" s="377" customFormat="1" ht="15" customHeight="1" x14ac:dyDescent="0.3">
      <c r="B102" s="423" t="s">
        <v>195</v>
      </c>
      <c r="C102" s="311"/>
      <c r="D102" s="311"/>
      <c r="E102" s="437">
        <v>45003</v>
      </c>
      <c r="F102" s="438" t="s">
        <v>1450</v>
      </c>
      <c r="G102" s="439" t="s">
        <v>1961</v>
      </c>
      <c r="H102" s="438" t="s">
        <v>156</v>
      </c>
      <c r="I102" s="440" t="s">
        <v>1593</v>
      </c>
      <c r="J102" s="440"/>
      <c r="K102" s="441" t="s">
        <v>265</v>
      </c>
    </row>
    <row r="103" spans="2:11" s="377" customFormat="1" ht="3.75" customHeight="1" x14ac:dyDescent="0.3">
      <c r="B103" s="399"/>
      <c r="C103" s="357"/>
      <c r="D103" s="357"/>
      <c r="E103" s="400"/>
      <c r="F103" s="386"/>
      <c r="G103" s="358"/>
      <c r="H103" s="386"/>
      <c r="I103" s="357"/>
      <c r="J103" s="357"/>
      <c r="K103" s="357"/>
    </row>
    <row r="104" spans="2:11" s="377" customFormat="1" ht="15" customHeight="1" x14ac:dyDescent="0.3">
      <c r="B104" s="423" t="s">
        <v>197</v>
      </c>
      <c r="C104" s="311"/>
      <c r="D104" s="311"/>
      <c r="E104" s="424">
        <v>44898</v>
      </c>
      <c r="F104" s="425" t="s">
        <v>575</v>
      </c>
      <c r="G104" s="426" t="s">
        <v>2324</v>
      </c>
      <c r="H104" s="425" t="s">
        <v>2325</v>
      </c>
      <c r="I104" s="311" t="s">
        <v>2297</v>
      </c>
      <c r="J104" s="311"/>
      <c r="K104" s="333" t="s">
        <v>2330</v>
      </c>
    </row>
    <row r="105" spans="2:11" s="377" customFormat="1" ht="3.75" customHeight="1" x14ac:dyDescent="0.3">
      <c r="B105" s="399"/>
      <c r="C105" s="357"/>
      <c r="D105" s="357"/>
      <c r="E105" s="400"/>
      <c r="F105" s="386"/>
      <c r="G105" s="358"/>
      <c r="H105" s="386"/>
      <c r="I105" s="357"/>
      <c r="J105" s="357"/>
      <c r="K105" s="357"/>
    </row>
    <row r="106" spans="2:11" s="377" customFormat="1" ht="15" customHeight="1" x14ac:dyDescent="0.3">
      <c r="B106" s="423" t="s">
        <v>196</v>
      </c>
      <c r="C106" s="311"/>
      <c r="D106" s="311"/>
      <c r="E106" s="424">
        <v>44934</v>
      </c>
      <c r="F106" s="460" t="s">
        <v>129</v>
      </c>
      <c r="G106" s="426" t="s">
        <v>1965</v>
      </c>
      <c r="H106" s="425" t="s">
        <v>2059</v>
      </c>
      <c r="I106" s="311" t="s">
        <v>242</v>
      </c>
      <c r="J106" s="311"/>
      <c r="K106" s="333" t="s">
        <v>2331</v>
      </c>
    </row>
    <row r="107" spans="2:11" s="377" customFormat="1" ht="3.75" customHeight="1" x14ac:dyDescent="0.3">
      <c r="B107" s="399"/>
      <c r="C107" s="357"/>
      <c r="D107" s="357"/>
      <c r="E107" s="358"/>
      <c r="F107" s="386"/>
      <c r="G107" s="358"/>
      <c r="H107" s="386"/>
      <c r="I107" s="357"/>
      <c r="J107" s="357"/>
      <c r="K107" s="357"/>
    </row>
    <row r="108" spans="2:11" s="377" customFormat="1" ht="15" customHeight="1" x14ac:dyDescent="0.3">
      <c r="B108" s="423" t="s">
        <v>77</v>
      </c>
      <c r="C108" s="311"/>
      <c r="D108" s="311"/>
      <c r="E108" s="424">
        <v>44898</v>
      </c>
      <c r="F108" s="1094" t="s">
        <v>967</v>
      </c>
      <c r="G108" s="426" t="s">
        <v>2324</v>
      </c>
      <c r="H108" s="425" t="s">
        <v>2325</v>
      </c>
      <c r="I108" s="311" t="s">
        <v>2297</v>
      </c>
      <c r="J108" s="311"/>
      <c r="K108" s="333" t="s">
        <v>2332</v>
      </c>
    </row>
    <row r="109" spans="2:11" s="377" customFormat="1" ht="3.75" customHeight="1" x14ac:dyDescent="0.3">
      <c r="B109" s="399"/>
      <c r="C109" s="357"/>
      <c r="D109" s="357"/>
      <c r="E109" s="400"/>
      <c r="F109" s="386"/>
      <c r="G109" s="358"/>
      <c r="H109" s="386"/>
      <c r="I109" s="357"/>
      <c r="J109" s="357"/>
      <c r="K109" s="357"/>
    </row>
    <row r="110" spans="2:11" s="377" customFormat="1" ht="15" customHeight="1" x14ac:dyDescent="0.3">
      <c r="B110" s="423" t="s">
        <v>76</v>
      </c>
      <c r="C110" s="311"/>
      <c r="D110" s="311"/>
      <c r="E110" s="424">
        <v>44850</v>
      </c>
      <c r="F110" s="425" t="s">
        <v>968</v>
      </c>
      <c r="G110" s="426" t="s">
        <v>2326</v>
      </c>
      <c r="H110" s="425" t="s">
        <v>1235</v>
      </c>
      <c r="I110" s="311" t="s">
        <v>796</v>
      </c>
      <c r="J110" s="311"/>
      <c r="K110" s="333" t="s">
        <v>2333</v>
      </c>
    </row>
    <row r="111" spans="2:11" s="377" customFormat="1" ht="15" customHeight="1" x14ac:dyDescent="0.3">
      <c r="B111" s="423"/>
      <c r="C111" s="311"/>
      <c r="D111" s="311"/>
      <c r="E111" s="424">
        <v>44863</v>
      </c>
      <c r="F111" s="425" t="s">
        <v>968</v>
      </c>
      <c r="G111" s="426" t="s">
        <v>1961</v>
      </c>
      <c r="H111" s="425" t="s">
        <v>33</v>
      </c>
      <c r="I111" s="311" t="s">
        <v>1593</v>
      </c>
      <c r="J111" s="311"/>
      <c r="K111" s="333" t="s">
        <v>2334</v>
      </c>
    </row>
    <row r="112" spans="2:11" s="377" customFormat="1" ht="3.75" customHeight="1" x14ac:dyDescent="0.3">
      <c r="B112" s="399"/>
      <c r="C112" s="357"/>
      <c r="D112" s="357"/>
      <c r="E112" s="400"/>
      <c r="F112" s="386"/>
      <c r="G112" s="358"/>
      <c r="H112" s="386"/>
      <c r="I112" s="357"/>
      <c r="J112" s="357"/>
      <c r="K112" s="357"/>
    </row>
    <row r="113" spans="2:11" s="377" customFormat="1" ht="15" customHeight="1" x14ac:dyDescent="0.3">
      <c r="B113" s="423" t="s">
        <v>735</v>
      </c>
      <c r="C113" s="311"/>
      <c r="D113" s="311"/>
      <c r="E113" s="424"/>
      <c r="F113" s="426">
        <v>5</v>
      </c>
      <c r="G113" s="426"/>
      <c r="H113" s="425"/>
      <c r="I113" s="311"/>
      <c r="J113" s="311"/>
      <c r="K113" s="333" t="s">
        <v>2339</v>
      </c>
    </row>
    <row r="114" spans="2:11" s="377" customFormat="1" ht="15" customHeight="1" x14ac:dyDescent="0.45">
      <c r="B114" s="397"/>
      <c r="F114" s="398"/>
    </row>
    <row r="115" spans="2:11" s="377" customFormat="1" ht="15" customHeight="1" x14ac:dyDescent="0.45">
      <c r="B115" s="397"/>
      <c r="F115" s="398"/>
    </row>
    <row r="116" spans="2:11" s="377" customFormat="1" ht="15" customHeight="1" x14ac:dyDescent="0.45">
      <c r="B116" s="397"/>
      <c r="F116" s="398"/>
    </row>
    <row r="117" spans="2:11" s="377" customFormat="1" ht="15" customHeight="1" x14ac:dyDescent="0.45">
      <c r="B117" s="397"/>
      <c r="F117" s="398"/>
    </row>
    <row r="118" spans="2:11" s="1066" customFormat="1" ht="15" customHeight="1" x14ac:dyDescent="0.3">
      <c r="B118" s="1065" t="s">
        <v>2189</v>
      </c>
      <c r="E118" s="1067" t="s">
        <v>2080</v>
      </c>
      <c r="F118" s="1067" t="s">
        <v>1834</v>
      </c>
    </row>
    <row r="119" spans="2:11" s="377" customFormat="1" ht="15" customHeight="1" x14ac:dyDescent="0.3"/>
    <row r="120" spans="2:11" s="377" customFormat="1" ht="15" customHeight="1" x14ac:dyDescent="0.3">
      <c r="B120" s="423" t="s">
        <v>204</v>
      </c>
      <c r="C120" s="311"/>
      <c r="D120" s="311"/>
      <c r="E120" s="424">
        <v>44513</v>
      </c>
      <c r="F120" s="425" t="s">
        <v>2190</v>
      </c>
      <c r="G120" s="426" t="s">
        <v>2191</v>
      </c>
      <c r="H120" s="425" t="s">
        <v>1328</v>
      </c>
      <c r="I120" s="311" t="s">
        <v>2174</v>
      </c>
      <c r="J120" s="311"/>
      <c r="K120" s="333" t="s">
        <v>1981</v>
      </c>
    </row>
    <row r="121" spans="2:11" s="377" customFormat="1" ht="3.75" customHeight="1" x14ac:dyDescent="0.3">
      <c r="B121" s="399"/>
      <c r="C121" s="357"/>
      <c r="D121" s="357"/>
      <c r="E121" s="400"/>
      <c r="F121" s="386"/>
      <c r="G121" s="358"/>
      <c r="H121" s="386"/>
      <c r="I121" s="357"/>
      <c r="J121" s="357"/>
      <c r="K121" s="357"/>
    </row>
    <row r="122" spans="2:11" s="377" customFormat="1" ht="15" customHeight="1" x14ac:dyDescent="0.3">
      <c r="B122" s="423" t="s">
        <v>203</v>
      </c>
      <c r="C122" s="311"/>
      <c r="D122" s="311"/>
      <c r="E122" s="424">
        <v>44464</v>
      </c>
      <c r="F122" s="425" t="s">
        <v>1915</v>
      </c>
      <c r="G122" s="426" t="s">
        <v>2192</v>
      </c>
      <c r="H122" s="425" t="s">
        <v>39</v>
      </c>
      <c r="I122" s="311" t="s">
        <v>2173</v>
      </c>
      <c r="J122" s="311"/>
      <c r="K122" s="333"/>
    </row>
    <row r="123" spans="2:11" s="377" customFormat="1" ht="3.75" customHeight="1" x14ac:dyDescent="0.3">
      <c r="B123" s="399"/>
      <c r="C123" s="357"/>
      <c r="D123" s="357"/>
      <c r="E123" s="400"/>
      <c r="F123" s="386"/>
      <c r="G123" s="358"/>
      <c r="H123" s="386"/>
      <c r="I123" s="357"/>
      <c r="J123" s="357"/>
      <c r="K123" s="357"/>
    </row>
    <row r="124" spans="2:11" s="377" customFormat="1" ht="15" customHeight="1" x14ac:dyDescent="0.3">
      <c r="B124" s="423" t="s">
        <v>199</v>
      </c>
      <c r="C124" s="311"/>
      <c r="D124" s="311"/>
      <c r="E124" s="424">
        <v>44597</v>
      </c>
      <c r="F124" s="425" t="s">
        <v>2193</v>
      </c>
      <c r="G124" s="426" t="s">
        <v>2194</v>
      </c>
      <c r="H124" s="425" t="s">
        <v>38</v>
      </c>
      <c r="I124" s="311" t="s">
        <v>150</v>
      </c>
      <c r="J124" s="311"/>
      <c r="K124" s="333" t="s">
        <v>2195</v>
      </c>
    </row>
    <row r="125" spans="2:11" s="377" customFormat="1" ht="3.75" customHeight="1" x14ac:dyDescent="0.3">
      <c r="B125" s="399"/>
      <c r="C125" s="357"/>
      <c r="D125" s="357"/>
      <c r="E125" s="402"/>
      <c r="F125" s="403"/>
      <c r="G125" s="404"/>
      <c r="H125" s="403"/>
      <c r="I125" s="405"/>
      <c r="J125" s="405"/>
      <c r="K125" s="405"/>
    </row>
    <row r="126" spans="2:11" s="377" customFormat="1" ht="15" customHeight="1" x14ac:dyDescent="0.3">
      <c r="B126" s="423" t="s">
        <v>202</v>
      </c>
      <c r="C126" s="311"/>
      <c r="D126" s="311"/>
      <c r="E126" s="424">
        <v>44597</v>
      </c>
      <c r="F126" s="425" t="s">
        <v>2196</v>
      </c>
      <c r="G126" s="426" t="s">
        <v>1617</v>
      </c>
      <c r="H126" s="425" t="s">
        <v>1292</v>
      </c>
      <c r="I126" s="311" t="s">
        <v>150</v>
      </c>
      <c r="J126" s="311"/>
      <c r="K126" s="333" t="s">
        <v>2197</v>
      </c>
    </row>
    <row r="127" spans="2:11" s="377" customFormat="1" ht="3.75" customHeight="1" x14ac:dyDescent="0.3">
      <c r="B127" s="399"/>
      <c r="C127" s="357"/>
      <c r="D127" s="357"/>
      <c r="E127" s="400"/>
      <c r="F127" s="386"/>
      <c r="G127" s="358"/>
      <c r="H127" s="386"/>
      <c r="I127" s="357"/>
      <c r="J127" s="357"/>
      <c r="K127" s="357"/>
    </row>
    <row r="128" spans="2:11" s="377" customFormat="1" ht="15" customHeight="1" x14ac:dyDescent="0.3">
      <c r="B128" s="423" t="s">
        <v>201</v>
      </c>
      <c r="C128" s="311"/>
      <c r="D128" s="311"/>
      <c r="E128" s="424">
        <v>44618</v>
      </c>
      <c r="F128" s="426">
        <v>14</v>
      </c>
      <c r="G128" s="426" t="s">
        <v>2198</v>
      </c>
      <c r="H128" s="425" t="s">
        <v>2199</v>
      </c>
      <c r="I128" s="311" t="s">
        <v>150</v>
      </c>
      <c r="J128" s="311"/>
      <c r="K128" s="333" t="s">
        <v>2200</v>
      </c>
    </row>
    <row r="129" spans="2:11" s="377" customFormat="1" ht="3.75" customHeight="1" x14ac:dyDescent="0.3">
      <c r="B129" s="399"/>
      <c r="C129" s="357"/>
      <c r="D129" s="357"/>
      <c r="E129" s="400"/>
      <c r="F129" s="386"/>
      <c r="G129" s="358"/>
      <c r="H129" s="386"/>
      <c r="I129" s="357"/>
      <c r="J129" s="357"/>
      <c r="K129" s="357"/>
    </row>
    <row r="130" spans="2:11" s="377" customFormat="1" ht="15" customHeight="1" x14ac:dyDescent="0.3">
      <c r="B130" s="423" t="s">
        <v>1669</v>
      </c>
      <c r="C130" s="311"/>
      <c r="D130" s="311"/>
      <c r="E130" s="424">
        <v>44513</v>
      </c>
      <c r="F130" s="426" t="s">
        <v>23</v>
      </c>
      <c r="G130" s="426" t="s">
        <v>2191</v>
      </c>
      <c r="H130" s="425" t="s">
        <v>1328</v>
      </c>
      <c r="I130" s="311" t="s">
        <v>2174</v>
      </c>
      <c r="J130" s="311"/>
      <c r="K130" s="333"/>
    </row>
    <row r="131" spans="2:11" s="377" customFormat="1" ht="3.75" customHeight="1" x14ac:dyDescent="0.3">
      <c r="B131" s="399"/>
      <c r="C131" s="357"/>
      <c r="D131" s="357"/>
      <c r="E131" s="400"/>
      <c r="F131" s="386"/>
      <c r="G131" s="358"/>
      <c r="H131" s="386"/>
      <c r="I131" s="357"/>
      <c r="J131" s="357"/>
      <c r="K131" s="357"/>
    </row>
    <row r="132" spans="2:11" s="377" customFormat="1" ht="15" customHeight="1" x14ac:dyDescent="0.3">
      <c r="B132" s="423" t="s">
        <v>194</v>
      </c>
      <c r="C132" s="311"/>
      <c r="D132" s="311"/>
      <c r="E132" s="424">
        <v>44618</v>
      </c>
      <c r="F132" s="426">
        <v>10</v>
      </c>
      <c r="G132" s="426" t="s">
        <v>2198</v>
      </c>
      <c r="H132" s="425" t="s">
        <v>2199</v>
      </c>
      <c r="I132" s="311" t="s">
        <v>150</v>
      </c>
      <c r="J132" s="311"/>
      <c r="K132" s="333"/>
    </row>
    <row r="133" spans="2:11" s="377" customFormat="1" ht="15" customHeight="1" x14ac:dyDescent="0.3">
      <c r="B133" s="423"/>
      <c r="C133" s="311"/>
      <c r="D133" s="311"/>
      <c r="E133" s="424">
        <v>44639</v>
      </c>
      <c r="F133" s="426">
        <v>10</v>
      </c>
      <c r="G133" s="426" t="s">
        <v>2201</v>
      </c>
      <c r="H133" s="425" t="s">
        <v>768</v>
      </c>
      <c r="I133" s="311" t="s">
        <v>579</v>
      </c>
      <c r="J133" s="311"/>
      <c r="K133" s="333"/>
    </row>
    <row r="134" spans="2:11" s="377" customFormat="1" ht="3.75" customHeight="1" x14ac:dyDescent="0.3">
      <c r="B134" s="399"/>
      <c r="C134" s="357"/>
      <c r="D134" s="357"/>
      <c r="E134" s="358"/>
      <c r="F134" s="386"/>
      <c r="G134" s="358"/>
      <c r="H134" s="386"/>
      <c r="I134" s="357"/>
      <c r="J134" s="357"/>
      <c r="K134" s="357"/>
    </row>
    <row r="135" spans="2:11" s="377" customFormat="1" ht="15" customHeight="1" x14ac:dyDescent="0.3">
      <c r="B135" s="423" t="s">
        <v>198</v>
      </c>
      <c r="C135" s="311"/>
      <c r="D135" s="311"/>
      <c r="E135" s="437">
        <v>44464</v>
      </c>
      <c r="F135" s="438" t="s">
        <v>1450</v>
      </c>
      <c r="G135" s="439" t="s">
        <v>2202</v>
      </c>
      <c r="H135" s="438" t="s">
        <v>1235</v>
      </c>
      <c r="I135" s="440" t="s">
        <v>2173</v>
      </c>
      <c r="J135" s="440"/>
      <c r="K135" s="441" t="s">
        <v>2203</v>
      </c>
    </row>
    <row r="136" spans="2:11" s="377" customFormat="1" ht="15" customHeight="1" x14ac:dyDescent="0.3">
      <c r="B136" s="423"/>
      <c r="C136" s="311"/>
      <c r="D136" s="311"/>
      <c r="E136" s="437">
        <v>44464</v>
      </c>
      <c r="F136" s="438" t="s">
        <v>1923</v>
      </c>
      <c r="G136" s="439" t="s">
        <v>2192</v>
      </c>
      <c r="H136" s="438" t="s">
        <v>39</v>
      </c>
      <c r="I136" s="440" t="s">
        <v>2173</v>
      </c>
      <c r="J136" s="440"/>
      <c r="K136" s="441" t="s">
        <v>2204</v>
      </c>
    </row>
    <row r="137" spans="2:11" s="377" customFormat="1" ht="3.75" customHeight="1" x14ac:dyDescent="0.3">
      <c r="B137" s="399"/>
      <c r="C137" s="357"/>
      <c r="D137" s="357"/>
      <c r="E137" s="400"/>
      <c r="F137" s="386"/>
      <c r="G137" s="358"/>
      <c r="H137" s="386"/>
      <c r="I137" s="357"/>
      <c r="J137" s="357"/>
      <c r="K137" s="357"/>
    </row>
    <row r="138" spans="2:11" s="377" customFormat="1" ht="15" customHeight="1" x14ac:dyDescent="0.3">
      <c r="B138" s="423" t="s">
        <v>195</v>
      </c>
      <c r="C138" s="311"/>
      <c r="D138" s="311"/>
      <c r="E138" s="437">
        <v>44632</v>
      </c>
      <c r="F138" s="438" t="s">
        <v>2205</v>
      </c>
      <c r="G138" s="439" t="s">
        <v>2206</v>
      </c>
      <c r="H138" s="438" t="s">
        <v>209</v>
      </c>
      <c r="I138" s="440" t="s">
        <v>2173</v>
      </c>
      <c r="J138" s="440"/>
      <c r="K138" s="441" t="s">
        <v>1375</v>
      </c>
    </row>
    <row r="139" spans="2:11" s="377" customFormat="1" ht="3.75" customHeight="1" x14ac:dyDescent="0.3">
      <c r="B139" s="399"/>
      <c r="C139" s="357"/>
      <c r="D139" s="357"/>
      <c r="E139" s="400"/>
      <c r="F139" s="386"/>
      <c r="G139" s="358"/>
      <c r="H139" s="386"/>
      <c r="I139" s="357"/>
      <c r="J139" s="357"/>
      <c r="K139" s="357"/>
    </row>
    <row r="140" spans="2:11" s="377" customFormat="1" ht="15" customHeight="1" x14ac:dyDescent="0.3">
      <c r="B140" s="423" t="s">
        <v>197</v>
      </c>
      <c r="C140" s="311"/>
      <c r="D140" s="311"/>
      <c r="E140" s="424">
        <v>44513</v>
      </c>
      <c r="F140" s="425" t="s">
        <v>721</v>
      </c>
      <c r="G140" s="426" t="s">
        <v>2191</v>
      </c>
      <c r="H140" s="425" t="s">
        <v>1328</v>
      </c>
      <c r="I140" s="311" t="s">
        <v>2174</v>
      </c>
      <c r="J140" s="311"/>
      <c r="K140" s="333" t="s">
        <v>2207</v>
      </c>
    </row>
    <row r="141" spans="2:11" s="377" customFormat="1" ht="3.75" customHeight="1" x14ac:dyDescent="0.3">
      <c r="B141" s="399"/>
      <c r="C141" s="357"/>
      <c r="D141" s="357"/>
      <c r="E141" s="400"/>
      <c r="F141" s="386"/>
      <c r="G141" s="358"/>
      <c r="H141" s="386"/>
      <c r="I141" s="357"/>
      <c r="J141" s="357"/>
      <c r="K141" s="357"/>
    </row>
    <row r="142" spans="2:11" s="377" customFormat="1" ht="15" customHeight="1" x14ac:dyDescent="0.3">
      <c r="B142" s="423" t="s">
        <v>196</v>
      </c>
      <c r="C142" s="311"/>
      <c r="D142" s="311"/>
      <c r="E142" s="424">
        <v>44639</v>
      </c>
      <c r="F142" s="460" t="s">
        <v>171</v>
      </c>
      <c r="G142" s="426" t="s">
        <v>2201</v>
      </c>
      <c r="H142" s="425" t="s">
        <v>768</v>
      </c>
      <c r="I142" s="311" t="s">
        <v>579</v>
      </c>
      <c r="J142" s="311"/>
      <c r="K142" s="333" t="s">
        <v>2208</v>
      </c>
    </row>
    <row r="143" spans="2:11" s="377" customFormat="1" ht="3.75" customHeight="1" x14ac:dyDescent="0.3">
      <c r="B143" s="399"/>
      <c r="C143" s="357"/>
      <c r="D143" s="357"/>
      <c r="E143" s="358"/>
      <c r="F143" s="386"/>
      <c r="G143" s="358"/>
      <c r="H143" s="386"/>
      <c r="I143" s="357"/>
      <c r="J143" s="357"/>
      <c r="K143" s="357"/>
    </row>
    <row r="144" spans="2:11" s="377" customFormat="1" ht="15" customHeight="1" x14ac:dyDescent="0.3">
      <c r="B144" s="423" t="s">
        <v>77</v>
      </c>
      <c r="C144" s="311"/>
      <c r="D144" s="311"/>
      <c r="E144" s="424">
        <v>44513</v>
      </c>
      <c r="F144" s="425" t="s">
        <v>967</v>
      </c>
      <c r="G144" s="426" t="s">
        <v>2191</v>
      </c>
      <c r="H144" s="425" t="s">
        <v>1328</v>
      </c>
      <c r="I144" s="311" t="s">
        <v>2174</v>
      </c>
      <c r="J144" s="311"/>
      <c r="K144" s="333" t="s">
        <v>2209</v>
      </c>
    </row>
    <row r="145" spans="2:11" s="377" customFormat="1" ht="3.75" customHeight="1" x14ac:dyDescent="0.3">
      <c r="B145" s="399"/>
      <c r="C145" s="357"/>
      <c r="D145" s="357"/>
      <c r="E145" s="400"/>
      <c r="F145" s="386"/>
      <c r="G145" s="358"/>
      <c r="H145" s="386"/>
      <c r="I145" s="357"/>
      <c r="J145" s="357"/>
      <c r="K145" s="357"/>
    </row>
    <row r="146" spans="2:11" s="377" customFormat="1" ht="15" customHeight="1" x14ac:dyDescent="0.3">
      <c r="B146" s="423" t="s">
        <v>76</v>
      </c>
      <c r="C146" s="311"/>
      <c r="D146" s="311"/>
      <c r="E146" s="424">
        <v>44274</v>
      </c>
      <c r="F146" s="425" t="s">
        <v>2210</v>
      </c>
      <c r="G146" s="426" t="s">
        <v>2211</v>
      </c>
      <c r="H146" s="425" t="s">
        <v>1190</v>
      </c>
      <c r="I146" s="311" t="s">
        <v>579</v>
      </c>
      <c r="J146" s="311"/>
      <c r="K146" s="333" t="s">
        <v>2212</v>
      </c>
    </row>
    <row r="147" spans="2:11" s="377" customFormat="1" ht="3.75" customHeight="1" x14ac:dyDescent="0.3">
      <c r="B147" s="399"/>
      <c r="C147" s="357"/>
      <c r="D147" s="357"/>
      <c r="E147" s="400"/>
      <c r="F147" s="386"/>
      <c r="G147" s="358"/>
      <c r="H147" s="386"/>
      <c r="I147" s="357"/>
      <c r="J147" s="357"/>
      <c r="K147" s="357"/>
    </row>
    <row r="148" spans="2:11" s="377" customFormat="1" ht="15" customHeight="1" x14ac:dyDescent="0.3">
      <c r="B148" s="423" t="s">
        <v>735</v>
      </c>
      <c r="C148" s="311"/>
      <c r="D148" s="311"/>
      <c r="E148" s="424">
        <v>44549</v>
      </c>
      <c r="F148" s="426">
        <v>1</v>
      </c>
      <c r="G148" s="426" t="s">
        <v>2213</v>
      </c>
      <c r="H148" s="425" t="s">
        <v>1232</v>
      </c>
      <c r="I148" s="311" t="s">
        <v>579</v>
      </c>
      <c r="J148" s="311"/>
      <c r="K148" s="333" t="s">
        <v>2214</v>
      </c>
    </row>
    <row r="149" spans="2:11" s="377" customFormat="1" ht="15" customHeight="1" x14ac:dyDescent="0.45">
      <c r="B149" s="397"/>
      <c r="F149" s="398"/>
    </row>
    <row r="150" spans="2:11" s="377" customFormat="1" ht="15" customHeight="1" x14ac:dyDescent="0.45">
      <c r="B150" s="397"/>
      <c r="F150" s="398"/>
    </row>
    <row r="151" spans="2:11" s="377" customFormat="1" ht="15" customHeight="1" x14ac:dyDescent="0.45">
      <c r="B151" s="397"/>
      <c r="F151" s="398"/>
    </row>
    <row r="152" spans="2:11" s="377" customFormat="1" ht="15" customHeight="1" x14ac:dyDescent="0.45">
      <c r="B152" s="397"/>
      <c r="F152" s="398"/>
    </row>
    <row r="153" spans="2:11" s="1066" customFormat="1" ht="15" customHeight="1" x14ac:dyDescent="0.3">
      <c r="B153" s="1065" t="s">
        <v>2188</v>
      </c>
      <c r="E153" s="1067" t="s">
        <v>2080</v>
      </c>
      <c r="F153" s="1067"/>
    </row>
    <row r="154" spans="2:11" s="377" customFormat="1" ht="15" customHeight="1" x14ac:dyDescent="0.3"/>
    <row r="155" spans="2:11" s="377" customFormat="1" ht="15" customHeight="1" x14ac:dyDescent="0.3">
      <c r="B155" s="423" t="s">
        <v>204</v>
      </c>
      <c r="C155" s="311"/>
      <c r="D155" s="311"/>
      <c r="E155" s="424"/>
      <c r="F155" s="425"/>
      <c r="G155" s="426"/>
      <c r="H155" s="425"/>
      <c r="I155" s="311"/>
      <c r="J155" s="311"/>
      <c r="K155" s="333"/>
    </row>
    <row r="156" spans="2:11" s="377" customFormat="1" ht="3.75" customHeight="1" x14ac:dyDescent="0.3">
      <c r="B156" s="399"/>
      <c r="C156" s="357"/>
      <c r="D156" s="357"/>
      <c r="E156" s="400"/>
      <c r="F156" s="386"/>
      <c r="G156" s="358"/>
      <c r="H156" s="386"/>
      <c r="I156" s="357"/>
      <c r="J156" s="357"/>
      <c r="K156" s="357"/>
    </row>
    <row r="157" spans="2:11" s="377" customFormat="1" ht="15" customHeight="1" x14ac:dyDescent="0.3">
      <c r="B157" s="423" t="s">
        <v>203</v>
      </c>
      <c r="C157" s="311"/>
      <c r="D157" s="311"/>
      <c r="E157" s="424"/>
      <c r="F157" s="425"/>
      <c r="G157" s="426"/>
      <c r="H157" s="425"/>
      <c r="I157" s="311"/>
      <c r="J157" s="311"/>
      <c r="K157" s="333"/>
    </row>
    <row r="158" spans="2:11" s="377" customFormat="1" ht="3.75" customHeight="1" x14ac:dyDescent="0.3">
      <c r="B158" s="399"/>
      <c r="C158" s="357"/>
      <c r="D158" s="357"/>
      <c r="E158" s="400"/>
      <c r="F158" s="386"/>
      <c r="G158" s="358"/>
      <c r="H158" s="386"/>
      <c r="I158" s="357"/>
      <c r="J158" s="357"/>
      <c r="K158" s="357"/>
    </row>
    <row r="159" spans="2:11" s="377" customFormat="1" ht="15" customHeight="1" x14ac:dyDescent="0.3">
      <c r="B159" s="423" t="s">
        <v>199</v>
      </c>
      <c r="C159" s="311"/>
      <c r="D159" s="311"/>
      <c r="E159" s="424"/>
      <c r="F159" s="425"/>
      <c r="G159" s="426"/>
      <c r="H159" s="425"/>
      <c r="I159" s="311"/>
      <c r="J159" s="311"/>
      <c r="K159" s="333"/>
    </row>
    <row r="160" spans="2:11" s="377" customFormat="1" ht="3.75" customHeight="1" x14ac:dyDescent="0.3">
      <c r="B160" s="399"/>
      <c r="C160" s="357"/>
      <c r="D160" s="357"/>
      <c r="E160" s="402"/>
      <c r="F160" s="403"/>
      <c r="G160" s="404"/>
      <c r="H160" s="403"/>
      <c r="I160" s="405"/>
      <c r="J160" s="405"/>
      <c r="K160" s="405"/>
    </row>
    <row r="161" spans="2:11" s="377" customFormat="1" ht="15" customHeight="1" x14ac:dyDescent="0.3">
      <c r="B161" s="423" t="s">
        <v>202</v>
      </c>
      <c r="C161" s="311"/>
      <c r="D161" s="311"/>
      <c r="E161" s="424"/>
      <c r="F161" s="425"/>
      <c r="G161" s="426"/>
      <c r="H161" s="425"/>
      <c r="I161" s="311"/>
      <c r="J161" s="311"/>
      <c r="K161" s="333"/>
    </row>
    <row r="162" spans="2:11" s="377" customFormat="1" ht="3.75" customHeight="1" x14ac:dyDescent="0.3">
      <c r="B162" s="399"/>
      <c r="C162" s="357"/>
      <c r="D162" s="357"/>
      <c r="E162" s="400"/>
      <c r="F162" s="386"/>
      <c r="G162" s="358"/>
      <c r="H162" s="386"/>
      <c r="I162" s="357"/>
      <c r="J162" s="357"/>
      <c r="K162" s="357"/>
    </row>
    <row r="163" spans="2:11" s="377" customFormat="1" ht="15" customHeight="1" x14ac:dyDescent="0.3">
      <c r="B163" s="423" t="s">
        <v>201</v>
      </c>
      <c r="C163" s="311"/>
      <c r="D163" s="311"/>
      <c r="E163" s="424"/>
      <c r="F163" s="426"/>
      <c r="G163" s="426"/>
      <c r="H163" s="425"/>
      <c r="I163" s="311"/>
      <c r="J163" s="311"/>
      <c r="K163" s="333"/>
    </row>
    <row r="164" spans="2:11" s="377" customFormat="1" ht="3.75" customHeight="1" x14ac:dyDescent="0.3">
      <c r="B164" s="399"/>
      <c r="C164" s="357"/>
      <c r="D164" s="357"/>
      <c r="E164" s="400"/>
      <c r="F164" s="386"/>
      <c r="G164" s="358"/>
      <c r="H164" s="386"/>
      <c r="I164" s="357"/>
      <c r="J164" s="357"/>
      <c r="K164" s="357"/>
    </row>
    <row r="165" spans="2:11" s="377" customFormat="1" ht="15" customHeight="1" x14ac:dyDescent="0.3">
      <c r="B165" s="423" t="s">
        <v>1669</v>
      </c>
      <c r="C165" s="311"/>
      <c r="D165" s="311"/>
      <c r="E165" s="424"/>
      <c r="F165" s="426"/>
      <c r="G165" s="426"/>
      <c r="H165" s="425"/>
      <c r="I165" s="311"/>
      <c r="J165" s="311"/>
      <c r="K165" s="333"/>
    </row>
    <row r="166" spans="2:11" s="377" customFormat="1" ht="3.75" customHeight="1" x14ac:dyDescent="0.3">
      <c r="B166" s="399"/>
      <c r="C166" s="357"/>
      <c r="D166" s="357"/>
      <c r="E166" s="400"/>
      <c r="F166" s="386"/>
      <c r="G166" s="358"/>
      <c r="H166" s="386"/>
      <c r="I166" s="357"/>
      <c r="J166" s="357"/>
      <c r="K166" s="357"/>
    </row>
    <row r="167" spans="2:11" s="377" customFormat="1" ht="15" customHeight="1" x14ac:dyDescent="0.3">
      <c r="B167" s="423" t="s">
        <v>194</v>
      </c>
      <c r="C167" s="311"/>
      <c r="D167" s="311"/>
      <c r="E167" s="424"/>
      <c r="F167" s="426"/>
      <c r="G167" s="426"/>
      <c r="H167" s="425"/>
      <c r="I167" s="311"/>
      <c r="J167" s="311"/>
      <c r="K167" s="333"/>
    </row>
    <row r="168" spans="2:11" s="377" customFormat="1" ht="3.75" customHeight="1" x14ac:dyDescent="0.3">
      <c r="B168" s="399"/>
      <c r="C168" s="357"/>
      <c r="D168" s="357"/>
      <c r="E168" s="358"/>
      <c r="F168" s="386"/>
      <c r="G168" s="358"/>
      <c r="H168" s="386"/>
      <c r="I168" s="357"/>
      <c r="J168" s="357"/>
      <c r="K168" s="357"/>
    </row>
    <row r="169" spans="2:11" s="377" customFormat="1" ht="15" customHeight="1" x14ac:dyDescent="0.3">
      <c r="B169" s="423" t="s">
        <v>198</v>
      </c>
      <c r="C169" s="311"/>
      <c r="D169" s="311"/>
      <c r="E169" s="437"/>
      <c r="F169" s="438"/>
      <c r="G169" s="439"/>
      <c r="H169" s="438"/>
      <c r="I169" s="440"/>
      <c r="J169" s="440"/>
      <c r="K169" s="441"/>
    </row>
    <row r="170" spans="2:11" s="377" customFormat="1" ht="3.75" customHeight="1" x14ac:dyDescent="0.3">
      <c r="B170" s="399"/>
      <c r="C170" s="357"/>
      <c r="D170" s="357"/>
      <c r="E170" s="400"/>
      <c r="F170" s="386"/>
      <c r="G170" s="358"/>
      <c r="H170" s="386"/>
      <c r="I170" s="357"/>
      <c r="J170" s="357"/>
      <c r="K170" s="357"/>
    </row>
    <row r="171" spans="2:11" s="377" customFormat="1" ht="15" customHeight="1" x14ac:dyDescent="0.3">
      <c r="B171" s="423" t="s">
        <v>195</v>
      </c>
      <c r="C171" s="311"/>
      <c r="D171" s="311"/>
      <c r="E171" s="437"/>
      <c r="F171" s="438"/>
      <c r="G171" s="439"/>
      <c r="H171" s="438"/>
      <c r="I171" s="440"/>
      <c r="J171" s="440"/>
      <c r="K171" s="441"/>
    </row>
    <row r="172" spans="2:11" s="377" customFormat="1" ht="3.75" customHeight="1" x14ac:dyDescent="0.3">
      <c r="B172" s="399"/>
      <c r="C172" s="357"/>
      <c r="D172" s="357"/>
      <c r="E172" s="400"/>
      <c r="F172" s="386"/>
      <c r="G172" s="358"/>
      <c r="H172" s="386"/>
      <c r="I172" s="357"/>
      <c r="J172" s="357"/>
      <c r="K172" s="357"/>
    </row>
    <row r="173" spans="2:11" s="377" customFormat="1" ht="15" customHeight="1" x14ac:dyDescent="0.3">
      <c r="B173" s="423" t="s">
        <v>197</v>
      </c>
      <c r="C173" s="311"/>
      <c r="D173" s="311"/>
      <c r="E173" s="424"/>
      <c r="F173" s="425"/>
      <c r="G173" s="426"/>
      <c r="H173" s="425"/>
      <c r="I173" s="311"/>
      <c r="J173" s="311"/>
      <c r="K173" s="333"/>
    </row>
    <row r="174" spans="2:11" s="377" customFormat="1" ht="3.75" customHeight="1" x14ac:dyDescent="0.3">
      <c r="B174" s="399"/>
      <c r="C174" s="357"/>
      <c r="D174" s="357"/>
      <c r="E174" s="400"/>
      <c r="F174" s="386"/>
      <c r="G174" s="358"/>
      <c r="H174" s="386"/>
      <c r="I174" s="357"/>
      <c r="J174" s="357"/>
      <c r="K174" s="357"/>
    </row>
    <row r="175" spans="2:11" s="377" customFormat="1" ht="15" customHeight="1" x14ac:dyDescent="0.3">
      <c r="B175" s="423" t="s">
        <v>196</v>
      </c>
      <c r="C175" s="311"/>
      <c r="D175" s="311"/>
      <c r="E175" s="424"/>
      <c r="F175" s="460"/>
      <c r="G175" s="426"/>
      <c r="H175" s="425"/>
      <c r="I175" s="311"/>
      <c r="J175" s="311"/>
      <c r="K175" s="333"/>
    </row>
    <row r="176" spans="2:11" s="377" customFormat="1" ht="3.75" customHeight="1" x14ac:dyDescent="0.3">
      <c r="B176" s="399"/>
      <c r="C176" s="357"/>
      <c r="D176" s="357"/>
      <c r="E176" s="358"/>
      <c r="F176" s="386"/>
      <c r="G176" s="358"/>
      <c r="H176" s="386"/>
      <c r="I176" s="357"/>
      <c r="J176" s="357"/>
      <c r="K176" s="357"/>
    </row>
    <row r="177" spans="2:11" s="377" customFormat="1" ht="15" customHeight="1" x14ac:dyDescent="0.3">
      <c r="B177" s="423" t="s">
        <v>77</v>
      </c>
      <c r="C177" s="311"/>
      <c r="D177" s="311"/>
      <c r="E177" s="424"/>
      <c r="F177" s="425"/>
      <c r="G177" s="426"/>
      <c r="H177" s="425"/>
      <c r="I177" s="311"/>
      <c r="J177" s="311"/>
      <c r="K177" s="333"/>
    </row>
    <row r="178" spans="2:11" s="377" customFormat="1" ht="3.75" customHeight="1" x14ac:dyDescent="0.3">
      <c r="B178" s="399"/>
      <c r="C178" s="357"/>
      <c r="D178" s="357"/>
      <c r="E178" s="400"/>
      <c r="F178" s="386"/>
      <c r="G178" s="358"/>
      <c r="H178" s="386"/>
      <c r="I178" s="357"/>
      <c r="J178" s="357"/>
      <c r="K178" s="357"/>
    </row>
    <row r="179" spans="2:11" s="377" customFormat="1" ht="15" customHeight="1" x14ac:dyDescent="0.3">
      <c r="B179" s="423" t="s">
        <v>76</v>
      </c>
      <c r="C179" s="311"/>
      <c r="D179" s="311"/>
      <c r="E179" s="424"/>
      <c r="F179" s="425"/>
      <c r="G179" s="426"/>
      <c r="H179" s="425"/>
      <c r="I179" s="311"/>
      <c r="J179" s="311"/>
      <c r="K179" s="333"/>
    </row>
    <row r="180" spans="2:11" s="377" customFormat="1" ht="3.75" customHeight="1" x14ac:dyDescent="0.3">
      <c r="B180" s="399"/>
      <c r="C180" s="357"/>
      <c r="D180" s="357"/>
      <c r="E180" s="400"/>
      <c r="F180" s="386"/>
      <c r="G180" s="358"/>
      <c r="H180" s="386"/>
      <c r="I180" s="357"/>
      <c r="J180" s="357"/>
      <c r="K180" s="357"/>
    </row>
    <row r="181" spans="2:11" s="377" customFormat="1" ht="15" customHeight="1" x14ac:dyDescent="0.3">
      <c r="B181" s="423" t="s">
        <v>735</v>
      </c>
      <c r="C181" s="311"/>
      <c r="D181" s="311"/>
      <c r="E181" s="424"/>
      <c r="F181" s="425"/>
      <c r="G181" s="426"/>
      <c r="H181" s="425"/>
      <c r="I181" s="311"/>
      <c r="J181" s="311"/>
      <c r="K181" s="333"/>
    </row>
    <row r="182" spans="2:11" s="377" customFormat="1" ht="15" customHeight="1" x14ac:dyDescent="0.45">
      <c r="B182" s="397"/>
      <c r="F182" s="398"/>
    </row>
    <row r="183" spans="2:11" s="377" customFormat="1" ht="15" customHeight="1" x14ac:dyDescent="0.45">
      <c r="B183" s="397"/>
      <c r="F183" s="398"/>
    </row>
    <row r="184" spans="2:11" s="377" customFormat="1" ht="15" customHeight="1" x14ac:dyDescent="0.45">
      <c r="B184" s="397"/>
      <c r="F184" s="398"/>
    </row>
    <row r="185" spans="2:11" s="377" customFormat="1" ht="15" customHeight="1" x14ac:dyDescent="0.45">
      <c r="B185" s="397"/>
      <c r="F185" s="398"/>
    </row>
    <row r="186" spans="2:11" s="1066" customFormat="1" ht="15" customHeight="1" x14ac:dyDescent="0.3">
      <c r="B186" s="1065" t="s">
        <v>2048</v>
      </c>
      <c r="E186" s="1067" t="s">
        <v>702</v>
      </c>
      <c r="F186" s="1067" t="s">
        <v>2007</v>
      </c>
    </row>
    <row r="187" spans="2:11" s="377" customFormat="1" ht="15" customHeight="1" x14ac:dyDescent="0.3"/>
    <row r="188" spans="2:11" s="377" customFormat="1" ht="15" customHeight="1" x14ac:dyDescent="0.3">
      <c r="B188" s="423" t="s">
        <v>204</v>
      </c>
      <c r="C188" s="311"/>
      <c r="D188" s="311"/>
      <c r="E188" s="424">
        <v>43765</v>
      </c>
      <c r="F188" s="425" t="s">
        <v>1270</v>
      </c>
      <c r="G188" s="426" t="s">
        <v>155</v>
      </c>
      <c r="H188" s="425" t="s">
        <v>1615</v>
      </c>
      <c r="I188" s="311" t="s">
        <v>579</v>
      </c>
      <c r="J188" s="311"/>
      <c r="K188" s="333" t="s">
        <v>2049</v>
      </c>
    </row>
    <row r="189" spans="2:11" s="377" customFormat="1" ht="3.75" customHeight="1" x14ac:dyDescent="0.3">
      <c r="B189" s="399"/>
      <c r="C189" s="357"/>
      <c r="D189" s="357"/>
      <c r="E189" s="400"/>
      <c r="F189" s="386"/>
      <c r="G189" s="358"/>
      <c r="H189" s="386"/>
      <c r="I189" s="357"/>
      <c r="J189" s="357"/>
      <c r="K189" s="357"/>
    </row>
    <row r="190" spans="2:11" s="377" customFormat="1" ht="15" customHeight="1" x14ac:dyDescent="0.3">
      <c r="B190" s="423" t="s">
        <v>203</v>
      </c>
      <c r="C190" s="311"/>
      <c r="D190" s="311"/>
      <c r="E190" s="424">
        <v>43856</v>
      </c>
      <c r="F190" s="425" t="s">
        <v>2050</v>
      </c>
      <c r="G190" s="426" t="s">
        <v>2051</v>
      </c>
      <c r="H190" s="425" t="s">
        <v>2052</v>
      </c>
      <c r="I190" s="311" t="s">
        <v>579</v>
      </c>
      <c r="J190" s="311"/>
      <c r="K190" s="333"/>
    </row>
    <row r="191" spans="2:11" s="377" customFormat="1" ht="3.75" customHeight="1" x14ac:dyDescent="0.3">
      <c r="B191" s="399"/>
      <c r="C191" s="357"/>
      <c r="D191" s="357"/>
      <c r="E191" s="400"/>
      <c r="F191" s="386"/>
      <c r="G191" s="358"/>
      <c r="H191" s="386"/>
      <c r="I191" s="357"/>
      <c r="J191" s="357"/>
      <c r="K191" s="357"/>
    </row>
    <row r="192" spans="2:11" s="377" customFormat="1" ht="15" customHeight="1" x14ac:dyDescent="0.3">
      <c r="B192" s="423" t="s">
        <v>199</v>
      </c>
      <c r="C192" s="311"/>
      <c r="D192" s="311"/>
      <c r="E192" s="424">
        <v>43876</v>
      </c>
      <c r="F192" s="425" t="s">
        <v>2053</v>
      </c>
      <c r="G192" s="426" t="s">
        <v>2054</v>
      </c>
      <c r="H192" s="425" t="s">
        <v>506</v>
      </c>
      <c r="I192" s="311" t="s">
        <v>1643</v>
      </c>
      <c r="J192" s="311"/>
      <c r="K192" s="333" t="s">
        <v>2055</v>
      </c>
    </row>
    <row r="193" spans="2:11" s="377" customFormat="1" ht="3.75" customHeight="1" x14ac:dyDescent="0.3">
      <c r="B193" s="399"/>
      <c r="C193" s="357"/>
      <c r="D193" s="357"/>
      <c r="E193" s="402"/>
      <c r="F193" s="403"/>
      <c r="G193" s="404"/>
      <c r="H193" s="403"/>
      <c r="I193" s="405"/>
      <c r="J193" s="405"/>
      <c r="K193" s="405"/>
    </row>
    <row r="194" spans="2:11" s="377" customFormat="1" ht="15" customHeight="1" x14ac:dyDescent="0.3">
      <c r="B194" s="423" t="s">
        <v>202</v>
      </c>
      <c r="C194" s="311"/>
      <c r="D194" s="311"/>
      <c r="E194" s="424">
        <v>43765</v>
      </c>
      <c r="F194" s="425" t="s">
        <v>1921</v>
      </c>
      <c r="G194" s="426" t="s">
        <v>2056</v>
      </c>
      <c r="H194" s="425" t="s">
        <v>164</v>
      </c>
      <c r="I194" s="311" t="s">
        <v>579</v>
      </c>
      <c r="J194" s="311"/>
      <c r="K194" s="333"/>
    </row>
    <row r="195" spans="2:11" s="377" customFormat="1" ht="3.75" customHeight="1" x14ac:dyDescent="0.3">
      <c r="B195" s="399"/>
      <c r="C195" s="357"/>
      <c r="D195" s="357"/>
      <c r="E195" s="400"/>
      <c r="F195" s="386"/>
      <c r="G195" s="358"/>
      <c r="H195" s="386"/>
      <c r="I195" s="357"/>
      <c r="J195" s="357"/>
      <c r="K195" s="357"/>
    </row>
    <row r="196" spans="2:11" s="377" customFormat="1" ht="15" customHeight="1" x14ac:dyDescent="0.3">
      <c r="B196" s="423" t="s">
        <v>201</v>
      </c>
      <c r="C196" s="311"/>
      <c r="D196" s="311"/>
      <c r="E196" s="424">
        <v>43806</v>
      </c>
      <c r="F196" s="426">
        <v>18</v>
      </c>
      <c r="G196" s="426" t="s">
        <v>2057</v>
      </c>
      <c r="H196" s="425" t="s">
        <v>2058</v>
      </c>
      <c r="I196" s="311" t="s">
        <v>242</v>
      </c>
      <c r="J196" s="311"/>
      <c r="K196" s="333"/>
    </row>
    <row r="197" spans="2:11" s="377" customFormat="1" ht="3.75" customHeight="1" x14ac:dyDescent="0.3">
      <c r="B197" s="399"/>
      <c r="C197" s="357"/>
      <c r="D197" s="357"/>
      <c r="E197" s="400"/>
      <c r="F197" s="386"/>
      <c r="G197" s="358"/>
      <c r="H197" s="386"/>
      <c r="I197" s="357"/>
      <c r="J197" s="357"/>
      <c r="K197" s="357"/>
    </row>
    <row r="198" spans="2:11" s="377" customFormat="1" ht="15" customHeight="1" x14ac:dyDescent="0.3">
      <c r="B198" s="423" t="s">
        <v>1669</v>
      </c>
      <c r="C198" s="311"/>
      <c r="D198" s="311"/>
      <c r="E198" s="424">
        <v>43806</v>
      </c>
      <c r="F198" s="426">
        <v>13</v>
      </c>
      <c r="G198" s="426" t="s">
        <v>2057</v>
      </c>
      <c r="H198" s="425" t="s">
        <v>2058</v>
      </c>
      <c r="I198" s="311" t="s">
        <v>242</v>
      </c>
      <c r="J198" s="311"/>
      <c r="K198" s="333"/>
    </row>
    <row r="199" spans="2:11" s="377" customFormat="1" ht="15" customHeight="1" x14ac:dyDescent="0.3">
      <c r="B199" s="423"/>
      <c r="C199" s="311"/>
      <c r="D199" s="311"/>
      <c r="E199" s="424">
        <v>43708</v>
      </c>
      <c r="F199" s="426">
        <v>13</v>
      </c>
      <c r="G199" s="426" t="s">
        <v>2061</v>
      </c>
      <c r="H199" s="425" t="s">
        <v>253</v>
      </c>
      <c r="I199" s="311" t="s">
        <v>579</v>
      </c>
      <c r="J199" s="311"/>
      <c r="K199" s="333" t="s">
        <v>2065</v>
      </c>
    </row>
    <row r="200" spans="2:11" s="377" customFormat="1" ht="3.75" customHeight="1" x14ac:dyDescent="0.3">
      <c r="B200" s="399"/>
      <c r="C200" s="357"/>
      <c r="D200" s="357"/>
      <c r="E200" s="400"/>
      <c r="F200" s="386"/>
      <c r="G200" s="358"/>
      <c r="H200" s="386"/>
      <c r="I200" s="357"/>
      <c r="J200" s="357"/>
      <c r="K200" s="357"/>
    </row>
    <row r="201" spans="2:11" s="377" customFormat="1" ht="15" customHeight="1" x14ac:dyDescent="0.3">
      <c r="B201" s="423" t="s">
        <v>194</v>
      </c>
      <c r="C201" s="311"/>
      <c r="D201" s="311"/>
      <c r="E201" s="424">
        <v>43835</v>
      </c>
      <c r="F201" s="426">
        <v>8</v>
      </c>
      <c r="G201" s="426" t="s">
        <v>1441</v>
      </c>
      <c r="H201" s="425" t="s">
        <v>2059</v>
      </c>
      <c r="I201" s="311" t="s">
        <v>1674</v>
      </c>
      <c r="J201" s="311"/>
      <c r="K201" s="333"/>
    </row>
    <row r="202" spans="2:11" s="377" customFormat="1" ht="3.75" customHeight="1" x14ac:dyDescent="0.3">
      <c r="B202" s="399"/>
      <c r="C202" s="357"/>
      <c r="D202" s="357"/>
      <c r="E202" s="358"/>
      <c r="F202" s="386"/>
      <c r="G202" s="358"/>
      <c r="H202" s="386"/>
      <c r="I202" s="357"/>
      <c r="J202" s="357"/>
      <c r="K202" s="357"/>
    </row>
    <row r="203" spans="2:11" s="377" customFormat="1" ht="15" customHeight="1" x14ac:dyDescent="0.3">
      <c r="B203" s="423" t="s">
        <v>198</v>
      </c>
      <c r="C203" s="311"/>
      <c r="D203" s="311"/>
      <c r="E203" s="437">
        <v>43806</v>
      </c>
      <c r="F203" s="438" t="s">
        <v>1927</v>
      </c>
      <c r="G203" s="439" t="s">
        <v>780</v>
      </c>
      <c r="H203" s="438" t="s">
        <v>1235</v>
      </c>
      <c r="I203" s="440" t="s">
        <v>242</v>
      </c>
      <c r="J203" s="440"/>
      <c r="K203" s="441" t="s">
        <v>1930</v>
      </c>
    </row>
    <row r="204" spans="2:11" s="377" customFormat="1" ht="3.75" customHeight="1" x14ac:dyDescent="0.3">
      <c r="B204" s="399"/>
      <c r="C204" s="357"/>
      <c r="D204" s="357"/>
      <c r="E204" s="400"/>
      <c r="F204" s="386"/>
      <c r="G204" s="358"/>
      <c r="H204" s="386"/>
      <c r="I204" s="357"/>
      <c r="J204" s="357"/>
      <c r="K204" s="357"/>
    </row>
    <row r="205" spans="2:11" s="377" customFormat="1" ht="15" customHeight="1" x14ac:dyDescent="0.3">
      <c r="B205" s="423" t="s">
        <v>195</v>
      </c>
      <c r="C205" s="311"/>
      <c r="D205" s="311"/>
      <c r="E205" s="437">
        <v>43708</v>
      </c>
      <c r="F205" s="438" t="s">
        <v>2060</v>
      </c>
      <c r="G205" s="439" t="s">
        <v>2061</v>
      </c>
      <c r="H205" s="438" t="s">
        <v>253</v>
      </c>
      <c r="I205" s="440" t="s">
        <v>579</v>
      </c>
      <c r="J205" s="440"/>
      <c r="K205" s="441" t="s">
        <v>2066</v>
      </c>
    </row>
    <row r="206" spans="2:11" s="377" customFormat="1" ht="15" customHeight="1" x14ac:dyDescent="0.3">
      <c r="B206" s="423"/>
      <c r="C206" s="311"/>
      <c r="D206" s="311"/>
      <c r="E206" s="437"/>
      <c r="F206" s="438" t="s">
        <v>2062</v>
      </c>
      <c r="G206" s="439"/>
      <c r="H206" s="438"/>
      <c r="I206" s="440"/>
      <c r="J206" s="440"/>
      <c r="K206" s="441"/>
    </row>
    <row r="207" spans="2:11" s="377" customFormat="1" ht="3.75" customHeight="1" x14ac:dyDescent="0.3">
      <c r="B207" s="399"/>
      <c r="C207" s="357"/>
      <c r="D207" s="357"/>
      <c r="E207" s="400"/>
      <c r="F207" s="386"/>
      <c r="G207" s="358"/>
      <c r="H207" s="386"/>
      <c r="I207" s="357"/>
      <c r="J207" s="357"/>
      <c r="K207" s="357"/>
    </row>
    <row r="208" spans="2:11" s="377" customFormat="1" ht="15" customHeight="1" x14ac:dyDescent="0.3">
      <c r="B208" s="423" t="s">
        <v>197</v>
      </c>
      <c r="C208" s="311"/>
      <c r="D208" s="311"/>
      <c r="E208" s="424">
        <v>43785</v>
      </c>
      <c r="F208" s="425" t="s">
        <v>575</v>
      </c>
      <c r="G208" s="426" t="s">
        <v>1447</v>
      </c>
      <c r="H208" s="425" t="s">
        <v>35</v>
      </c>
      <c r="I208" s="311" t="s">
        <v>579</v>
      </c>
      <c r="J208" s="311"/>
      <c r="K208" s="333" t="s">
        <v>2063</v>
      </c>
    </row>
    <row r="209" spans="2:11" s="377" customFormat="1" ht="3.75" customHeight="1" x14ac:dyDescent="0.3">
      <c r="B209" s="399"/>
      <c r="C209" s="357"/>
      <c r="D209" s="357"/>
      <c r="E209" s="400"/>
      <c r="F209" s="386"/>
      <c r="G209" s="358"/>
      <c r="H209" s="386"/>
      <c r="I209" s="357"/>
      <c r="J209" s="357"/>
      <c r="K209" s="357"/>
    </row>
    <row r="210" spans="2:11" s="377" customFormat="1" ht="15" customHeight="1" x14ac:dyDescent="0.3">
      <c r="B210" s="423" t="s">
        <v>196</v>
      </c>
      <c r="C210" s="311"/>
      <c r="D210" s="311"/>
      <c r="E210" s="424">
        <v>43835</v>
      </c>
      <c r="F210" s="460" t="s">
        <v>129</v>
      </c>
      <c r="G210" s="426" t="s">
        <v>1441</v>
      </c>
      <c r="H210" s="425" t="s">
        <v>2059</v>
      </c>
      <c r="I210" s="311" t="s">
        <v>1674</v>
      </c>
      <c r="J210" s="311"/>
      <c r="K210" s="333" t="s">
        <v>2064</v>
      </c>
    </row>
    <row r="211" spans="2:11" s="377" customFormat="1" ht="3.75" customHeight="1" x14ac:dyDescent="0.3">
      <c r="B211" s="399"/>
      <c r="C211" s="357"/>
      <c r="D211" s="357"/>
      <c r="E211" s="358"/>
      <c r="F211" s="386"/>
      <c r="G211" s="358"/>
      <c r="H211" s="386"/>
      <c r="I211" s="357"/>
      <c r="J211" s="357"/>
      <c r="K211" s="357"/>
    </row>
    <row r="212" spans="2:11" s="377" customFormat="1" ht="15" customHeight="1" x14ac:dyDescent="0.3">
      <c r="B212" s="423" t="s">
        <v>77</v>
      </c>
      <c r="C212" s="311"/>
      <c r="D212" s="311"/>
      <c r="E212" s="424">
        <v>43708</v>
      </c>
      <c r="F212" s="425" t="s">
        <v>967</v>
      </c>
      <c r="G212" s="426" t="s">
        <v>2061</v>
      </c>
      <c r="H212" s="425" t="s">
        <v>253</v>
      </c>
      <c r="I212" s="311" t="s">
        <v>579</v>
      </c>
      <c r="J212" s="311"/>
      <c r="K212" s="333" t="s">
        <v>2067</v>
      </c>
    </row>
    <row r="213" spans="2:11" s="377" customFormat="1" ht="15" customHeight="1" x14ac:dyDescent="0.3">
      <c r="B213" s="423"/>
      <c r="C213" s="311"/>
      <c r="D213" s="311"/>
      <c r="E213" s="424">
        <v>43765</v>
      </c>
      <c r="F213" s="425" t="s">
        <v>1089</v>
      </c>
      <c r="G213" s="426" t="s">
        <v>155</v>
      </c>
      <c r="H213" s="425" t="s">
        <v>1615</v>
      </c>
      <c r="I213" s="311" t="s">
        <v>579</v>
      </c>
      <c r="J213" s="311"/>
      <c r="K213" s="333" t="s">
        <v>2068</v>
      </c>
    </row>
    <row r="214" spans="2:11" s="377" customFormat="1" ht="3.75" customHeight="1" x14ac:dyDescent="0.3">
      <c r="B214" s="399"/>
      <c r="C214" s="357"/>
      <c r="D214" s="357"/>
      <c r="E214" s="400"/>
      <c r="F214" s="386"/>
      <c r="G214" s="358"/>
      <c r="H214" s="386"/>
      <c r="I214" s="357"/>
      <c r="J214" s="357"/>
      <c r="K214" s="357"/>
    </row>
    <row r="215" spans="2:11" s="377" customFormat="1" ht="15" customHeight="1" x14ac:dyDescent="0.3">
      <c r="B215" s="423" t="s">
        <v>76</v>
      </c>
      <c r="C215" s="311"/>
      <c r="D215" s="311"/>
      <c r="E215" s="424">
        <v>43708</v>
      </c>
      <c r="F215" s="425" t="s">
        <v>134</v>
      </c>
      <c r="G215" s="426" t="s">
        <v>2069</v>
      </c>
      <c r="H215" s="425" t="s">
        <v>1268</v>
      </c>
      <c r="I215" s="311" t="s">
        <v>579</v>
      </c>
      <c r="J215" s="311"/>
      <c r="K215" s="333" t="s">
        <v>2070</v>
      </c>
    </row>
    <row r="216" spans="2:11" s="377" customFormat="1" ht="15" customHeight="1" x14ac:dyDescent="0.3">
      <c r="B216" s="423"/>
      <c r="C216" s="311"/>
      <c r="D216" s="311"/>
      <c r="E216" s="424">
        <v>43835</v>
      </c>
      <c r="F216" s="425" t="s">
        <v>2071</v>
      </c>
      <c r="G216" s="426" t="s">
        <v>1441</v>
      </c>
      <c r="H216" s="425" t="s">
        <v>2059</v>
      </c>
      <c r="I216" s="311" t="s">
        <v>1674</v>
      </c>
      <c r="J216" s="311"/>
      <c r="K216" s="333" t="s">
        <v>2072</v>
      </c>
    </row>
    <row r="217" spans="2:11" s="377" customFormat="1" ht="15" customHeight="1" x14ac:dyDescent="0.3">
      <c r="B217" s="423"/>
      <c r="C217" s="311"/>
      <c r="D217" s="311"/>
      <c r="E217" s="424">
        <v>43876</v>
      </c>
      <c r="F217" s="425" t="s">
        <v>2071</v>
      </c>
      <c r="G217" s="426" t="s">
        <v>2054</v>
      </c>
      <c r="H217" s="425" t="s">
        <v>506</v>
      </c>
      <c r="I217" s="311" t="s">
        <v>1643</v>
      </c>
      <c r="J217" s="311"/>
      <c r="K217" s="333" t="s">
        <v>2073</v>
      </c>
    </row>
    <row r="218" spans="2:11" s="377" customFormat="1" ht="3.75" customHeight="1" x14ac:dyDescent="0.3">
      <c r="B218" s="399"/>
      <c r="C218" s="357"/>
      <c r="D218" s="357"/>
      <c r="E218" s="400"/>
      <c r="F218" s="386"/>
      <c r="G218" s="358"/>
      <c r="H218" s="386"/>
      <c r="I218" s="357"/>
      <c r="J218" s="357"/>
      <c r="K218" s="357"/>
    </row>
    <row r="219" spans="2:11" s="377" customFormat="1" ht="15" customHeight="1" x14ac:dyDescent="0.3">
      <c r="B219" s="423" t="s">
        <v>735</v>
      </c>
      <c r="C219" s="311"/>
      <c r="D219" s="311"/>
      <c r="E219" s="424"/>
      <c r="F219" s="425" t="s">
        <v>13</v>
      </c>
      <c r="G219" s="426"/>
      <c r="H219" s="425"/>
      <c r="I219" s="311"/>
      <c r="J219" s="311"/>
      <c r="K219" s="333"/>
    </row>
    <row r="220" spans="2:11" s="377" customFormat="1" ht="15" customHeight="1" x14ac:dyDescent="0.45">
      <c r="B220" s="397"/>
      <c r="F220" s="398"/>
    </row>
    <row r="221" spans="2:11" s="377" customFormat="1" ht="15" customHeight="1" x14ac:dyDescent="0.45">
      <c r="B221" s="397"/>
      <c r="F221" s="398"/>
    </row>
    <row r="222" spans="2:11" s="377" customFormat="1" ht="15" customHeight="1" x14ac:dyDescent="0.45">
      <c r="B222" s="397"/>
      <c r="F222" s="398"/>
    </row>
    <row r="223" spans="2:11" s="377" customFormat="1" ht="15" customHeight="1" x14ac:dyDescent="0.45">
      <c r="B223" s="397"/>
      <c r="F223" s="398"/>
    </row>
    <row r="224" spans="2:11" s="1066" customFormat="1" ht="15" customHeight="1" x14ac:dyDescent="0.3">
      <c r="B224" s="1065" t="s">
        <v>1914</v>
      </c>
      <c r="E224" s="1067" t="s">
        <v>702</v>
      </c>
    </row>
    <row r="225" spans="2:11" s="377" customFormat="1" ht="15" customHeight="1" x14ac:dyDescent="0.3"/>
    <row r="226" spans="2:11" s="377" customFormat="1" ht="15" customHeight="1" x14ac:dyDescent="0.3">
      <c r="B226" s="423" t="s">
        <v>204</v>
      </c>
      <c r="C226" s="311"/>
      <c r="D226" s="311"/>
      <c r="E226" s="424">
        <v>43436</v>
      </c>
      <c r="F226" s="425" t="s">
        <v>1915</v>
      </c>
      <c r="G226" s="426" t="s">
        <v>1060</v>
      </c>
      <c r="H226" s="425" t="s">
        <v>906</v>
      </c>
      <c r="I226" s="311" t="s">
        <v>150</v>
      </c>
      <c r="J226" s="311"/>
      <c r="K226" s="333" t="s">
        <v>1916</v>
      </c>
    </row>
    <row r="227" spans="2:11" s="377" customFormat="1" ht="3.75" customHeight="1" x14ac:dyDescent="0.3">
      <c r="B227" s="399"/>
      <c r="C227" s="357"/>
      <c r="D227" s="357"/>
      <c r="E227" s="400"/>
      <c r="F227" s="386"/>
      <c r="G227" s="358"/>
      <c r="H227" s="386"/>
      <c r="I227" s="357"/>
      <c r="J227" s="357"/>
      <c r="K227" s="357"/>
    </row>
    <row r="228" spans="2:11" s="377" customFormat="1" ht="15" customHeight="1" x14ac:dyDescent="0.3">
      <c r="B228" s="423" t="s">
        <v>203</v>
      </c>
      <c r="C228" s="311"/>
      <c r="D228" s="311"/>
      <c r="E228" s="424">
        <v>43526</v>
      </c>
      <c r="F228" s="425" t="s">
        <v>1917</v>
      </c>
      <c r="G228" s="426" t="s">
        <v>1918</v>
      </c>
      <c r="H228" s="425" t="s">
        <v>906</v>
      </c>
      <c r="I228" s="311" t="s">
        <v>1414</v>
      </c>
      <c r="J228" s="311"/>
      <c r="K228" s="333"/>
    </row>
    <row r="229" spans="2:11" s="377" customFormat="1" ht="3.75" customHeight="1" x14ac:dyDescent="0.3">
      <c r="B229" s="399"/>
      <c r="C229" s="357"/>
      <c r="D229" s="357"/>
      <c r="E229" s="400"/>
      <c r="F229" s="386"/>
      <c r="G229" s="358"/>
      <c r="H229" s="386"/>
      <c r="I229" s="357"/>
      <c r="J229" s="357"/>
      <c r="K229" s="357"/>
    </row>
    <row r="230" spans="2:11" s="377" customFormat="1" ht="15" customHeight="1" x14ac:dyDescent="0.3">
      <c r="B230" s="423" t="s">
        <v>199</v>
      </c>
      <c r="C230" s="311"/>
      <c r="D230" s="311"/>
      <c r="E230" s="424">
        <v>43436</v>
      </c>
      <c r="F230" s="425" t="s">
        <v>1919</v>
      </c>
      <c r="G230" s="426" t="s">
        <v>780</v>
      </c>
      <c r="H230" s="425" t="s">
        <v>156</v>
      </c>
      <c r="I230" s="311" t="s">
        <v>150</v>
      </c>
      <c r="J230" s="311"/>
      <c r="K230" s="333" t="s">
        <v>1920</v>
      </c>
    </row>
    <row r="231" spans="2:11" s="377" customFormat="1" ht="3.75" customHeight="1" x14ac:dyDescent="0.3">
      <c r="B231" s="399"/>
      <c r="C231" s="357"/>
      <c r="D231" s="357"/>
      <c r="E231" s="402"/>
      <c r="F231" s="403"/>
      <c r="G231" s="404"/>
      <c r="H231" s="403"/>
      <c r="I231" s="405"/>
      <c r="J231" s="405"/>
      <c r="K231" s="405"/>
    </row>
    <row r="232" spans="2:11" s="377" customFormat="1" ht="15" customHeight="1" x14ac:dyDescent="0.3">
      <c r="B232" s="423" t="s">
        <v>202</v>
      </c>
      <c r="C232" s="311"/>
      <c r="D232" s="311"/>
      <c r="E232" s="424">
        <v>43498</v>
      </c>
      <c r="F232" s="425" t="s">
        <v>1921</v>
      </c>
      <c r="G232" s="426" t="s">
        <v>1617</v>
      </c>
      <c r="H232" s="425" t="s">
        <v>565</v>
      </c>
      <c r="I232" s="311" t="s">
        <v>1147</v>
      </c>
      <c r="J232" s="311"/>
      <c r="K232" s="333" t="s">
        <v>1949</v>
      </c>
    </row>
    <row r="233" spans="2:11" s="377" customFormat="1" ht="3.75" customHeight="1" x14ac:dyDescent="0.3">
      <c r="B233" s="399"/>
      <c r="C233" s="357"/>
      <c r="D233" s="357"/>
      <c r="E233" s="400"/>
      <c r="F233" s="386"/>
      <c r="G233" s="358"/>
      <c r="H233" s="386"/>
      <c r="I233" s="357"/>
      <c r="J233" s="357"/>
      <c r="K233" s="357"/>
    </row>
    <row r="234" spans="2:11" s="377" customFormat="1" ht="15" customHeight="1" x14ac:dyDescent="0.3">
      <c r="B234" s="423" t="s">
        <v>201</v>
      </c>
      <c r="C234" s="311"/>
      <c r="D234" s="311"/>
      <c r="E234" s="424">
        <v>43512</v>
      </c>
      <c r="F234" s="426">
        <v>16</v>
      </c>
      <c r="G234" s="426" t="s">
        <v>1025</v>
      </c>
      <c r="H234" s="425" t="s">
        <v>1922</v>
      </c>
      <c r="I234" s="311" t="s">
        <v>579</v>
      </c>
      <c r="J234" s="311"/>
      <c r="K234" s="333"/>
    </row>
    <row r="235" spans="2:11" s="377" customFormat="1" ht="3.75" customHeight="1" x14ac:dyDescent="0.3">
      <c r="B235" s="399"/>
      <c r="C235" s="357"/>
      <c r="D235" s="357"/>
      <c r="E235" s="400"/>
      <c r="F235" s="386"/>
      <c r="G235" s="358"/>
      <c r="H235" s="386"/>
      <c r="I235" s="357"/>
      <c r="J235" s="357"/>
      <c r="K235" s="357"/>
    </row>
    <row r="236" spans="2:11" s="377" customFormat="1" ht="15" customHeight="1" x14ac:dyDescent="0.3">
      <c r="B236" s="423" t="s">
        <v>1669</v>
      </c>
      <c r="C236" s="311"/>
      <c r="D236" s="311"/>
      <c r="E236" s="424">
        <v>43470</v>
      </c>
      <c r="F236" s="426">
        <v>13</v>
      </c>
      <c r="G236" s="426" t="s">
        <v>1047</v>
      </c>
      <c r="H236" s="425" t="s">
        <v>253</v>
      </c>
      <c r="I236" s="311" t="s">
        <v>1147</v>
      </c>
      <c r="J236" s="311"/>
      <c r="K236" s="333" t="s">
        <v>1936</v>
      </c>
    </row>
    <row r="237" spans="2:11" s="377" customFormat="1" ht="15" customHeight="1" x14ac:dyDescent="0.3">
      <c r="B237" s="423"/>
      <c r="C237" s="311"/>
      <c r="D237" s="311"/>
      <c r="E237" s="424">
        <v>43512</v>
      </c>
      <c r="F237" s="426">
        <v>13</v>
      </c>
      <c r="G237" s="426" t="s">
        <v>1025</v>
      </c>
      <c r="H237" s="425" t="s">
        <v>1922</v>
      </c>
      <c r="I237" s="311" t="s">
        <v>579</v>
      </c>
      <c r="J237" s="311"/>
      <c r="K237" s="333"/>
    </row>
    <row r="238" spans="2:11" s="377" customFormat="1" ht="3.75" customHeight="1" x14ac:dyDescent="0.3">
      <c r="B238" s="399"/>
      <c r="C238" s="357"/>
      <c r="D238" s="357"/>
      <c r="E238" s="400"/>
      <c r="F238" s="386"/>
      <c r="G238" s="358"/>
      <c r="H238" s="386"/>
      <c r="I238" s="357"/>
      <c r="J238" s="357"/>
      <c r="K238" s="357"/>
    </row>
    <row r="239" spans="2:11" s="377" customFormat="1" ht="15" customHeight="1" x14ac:dyDescent="0.3">
      <c r="B239" s="423" t="s">
        <v>194</v>
      </c>
      <c r="C239" s="311"/>
      <c r="D239" s="311"/>
      <c r="E239" s="424">
        <v>43379</v>
      </c>
      <c r="F239" s="426">
        <v>6</v>
      </c>
      <c r="G239" s="426" t="s">
        <v>806</v>
      </c>
      <c r="H239" s="425" t="s">
        <v>508</v>
      </c>
      <c r="I239" s="311" t="s">
        <v>1593</v>
      </c>
      <c r="J239" s="311"/>
      <c r="K239" s="333"/>
    </row>
    <row r="240" spans="2:11" s="377" customFormat="1" ht="3.75" customHeight="1" x14ac:dyDescent="0.3">
      <c r="B240" s="399"/>
      <c r="C240" s="357"/>
      <c r="D240" s="357"/>
      <c r="E240" s="358"/>
      <c r="F240" s="386"/>
      <c r="G240" s="358"/>
      <c r="H240" s="386"/>
      <c r="I240" s="357"/>
      <c r="J240" s="357"/>
      <c r="K240" s="357"/>
    </row>
    <row r="241" spans="2:11" s="377" customFormat="1" ht="15" customHeight="1" x14ac:dyDescent="0.3">
      <c r="B241" s="423" t="s">
        <v>198</v>
      </c>
      <c r="C241" s="311"/>
      <c r="D241" s="311"/>
      <c r="E241" s="437">
        <v>43393</v>
      </c>
      <c r="F241" s="438" t="s">
        <v>1923</v>
      </c>
      <c r="G241" s="439" t="s">
        <v>1029</v>
      </c>
      <c r="H241" s="438" t="s">
        <v>1058</v>
      </c>
      <c r="I241" s="440" t="s">
        <v>1147</v>
      </c>
      <c r="J241" s="440"/>
      <c r="K241" s="441" t="s">
        <v>1924</v>
      </c>
    </row>
    <row r="242" spans="2:11" s="377" customFormat="1" ht="15" customHeight="1" x14ac:dyDescent="0.3">
      <c r="B242" s="423"/>
      <c r="C242" s="311"/>
      <c r="D242" s="311"/>
      <c r="E242" s="437">
        <v>43512</v>
      </c>
      <c r="F242" s="438" t="s">
        <v>1923</v>
      </c>
      <c r="G242" s="439" t="s">
        <v>163</v>
      </c>
      <c r="H242" s="438" t="s">
        <v>254</v>
      </c>
      <c r="I242" s="440" t="s">
        <v>579</v>
      </c>
      <c r="J242" s="440"/>
      <c r="K242" s="441" t="s">
        <v>1924</v>
      </c>
    </row>
    <row r="243" spans="2:11" s="377" customFormat="1" ht="3.75" customHeight="1" x14ac:dyDescent="0.3">
      <c r="B243" s="399"/>
      <c r="C243" s="357"/>
      <c r="D243" s="357"/>
      <c r="E243" s="400"/>
      <c r="F243" s="386"/>
      <c r="G243" s="358"/>
      <c r="H243" s="386"/>
      <c r="I243" s="357"/>
      <c r="J243" s="357"/>
      <c r="K243" s="357"/>
    </row>
    <row r="244" spans="2:11" s="377" customFormat="1" ht="15" customHeight="1" x14ac:dyDescent="0.3">
      <c r="B244" s="423" t="s">
        <v>195</v>
      </c>
      <c r="C244" s="311"/>
      <c r="D244" s="311"/>
      <c r="E244" s="437">
        <v>43393</v>
      </c>
      <c r="F244" s="438" t="s">
        <v>1925</v>
      </c>
      <c r="G244" s="439" t="s">
        <v>1617</v>
      </c>
      <c r="H244" s="438" t="s">
        <v>260</v>
      </c>
      <c r="I244" s="440" t="s">
        <v>1147</v>
      </c>
      <c r="J244" s="440"/>
      <c r="K244" s="441" t="s">
        <v>1926</v>
      </c>
    </row>
    <row r="245" spans="2:11" s="377" customFormat="1" ht="15" customHeight="1" x14ac:dyDescent="0.3">
      <c r="B245" s="423"/>
      <c r="C245" s="311"/>
      <c r="D245" s="311"/>
      <c r="E245" s="437">
        <v>43541</v>
      </c>
      <c r="F245" s="438" t="s">
        <v>1927</v>
      </c>
      <c r="G245" s="439" t="s">
        <v>1928</v>
      </c>
      <c r="H245" s="438" t="s">
        <v>156</v>
      </c>
      <c r="I245" s="440" t="s">
        <v>1929</v>
      </c>
      <c r="J245" s="440"/>
      <c r="K245" s="441" t="s">
        <v>1930</v>
      </c>
    </row>
    <row r="246" spans="2:11" s="377" customFormat="1" ht="3.75" customHeight="1" x14ac:dyDescent="0.3">
      <c r="B246" s="399"/>
      <c r="C246" s="357"/>
      <c r="D246" s="357"/>
      <c r="E246" s="400"/>
      <c r="F246" s="386"/>
      <c r="G246" s="358"/>
      <c r="H246" s="386"/>
      <c r="I246" s="357"/>
      <c r="J246" s="357"/>
      <c r="K246" s="357"/>
    </row>
    <row r="247" spans="2:11" s="377" customFormat="1" ht="15" customHeight="1" x14ac:dyDescent="0.3">
      <c r="B247" s="423" t="s">
        <v>197</v>
      </c>
      <c r="C247" s="311"/>
      <c r="D247" s="311"/>
      <c r="E247" s="424">
        <v>43470</v>
      </c>
      <c r="F247" s="425" t="s">
        <v>1931</v>
      </c>
      <c r="G247" s="426" t="s">
        <v>1047</v>
      </c>
      <c r="H247" s="425" t="s">
        <v>253</v>
      </c>
      <c r="I247" s="311" t="s">
        <v>1147</v>
      </c>
      <c r="J247" s="311"/>
      <c r="K247" s="333" t="s">
        <v>1937</v>
      </c>
    </row>
    <row r="248" spans="2:11" s="377" customFormat="1" ht="15" customHeight="1" x14ac:dyDescent="0.3">
      <c r="B248" s="423"/>
      <c r="C248" s="311"/>
      <c r="D248" s="311"/>
      <c r="E248" s="424">
        <v>43512</v>
      </c>
      <c r="F248" s="425" t="s">
        <v>575</v>
      </c>
      <c r="G248" s="426" t="s">
        <v>1025</v>
      </c>
      <c r="H248" s="425" t="s">
        <v>1922</v>
      </c>
      <c r="I248" s="311" t="s">
        <v>579</v>
      </c>
      <c r="J248" s="311"/>
      <c r="K248" s="333" t="s">
        <v>1932</v>
      </c>
    </row>
    <row r="249" spans="2:11" s="377" customFormat="1" ht="3.75" customHeight="1" x14ac:dyDescent="0.3">
      <c r="B249" s="399"/>
      <c r="C249" s="357"/>
      <c r="D249" s="357"/>
      <c r="E249" s="400"/>
      <c r="F249" s="386"/>
      <c r="G249" s="358"/>
      <c r="H249" s="386"/>
      <c r="I249" s="357"/>
      <c r="J249" s="357"/>
      <c r="K249" s="357"/>
    </row>
    <row r="250" spans="2:11" s="377" customFormat="1" ht="15" customHeight="1" x14ac:dyDescent="0.3">
      <c r="B250" s="423" t="s">
        <v>196</v>
      </c>
      <c r="C250" s="311"/>
      <c r="D250" s="311"/>
      <c r="E250" s="424">
        <v>43526</v>
      </c>
      <c r="F250" s="460" t="s">
        <v>572</v>
      </c>
      <c r="G250" s="426" t="s">
        <v>1918</v>
      </c>
      <c r="H250" s="425" t="s">
        <v>906</v>
      </c>
      <c r="I250" s="311" t="s">
        <v>1414</v>
      </c>
      <c r="J250" s="311"/>
      <c r="K250" s="333" t="s">
        <v>1933</v>
      </c>
    </row>
    <row r="251" spans="2:11" s="377" customFormat="1" ht="15" customHeight="1" x14ac:dyDescent="0.3">
      <c r="B251" s="423"/>
      <c r="C251" s="311"/>
      <c r="D251" s="311"/>
      <c r="E251" s="424">
        <v>43552</v>
      </c>
      <c r="F251" s="460" t="s">
        <v>573</v>
      </c>
      <c r="G251" s="426" t="s">
        <v>1986</v>
      </c>
      <c r="H251" s="425" t="s">
        <v>506</v>
      </c>
      <c r="I251" s="311" t="s">
        <v>579</v>
      </c>
      <c r="J251" s="311"/>
      <c r="K251" s="333" t="s">
        <v>1934</v>
      </c>
    </row>
    <row r="252" spans="2:11" s="377" customFormat="1" ht="3.75" customHeight="1" x14ac:dyDescent="0.3">
      <c r="B252" s="399"/>
      <c r="C252" s="357"/>
      <c r="D252" s="357"/>
      <c r="E252" s="358"/>
      <c r="F252" s="386"/>
      <c r="G252" s="358"/>
      <c r="H252" s="386"/>
      <c r="I252" s="357"/>
      <c r="J252" s="357"/>
      <c r="K252" s="357"/>
    </row>
    <row r="253" spans="2:11" s="377" customFormat="1" ht="15" customHeight="1" x14ac:dyDescent="0.3">
      <c r="B253" s="423" t="s">
        <v>77</v>
      </c>
      <c r="C253" s="311"/>
      <c r="D253" s="311"/>
      <c r="E253" s="424">
        <v>43470</v>
      </c>
      <c r="F253" s="425" t="s">
        <v>967</v>
      </c>
      <c r="G253" s="426" t="s">
        <v>1047</v>
      </c>
      <c r="H253" s="425" t="s">
        <v>1935</v>
      </c>
      <c r="I253" s="311" t="s">
        <v>1147</v>
      </c>
      <c r="J253" s="311"/>
      <c r="K253" s="333" t="s">
        <v>1938</v>
      </c>
    </row>
    <row r="254" spans="2:11" s="377" customFormat="1" ht="3.75" customHeight="1" x14ac:dyDescent="0.3">
      <c r="B254" s="399"/>
      <c r="C254" s="357"/>
      <c r="D254" s="357"/>
      <c r="E254" s="400"/>
      <c r="F254" s="386"/>
      <c r="G254" s="358"/>
      <c r="H254" s="386"/>
      <c r="I254" s="357"/>
      <c r="J254" s="357"/>
      <c r="K254" s="357"/>
    </row>
    <row r="255" spans="2:11" s="377" customFormat="1" ht="15" customHeight="1" x14ac:dyDescent="0.3">
      <c r="B255" s="423" t="s">
        <v>76</v>
      </c>
      <c r="C255" s="311"/>
      <c r="D255" s="311"/>
      <c r="E255" s="424">
        <v>43379</v>
      </c>
      <c r="F255" s="425" t="s">
        <v>968</v>
      </c>
      <c r="G255" s="426" t="s">
        <v>806</v>
      </c>
      <c r="H255" s="425" t="s">
        <v>508</v>
      </c>
      <c r="I255" s="311" t="s">
        <v>1593</v>
      </c>
      <c r="J255" s="311"/>
      <c r="K255" s="333" t="s">
        <v>1939</v>
      </c>
    </row>
    <row r="256" spans="2:11" s="377" customFormat="1" ht="3.75" customHeight="1" x14ac:dyDescent="0.3">
      <c r="B256" s="399"/>
      <c r="C256" s="357"/>
      <c r="D256" s="357"/>
      <c r="E256" s="400"/>
      <c r="F256" s="386"/>
      <c r="G256" s="358"/>
      <c r="H256" s="386"/>
      <c r="I256" s="357"/>
      <c r="J256" s="357"/>
      <c r="K256" s="357"/>
    </row>
    <row r="257" spans="2:13" s="377" customFormat="1" ht="15" customHeight="1" x14ac:dyDescent="0.3">
      <c r="B257" s="423" t="s">
        <v>735</v>
      </c>
      <c r="C257" s="311"/>
      <c r="D257" s="311"/>
      <c r="E257" s="424"/>
      <c r="F257" s="425" t="s">
        <v>170</v>
      </c>
      <c r="G257" s="426"/>
      <c r="H257" s="425"/>
      <c r="I257" s="311"/>
      <c r="J257" s="311"/>
      <c r="K257" s="333"/>
    </row>
    <row r="258" spans="2:13" s="377" customFormat="1" ht="15" customHeight="1" x14ac:dyDescent="0.45">
      <c r="B258" s="397"/>
      <c r="F258" s="398"/>
    </row>
    <row r="259" spans="2:13" s="377" customFormat="1" ht="15" customHeight="1" x14ac:dyDescent="0.45">
      <c r="B259" s="397"/>
      <c r="F259" s="398"/>
    </row>
    <row r="260" spans="2:13" s="377" customFormat="1" ht="15" customHeight="1" x14ac:dyDescent="0.45">
      <c r="B260" s="397"/>
      <c r="F260" s="398"/>
    </row>
    <row r="261" spans="2:13" s="377" customFormat="1" ht="21" x14ac:dyDescent="0.4">
      <c r="B261" s="381" t="s">
        <v>1664</v>
      </c>
      <c r="E261" s="422" t="s">
        <v>702</v>
      </c>
    </row>
    <row r="262" spans="2:13" s="377" customFormat="1" ht="7.5" customHeight="1" x14ac:dyDescent="0.3"/>
    <row r="263" spans="2:13" x14ac:dyDescent="0.3">
      <c r="B263" s="423" t="s">
        <v>204</v>
      </c>
      <c r="C263" s="311"/>
      <c r="D263" s="311"/>
      <c r="E263" s="424">
        <v>43127</v>
      </c>
      <c r="F263" s="425" t="s">
        <v>1080</v>
      </c>
      <c r="G263" s="426" t="s">
        <v>1609</v>
      </c>
      <c r="H263" s="425" t="s">
        <v>1171</v>
      </c>
      <c r="I263" s="311" t="s">
        <v>1643</v>
      </c>
      <c r="J263" s="311"/>
      <c r="K263" s="333" t="s">
        <v>1869</v>
      </c>
    </row>
    <row r="264" spans="2:13" ht="3.75" customHeight="1" x14ac:dyDescent="0.3">
      <c r="B264" s="399"/>
      <c r="E264" s="400"/>
      <c r="F264" s="386"/>
      <c r="G264" s="358"/>
      <c r="H264" s="386"/>
    </row>
    <row r="265" spans="2:13" x14ac:dyDescent="0.3">
      <c r="B265" s="423" t="s">
        <v>203</v>
      </c>
      <c r="C265" s="311"/>
      <c r="D265" s="311"/>
      <c r="E265" s="424">
        <v>43022</v>
      </c>
      <c r="F265" s="425" t="s">
        <v>1665</v>
      </c>
      <c r="G265" s="426" t="s">
        <v>1454</v>
      </c>
      <c r="H265" s="425" t="s">
        <v>1268</v>
      </c>
      <c r="I265" s="311" t="s">
        <v>150</v>
      </c>
      <c r="J265" s="311"/>
      <c r="K265" s="333"/>
    </row>
    <row r="266" spans="2:13" ht="3.75" customHeight="1" x14ac:dyDescent="0.3">
      <c r="B266" s="399"/>
      <c r="E266" s="400"/>
      <c r="F266" s="386"/>
      <c r="G266" s="358"/>
      <c r="H266" s="386"/>
    </row>
    <row r="267" spans="2:13" x14ac:dyDescent="0.3">
      <c r="B267" s="423" t="s">
        <v>199</v>
      </c>
      <c r="C267" s="311"/>
      <c r="D267" s="311"/>
      <c r="E267" s="424">
        <v>43169</v>
      </c>
      <c r="F267" s="425" t="s">
        <v>1666</v>
      </c>
      <c r="G267" s="426" t="s">
        <v>806</v>
      </c>
      <c r="H267" s="425" t="s">
        <v>164</v>
      </c>
      <c r="I267" s="311" t="s">
        <v>1414</v>
      </c>
      <c r="J267" s="311"/>
      <c r="K267" s="333" t="s">
        <v>1667</v>
      </c>
    </row>
    <row r="268" spans="2:13" ht="3.75" customHeight="1" x14ac:dyDescent="0.3">
      <c r="B268" s="399"/>
      <c r="E268" s="402"/>
      <c r="F268" s="403"/>
      <c r="G268" s="404"/>
      <c r="H268" s="403"/>
      <c r="I268" s="405"/>
      <c r="J268" s="405"/>
      <c r="K268" s="405"/>
      <c r="L268" s="693"/>
      <c r="M268" s="693"/>
    </row>
    <row r="269" spans="2:13" x14ac:dyDescent="0.3">
      <c r="B269" s="423" t="s">
        <v>202</v>
      </c>
      <c r="C269" s="311"/>
      <c r="D269" s="311"/>
      <c r="E269" s="424">
        <v>43107</v>
      </c>
      <c r="F269" s="425" t="s">
        <v>1668</v>
      </c>
      <c r="G269" s="426" t="s">
        <v>1366</v>
      </c>
      <c r="H269" s="425" t="s">
        <v>1058</v>
      </c>
      <c r="I269" s="311" t="s">
        <v>579</v>
      </c>
      <c r="J269" s="311"/>
      <c r="K269" s="333"/>
    </row>
    <row r="270" spans="2:13" ht="4.5" customHeight="1" x14ac:dyDescent="0.3">
      <c r="B270" s="399"/>
      <c r="E270" s="400"/>
      <c r="F270" s="386"/>
      <c r="G270" s="358"/>
      <c r="H270" s="386"/>
    </row>
    <row r="271" spans="2:13" x14ac:dyDescent="0.3">
      <c r="B271" s="423" t="s">
        <v>201</v>
      </c>
      <c r="C271" s="311"/>
      <c r="D271" s="311"/>
      <c r="E271" s="424">
        <v>43127</v>
      </c>
      <c r="F271" s="426">
        <v>15</v>
      </c>
      <c r="G271" s="426" t="s">
        <v>1494</v>
      </c>
      <c r="H271" s="425" t="s">
        <v>241</v>
      </c>
      <c r="I271" s="311" t="s">
        <v>1643</v>
      </c>
      <c r="J271" s="311"/>
      <c r="K271" s="333"/>
    </row>
    <row r="272" spans="2:13" ht="3.75" customHeight="1" x14ac:dyDescent="0.3">
      <c r="B272" s="399"/>
      <c r="E272" s="400"/>
      <c r="F272" s="386"/>
      <c r="G272" s="358"/>
      <c r="H272" s="386"/>
    </row>
    <row r="273" spans="2:11" ht="15" customHeight="1" x14ac:dyDescent="0.3">
      <c r="B273" s="423" t="s">
        <v>1669</v>
      </c>
      <c r="C273" s="311"/>
      <c r="D273" s="311"/>
      <c r="E273" s="424">
        <v>43148</v>
      </c>
      <c r="F273" s="426">
        <v>8</v>
      </c>
      <c r="G273" s="426" t="s">
        <v>1677</v>
      </c>
      <c r="H273" s="425" t="s">
        <v>1235</v>
      </c>
      <c r="I273" s="311" t="s">
        <v>150</v>
      </c>
      <c r="J273" s="311"/>
      <c r="K273" s="333"/>
    </row>
    <row r="274" spans="2:11" ht="3.75" customHeight="1" x14ac:dyDescent="0.3">
      <c r="B274" s="399"/>
      <c r="E274" s="400"/>
      <c r="F274" s="386"/>
      <c r="G274" s="358"/>
      <c r="H274" s="386"/>
    </row>
    <row r="275" spans="2:11" x14ac:dyDescent="0.3">
      <c r="B275" s="423" t="s">
        <v>194</v>
      </c>
      <c r="C275" s="311"/>
      <c r="D275" s="311"/>
      <c r="E275" s="424">
        <v>43127</v>
      </c>
      <c r="F275" s="426">
        <v>11</v>
      </c>
      <c r="G275" s="426" t="s">
        <v>1493</v>
      </c>
      <c r="H275" s="425" t="s">
        <v>241</v>
      </c>
      <c r="I275" s="311" t="s">
        <v>1643</v>
      </c>
      <c r="J275" s="311"/>
      <c r="K275" s="333"/>
    </row>
    <row r="276" spans="2:11" ht="3.75" customHeight="1" x14ac:dyDescent="0.3">
      <c r="B276" s="399"/>
      <c r="E276" s="358"/>
      <c r="F276" s="386"/>
      <c r="G276" s="358"/>
      <c r="H276" s="386"/>
    </row>
    <row r="277" spans="2:11" x14ac:dyDescent="0.3">
      <c r="B277" s="423" t="s">
        <v>198</v>
      </c>
      <c r="C277" s="311"/>
      <c r="D277" s="311"/>
      <c r="E277" s="437">
        <v>43107</v>
      </c>
      <c r="F277" s="438" t="s">
        <v>1670</v>
      </c>
      <c r="G277" s="439" t="s">
        <v>1366</v>
      </c>
      <c r="H277" s="438" t="s">
        <v>1058</v>
      </c>
      <c r="I277" s="440" t="s">
        <v>579</v>
      </c>
      <c r="J277" s="440"/>
      <c r="K277" s="441" t="s">
        <v>45</v>
      </c>
    </row>
    <row r="278" spans="2:11" ht="3.75" customHeight="1" x14ac:dyDescent="0.3">
      <c r="B278" s="399"/>
      <c r="E278" s="400"/>
      <c r="F278" s="386"/>
      <c r="G278" s="358"/>
      <c r="H278" s="386"/>
    </row>
    <row r="279" spans="2:11" x14ac:dyDescent="0.3">
      <c r="B279" s="423" t="s">
        <v>195</v>
      </c>
      <c r="C279" s="311"/>
      <c r="D279" s="311"/>
      <c r="E279" s="437">
        <v>43022</v>
      </c>
      <c r="F279" s="438" t="s">
        <v>1670</v>
      </c>
      <c r="G279" s="439" t="s">
        <v>1454</v>
      </c>
      <c r="H279" s="438" t="s">
        <v>1268</v>
      </c>
      <c r="I279" s="440" t="s">
        <v>150</v>
      </c>
      <c r="J279" s="440"/>
      <c r="K279" s="441" t="s">
        <v>45</v>
      </c>
    </row>
    <row r="280" spans="2:11" x14ac:dyDescent="0.3">
      <c r="B280" s="423"/>
      <c r="C280" s="311"/>
      <c r="D280" s="311"/>
      <c r="E280" s="437">
        <v>43169</v>
      </c>
      <c r="F280" s="438" t="s">
        <v>1670</v>
      </c>
      <c r="G280" s="439" t="s">
        <v>1673</v>
      </c>
      <c r="H280" s="438" t="s">
        <v>245</v>
      </c>
      <c r="I280" s="440" t="s">
        <v>1414</v>
      </c>
      <c r="J280" s="440"/>
      <c r="K280" s="441" t="s">
        <v>45</v>
      </c>
    </row>
    <row r="281" spans="2:11" x14ac:dyDescent="0.3">
      <c r="B281" s="423"/>
      <c r="C281" s="311"/>
      <c r="D281" s="311"/>
      <c r="E281" s="437">
        <v>43065</v>
      </c>
      <c r="F281" s="438" t="s">
        <v>1671</v>
      </c>
      <c r="G281" s="439" t="s">
        <v>1447</v>
      </c>
      <c r="H281" s="438" t="s">
        <v>1349</v>
      </c>
      <c r="I281" s="440" t="s">
        <v>1674</v>
      </c>
      <c r="J281" s="440"/>
      <c r="K281" s="441" t="s">
        <v>1672</v>
      </c>
    </row>
    <row r="282" spans="2:11" ht="3.75" customHeight="1" x14ac:dyDescent="0.3">
      <c r="B282" s="399"/>
      <c r="E282" s="400"/>
      <c r="F282" s="386"/>
      <c r="G282" s="358"/>
      <c r="H282" s="386"/>
    </row>
    <row r="283" spans="2:11" x14ac:dyDescent="0.3">
      <c r="B283" s="423" t="s">
        <v>197</v>
      </c>
      <c r="C283" s="311"/>
      <c r="D283" s="311"/>
      <c r="E283" s="424">
        <v>43065</v>
      </c>
      <c r="F283" s="425" t="s">
        <v>132</v>
      </c>
      <c r="G283" s="426" t="s">
        <v>1676</v>
      </c>
      <c r="H283" s="425" t="s">
        <v>888</v>
      </c>
      <c r="I283" s="311" t="s">
        <v>1674</v>
      </c>
      <c r="J283" s="311"/>
      <c r="K283" s="333" t="s">
        <v>1678</v>
      </c>
    </row>
    <row r="284" spans="2:11" ht="3.75" customHeight="1" x14ac:dyDescent="0.3">
      <c r="B284" s="399"/>
      <c r="E284" s="400"/>
      <c r="F284" s="386"/>
      <c r="G284" s="358"/>
      <c r="H284" s="386"/>
    </row>
    <row r="285" spans="2:11" x14ac:dyDescent="0.3">
      <c r="B285" s="423" t="s">
        <v>196</v>
      </c>
      <c r="C285" s="311"/>
      <c r="D285" s="311"/>
      <c r="E285" s="424">
        <v>43127</v>
      </c>
      <c r="F285" s="460" t="s">
        <v>132</v>
      </c>
      <c r="G285" s="426" t="s">
        <v>1493</v>
      </c>
      <c r="H285" s="425" t="s">
        <v>241</v>
      </c>
      <c r="I285" s="311" t="s">
        <v>1643</v>
      </c>
      <c r="J285" s="311"/>
      <c r="K285" s="333" t="s">
        <v>1675</v>
      </c>
    </row>
    <row r="286" spans="2:11" ht="3.75" customHeight="1" x14ac:dyDescent="0.3">
      <c r="B286" s="399"/>
      <c r="E286" s="358"/>
      <c r="F286" s="386"/>
      <c r="G286" s="358"/>
      <c r="H286" s="386"/>
    </row>
    <row r="287" spans="2:11" x14ac:dyDescent="0.3">
      <c r="B287" s="423" t="s">
        <v>77</v>
      </c>
      <c r="C287" s="311"/>
      <c r="D287" s="311"/>
      <c r="E287" s="424">
        <v>43043</v>
      </c>
      <c r="F287" s="425" t="s">
        <v>1679</v>
      </c>
      <c r="G287" s="426" t="s">
        <v>250</v>
      </c>
      <c r="H287" s="425" t="s">
        <v>1680</v>
      </c>
      <c r="I287" s="311" t="s">
        <v>1643</v>
      </c>
      <c r="J287" s="311"/>
      <c r="K287" s="333" t="s">
        <v>1681</v>
      </c>
    </row>
    <row r="288" spans="2:11" ht="3.75" customHeight="1" x14ac:dyDescent="0.3">
      <c r="B288" s="399"/>
      <c r="E288" s="400"/>
      <c r="F288" s="386"/>
      <c r="G288" s="358"/>
      <c r="H288" s="386"/>
    </row>
    <row r="289" spans="2:13" x14ac:dyDescent="0.3">
      <c r="B289" s="423" t="s">
        <v>76</v>
      </c>
      <c r="C289" s="311"/>
      <c r="D289" s="311"/>
      <c r="E289" s="424">
        <v>42742</v>
      </c>
      <c r="F289" s="425" t="s">
        <v>1090</v>
      </c>
      <c r="G289" s="426" t="s">
        <v>1493</v>
      </c>
      <c r="H289" s="425" t="s">
        <v>241</v>
      </c>
      <c r="I289" s="311" t="s">
        <v>1643</v>
      </c>
      <c r="J289" s="311"/>
      <c r="K289" s="333" t="s">
        <v>1682</v>
      </c>
    </row>
    <row r="290" spans="2:13" ht="3.75" customHeight="1" x14ac:dyDescent="0.3">
      <c r="B290" s="399"/>
      <c r="E290" s="400"/>
      <c r="F290" s="386"/>
      <c r="G290" s="358"/>
      <c r="H290" s="386"/>
    </row>
    <row r="291" spans="2:13" x14ac:dyDescent="0.3">
      <c r="B291" s="423" t="s">
        <v>735</v>
      </c>
      <c r="C291" s="311"/>
      <c r="D291" s="311"/>
      <c r="E291" s="424"/>
      <c r="F291" s="425" t="s">
        <v>10</v>
      </c>
      <c r="G291" s="426"/>
      <c r="H291" s="425"/>
      <c r="I291" s="311"/>
      <c r="J291" s="311"/>
      <c r="K291" s="333"/>
    </row>
    <row r="292" spans="2:13" x14ac:dyDescent="0.3">
      <c r="B292" s="399"/>
      <c r="E292" s="400"/>
      <c r="F292" s="386"/>
      <c r="G292" s="358"/>
      <c r="H292" s="386"/>
    </row>
    <row r="293" spans="2:13" x14ac:dyDescent="0.3">
      <c r="B293" s="399"/>
      <c r="E293" s="400"/>
      <c r="F293" s="386"/>
      <c r="G293" s="358"/>
      <c r="H293" s="386"/>
    </row>
    <row r="294" spans="2:13" x14ac:dyDescent="0.3">
      <c r="B294" s="399"/>
      <c r="E294" s="400"/>
      <c r="F294" s="386"/>
      <c r="G294" s="358"/>
      <c r="H294" s="386"/>
    </row>
    <row r="295" spans="2:13" s="377" customFormat="1" ht="21" x14ac:dyDescent="0.4">
      <c r="B295" s="381" t="s">
        <v>1499</v>
      </c>
      <c r="E295" s="422" t="s">
        <v>702</v>
      </c>
    </row>
    <row r="296" spans="2:13" s="377" customFormat="1" ht="7.5" customHeight="1" x14ac:dyDescent="0.3"/>
    <row r="297" spans="2:13" x14ac:dyDescent="0.3">
      <c r="B297" s="423" t="s">
        <v>204</v>
      </c>
      <c r="C297" s="311"/>
      <c r="D297" s="311"/>
      <c r="E297" s="424">
        <v>42672</v>
      </c>
      <c r="F297" s="425" t="s">
        <v>1612</v>
      </c>
      <c r="G297" s="426" t="s">
        <v>1017</v>
      </c>
      <c r="H297" s="425" t="s">
        <v>34</v>
      </c>
      <c r="I297" s="311" t="s">
        <v>150</v>
      </c>
      <c r="J297" s="311"/>
      <c r="K297" s="333" t="s">
        <v>1633</v>
      </c>
    </row>
    <row r="298" spans="2:13" ht="3.75" customHeight="1" x14ac:dyDescent="0.3">
      <c r="B298" s="399"/>
      <c r="E298" s="400"/>
      <c r="F298" s="386"/>
      <c r="G298" s="358"/>
      <c r="H298" s="386"/>
    </row>
    <row r="299" spans="2:13" x14ac:dyDescent="0.3">
      <c r="B299" s="423" t="s">
        <v>203</v>
      </c>
      <c r="C299" s="311"/>
      <c r="D299" s="311"/>
      <c r="E299" s="424">
        <v>42694</v>
      </c>
      <c r="F299" s="425" t="s">
        <v>1613</v>
      </c>
      <c r="G299" s="426" t="s">
        <v>1610</v>
      </c>
      <c r="H299" s="425" t="s">
        <v>251</v>
      </c>
      <c r="I299" s="311" t="s">
        <v>150</v>
      </c>
      <c r="J299" s="311"/>
      <c r="K299" s="333"/>
    </row>
    <row r="300" spans="2:13" ht="3.75" customHeight="1" x14ac:dyDescent="0.3">
      <c r="B300" s="399"/>
      <c r="E300" s="400"/>
      <c r="F300" s="386"/>
      <c r="G300" s="358"/>
      <c r="H300" s="386"/>
    </row>
    <row r="301" spans="2:13" x14ac:dyDescent="0.3">
      <c r="B301" s="423" t="s">
        <v>199</v>
      </c>
      <c r="C301" s="311"/>
      <c r="D301" s="311"/>
      <c r="E301" s="424">
        <v>42722</v>
      </c>
      <c r="F301" s="425" t="s">
        <v>1614</v>
      </c>
      <c r="G301" s="426" t="s">
        <v>250</v>
      </c>
      <c r="H301" s="425" t="s">
        <v>1615</v>
      </c>
      <c r="I301" s="311" t="s">
        <v>150</v>
      </c>
      <c r="J301" s="311"/>
      <c r="K301" s="333" t="s">
        <v>1625</v>
      </c>
    </row>
    <row r="302" spans="2:13" ht="3.75" customHeight="1" x14ac:dyDescent="0.3">
      <c r="B302" s="399"/>
      <c r="E302" s="402"/>
      <c r="F302" s="403"/>
      <c r="G302" s="404"/>
      <c r="H302" s="403"/>
      <c r="I302" s="405"/>
      <c r="J302" s="405"/>
      <c r="K302" s="405"/>
      <c r="L302" s="693"/>
      <c r="M302" s="693"/>
    </row>
    <row r="303" spans="2:13" x14ac:dyDescent="0.3">
      <c r="B303" s="423" t="s">
        <v>202</v>
      </c>
      <c r="C303" s="311"/>
      <c r="D303" s="311"/>
      <c r="E303" s="424">
        <v>42652</v>
      </c>
      <c r="F303" s="425" t="s">
        <v>1616</v>
      </c>
      <c r="G303" s="426" t="s">
        <v>1602</v>
      </c>
      <c r="H303" s="425" t="s">
        <v>565</v>
      </c>
      <c r="I303" s="311" t="s">
        <v>150</v>
      </c>
      <c r="J303" s="311"/>
      <c r="K303" s="333"/>
    </row>
    <row r="304" spans="2:13" ht="4.5" customHeight="1" x14ac:dyDescent="0.3">
      <c r="B304" s="399"/>
      <c r="E304" s="400"/>
      <c r="F304" s="386"/>
      <c r="G304" s="358"/>
      <c r="H304" s="386"/>
    </row>
    <row r="305" spans="2:11" x14ac:dyDescent="0.3">
      <c r="B305" s="423" t="s">
        <v>201</v>
      </c>
      <c r="C305" s="311"/>
      <c r="D305" s="311"/>
      <c r="E305" s="424">
        <v>42722</v>
      </c>
      <c r="F305" s="426">
        <v>9</v>
      </c>
      <c r="G305" s="426" t="s">
        <v>1609</v>
      </c>
      <c r="H305" s="425" t="s">
        <v>566</v>
      </c>
      <c r="I305" s="311" t="s">
        <v>150</v>
      </c>
      <c r="J305" s="311"/>
      <c r="K305" s="333"/>
    </row>
    <row r="306" spans="2:11" ht="3.75" customHeight="1" x14ac:dyDescent="0.3">
      <c r="B306" s="399"/>
      <c r="E306" s="400"/>
      <c r="F306" s="386"/>
      <c r="G306" s="358"/>
      <c r="H306" s="386"/>
    </row>
    <row r="307" spans="2:11" x14ac:dyDescent="0.3">
      <c r="B307" s="423" t="s">
        <v>194</v>
      </c>
      <c r="C307" s="311"/>
      <c r="D307" s="311"/>
      <c r="E307" s="424">
        <v>42742</v>
      </c>
      <c r="F307" s="426">
        <v>15</v>
      </c>
      <c r="G307" s="426" t="s">
        <v>1617</v>
      </c>
      <c r="H307" s="425" t="s">
        <v>1618</v>
      </c>
      <c r="I307" s="311" t="s">
        <v>579</v>
      </c>
      <c r="J307" s="311"/>
      <c r="K307" s="333"/>
    </row>
    <row r="308" spans="2:11" ht="3.75" customHeight="1" x14ac:dyDescent="0.3">
      <c r="B308" s="399"/>
      <c r="E308" s="358"/>
      <c r="F308" s="386"/>
      <c r="G308" s="358"/>
      <c r="H308" s="386"/>
    </row>
    <row r="309" spans="2:11" x14ac:dyDescent="0.3">
      <c r="B309" s="423" t="s">
        <v>198</v>
      </c>
      <c r="C309" s="311"/>
      <c r="D309" s="311"/>
      <c r="E309" s="437">
        <v>42694</v>
      </c>
      <c r="F309" s="438" t="s">
        <v>1619</v>
      </c>
      <c r="G309" s="439" t="s">
        <v>1610</v>
      </c>
      <c r="H309" s="438" t="s">
        <v>251</v>
      </c>
      <c r="I309" s="440" t="s">
        <v>150</v>
      </c>
      <c r="J309" s="440"/>
      <c r="K309" s="441" t="s">
        <v>1624</v>
      </c>
    </row>
    <row r="310" spans="2:11" ht="3.75" customHeight="1" x14ac:dyDescent="0.3">
      <c r="B310" s="399"/>
      <c r="E310" s="400"/>
      <c r="F310" s="386"/>
      <c r="G310" s="358"/>
      <c r="H310" s="386"/>
    </row>
    <row r="311" spans="2:11" x14ac:dyDescent="0.3">
      <c r="B311" s="423" t="s">
        <v>195</v>
      </c>
      <c r="C311" s="311"/>
      <c r="D311" s="311"/>
      <c r="E311" s="437">
        <v>42672</v>
      </c>
      <c r="F311" s="438" t="s">
        <v>1620</v>
      </c>
      <c r="G311" s="439" t="s">
        <v>1017</v>
      </c>
      <c r="H311" s="438" t="s">
        <v>254</v>
      </c>
      <c r="I311" s="440" t="s">
        <v>150</v>
      </c>
      <c r="J311" s="440"/>
      <c r="K311" s="441" t="s">
        <v>1623</v>
      </c>
    </row>
    <row r="312" spans="2:11" ht="3.75" customHeight="1" x14ac:dyDescent="0.3">
      <c r="B312" s="399"/>
      <c r="E312" s="400"/>
      <c r="F312" s="386"/>
      <c r="G312" s="358"/>
      <c r="H312" s="386"/>
    </row>
    <row r="313" spans="2:11" x14ac:dyDescent="0.3">
      <c r="B313" s="423" t="s">
        <v>197</v>
      </c>
      <c r="C313" s="311"/>
      <c r="D313" s="311"/>
      <c r="E313" s="424">
        <v>42672</v>
      </c>
      <c r="F313" s="425" t="s">
        <v>129</v>
      </c>
      <c r="G313" s="426" t="s">
        <v>1047</v>
      </c>
      <c r="H313" s="425" t="s">
        <v>713</v>
      </c>
      <c r="I313" s="311" t="s">
        <v>150</v>
      </c>
      <c r="J313" s="311"/>
      <c r="K313" s="333"/>
    </row>
    <row r="314" spans="2:11" ht="3.75" customHeight="1" x14ac:dyDescent="0.3">
      <c r="B314" s="399"/>
      <c r="E314" s="400"/>
      <c r="F314" s="386"/>
      <c r="G314" s="358"/>
      <c r="H314" s="386"/>
    </row>
    <row r="315" spans="2:11" x14ac:dyDescent="0.3">
      <c r="B315" s="423" t="s">
        <v>196</v>
      </c>
      <c r="C315" s="311"/>
      <c r="D315" s="311"/>
      <c r="E315" s="424">
        <v>42742</v>
      </c>
      <c r="F315" s="460" t="s">
        <v>1621</v>
      </c>
      <c r="G315" s="426" t="s">
        <v>1617</v>
      </c>
      <c r="H315" s="425" t="s">
        <v>1618</v>
      </c>
      <c r="I315" s="311" t="s">
        <v>579</v>
      </c>
      <c r="J315" s="311"/>
      <c r="K315" s="333"/>
    </row>
    <row r="316" spans="2:11" ht="3.75" customHeight="1" x14ac:dyDescent="0.3">
      <c r="B316" s="399"/>
      <c r="E316" s="358"/>
      <c r="F316" s="386"/>
      <c r="G316" s="358"/>
      <c r="H316" s="386"/>
    </row>
    <row r="317" spans="2:11" x14ac:dyDescent="0.3">
      <c r="B317" s="423" t="s">
        <v>77</v>
      </c>
      <c r="C317" s="311"/>
      <c r="D317" s="311"/>
      <c r="E317" s="424">
        <v>42694</v>
      </c>
      <c r="F317" s="425" t="s">
        <v>1456</v>
      </c>
      <c r="G317" s="426" t="s">
        <v>1610</v>
      </c>
      <c r="H317" s="425" t="s">
        <v>251</v>
      </c>
      <c r="I317" s="311" t="s">
        <v>150</v>
      </c>
      <c r="J317" s="311"/>
      <c r="K317" s="333"/>
    </row>
    <row r="318" spans="2:11" ht="3.75" customHeight="1" x14ac:dyDescent="0.3">
      <c r="B318" s="399"/>
      <c r="E318" s="400"/>
      <c r="F318" s="386"/>
      <c r="G318" s="358"/>
      <c r="H318" s="386"/>
    </row>
    <row r="319" spans="2:11" x14ac:dyDescent="0.3">
      <c r="B319" s="423" t="s">
        <v>76</v>
      </c>
      <c r="C319" s="311"/>
      <c r="D319" s="311"/>
      <c r="E319" s="424">
        <v>42742</v>
      </c>
      <c r="F319" s="425" t="s">
        <v>1622</v>
      </c>
      <c r="G319" s="426" t="s">
        <v>1617</v>
      </c>
      <c r="H319" s="425" t="s">
        <v>1618</v>
      </c>
      <c r="I319" s="311" t="s">
        <v>579</v>
      </c>
      <c r="J319" s="311"/>
      <c r="K319" s="333"/>
    </row>
    <row r="320" spans="2:11" ht="3.75" customHeight="1" x14ac:dyDescent="0.3">
      <c r="B320" s="399"/>
      <c r="E320" s="400"/>
      <c r="F320" s="386"/>
      <c r="G320" s="358"/>
      <c r="H320" s="386"/>
    </row>
    <row r="321" spans="2:13" x14ac:dyDescent="0.3">
      <c r="B321" s="423" t="s">
        <v>735</v>
      </c>
      <c r="C321" s="311"/>
      <c r="D321" s="311"/>
      <c r="E321" s="424"/>
      <c r="F321" s="425" t="s">
        <v>5</v>
      </c>
      <c r="G321" s="426"/>
      <c r="H321" s="425"/>
      <c r="I321" s="311"/>
      <c r="J321" s="311"/>
      <c r="K321" s="333"/>
    </row>
    <row r="322" spans="2:13" s="377" customFormat="1" ht="15" customHeight="1" x14ac:dyDescent="0.45">
      <c r="B322" s="397"/>
      <c r="F322" s="398"/>
    </row>
    <row r="323" spans="2:13" s="377" customFormat="1" ht="15" customHeight="1" x14ac:dyDescent="0.45">
      <c r="B323" s="397"/>
      <c r="F323" s="398"/>
    </row>
    <row r="324" spans="2:13" s="377" customFormat="1" ht="15" customHeight="1" x14ac:dyDescent="0.45">
      <c r="B324" s="397"/>
      <c r="F324" s="398"/>
    </row>
    <row r="325" spans="2:13" s="377" customFormat="1" ht="21" x14ac:dyDescent="0.4">
      <c r="B325" s="381" t="s">
        <v>1412</v>
      </c>
      <c r="E325" s="422" t="s">
        <v>702</v>
      </c>
    </row>
    <row r="326" spans="2:13" s="377" customFormat="1" ht="7.5" customHeight="1" x14ac:dyDescent="0.3"/>
    <row r="327" spans="2:13" x14ac:dyDescent="0.3">
      <c r="B327" s="423" t="s">
        <v>204</v>
      </c>
      <c r="C327" s="311"/>
      <c r="D327" s="311"/>
      <c r="E327" s="424">
        <v>42414</v>
      </c>
      <c r="F327" s="425" t="s">
        <v>1440</v>
      </c>
      <c r="G327" s="426" t="s">
        <v>163</v>
      </c>
      <c r="H327" s="425" t="s">
        <v>577</v>
      </c>
      <c r="I327" s="311" t="s">
        <v>796</v>
      </c>
      <c r="J327" s="311"/>
      <c r="K327" s="333" t="s">
        <v>1442</v>
      </c>
    </row>
    <row r="328" spans="2:13" ht="3.75" customHeight="1" x14ac:dyDescent="0.3">
      <c r="B328" s="399"/>
      <c r="E328" s="400"/>
      <c r="F328" s="386"/>
      <c r="G328" s="358"/>
      <c r="H328" s="386"/>
    </row>
    <row r="329" spans="2:13" x14ac:dyDescent="0.3">
      <c r="B329" s="423" t="s">
        <v>203</v>
      </c>
      <c r="C329" s="311"/>
      <c r="D329" s="311"/>
      <c r="E329" s="424">
        <v>42414</v>
      </c>
      <c r="F329" s="425" t="s">
        <v>1443</v>
      </c>
      <c r="G329" s="426" t="s">
        <v>163</v>
      </c>
      <c r="H329" s="425" t="s">
        <v>577</v>
      </c>
      <c r="I329" s="311" t="s">
        <v>579</v>
      </c>
      <c r="J329" s="311"/>
      <c r="K329" s="333"/>
    </row>
    <row r="330" spans="2:13" ht="3.75" customHeight="1" x14ac:dyDescent="0.3">
      <c r="B330" s="401"/>
      <c r="E330" s="400"/>
      <c r="F330" s="386"/>
      <c r="G330" s="358"/>
      <c r="H330" s="386"/>
    </row>
    <row r="331" spans="2:13" x14ac:dyDescent="0.3">
      <c r="B331" s="423" t="s">
        <v>199</v>
      </c>
      <c r="C331" s="311"/>
      <c r="D331" s="311"/>
      <c r="E331" s="424">
        <v>42442</v>
      </c>
      <c r="F331" s="425" t="s">
        <v>1444</v>
      </c>
      <c r="G331" s="426" t="s">
        <v>1366</v>
      </c>
      <c r="H331" s="425" t="s">
        <v>40</v>
      </c>
      <c r="I331" s="311" t="s">
        <v>579</v>
      </c>
      <c r="J331" s="311"/>
      <c r="K331" s="333" t="s">
        <v>1445</v>
      </c>
    </row>
    <row r="332" spans="2:13" ht="3.75" customHeight="1" x14ac:dyDescent="0.3">
      <c r="B332" s="401"/>
      <c r="E332" s="402"/>
      <c r="F332" s="403"/>
      <c r="G332" s="404"/>
      <c r="H332" s="403"/>
      <c r="I332" s="405"/>
      <c r="J332" s="405"/>
      <c r="K332" s="405"/>
      <c r="L332" s="406"/>
      <c r="M332" s="406"/>
    </row>
    <row r="333" spans="2:13" x14ac:dyDescent="0.3">
      <c r="B333" s="423" t="s">
        <v>202</v>
      </c>
      <c r="C333" s="311"/>
      <c r="D333" s="311"/>
      <c r="E333" s="424">
        <v>42399</v>
      </c>
      <c r="F333" s="425" t="s">
        <v>1446</v>
      </c>
      <c r="G333" s="426" t="s">
        <v>1447</v>
      </c>
      <c r="H333" s="425" t="s">
        <v>1448</v>
      </c>
      <c r="I333" s="311" t="s">
        <v>150</v>
      </c>
      <c r="J333" s="311"/>
      <c r="K333" s="333"/>
    </row>
    <row r="334" spans="2:13" ht="4.5" customHeight="1" x14ac:dyDescent="0.3">
      <c r="B334" s="401"/>
      <c r="E334" s="400"/>
      <c r="F334" s="386"/>
      <c r="G334" s="358"/>
      <c r="H334" s="386"/>
    </row>
    <row r="335" spans="2:13" x14ac:dyDescent="0.3">
      <c r="B335" s="427" t="s">
        <v>201</v>
      </c>
      <c r="C335" s="332"/>
      <c r="D335" s="332"/>
      <c r="E335" s="428">
        <v>42294</v>
      </c>
      <c r="F335" s="429" t="s">
        <v>133</v>
      </c>
      <c r="G335" s="430" t="s">
        <v>28</v>
      </c>
      <c r="H335" s="429" t="s">
        <v>1449</v>
      </c>
      <c r="I335" s="332" t="s">
        <v>1414</v>
      </c>
      <c r="J335" s="332"/>
      <c r="K335" s="431"/>
    </row>
    <row r="336" spans="2:13" x14ac:dyDescent="0.3">
      <c r="B336" s="432"/>
      <c r="C336" s="335"/>
      <c r="D336" s="335"/>
      <c r="E336" s="433">
        <v>42399</v>
      </c>
      <c r="F336" s="434" t="s">
        <v>133</v>
      </c>
      <c r="G336" s="435" t="s">
        <v>1447</v>
      </c>
      <c r="H336" s="434" t="s">
        <v>1448</v>
      </c>
      <c r="I336" s="335" t="s">
        <v>150</v>
      </c>
      <c r="J336" s="335"/>
      <c r="K336" s="336"/>
    </row>
    <row r="337" spans="2:11" ht="3.75" customHeight="1" x14ac:dyDescent="0.3">
      <c r="B337" s="399"/>
      <c r="E337" s="400"/>
      <c r="F337" s="386"/>
      <c r="G337" s="358"/>
      <c r="H337" s="386"/>
    </row>
    <row r="338" spans="2:11" x14ac:dyDescent="0.3">
      <c r="B338" s="436" t="s">
        <v>194</v>
      </c>
      <c r="C338" s="311"/>
      <c r="D338" s="311"/>
      <c r="E338" s="424">
        <v>42294</v>
      </c>
      <c r="F338" s="426">
        <v>9</v>
      </c>
      <c r="G338" s="426" t="s">
        <v>28</v>
      </c>
      <c r="H338" s="425" t="s">
        <v>1449</v>
      </c>
      <c r="I338" s="311" t="s">
        <v>1414</v>
      </c>
      <c r="J338" s="311"/>
      <c r="K338" s="333"/>
    </row>
    <row r="339" spans="2:11" ht="3.75" customHeight="1" x14ac:dyDescent="0.3">
      <c r="B339" s="401"/>
      <c r="E339" s="358"/>
      <c r="F339" s="386"/>
      <c r="G339" s="358"/>
      <c r="H339" s="386"/>
    </row>
    <row r="340" spans="2:11" x14ac:dyDescent="0.3">
      <c r="B340" s="436" t="s">
        <v>198</v>
      </c>
      <c r="C340" s="311"/>
      <c r="D340" s="311"/>
      <c r="E340" s="437">
        <v>42358</v>
      </c>
      <c r="F340" s="438" t="s">
        <v>1450</v>
      </c>
      <c r="G340" s="439" t="s">
        <v>1441</v>
      </c>
      <c r="H340" s="438" t="s">
        <v>1058</v>
      </c>
      <c r="I340" s="440" t="s">
        <v>579</v>
      </c>
      <c r="J340" s="440"/>
      <c r="K340" s="441" t="s">
        <v>265</v>
      </c>
    </row>
    <row r="341" spans="2:11" ht="3.75" customHeight="1" x14ac:dyDescent="0.3">
      <c r="B341" s="401"/>
      <c r="E341" s="400"/>
      <c r="F341" s="386"/>
      <c r="G341" s="358"/>
      <c r="H341" s="386"/>
    </row>
    <row r="342" spans="2:11" x14ac:dyDescent="0.3">
      <c r="B342" s="442" t="s">
        <v>195</v>
      </c>
      <c r="C342" s="332"/>
      <c r="D342" s="332"/>
      <c r="E342" s="443">
        <v>42337</v>
      </c>
      <c r="F342" s="444" t="s">
        <v>1451</v>
      </c>
      <c r="G342" s="445" t="s">
        <v>1366</v>
      </c>
      <c r="H342" s="444" t="s">
        <v>897</v>
      </c>
      <c r="I342" s="446" t="s">
        <v>579</v>
      </c>
      <c r="J342" s="446"/>
      <c r="K342" s="447" t="s">
        <v>1452</v>
      </c>
    </row>
    <row r="343" spans="2:11" x14ac:dyDescent="0.3">
      <c r="B343" s="448"/>
      <c r="C343" s="319"/>
      <c r="D343" s="319"/>
      <c r="E343" s="449">
        <v>42434</v>
      </c>
      <c r="F343" s="450" t="s">
        <v>1451</v>
      </c>
      <c r="G343" s="451" t="s">
        <v>250</v>
      </c>
      <c r="H343" s="450" t="s">
        <v>1453</v>
      </c>
      <c r="I343" s="452" t="s">
        <v>1414</v>
      </c>
      <c r="J343" s="452"/>
      <c r="K343" s="453" t="s">
        <v>1452</v>
      </c>
    </row>
    <row r="344" spans="2:11" x14ac:dyDescent="0.3">
      <c r="B344" s="454"/>
      <c r="C344" s="335"/>
      <c r="D344" s="335"/>
      <c r="E344" s="455">
        <v>42442</v>
      </c>
      <c r="F344" s="456" t="s">
        <v>1451</v>
      </c>
      <c r="G344" s="457" t="s">
        <v>1454</v>
      </c>
      <c r="H344" s="456" t="s">
        <v>903</v>
      </c>
      <c r="I344" s="458" t="s">
        <v>150</v>
      </c>
      <c r="J344" s="458"/>
      <c r="K344" s="459" t="s">
        <v>1452</v>
      </c>
    </row>
    <row r="345" spans="2:11" ht="3.75" customHeight="1" x14ac:dyDescent="0.3">
      <c r="B345" s="401"/>
      <c r="E345" s="400"/>
      <c r="F345" s="386"/>
      <c r="G345" s="358"/>
      <c r="H345" s="386"/>
    </row>
    <row r="346" spans="2:11" x14ac:dyDescent="0.3">
      <c r="B346" s="436" t="s">
        <v>197</v>
      </c>
      <c r="C346" s="311"/>
      <c r="D346" s="311"/>
      <c r="E346" s="424">
        <v>42294</v>
      </c>
      <c r="F346" s="425" t="s">
        <v>129</v>
      </c>
      <c r="G346" s="426" t="s">
        <v>28</v>
      </c>
      <c r="H346" s="425" t="s">
        <v>1449</v>
      </c>
      <c r="I346" s="311" t="s">
        <v>1414</v>
      </c>
      <c r="J346" s="311"/>
      <c r="K346" s="333"/>
    </row>
    <row r="347" spans="2:11" ht="3.75" customHeight="1" x14ac:dyDescent="0.3">
      <c r="B347" s="401"/>
      <c r="E347" s="400"/>
      <c r="F347" s="386"/>
      <c r="G347" s="358"/>
      <c r="H347" s="386"/>
    </row>
    <row r="348" spans="2:11" x14ac:dyDescent="0.3">
      <c r="B348" s="436" t="s">
        <v>196</v>
      </c>
      <c r="C348" s="311"/>
      <c r="D348" s="311"/>
      <c r="E348" s="424">
        <v>42294</v>
      </c>
      <c r="F348" s="460" t="s">
        <v>1455</v>
      </c>
      <c r="G348" s="426" t="s">
        <v>28</v>
      </c>
      <c r="H348" s="425" t="s">
        <v>1449</v>
      </c>
      <c r="I348" s="311" t="s">
        <v>1414</v>
      </c>
      <c r="J348" s="311"/>
      <c r="K348" s="333" t="s">
        <v>1497</v>
      </c>
    </row>
    <row r="349" spans="2:11" ht="3.75" customHeight="1" x14ac:dyDescent="0.3">
      <c r="B349" s="401"/>
      <c r="E349" s="358"/>
      <c r="F349" s="386"/>
      <c r="G349" s="358"/>
      <c r="H349" s="386"/>
    </row>
    <row r="350" spans="2:11" x14ac:dyDescent="0.3">
      <c r="B350" s="442" t="s">
        <v>77</v>
      </c>
      <c r="C350" s="332"/>
      <c r="D350" s="332"/>
      <c r="E350" s="428">
        <v>42399</v>
      </c>
      <c r="F350" s="429" t="s">
        <v>1456</v>
      </c>
      <c r="G350" s="430" t="s">
        <v>1447</v>
      </c>
      <c r="H350" s="429" t="s">
        <v>1448</v>
      </c>
      <c r="I350" s="332" t="s">
        <v>150</v>
      </c>
      <c r="J350" s="332"/>
      <c r="K350" s="431"/>
    </row>
    <row r="351" spans="2:11" x14ac:dyDescent="0.3">
      <c r="B351" s="454"/>
      <c r="C351" s="335"/>
      <c r="D351" s="335"/>
      <c r="E351" s="433">
        <v>42434</v>
      </c>
      <c r="F351" s="434" t="s">
        <v>1456</v>
      </c>
      <c r="G351" s="435" t="s">
        <v>250</v>
      </c>
      <c r="H351" s="434" t="s">
        <v>1453</v>
      </c>
      <c r="I351" s="335" t="s">
        <v>1414</v>
      </c>
      <c r="J351" s="335"/>
      <c r="K351" s="336"/>
    </row>
    <row r="352" spans="2:11" ht="3.75" customHeight="1" x14ac:dyDescent="0.3">
      <c r="B352" s="401"/>
      <c r="E352" s="400"/>
      <c r="F352" s="386"/>
      <c r="G352" s="358"/>
      <c r="H352" s="386"/>
    </row>
    <row r="353" spans="2:13" x14ac:dyDescent="0.3">
      <c r="B353" s="442" t="s">
        <v>76</v>
      </c>
      <c r="C353" s="332"/>
      <c r="D353" s="332"/>
      <c r="E353" s="428">
        <v>42309</v>
      </c>
      <c r="F353" s="429" t="s">
        <v>176</v>
      </c>
      <c r="G353" s="430" t="s">
        <v>1458</v>
      </c>
      <c r="H353" s="429" t="s">
        <v>903</v>
      </c>
      <c r="I353" s="332" t="s">
        <v>579</v>
      </c>
      <c r="J353" s="332"/>
      <c r="K353" s="431"/>
    </row>
    <row r="354" spans="2:13" x14ac:dyDescent="0.3">
      <c r="B354" s="448"/>
      <c r="C354" s="319"/>
      <c r="D354" s="319"/>
      <c r="E354" s="461">
        <v>42337</v>
      </c>
      <c r="F354" s="330" t="s">
        <v>176</v>
      </c>
      <c r="G354" s="312" t="s">
        <v>1457</v>
      </c>
      <c r="H354" s="330" t="s">
        <v>857</v>
      </c>
      <c r="I354" s="319" t="s">
        <v>579</v>
      </c>
      <c r="J354" s="319"/>
      <c r="K354" s="462"/>
    </row>
    <row r="355" spans="2:13" x14ac:dyDescent="0.3">
      <c r="B355" s="454"/>
      <c r="C355" s="335"/>
      <c r="D355" s="335"/>
      <c r="E355" s="433">
        <v>42442</v>
      </c>
      <c r="F355" s="434" t="s">
        <v>176</v>
      </c>
      <c r="G355" s="435" t="s">
        <v>1454</v>
      </c>
      <c r="H355" s="434" t="s">
        <v>903</v>
      </c>
      <c r="I355" s="335" t="s">
        <v>150</v>
      </c>
      <c r="J355" s="335"/>
      <c r="K355" s="336"/>
    </row>
    <row r="356" spans="2:13" ht="3.75" customHeight="1" x14ac:dyDescent="0.3">
      <c r="B356" s="401"/>
      <c r="E356" s="400"/>
      <c r="F356" s="386"/>
      <c r="G356" s="358"/>
      <c r="H356" s="386"/>
    </row>
    <row r="357" spans="2:13" x14ac:dyDescent="0.3">
      <c r="B357" s="436" t="s">
        <v>735</v>
      </c>
      <c r="C357" s="311"/>
      <c r="D357" s="311"/>
      <c r="E357" s="424"/>
      <c r="F357" s="425" t="s">
        <v>6</v>
      </c>
      <c r="G357" s="426"/>
      <c r="H357" s="425"/>
      <c r="I357" s="311"/>
      <c r="J357" s="311"/>
      <c r="K357" s="333"/>
    </row>
    <row r="358" spans="2:13" s="377" customFormat="1" ht="15" customHeight="1" x14ac:dyDescent="0.45">
      <c r="B358" s="397"/>
      <c r="F358" s="398"/>
    </row>
    <row r="359" spans="2:13" s="377" customFormat="1" ht="15" customHeight="1" x14ac:dyDescent="0.45">
      <c r="B359" s="397"/>
      <c r="F359" s="398"/>
    </row>
    <row r="360" spans="2:13" s="377" customFormat="1" ht="15" customHeight="1" x14ac:dyDescent="0.45">
      <c r="B360" s="397"/>
      <c r="F360" s="398"/>
    </row>
    <row r="361" spans="2:13" s="377" customFormat="1" ht="21" x14ac:dyDescent="0.4">
      <c r="B361" s="381" t="s">
        <v>1364</v>
      </c>
    </row>
    <row r="362" spans="2:13" s="377" customFormat="1" ht="7.5" customHeight="1" x14ac:dyDescent="0.3"/>
    <row r="363" spans="2:13" x14ac:dyDescent="0.3">
      <c r="B363" s="423" t="s">
        <v>204</v>
      </c>
      <c r="C363" s="311"/>
      <c r="D363" s="311"/>
      <c r="E363" s="424">
        <v>41951</v>
      </c>
      <c r="F363" s="425" t="s">
        <v>1196</v>
      </c>
      <c r="G363" s="426" t="s">
        <v>28</v>
      </c>
      <c r="H363" s="425" t="s">
        <v>888</v>
      </c>
      <c r="I363" s="311" t="s">
        <v>150</v>
      </c>
      <c r="J363" s="311"/>
      <c r="K363" s="333" t="s">
        <v>1365</v>
      </c>
    </row>
    <row r="364" spans="2:13" ht="3.75" customHeight="1" x14ac:dyDescent="0.3">
      <c r="B364" s="399"/>
      <c r="E364" s="400"/>
      <c r="F364" s="386"/>
      <c r="G364" s="358"/>
      <c r="H364" s="386"/>
    </row>
    <row r="365" spans="2:13" x14ac:dyDescent="0.3">
      <c r="B365" s="423" t="s">
        <v>203</v>
      </c>
      <c r="C365" s="311"/>
      <c r="D365" s="311"/>
      <c r="E365" s="424">
        <v>42028</v>
      </c>
      <c r="F365" s="425" t="s">
        <v>561</v>
      </c>
      <c r="G365" s="426" t="s">
        <v>130</v>
      </c>
      <c r="H365" s="425" t="s">
        <v>245</v>
      </c>
      <c r="I365" s="311" t="s">
        <v>579</v>
      </c>
      <c r="J365" s="311"/>
      <c r="K365" s="333"/>
    </row>
    <row r="366" spans="2:13" ht="3.75" customHeight="1" x14ac:dyDescent="0.3">
      <c r="B366" s="401"/>
      <c r="E366" s="400"/>
      <c r="F366" s="386"/>
      <c r="G366" s="358"/>
      <c r="H366" s="386"/>
    </row>
    <row r="367" spans="2:13" x14ac:dyDescent="0.3">
      <c r="B367" s="423" t="s">
        <v>199</v>
      </c>
      <c r="C367" s="311"/>
      <c r="D367" s="311"/>
      <c r="E367" s="424">
        <v>41972</v>
      </c>
      <c r="F367" s="425" t="s">
        <v>1227</v>
      </c>
      <c r="G367" s="426" t="s">
        <v>1366</v>
      </c>
      <c r="H367" s="425" t="s">
        <v>1235</v>
      </c>
      <c r="I367" s="311" t="s">
        <v>150</v>
      </c>
      <c r="J367" s="311"/>
      <c r="K367" s="333" t="s">
        <v>1367</v>
      </c>
    </row>
    <row r="368" spans="2:13" ht="3.75" customHeight="1" x14ac:dyDescent="0.3">
      <c r="B368" s="401"/>
      <c r="E368" s="402"/>
      <c r="F368" s="403"/>
      <c r="G368" s="404"/>
      <c r="H368" s="403"/>
      <c r="I368" s="405"/>
      <c r="J368" s="405"/>
      <c r="K368" s="405"/>
      <c r="L368" s="406"/>
      <c r="M368" s="406"/>
    </row>
    <row r="369" spans="2:11" x14ac:dyDescent="0.3">
      <c r="B369" s="423" t="s">
        <v>202</v>
      </c>
      <c r="C369" s="311"/>
      <c r="D369" s="311"/>
      <c r="E369" s="424">
        <v>41916</v>
      </c>
      <c r="F369" s="425" t="s">
        <v>1119</v>
      </c>
      <c r="G369" s="426" t="s">
        <v>1368</v>
      </c>
      <c r="H369" s="425" t="s">
        <v>565</v>
      </c>
      <c r="I369" s="311" t="s">
        <v>579</v>
      </c>
      <c r="J369" s="311"/>
      <c r="K369" s="333" t="s">
        <v>1369</v>
      </c>
    </row>
    <row r="370" spans="2:11" ht="4.5" customHeight="1" x14ac:dyDescent="0.3">
      <c r="B370" s="401"/>
      <c r="E370" s="400"/>
      <c r="F370" s="386"/>
      <c r="G370" s="358"/>
      <c r="H370" s="386"/>
    </row>
    <row r="371" spans="2:11" x14ac:dyDescent="0.3">
      <c r="B371" s="423" t="s">
        <v>201</v>
      </c>
      <c r="C371" s="311"/>
      <c r="D371" s="311"/>
      <c r="E371" s="424">
        <v>42049</v>
      </c>
      <c r="F371" s="425" t="s">
        <v>23</v>
      </c>
      <c r="G371" s="426" t="s">
        <v>1370</v>
      </c>
      <c r="H371" s="425" t="s">
        <v>1328</v>
      </c>
      <c r="I371" s="311" t="s">
        <v>579</v>
      </c>
      <c r="J371" s="311"/>
      <c r="K371" s="333"/>
    </row>
    <row r="372" spans="2:11" ht="3.75" customHeight="1" x14ac:dyDescent="0.3">
      <c r="B372" s="399"/>
      <c r="E372" s="400"/>
      <c r="F372" s="386"/>
      <c r="G372" s="358"/>
      <c r="H372" s="386"/>
    </row>
    <row r="373" spans="2:11" x14ac:dyDescent="0.3">
      <c r="B373" s="436" t="s">
        <v>194</v>
      </c>
      <c r="C373" s="311"/>
      <c r="D373" s="311"/>
      <c r="E373" s="424">
        <v>41972</v>
      </c>
      <c r="F373" s="426">
        <v>8</v>
      </c>
      <c r="G373" s="426" t="s">
        <v>1366</v>
      </c>
      <c r="H373" s="425" t="s">
        <v>1235</v>
      </c>
      <c r="I373" s="311" t="s">
        <v>150</v>
      </c>
      <c r="J373" s="311"/>
      <c r="K373" s="333"/>
    </row>
    <row r="374" spans="2:11" ht="3.75" customHeight="1" x14ac:dyDescent="0.3">
      <c r="B374" s="401"/>
      <c r="E374" s="358"/>
      <c r="F374" s="386"/>
      <c r="G374" s="358"/>
      <c r="H374" s="386"/>
    </row>
    <row r="375" spans="2:11" x14ac:dyDescent="0.3">
      <c r="B375" s="436" t="s">
        <v>198</v>
      </c>
      <c r="C375" s="311"/>
      <c r="D375" s="311"/>
      <c r="E375" s="437">
        <v>42049</v>
      </c>
      <c r="F375" s="438" t="s">
        <v>1371</v>
      </c>
      <c r="G375" s="439" t="s">
        <v>1370</v>
      </c>
      <c r="H375" s="438" t="s">
        <v>1328</v>
      </c>
      <c r="I375" s="440" t="s">
        <v>579</v>
      </c>
      <c r="J375" s="440"/>
      <c r="K375" s="441" t="s">
        <v>1372</v>
      </c>
    </row>
    <row r="376" spans="2:11" ht="3.75" customHeight="1" x14ac:dyDescent="0.3">
      <c r="B376" s="401"/>
      <c r="E376" s="400"/>
      <c r="F376" s="386"/>
      <c r="G376" s="358"/>
      <c r="H376" s="386"/>
    </row>
    <row r="377" spans="2:11" x14ac:dyDescent="0.3">
      <c r="B377" s="436" t="s">
        <v>195</v>
      </c>
      <c r="C377" s="311"/>
      <c r="D377" s="311"/>
      <c r="E377" s="437">
        <v>42049</v>
      </c>
      <c r="F377" s="438" t="s">
        <v>1373</v>
      </c>
      <c r="G377" s="439" t="s">
        <v>1374</v>
      </c>
      <c r="H377" s="438" t="s">
        <v>508</v>
      </c>
      <c r="I377" s="440" t="s">
        <v>579</v>
      </c>
      <c r="J377" s="440"/>
      <c r="K377" s="441" t="s">
        <v>1375</v>
      </c>
    </row>
    <row r="378" spans="2:11" ht="3.75" customHeight="1" x14ac:dyDescent="0.3">
      <c r="B378" s="401"/>
      <c r="E378" s="400"/>
      <c r="F378" s="386"/>
      <c r="G378" s="358"/>
      <c r="H378" s="386"/>
    </row>
    <row r="379" spans="2:11" x14ac:dyDescent="0.3">
      <c r="B379" s="442" t="s">
        <v>197</v>
      </c>
      <c r="C379" s="332"/>
      <c r="D379" s="332"/>
      <c r="E379" s="428">
        <v>41993</v>
      </c>
      <c r="F379" s="429" t="s">
        <v>721</v>
      </c>
      <c r="G379" s="430" t="s">
        <v>250</v>
      </c>
      <c r="H379" s="429" t="s">
        <v>1268</v>
      </c>
      <c r="I379" s="332" t="s">
        <v>579</v>
      </c>
      <c r="J379" s="332"/>
      <c r="K379" s="431"/>
    </row>
    <row r="380" spans="2:11" x14ac:dyDescent="0.3">
      <c r="B380" s="454"/>
      <c r="C380" s="335"/>
      <c r="D380" s="335"/>
      <c r="E380" s="433">
        <v>42049</v>
      </c>
      <c r="F380" s="434" t="s">
        <v>1376</v>
      </c>
      <c r="G380" s="435" t="s">
        <v>1370</v>
      </c>
      <c r="H380" s="434" t="s">
        <v>1328</v>
      </c>
      <c r="I380" s="335" t="s">
        <v>579</v>
      </c>
      <c r="J380" s="335"/>
      <c r="K380" s="336"/>
    </row>
    <row r="381" spans="2:11" ht="3.75" customHeight="1" x14ac:dyDescent="0.3">
      <c r="B381" s="401"/>
      <c r="E381" s="400"/>
      <c r="F381" s="386"/>
      <c r="G381" s="358"/>
      <c r="H381" s="386"/>
    </row>
    <row r="382" spans="2:11" x14ac:dyDescent="0.3">
      <c r="B382" s="442" t="s">
        <v>196</v>
      </c>
      <c r="C382" s="332"/>
      <c r="D382" s="332"/>
      <c r="E382" s="428">
        <v>41916</v>
      </c>
      <c r="F382" s="463" t="s">
        <v>573</v>
      </c>
      <c r="G382" s="430" t="s">
        <v>1377</v>
      </c>
      <c r="H382" s="429" t="s">
        <v>888</v>
      </c>
      <c r="I382" s="332" t="s">
        <v>579</v>
      </c>
      <c r="J382" s="332"/>
      <c r="K382" s="431"/>
    </row>
    <row r="383" spans="2:11" x14ac:dyDescent="0.3">
      <c r="B383" s="454"/>
      <c r="C383" s="335"/>
      <c r="D383" s="335"/>
      <c r="E383" s="433">
        <v>41972</v>
      </c>
      <c r="F383" s="464" t="s">
        <v>572</v>
      </c>
      <c r="G383" s="435" t="s">
        <v>1366</v>
      </c>
      <c r="H383" s="434" t="s">
        <v>1235</v>
      </c>
      <c r="I383" s="335" t="s">
        <v>150</v>
      </c>
      <c r="J383" s="335"/>
      <c r="K383" s="336"/>
    </row>
    <row r="384" spans="2:11" ht="3.75" customHeight="1" x14ac:dyDescent="0.3">
      <c r="B384" s="401"/>
      <c r="E384" s="358"/>
      <c r="F384" s="386"/>
      <c r="G384" s="358"/>
      <c r="H384" s="386"/>
    </row>
    <row r="385" spans="2:13" x14ac:dyDescent="0.3">
      <c r="B385" s="436" t="s">
        <v>77</v>
      </c>
      <c r="C385" s="311"/>
      <c r="D385" s="311"/>
      <c r="E385" s="424">
        <v>42049</v>
      </c>
      <c r="F385" s="425" t="s">
        <v>967</v>
      </c>
      <c r="G385" s="426" t="s">
        <v>1370</v>
      </c>
      <c r="H385" s="425" t="s">
        <v>1328</v>
      </c>
      <c r="I385" s="311" t="s">
        <v>579</v>
      </c>
      <c r="J385" s="311"/>
      <c r="K385" s="333"/>
    </row>
    <row r="386" spans="2:13" ht="3.75" customHeight="1" x14ac:dyDescent="0.3">
      <c r="B386" s="401"/>
      <c r="E386" s="400"/>
      <c r="F386" s="386"/>
      <c r="G386" s="358"/>
      <c r="H386" s="386"/>
    </row>
    <row r="387" spans="2:13" x14ac:dyDescent="0.3">
      <c r="B387" s="442" t="s">
        <v>76</v>
      </c>
      <c r="C387" s="332"/>
      <c r="D387" s="332"/>
      <c r="E387" s="428">
        <v>41972</v>
      </c>
      <c r="F387" s="429" t="s">
        <v>968</v>
      </c>
      <c r="G387" s="430" t="s">
        <v>1366</v>
      </c>
      <c r="H387" s="429" t="s">
        <v>1235</v>
      </c>
      <c r="I387" s="332" t="s">
        <v>150</v>
      </c>
      <c r="J387" s="332"/>
      <c r="K387" s="431"/>
    </row>
    <row r="388" spans="2:13" x14ac:dyDescent="0.3">
      <c r="B388" s="454"/>
      <c r="C388" s="335"/>
      <c r="D388" s="335"/>
      <c r="E388" s="433">
        <v>42049</v>
      </c>
      <c r="F388" s="434" t="s">
        <v>968</v>
      </c>
      <c r="G388" s="435" t="s">
        <v>1374</v>
      </c>
      <c r="H388" s="434" t="s">
        <v>508</v>
      </c>
      <c r="I388" s="335" t="s">
        <v>579</v>
      </c>
      <c r="J388" s="335"/>
      <c r="K388" s="336"/>
    </row>
    <row r="389" spans="2:13" ht="3.75" customHeight="1" x14ac:dyDescent="0.3">
      <c r="B389" s="401"/>
      <c r="E389" s="400"/>
      <c r="F389" s="386"/>
      <c r="G389" s="358"/>
      <c r="H389" s="386"/>
    </row>
    <row r="390" spans="2:13" x14ac:dyDescent="0.3">
      <c r="B390" s="436" t="s">
        <v>735</v>
      </c>
      <c r="C390" s="311"/>
      <c r="D390" s="311"/>
      <c r="E390" s="424"/>
      <c r="F390" s="425" t="s">
        <v>114</v>
      </c>
      <c r="G390" s="426"/>
      <c r="H390" s="425"/>
      <c r="I390" s="311"/>
      <c r="J390" s="311"/>
      <c r="K390" s="333"/>
    </row>
    <row r="391" spans="2:13" s="377" customFormat="1" ht="36.6" x14ac:dyDescent="0.85">
      <c r="B391" s="379"/>
      <c r="F391" s="381"/>
    </row>
    <row r="392" spans="2:13" s="377" customFormat="1" ht="21" x14ac:dyDescent="0.4">
      <c r="B392" s="381" t="s">
        <v>1078</v>
      </c>
    </row>
    <row r="393" spans="2:13" s="377" customFormat="1" ht="7.5" customHeight="1" x14ac:dyDescent="0.3"/>
    <row r="394" spans="2:13" x14ac:dyDescent="0.3">
      <c r="B394" s="399" t="s">
        <v>204</v>
      </c>
      <c r="E394" s="400">
        <v>41664</v>
      </c>
      <c r="F394" s="386" t="s">
        <v>1080</v>
      </c>
      <c r="G394" s="358" t="s">
        <v>1081</v>
      </c>
      <c r="H394" s="386" t="s">
        <v>506</v>
      </c>
      <c r="I394" s="357" t="s">
        <v>1027</v>
      </c>
      <c r="K394" s="357" t="s">
        <v>1082</v>
      </c>
      <c r="L394" s="357" t="s">
        <v>1083</v>
      </c>
    </row>
    <row r="395" spans="2:13" ht="3.75" customHeight="1" x14ac:dyDescent="0.3">
      <c r="B395" s="399"/>
      <c r="E395" s="400"/>
      <c r="F395" s="386"/>
      <c r="G395" s="358"/>
      <c r="H395" s="386"/>
    </row>
    <row r="396" spans="2:13" x14ac:dyDescent="0.3">
      <c r="B396" s="399" t="s">
        <v>203</v>
      </c>
      <c r="E396" s="400">
        <v>41700</v>
      </c>
      <c r="F396" s="386" t="s">
        <v>1084</v>
      </c>
      <c r="G396" s="358" t="s">
        <v>1060</v>
      </c>
      <c r="H396" s="386" t="s">
        <v>508</v>
      </c>
      <c r="I396" s="357" t="s">
        <v>1049</v>
      </c>
    </row>
    <row r="397" spans="2:13" ht="3.75" customHeight="1" x14ac:dyDescent="0.3">
      <c r="B397" s="401"/>
      <c r="E397" s="400"/>
      <c r="F397" s="386"/>
      <c r="G397" s="358"/>
      <c r="H397" s="386"/>
    </row>
    <row r="398" spans="2:13" x14ac:dyDescent="0.3">
      <c r="B398" s="399" t="s">
        <v>199</v>
      </c>
      <c r="E398" s="400">
        <v>41566</v>
      </c>
      <c r="F398" s="386" t="s">
        <v>1085</v>
      </c>
      <c r="G398" s="358" t="s">
        <v>1017</v>
      </c>
      <c r="H398" s="386" t="s">
        <v>903</v>
      </c>
      <c r="I398" s="357" t="s">
        <v>150</v>
      </c>
      <c r="K398" s="357" t="s">
        <v>1086</v>
      </c>
    </row>
    <row r="399" spans="2:13" ht="3.75" customHeight="1" x14ac:dyDescent="0.3">
      <c r="B399" s="401"/>
      <c r="E399" s="402"/>
      <c r="F399" s="403"/>
      <c r="G399" s="404"/>
      <c r="H399" s="403"/>
      <c r="I399" s="405"/>
      <c r="J399" s="405"/>
      <c r="K399" s="405"/>
      <c r="L399" s="406"/>
      <c r="M399" s="406"/>
    </row>
    <row r="400" spans="2:13" x14ac:dyDescent="0.3">
      <c r="B400" s="399" t="s">
        <v>202</v>
      </c>
      <c r="E400" s="400">
        <v>41609</v>
      </c>
      <c r="F400" s="386" t="s">
        <v>1087</v>
      </c>
      <c r="G400" s="358" t="s">
        <v>1031</v>
      </c>
      <c r="H400" s="386" t="s">
        <v>506</v>
      </c>
      <c r="I400" s="357" t="s">
        <v>579</v>
      </c>
    </row>
    <row r="401" spans="2:11" ht="4.5" customHeight="1" x14ac:dyDescent="0.3">
      <c r="B401" s="401"/>
      <c r="E401" s="400"/>
      <c r="F401" s="386"/>
      <c r="G401" s="358"/>
      <c r="H401" s="386"/>
    </row>
    <row r="402" spans="2:11" x14ac:dyDescent="0.3">
      <c r="B402" s="399" t="s">
        <v>201</v>
      </c>
      <c r="E402" s="400">
        <v>41692</v>
      </c>
      <c r="F402" s="386" t="s">
        <v>9</v>
      </c>
      <c r="G402" s="358" t="s">
        <v>1053</v>
      </c>
      <c r="H402" s="386" t="s">
        <v>891</v>
      </c>
      <c r="I402" s="357" t="s">
        <v>579</v>
      </c>
    </row>
    <row r="403" spans="2:11" ht="3.75" customHeight="1" x14ac:dyDescent="0.3">
      <c r="B403" s="399"/>
      <c r="E403" s="400"/>
      <c r="F403" s="386"/>
      <c r="G403" s="358"/>
      <c r="H403" s="386"/>
    </row>
    <row r="404" spans="2:11" x14ac:dyDescent="0.3">
      <c r="B404" s="401" t="s">
        <v>194</v>
      </c>
      <c r="E404" s="400">
        <v>41623</v>
      </c>
      <c r="F404" s="358">
        <v>11</v>
      </c>
      <c r="G404" s="358" t="s">
        <v>1036</v>
      </c>
      <c r="H404" s="386" t="s">
        <v>1037</v>
      </c>
      <c r="I404" s="357" t="s">
        <v>150</v>
      </c>
    </row>
    <row r="405" spans="2:11" ht="3.75" customHeight="1" x14ac:dyDescent="0.3">
      <c r="B405" s="401"/>
      <c r="E405" s="358"/>
      <c r="F405" s="386"/>
      <c r="G405" s="358"/>
      <c r="H405" s="386"/>
    </row>
    <row r="406" spans="2:11" x14ac:dyDescent="0.3">
      <c r="B406" s="401" t="s">
        <v>198</v>
      </c>
      <c r="E406" s="407">
        <v>41679</v>
      </c>
      <c r="F406" s="408" t="s">
        <v>962</v>
      </c>
      <c r="G406" s="409" t="s">
        <v>1047</v>
      </c>
      <c r="H406" s="408" t="s">
        <v>39</v>
      </c>
      <c r="I406" s="410" t="s">
        <v>1049</v>
      </c>
      <c r="J406" s="410"/>
      <c r="K406" s="410" t="s">
        <v>963</v>
      </c>
    </row>
    <row r="407" spans="2:11" ht="3.75" customHeight="1" x14ac:dyDescent="0.3">
      <c r="B407" s="401"/>
      <c r="E407" s="400"/>
      <c r="F407" s="386"/>
      <c r="G407" s="358"/>
      <c r="H407" s="386"/>
    </row>
    <row r="408" spans="2:11" x14ac:dyDescent="0.3">
      <c r="B408" s="401" t="s">
        <v>195</v>
      </c>
      <c r="E408" s="407">
        <v>41679</v>
      </c>
      <c r="F408" s="408" t="s">
        <v>717</v>
      </c>
      <c r="G408" s="409" t="s">
        <v>1047</v>
      </c>
      <c r="H408" s="408" t="s">
        <v>39</v>
      </c>
      <c r="I408" s="410" t="s">
        <v>1049</v>
      </c>
      <c r="J408" s="410"/>
      <c r="K408" s="410" t="s">
        <v>265</v>
      </c>
    </row>
    <row r="409" spans="2:11" ht="3.75" customHeight="1" x14ac:dyDescent="0.3">
      <c r="B409" s="401"/>
      <c r="E409" s="400"/>
      <c r="F409" s="386"/>
      <c r="G409" s="358"/>
      <c r="H409" s="386"/>
    </row>
    <row r="410" spans="2:11" x14ac:dyDescent="0.3">
      <c r="B410" s="401" t="s">
        <v>197</v>
      </c>
      <c r="E410" s="400">
        <v>41692</v>
      </c>
      <c r="F410" s="386" t="s">
        <v>1088</v>
      </c>
      <c r="G410" s="358" t="s">
        <v>1053</v>
      </c>
      <c r="H410" s="386" t="s">
        <v>891</v>
      </c>
      <c r="I410" s="357" t="s">
        <v>579</v>
      </c>
    </row>
    <row r="411" spans="2:11" ht="3.75" customHeight="1" x14ac:dyDescent="0.3">
      <c r="B411" s="401"/>
      <c r="E411" s="400"/>
      <c r="F411" s="386"/>
      <c r="G411" s="358"/>
      <c r="H411" s="386"/>
    </row>
    <row r="412" spans="2:11" x14ac:dyDescent="0.3">
      <c r="B412" s="401" t="s">
        <v>196</v>
      </c>
      <c r="E412" s="400">
        <v>41623</v>
      </c>
      <c r="F412" s="411" t="s">
        <v>171</v>
      </c>
      <c r="G412" s="358" t="s">
        <v>1036</v>
      </c>
      <c r="H412" s="386" t="s">
        <v>1037</v>
      </c>
      <c r="I412" s="357" t="s">
        <v>150</v>
      </c>
    </row>
    <row r="413" spans="2:11" ht="3.75" customHeight="1" x14ac:dyDescent="0.3">
      <c r="B413" s="401"/>
      <c r="E413" s="358"/>
      <c r="F413" s="386"/>
      <c r="G413" s="358"/>
      <c r="H413" s="386"/>
    </row>
    <row r="414" spans="2:11" x14ac:dyDescent="0.3">
      <c r="B414" s="401" t="s">
        <v>77</v>
      </c>
      <c r="E414" s="400">
        <v>41623</v>
      </c>
      <c r="F414" s="386" t="s">
        <v>1089</v>
      </c>
      <c r="G414" s="358" t="s">
        <v>1053</v>
      </c>
      <c r="H414" s="386" t="s">
        <v>891</v>
      </c>
      <c r="I414" s="357" t="s">
        <v>579</v>
      </c>
    </row>
    <row r="415" spans="2:11" ht="3.75" customHeight="1" x14ac:dyDescent="0.3">
      <c r="B415" s="401"/>
      <c r="E415" s="400"/>
      <c r="F415" s="386"/>
      <c r="G415" s="358"/>
      <c r="H415" s="386"/>
    </row>
    <row r="416" spans="2:11" x14ac:dyDescent="0.3">
      <c r="B416" s="401" t="s">
        <v>76</v>
      </c>
      <c r="E416" s="400">
        <v>41546</v>
      </c>
      <c r="F416" s="386" t="s">
        <v>1090</v>
      </c>
      <c r="G416" s="358" t="s">
        <v>1014</v>
      </c>
      <c r="H416" s="386" t="s">
        <v>1016</v>
      </c>
      <c r="I416" s="357" t="s">
        <v>796</v>
      </c>
    </row>
    <row r="417" spans="2:13" ht="3.75" customHeight="1" x14ac:dyDescent="0.3">
      <c r="B417" s="401"/>
      <c r="E417" s="400"/>
      <c r="F417" s="386"/>
      <c r="G417" s="358"/>
      <c r="H417" s="386"/>
    </row>
    <row r="418" spans="2:13" x14ac:dyDescent="0.3">
      <c r="B418" s="401" t="s">
        <v>735</v>
      </c>
      <c r="E418" s="400"/>
      <c r="F418" s="386" t="s">
        <v>190</v>
      </c>
      <c r="G418" s="358"/>
      <c r="H418" s="386"/>
    </row>
    <row r="419" spans="2:13" s="377" customFormat="1" ht="36.6" x14ac:dyDescent="0.85">
      <c r="B419" s="379"/>
      <c r="F419" s="381"/>
    </row>
    <row r="420" spans="2:13" s="377" customFormat="1" ht="21" x14ac:dyDescent="0.4">
      <c r="B420" s="381" t="s">
        <v>951</v>
      </c>
    </row>
    <row r="421" spans="2:13" s="377" customFormat="1" ht="7.5" customHeight="1" x14ac:dyDescent="0.3"/>
    <row r="422" spans="2:13" x14ac:dyDescent="0.3">
      <c r="B422" s="399" t="s">
        <v>204</v>
      </c>
      <c r="E422" s="400">
        <v>41322</v>
      </c>
      <c r="F422" s="386" t="s">
        <v>953</v>
      </c>
      <c r="G422" s="358" t="s">
        <v>931</v>
      </c>
      <c r="H422" s="386" t="s">
        <v>933</v>
      </c>
      <c r="I422" s="357" t="s">
        <v>796</v>
      </c>
      <c r="K422" s="357" t="s">
        <v>954</v>
      </c>
    </row>
    <row r="423" spans="2:13" ht="3.75" customHeight="1" x14ac:dyDescent="0.3">
      <c r="B423" s="399"/>
      <c r="E423" s="400"/>
      <c r="F423" s="386"/>
      <c r="G423" s="358"/>
      <c r="H423" s="386"/>
    </row>
    <row r="424" spans="2:13" x14ac:dyDescent="0.3">
      <c r="B424" s="399" t="s">
        <v>203</v>
      </c>
      <c r="E424" s="400">
        <v>41202</v>
      </c>
      <c r="F424" s="386" t="s">
        <v>955</v>
      </c>
      <c r="G424" s="358" t="s">
        <v>896</v>
      </c>
      <c r="H424" s="386" t="s">
        <v>897</v>
      </c>
      <c r="I424" s="357" t="s">
        <v>579</v>
      </c>
    </row>
    <row r="425" spans="2:13" ht="3.75" customHeight="1" x14ac:dyDescent="0.3">
      <c r="B425" s="401"/>
      <c r="E425" s="400"/>
      <c r="F425" s="386"/>
      <c r="G425" s="358"/>
      <c r="H425" s="386"/>
    </row>
    <row r="426" spans="2:13" x14ac:dyDescent="0.3">
      <c r="B426" s="399" t="s">
        <v>199</v>
      </c>
      <c r="E426" s="400">
        <v>41279</v>
      </c>
      <c r="F426" s="386" t="s">
        <v>956</v>
      </c>
      <c r="G426" s="358" t="s">
        <v>916</v>
      </c>
      <c r="H426" s="386" t="s">
        <v>245</v>
      </c>
      <c r="I426" s="357" t="s">
        <v>579</v>
      </c>
      <c r="K426" s="357" t="s">
        <v>957</v>
      </c>
    </row>
    <row r="427" spans="2:13" ht="3.75" customHeight="1" x14ac:dyDescent="0.3">
      <c r="B427" s="401"/>
      <c r="E427" s="402"/>
      <c r="F427" s="403"/>
      <c r="G427" s="404"/>
      <c r="H427" s="403"/>
      <c r="I427" s="405"/>
      <c r="J427" s="405"/>
      <c r="K427" s="405"/>
      <c r="L427" s="406"/>
      <c r="M427" s="406"/>
    </row>
    <row r="428" spans="2:13" x14ac:dyDescent="0.3">
      <c r="B428" s="399" t="s">
        <v>202</v>
      </c>
      <c r="E428" s="400">
        <v>41182</v>
      </c>
      <c r="F428" s="386" t="s">
        <v>958</v>
      </c>
      <c r="G428" s="358" t="s">
        <v>887</v>
      </c>
      <c r="H428" s="386" t="s">
        <v>888</v>
      </c>
      <c r="I428" s="357" t="s">
        <v>794</v>
      </c>
    </row>
    <row r="429" spans="2:13" ht="4.5" customHeight="1" x14ac:dyDescent="0.3">
      <c r="B429" s="401"/>
      <c r="E429" s="400"/>
      <c r="F429" s="386"/>
      <c r="G429" s="358"/>
      <c r="H429" s="386"/>
    </row>
    <row r="430" spans="2:13" x14ac:dyDescent="0.3">
      <c r="B430" s="399" t="s">
        <v>201</v>
      </c>
      <c r="E430" s="400">
        <v>41322</v>
      </c>
      <c r="F430" s="386" t="s">
        <v>959</v>
      </c>
      <c r="G430" s="358" t="s">
        <v>931</v>
      </c>
      <c r="H430" s="386" t="s">
        <v>933</v>
      </c>
      <c r="I430" s="357" t="s">
        <v>579</v>
      </c>
    </row>
    <row r="431" spans="2:13" ht="3.75" customHeight="1" x14ac:dyDescent="0.3">
      <c r="B431" s="399"/>
      <c r="E431" s="400"/>
      <c r="F431" s="386"/>
      <c r="G431" s="358"/>
      <c r="H431" s="386"/>
    </row>
    <row r="432" spans="2:13" x14ac:dyDescent="0.3">
      <c r="B432" s="401" t="s">
        <v>194</v>
      </c>
      <c r="E432" s="400">
        <v>41307</v>
      </c>
      <c r="F432" s="358">
        <v>7</v>
      </c>
      <c r="G432" s="358" t="s">
        <v>928</v>
      </c>
      <c r="H432" s="386" t="s">
        <v>929</v>
      </c>
      <c r="I432" s="357" t="s">
        <v>796</v>
      </c>
    </row>
    <row r="433" spans="2:11" ht="3.75" customHeight="1" x14ac:dyDescent="0.3">
      <c r="B433" s="401"/>
      <c r="E433" s="358"/>
      <c r="F433" s="386"/>
      <c r="G433" s="358"/>
      <c r="H433" s="386"/>
    </row>
    <row r="434" spans="2:11" x14ac:dyDescent="0.3">
      <c r="B434" s="401" t="s">
        <v>198</v>
      </c>
      <c r="E434" s="407">
        <v>41307</v>
      </c>
      <c r="F434" s="408" t="s">
        <v>960</v>
      </c>
      <c r="G434" s="409" t="s">
        <v>916</v>
      </c>
      <c r="H434" s="408" t="s">
        <v>161</v>
      </c>
      <c r="I434" s="410" t="s">
        <v>579</v>
      </c>
      <c r="J434" s="410"/>
      <c r="K434" s="410" t="s">
        <v>961</v>
      </c>
    </row>
    <row r="435" spans="2:11" ht="3.75" customHeight="1" x14ac:dyDescent="0.3">
      <c r="B435" s="401"/>
      <c r="E435" s="400"/>
      <c r="F435" s="386"/>
      <c r="G435" s="358"/>
      <c r="H435" s="386"/>
    </row>
    <row r="436" spans="2:11" x14ac:dyDescent="0.3">
      <c r="B436" s="401" t="s">
        <v>195</v>
      </c>
      <c r="E436" s="407">
        <v>41307</v>
      </c>
      <c r="F436" s="408" t="s">
        <v>962</v>
      </c>
      <c r="G436" s="409" t="s">
        <v>916</v>
      </c>
      <c r="H436" s="408" t="s">
        <v>161</v>
      </c>
      <c r="I436" s="410" t="s">
        <v>579</v>
      </c>
      <c r="J436" s="410"/>
      <c r="K436" s="410" t="s">
        <v>963</v>
      </c>
    </row>
    <row r="437" spans="2:11" x14ac:dyDescent="0.3">
      <c r="B437" s="401"/>
      <c r="E437" s="407">
        <v>41251</v>
      </c>
      <c r="F437" s="408" t="s">
        <v>964</v>
      </c>
      <c r="G437" s="409" t="s">
        <v>887</v>
      </c>
      <c r="H437" s="408" t="s">
        <v>914</v>
      </c>
      <c r="I437" s="357" t="s">
        <v>579</v>
      </c>
      <c r="J437" s="410"/>
      <c r="K437" s="410" t="s">
        <v>965</v>
      </c>
    </row>
    <row r="438" spans="2:11" ht="3.75" customHeight="1" x14ac:dyDescent="0.3">
      <c r="B438" s="401"/>
      <c r="E438" s="400"/>
      <c r="F438" s="386"/>
      <c r="G438" s="358"/>
      <c r="H438" s="386"/>
    </row>
    <row r="439" spans="2:11" x14ac:dyDescent="0.3">
      <c r="B439" s="401" t="s">
        <v>197</v>
      </c>
      <c r="E439" s="400">
        <v>41322</v>
      </c>
      <c r="F439" s="386" t="s">
        <v>966</v>
      </c>
      <c r="G439" s="358" t="s">
        <v>931</v>
      </c>
      <c r="H439" s="386" t="s">
        <v>933</v>
      </c>
      <c r="I439" s="357" t="s">
        <v>579</v>
      </c>
    </row>
    <row r="440" spans="2:11" ht="3.75" customHeight="1" x14ac:dyDescent="0.3">
      <c r="B440" s="401"/>
      <c r="E440" s="400"/>
      <c r="F440" s="386"/>
      <c r="G440" s="358"/>
      <c r="H440" s="386"/>
    </row>
    <row r="441" spans="2:11" x14ac:dyDescent="0.3">
      <c r="B441" s="401" t="s">
        <v>196</v>
      </c>
      <c r="E441" s="400">
        <v>41307</v>
      </c>
      <c r="F441" s="411" t="s">
        <v>129</v>
      </c>
      <c r="G441" s="358" t="s">
        <v>928</v>
      </c>
      <c r="H441" s="386" t="s">
        <v>929</v>
      </c>
      <c r="I441" s="357" t="s">
        <v>796</v>
      </c>
    </row>
    <row r="442" spans="2:11" ht="3.75" customHeight="1" x14ac:dyDescent="0.3">
      <c r="B442" s="401"/>
      <c r="E442" s="358"/>
      <c r="F442" s="386"/>
      <c r="G442" s="358"/>
      <c r="H442" s="386"/>
    </row>
    <row r="443" spans="2:11" x14ac:dyDescent="0.3">
      <c r="B443" s="401" t="s">
        <v>77</v>
      </c>
      <c r="E443" s="400">
        <v>41322</v>
      </c>
      <c r="F443" s="386" t="s">
        <v>967</v>
      </c>
      <c r="G443" s="358" t="s">
        <v>931</v>
      </c>
      <c r="H443" s="386" t="s">
        <v>933</v>
      </c>
      <c r="I443" s="357" t="s">
        <v>579</v>
      </c>
    </row>
    <row r="444" spans="2:11" ht="3.75" customHeight="1" x14ac:dyDescent="0.3">
      <c r="B444" s="401"/>
      <c r="E444" s="400"/>
      <c r="F444" s="386"/>
      <c r="G444" s="358"/>
      <c r="H444" s="386"/>
    </row>
    <row r="445" spans="2:11" x14ac:dyDescent="0.3">
      <c r="B445" s="401" t="s">
        <v>76</v>
      </c>
      <c r="E445" s="400">
        <v>41307</v>
      </c>
      <c r="F445" s="386" t="s">
        <v>968</v>
      </c>
      <c r="G445" s="358" t="s">
        <v>928</v>
      </c>
      <c r="H445" s="386" t="s">
        <v>929</v>
      </c>
      <c r="I445" s="357" t="s">
        <v>796</v>
      </c>
    </row>
    <row r="446" spans="2:11" ht="3.75" customHeight="1" x14ac:dyDescent="0.3">
      <c r="B446" s="401"/>
      <c r="E446" s="400"/>
      <c r="F446" s="386"/>
      <c r="G446" s="358"/>
      <c r="H446" s="386"/>
    </row>
    <row r="447" spans="2:11" x14ac:dyDescent="0.3">
      <c r="B447" s="401" t="s">
        <v>735</v>
      </c>
      <c r="E447" s="400"/>
      <c r="F447" s="386" t="s">
        <v>170</v>
      </c>
      <c r="G447" s="358"/>
      <c r="H447" s="386"/>
    </row>
    <row r="448" spans="2:11" s="377" customFormat="1" ht="36.6" x14ac:dyDescent="0.85">
      <c r="B448" s="379"/>
      <c r="F448" s="381"/>
    </row>
    <row r="449" spans="2:13" s="377" customFormat="1" ht="21" x14ac:dyDescent="0.4">
      <c r="B449" s="381" t="s">
        <v>846</v>
      </c>
    </row>
    <row r="450" spans="2:13" s="377" customFormat="1" ht="7.5" customHeight="1" x14ac:dyDescent="0.3"/>
    <row r="451" spans="2:13" x14ac:dyDescent="0.3">
      <c r="B451" s="399" t="s">
        <v>204</v>
      </c>
      <c r="E451" s="400">
        <v>40859</v>
      </c>
      <c r="F451" s="386" t="s">
        <v>849</v>
      </c>
      <c r="G451" s="358" t="s">
        <v>789</v>
      </c>
      <c r="H451" s="386" t="s">
        <v>824</v>
      </c>
      <c r="I451" s="357" t="s">
        <v>796</v>
      </c>
      <c r="K451" s="357" t="s">
        <v>847</v>
      </c>
    </row>
    <row r="452" spans="2:13" ht="3.75" customHeight="1" x14ac:dyDescent="0.3">
      <c r="B452" s="399"/>
      <c r="E452" s="400"/>
      <c r="F452" s="386"/>
      <c r="G452" s="358"/>
      <c r="H452" s="386"/>
    </row>
    <row r="453" spans="2:13" x14ac:dyDescent="0.3">
      <c r="B453" s="399" t="s">
        <v>203</v>
      </c>
      <c r="E453" s="400">
        <v>40971</v>
      </c>
      <c r="F453" s="386" t="s">
        <v>848</v>
      </c>
      <c r="G453" s="358" t="s">
        <v>816</v>
      </c>
      <c r="H453" s="386" t="s">
        <v>577</v>
      </c>
      <c r="I453" s="357" t="s">
        <v>794</v>
      </c>
    </row>
    <row r="454" spans="2:13" ht="3.75" customHeight="1" x14ac:dyDescent="0.3">
      <c r="B454" s="401"/>
      <c r="E454" s="400"/>
      <c r="F454" s="386"/>
      <c r="G454" s="358"/>
      <c r="H454" s="386"/>
    </row>
    <row r="455" spans="2:13" x14ac:dyDescent="0.3">
      <c r="B455" s="399" t="s">
        <v>199</v>
      </c>
      <c r="E455" s="400">
        <v>40985</v>
      </c>
      <c r="F455" s="386" t="s">
        <v>850</v>
      </c>
      <c r="G455" s="358" t="s">
        <v>30</v>
      </c>
      <c r="H455" s="386" t="s">
        <v>565</v>
      </c>
      <c r="I455" s="357" t="s">
        <v>242</v>
      </c>
      <c r="K455" s="357" t="s">
        <v>847</v>
      </c>
    </row>
    <row r="456" spans="2:13" ht="3.75" customHeight="1" x14ac:dyDescent="0.3">
      <c r="B456" s="401"/>
      <c r="E456" s="402"/>
      <c r="F456" s="403"/>
      <c r="G456" s="404"/>
      <c r="H456" s="403"/>
      <c r="I456" s="405"/>
      <c r="J456" s="405"/>
      <c r="K456" s="405"/>
      <c r="L456" s="406"/>
      <c r="M456" s="406"/>
    </row>
    <row r="457" spans="2:13" x14ac:dyDescent="0.3">
      <c r="B457" s="399" t="s">
        <v>202</v>
      </c>
      <c r="E457" s="400">
        <v>40811</v>
      </c>
      <c r="F457" s="386" t="s">
        <v>851</v>
      </c>
      <c r="G457" s="358" t="s">
        <v>777</v>
      </c>
      <c r="H457" s="386" t="s">
        <v>164</v>
      </c>
      <c r="I457" s="357" t="s">
        <v>796</v>
      </c>
    </row>
    <row r="458" spans="2:13" ht="4.5" customHeight="1" x14ac:dyDescent="0.3">
      <c r="B458" s="401"/>
      <c r="E458" s="400"/>
      <c r="F458" s="386"/>
      <c r="G458" s="358"/>
      <c r="H458" s="386"/>
    </row>
    <row r="459" spans="2:13" x14ac:dyDescent="0.3">
      <c r="B459" s="399" t="s">
        <v>201</v>
      </c>
      <c r="E459" s="400">
        <v>40838</v>
      </c>
      <c r="F459" s="386" t="s">
        <v>13</v>
      </c>
      <c r="G459" s="358" t="s">
        <v>787</v>
      </c>
      <c r="H459" s="386" t="s">
        <v>574</v>
      </c>
      <c r="I459" s="357" t="s">
        <v>794</v>
      </c>
    </row>
    <row r="460" spans="2:13" ht="3.75" customHeight="1" x14ac:dyDescent="0.3">
      <c r="B460" s="399"/>
      <c r="E460" s="400"/>
      <c r="F460" s="386"/>
      <c r="G460" s="358"/>
      <c r="H460" s="386"/>
    </row>
    <row r="461" spans="2:13" x14ac:dyDescent="0.3">
      <c r="B461" s="401" t="s">
        <v>194</v>
      </c>
      <c r="E461" s="400">
        <v>40811</v>
      </c>
      <c r="F461" s="358">
        <v>9</v>
      </c>
      <c r="G461" s="358" t="s">
        <v>780</v>
      </c>
      <c r="H461" s="386" t="s">
        <v>781</v>
      </c>
      <c r="I461" s="357" t="s">
        <v>796</v>
      </c>
    </row>
    <row r="462" spans="2:13" ht="3.75" customHeight="1" x14ac:dyDescent="0.3">
      <c r="B462" s="401"/>
      <c r="E462" s="358"/>
      <c r="F462" s="386"/>
      <c r="G462" s="358"/>
      <c r="H462" s="386"/>
    </row>
    <row r="463" spans="2:13" x14ac:dyDescent="0.3">
      <c r="B463" s="401" t="s">
        <v>198</v>
      </c>
      <c r="E463" s="407">
        <v>40873</v>
      </c>
      <c r="F463" s="408" t="s">
        <v>852</v>
      </c>
      <c r="G463" s="409" t="s">
        <v>790</v>
      </c>
      <c r="H463" s="408" t="s">
        <v>245</v>
      </c>
      <c r="I463" s="410" t="s">
        <v>794</v>
      </c>
      <c r="J463" s="410"/>
      <c r="K463" s="410" t="s">
        <v>853</v>
      </c>
    </row>
    <row r="464" spans="2:13" x14ac:dyDescent="0.3">
      <c r="B464" s="401"/>
      <c r="E464" s="407">
        <v>40915</v>
      </c>
      <c r="F464" s="408" t="s">
        <v>854</v>
      </c>
      <c r="G464" s="409" t="s">
        <v>806</v>
      </c>
      <c r="H464" s="408" t="s">
        <v>715</v>
      </c>
      <c r="I464" s="410" t="s">
        <v>796</v>
      </c>
      <c r="J464" s="410"/>
      <c r="K464" s="410" t="s">
        <v>855</v>
      </c>
    </row>
    <row r="465" spans="2:11" ht="3.75" customHeight="1" x14ac:dyDescent="0.3">
      <c r="B465" s="401"/>
      <c r="E465" s="400"/>
      <c r="F465" s="386"/>
      <c r="G465" s="358"/>
      <c r="H465" s="386"/>
    </row>
    <row r="466" spans="2:11" x14ac:dyDescent="0.3">
      <c r="B466" s="401" t="s">
        <v>195</v>
      </c>
      <c r="E466" s="407">
        <v>40873</v>
      </c>
      <c r="F466" s="408" t="s">
        <v>270</v>
      </c>
      <c r="G466" s="409" t="s">
        <v>790</v>
      </c>
      <c r="H466" s="408" t="s">
        <v>245</v>
      </c>
      <c r="I466" s="357" t="s">
        <v>794</v>
      </c>
      <c r="J466" s="410"/>
      <c r="K466" s="410" t="s">
        <v>856</v>
      </c>
    </row>
    <row r="467" spans="2:11" ht="3.75" customHeight="1" x14ac:dyDescent="0.3">
      <c r="B467" s="401"/>
      <c r="E467" s="400"/>
      <c r="F467" s="386"/>
      <c r="G467" s="358"/>
      <c r="H467" s="386"/>
    </row>
    <row r="468" spans="2:11" x14ac:dyDescent="0.3">
      <c r="B468" s="401" t="s">
        <v>197</v>
      </c>
      <c r="E468" s="400">
        <v>40971</v>
      </c>
      <c r="F468" s="386" t="s">
        <v>573</v>
      </c>
      <c r="G468" s="358" t="s">
        <v>816</v>
      </c>
      <c r="H468" s="386" t="s">
        <v>577</v>
      </c>
      <c r="I468" s="357" t="s">
        <v>794</v>
      </c>
    </row>
    <row r="469" spans="2:11" x14ac:dyDescent="0.3">
      <c r="B469" s="401"/>
      <c r="E469" s="400">
        <v>40838</v>
      </c>
      <c r="F469" s="386" t="s">
        <v>573</v>
      </c>
      <c r="G469" s="358" t="s">
        <v>787</v>
      </c>
      <c r="H469" s="386" t="s">
        <v>574</v>
      </c>
      <c r="I469" s="357" t="s">
        <v>794</v>
      </c>
    </row>
    <row r="470" spans="2:11" ht="3.75" customHeight="1" x14ac:dyDescent="0.3">
      <c r="B470" s="401"/>
      <c r="E470" s="400"/>
      <c r="F470" s="386"/>
      <c r="G470" s="358"/>
      <c r="H470" s="386"/>
    </row>
    <row r="471" spans="2:11" x14ac:dyDescent="0.3">
      <c r="B471" s="401" t="s">
        <v>196</v>
      </c>
      <c r="E471" s="400">
        <v>40873</v>
      </c>
      <c r="F471" s="411" t="s">
        <v>129</v>
      </c>
      <c r="G471" s="358" t="s">
        <v>596</v>
      </c>
      <c r="H471" s="386" t="s">
        <v>857</v>
      </c>
      <c r="I471" s="357" t="s">
        <v>794</v>
      </c>
    </row>
    <row r="472" spans="2:11" x14ac:dyDescent="0.3">
      <c r="B472" s="401"/>
      <c r="E472" s="400">
        <v>40943</v>
      </c>
      <c r="F472" s="411" t="s">
        <v>172</v>
      </c>
      <c r="G472" s="358" t="s">
        <v>811</v>
      </c>
      <c r="H472" s="386" t="s">
        <v>574</v>
      </c>
      <c r="I472" s="357" t="s">
        <v>794</v>
      </c>
    </row>
    <row r="473" spans="2:11" ht="3.75" customHeight="1" x14ac:dyDescent="0.3">
      <c r="B473" s="401"/>
      <c r="E473" s="358"/>
      <c r="F473" s="386"/>
      <c r="G473" s="358"/>
      <c r="H473" s="386"/>
    </row>
    <row r="474" spans="2:11" x14ac:dyDescent="0.3">
      <c r="B474" s="401" t="s">
        <v>77</v>
      </c>
      <c r="E474" s="400">
        <v>40971</v>
      </c>
      <c r="F474" s="386" t="s">
        <v>858</v>
      </c>
      <c r="G474" s="358" t="s">
        <v>816</v>
      </c>
      <c r="H474" s="386" t="s">
        <v>577</v>
      </c>
      <c r="I474" s="357" t="s">
        <v>794</v>
      </c>
    </row>
    <row r="475" spans="2:11" ht="3.75" customHeight="1" x14ac:dyDescent="0.3">
      <c r="B475" s="401"/>
      <c r="E475" s="400"/>
      <c r="F475" s="386"/>
      <c r="G475" s="358"/>
      <c r="H475" s="386"/>
    </row>
    <row r="476" spans="2:11" x14ac:dyDescent="0.3">
      <c r="B476" s="401" t="s">
        <v>76</v>
      </c>
      <c r="E476" s="400">
        <v>40811</v>
      </c>
      <c r="F476" s="386" t="s">
        <v>134</v>
      </c>
      <c r="G476" s="358" t="s">
        <v>780</v>
      </c>
      <c r="H476" s="386" t="s">
        <v>781</v>
      </c>
      <c r="I476" s="357" t="s">
        <v>796</v>
      </c>
    </row>
    <row r="477" spans="2:11" ht="3.75" customHeight="1" x14ac:dyDescent="0.3">
      <c r="B477" s="401"/>
      <c r="E477" s="400"/>
      <c r="F477" s="386"/>
      <c r="G477" s="358"/>
      <c r="H477" s="386"/>
    </row>
    <row r="478" spans="2:11" x14ac:dyDescent="0.3">
      <c r="B478" s="401" t="s">
        <v>735</v>
      </c>
      <c r="E478" s="400"/>
      <c r="F478" s="386" t="s">
        <v>12</v>
      </c>
      <c r="G478" s="358"/>
      <c r="H478" s="386"/>
    </row>
    <row r="479" spans="2:11" s="377" customFormat="1" ht="36.6" x14ac:dyDescent="0.85">
      <c r="B479" s="379"/>
      <c r="F479" s="381"/>
    </row>
    <row r="480" spans="2:11" s="377" customFormat="1" ht="21" x14ac:dyDescent="0.4">
      <c r="B480" s="381" t="s">
        <v>711</v>
      </c>
    </row>
    <row r="481" spans="2:13" s="377" customFormat="1" ht="7.5" customHeight="1" x14ac:dyDescent="0.3"/>
    <row r="482" spans="2:13" x14ac:dyDescent="0.3">
      <c r="B482" s="399" t="s">
        <v>204</v>
      </c>
      <c r="E482" s="400">
        <v>40572</v>
      </c>
      <c r="F482" s="386" t="s">
        <v>725</v>
      </c>
      <c r="G482" s="358" t="s">
        <v>653</v>
      </c>
      <c r="H482" s="386" t="s">
        <v>508</v>
      </c>
      <c r="I482" s="357" t="s">
        <v>719</v>
      </c>
      <c r="K482" s="357" t="s">
        <v>726</v>
      </c>
    </row>
    <row r="483" spans="2:13" ht="3.75" customHeight="1" x14ac:dyDescent="0.3">
      <c r="B483" s="399"/>
      <c r="E483" s="400"/>
      <c r="F483" s="386"/>
      <c r="G483" s="358"/>
      <c r="H483" s="386"/>
    </row>
    <row r="484" spans="2:13" x14ac:dyDescent="0.3">
      <c r="B484" s="399" t="s">
        <v>203</v>
      </c>
      <c r="E484" s="400">
        <v>40614</v>
      </c>
      <c r="F484" s="386" t="s">
        <v>727</v>
      </c>
      <c r="G484" s="358" t="s">
        <v>664</v>
      </c>
      <c r="H484" s="386" t="s">
        <v>715</v>
      </c>
      <c r="I484" s="357" t="s">
        <v>728</v>
      </c>
    </row>
    <row r="485" spans="2:13" ht="3.75" customHeight="1" x14ac:dyDescent="0.3">
      <c r="B485" s="401"/>
      <c r="E485" s="400"/>
      <c r="F485" s="386"/>
      <c r="G485" s="358"/>
      <c r="H485" s="386"/>
    </row>
    <row r="486" spans="2:13" x14ac:dyDescent="0.3">
      <c r="B486" s="399" t="s">
        <v>199</v>
      </c>
      <c r="E486" s="400">
        <v>40440</v>
      </c>
      <c r="F486" s="386" t="s">
        <v>732</v>
      </c>
      <c r="G486" s="358" t="s">
        <v>615</v>
      </c>
      <c r="H486" s="386" t="s">
        <v>37</v>
      </c>
      <c r="I486" s="357" t="s">
        <v>731</v>
      </c>
      <c r="K486" s="357" t="s">
        <v>733</v>
      </c>
    </row>
    <row r="487" spans="2:13" ht="3.75" customHeight="1" x14ac:dyDescent="0.3">
      <c r="B487" s="401"/>
      <c r="E487" s="402"/>
      <c r="F487" s="403"/>
      <c r="G487" s="404"/>
      <c r="H487" s="403"/>
      <c r="I487" s="405"/>
      <c r="J487" s="405"/>
      <c r="K487" s="405"/>
      <c r="L487" s="406"/>
      <c r="M487" s="406"/>
    </row>
    <row r="488" spans="2:13" x14ac:dyDescent="0.3">
      <c r="B488" s="399" t="s">
        <v>202</v>
      </c>
      <c r="E488" s="400">
        <v>40552</v>
      </c>
      <c r="F488" s="386" t="s">
        <v>729</v>
      </c>
      <c r="G488" s="358" t="s">
        <v>644</v>
      </c>
      <c r="H488" s="386" t="s">
        <v>730</v>
      </c>
      <c r="I488" s="357" t="s">
        <v>731</v>
      </c>
    </row>
    <row r="489" spans="2:13" ht="4.5" customHeight="1" x14ac:dyDescent="0.3">
      <c r="B489" s="401"/>
      <c r="E489" s="400"/>
      <c r="F489" s="386"/>
      <c r="G489" s="358"/>
      <c r="H489" s="386"/>
    </row>
    <row r="490" spans="2:13" x14ac:dyDescent="0.3">
      <c r="B490" s="399" t="s">
        <v>201</v>
      </c>
      <c r="E490" s="400">
        <v>40502</v>
      </c>
      <c r="F490" s="386" t="s">
        <v>138</v>
      </c>
      <c r="G490" s="358" t="s">
        <v>631</v>
      </c>
      <c r="H490" s="386" t="s">
        <v>712</v>
      </c>
      <c r="I490" s="357" t="s">
        <v>246</v>
      </c>
    </row>
    <row r="491" spans="2:13" ht="3.75" customHeight="1" x14ac:dyDescent="0.3">
      <c r="B491" s="399"/>
      <c r="E491" s="400"/>
      <c r="F491" s="386"/>
      <c r="G491" s="358"/>
      <c r="H491" s="386"/>
    </row>
    <row r="492" spans="2:13" x14ac:dyDescent="0.3">
      <c r="B492" s="401" t="s">
        <v>194</v>
      </c>
      <c r="E492" s="400">
        <v>40635</v>
      </c>
      <c r="F492" s="358">
        <v>10</v>
      </c>
      <c r="G492" s="358" t="s">
        <v>671</v>
      </c>
      <c r="H492" s="386" t="s">
        <v>767</v>
      </c>
      <c r="I492" s="357" t="s">
        <v>246</v>
      </c>
    </row>
    <row r="493" spans="2:13" x14ac:dyDescent="0.3">
      <c r="B493" s="401"/>
      <c r="E493" s="412">
        <v>40502</v>
      </c>
      <c r="F493" s="413" t="s">
        <v>189</v>
      </c>
      <c r="G493" s="414" t="s">
        <v>634</v>
      </c>
      <c r="H493" s="413" t="s">
        <v>40</v>
      </c>
      <c r="I493" s="415" t="s">
        <v>246</v>
      </c>
    </row>
    <row r="494" spans="2:13" x14ac:dyDescent="0.3">
      <c r="B494" s="401"/>
      <c r="E494" s="412">
        <v>40552</v>
      </c>
      <c r="F494" s="413" t="s">
        <v>189</v>
      </c>
      <c r="G494" s="414" t="s">
        <v>648</v>
      </c>
      <c r="H494" s="413" t="s">
        <v>713</v>
      </c>
      <c r="I494" s="415" t="s">
        <v>731</v>
      </c>
    </row>
    <row r="495" spans="2:13" ht="3.75" customHeight="1" x14ac:dyDescent="0.3">
      <c r="B495" s="401"/>
      <c r="E495" s="358"/>
      <c r="F495" s="386"/>
      <c r="G495" s="358"/>
      <c r="H495" s="386"/>
    </row>
    <row r="496" spans="2:13" x14ac:dyDescent="0.3">
      <c r="B496" s="401" t="s">
        <v>198</v>
      </c>
      <c r="E496" s="407">
        <v>40593</v>
      </c>
      <c r="F496" s="408" t="s">
        <v>714</v>
      </c>
      <c r="G496" s="409" t="s">
        <v>659</v>
      </c>
      <c r="H496" s="408" t="s">
        <v>715</v>
      </c>
      <c r="I496" s="410" t="s">
        <v>246</v>
      </c>
      <c r="J496" s="410"/>
      <c r="K496" s="410" t="s">
        <v>716</v>
      </c>
    </row>
    <row r="497" spans="2:11" ht="3.75" customHeight="1" x14ac:dyDescent="0.3">
      <c r="B497" s="401"/>
      <c r="E497" s="400"/>
      <c r="F497" s="386"/>
      <c r="G497" s="358"/>
      <c r="H497" s="386"/>
    </row>
    <row r="498" spans="2:11" x14ac:dyDescent="0.3">
      <c r="B498" s="401" t="s">
        <v>195</v>
      </c>
      <c r="E498" s="407">
        <v>40552</v>
      </c>
      <c r="F498" s="408" t="s">
        <v>717</v>
      </c>
      <c r="G498" s="409" t="s">
        <v>648</v>
      </c>
      <c r="H498" s="408" t="s">
        <v>713</v>
      </c>
      <c r="I498" s="357" t="s">
        <v>731</v>
      </c>
      <c r="J498" s="410"/>
      <c r="K498" s="410" t="s">
        <v>718</v>
      </c>
    </row>
    <row r="499" spans="2:11" x14ac:dyDescent="0.3">
      <c r="B499" s="401"/>
      <c r="E499" s="407">
        <v>40572</v>
      </c>
      <c r="F499" s="408" t="s">
        <v>717</v>
      </c>
      <c r="G499" s="409" t="s">
        <v>621</v>
      </c>
      <c r="H499" s="408" t="s">
        <v>260</v>
      </c>
      <c r="I499" s="410" t="s">
        <v>719</v>
      </c>
      <c r="J499" s="410"/>
      <c r="K499" s="410" t="s">
        <v>720</v>
      </c>
    </row>
    <row r="500" spans="2:11" x14ac:dyDescent="0.3">
      <c r="B500" s="401"/>
      <c r="E500" s="407">
        <v>40635</v>
      </c>
      <c r="F500" s="408" t="s">
        <v>717</v>
      </c>
      <c r="G500" s="409" t="s">
        <v>670</v>
      </c>
      <c r="H500" s="408" t="s">
        <v>768</v>
      </c>
      <c r="I500" s="410" t="s">
        <v>246</v>
      </c>
      <c r="J500" s="410"/>
      <c r="K500" s="410" t="s">
        <v>265</v>
      </c>
    </row>
    <row r="501" spans="2:11" ht="3.75" customHeight="1" x14ac:dyDescent="0.3">
      <c r="B501" s="401"/>
      <c r="E501" s="400"/>
      <c r="F501" s="386"/>
      <c r="G501" s="358"/>
      <c r="H501" s="386"/>
    </row>
    <row r="502" spans="2:11" x14ac:dyDescent="0.3">
      <c r="B502" s="401" t="s">
        <v>197</v>
      </c>
      <c r="E502" s="400">
        <v>40502</v>
      </c>
      <c r="F502" s="386" t="s">
        <v>721</v>
      </c>
      <c r="G502" s="358" t="s">
        <v>631</v>
      </c>
      <c r="H502" s="386" t="s">
        <v>712</v>
      </c>
      <c r="I502" s="357" t="s">
        <v>246</v>
      </c>
    </row>
    <row r="503" spans="2:11" x14ac:dyDescent="0.3">
      <c r="B503" s="401"/>
      <c r="E503" s="400">
        <v>40502</v>
      </c>
      <c r="F503" s="386" t="s">
        <v>171</v>
      </c>
      <c r="G503" s="358" t="s">
        <v>670</v>
      </c>
      <c r="H503" s="386" t="s">
        <v>768</v>
      </c>
      <c r="I503" s="357" t="s">
        <v>246</v>
      </c>
    </row>
    <row r="504" spans="2:11" ht="3.75" customHeight="1" x14ac:dyDescent="0.3">
      <c r="B504" s="401"/>
      <c r="E504" s="400"/>
      <c r="F504" s="386"/>
      <c r="G504" s="358"/>
      <c r="H504" s="386"/>
    </row>
    <row r="505" spans="2:11" x14ac:dyDescent="0.3">
      <c r="B505" s="401" t="s">
        <v>196</v>
      </c>
      <c r="E505" s="400">
        <v>40270</v>
      </c>
      <c r="F505" s="411" t="s">
        <v>572</v>
      </c>
      <c r="G505" s="358" t="s">
        <v>671</v>
      </c>
      <c r="H505" s="386" t="s">
        <v>767</v>
      </c>
      <c r="I505" s="357" t="s">
        <v>246</v>
      </c>
    </row>
    <row r="506" spans="2:11" x14ac:dyDescent="0.3">
      <c r="B506" s="401"/>
      <c r="E506" s="412">
        <v>40502</v>
      </c>
      <c r="F506" s="416" t="s">
        <v>722</v>
      </c>
      <c r="G506" s="414" t="s">
        <v>634</v>
      </c>
      <c r="H506" s="413" t="s">
        <v>40</v>
      </c>
      <c r="I506" s="415" t="s">
        <v>246</v>
      </c>
    </row>
    <row r="507" spans="2:11" x14ac:dyDescent="0.3">
      <c r="B507" s="401"/>
      <c r="E507" s="412">
        <v>40552</v>
      </c>
      <c r="F507" s="413" t="s">
        <v>723</v>
      </c>
      <c r="G507" s="414" t="s">
        <v>648</v>
      </c>
      <c r="H507" s="413" t="s">
        <v>713</v>
      </c>
      <c r="I507" s="415" t="s">
        <v>731</v>
      </c>
    </row>
    <row r="508" spans="2:11" x14ac:dyDescent="0.3">
      <c r="B508" s="401"/>
      <c r="E508" s="412">
        <v>40552</v>
      </c>
      <c r="F508" s="413" t="s">
        <v>723</v>
      </c>
      <c r="G508" s="414" t="s">
        <v>644</v>
      </c>
      <c r="H508" s="413" t="s">
        <v>724</v>
      </c>
      <c r="I508" s="415" t="s">
        <v>731</v>
      </c>
    </row>
    <row r="509" spans="2:11" x14ac:dyDescent="0.3">
      <c r="B509" s="401"/>
      <c r="E509" s="417">
        <v>40593</v>
      </c>
      <c r="F509" s="413" t="s">
        <v>723</v>
      </c>
      <c r="G509" s="418" t="s">
        <v>659</v>
      </c>
      <c r="H509" s="419" t="s">
        <v>715</v>
      </c>
      <c r="I509" s="420" t="s">
        <v>246</v>
      </c>
    </row>
    <row r="510" spans="2:11" ht="3.75" customHeight="1" x14ac:dyDescent="0.3">
      <c r="B510" s="401"/>
      <c r="E510" s="358"/>
      <c r="F510" s="386"/>
      <c r="G510" s="358"/>
      <c r="H510" s="386"/>
    </row>
    <row r="511" spans="2:11" x14ac:dyDescent="0.3">
      <c r="B511" s="401" t="s">
        <v>77</v>
      </c>
      <c r="E511" s="400">
        <v>40502</v>
      </c>
      <c r="F511" s="386" t="s">
        <v>170</v>
      </c>
      <c r="G511" s="358" t="s">
        <v>631</v>
      </c>
      <c r="H511" s="386" t="s">
        <v>712</v>
      </c>
      <c r="I511" s="357" t="s">
        <v>246</v>
      </c>
    </row>
    <row r="512" spans="2:11" ht="3.75" customHeight="1" x14ac:dyDescent="0.3">
      <c r="B512" s="401"/>
      <c r="E512" s="400"/>
      <c r="F512" s="386"/>
      <c r="G512" s="358"/>
      <c r="H512" s="386"/>
    </row>
    <row r="513" spans="2:9" x14ac:dyDescent="0.3">
      <c r="B513" s="401" t="s">
        <v>76</v>
      </c>
      <c r="E513" s="400">
        <v>40502</v>
      </c>
      <c r="F513" s="386" t="s">
        <v>176</v>
      </c>
      <c r="G513" s="358" t="s">
        <v>634</v>
      </c>
      <c r="H513" s="386" t="s">
        <v>40</v>
      </c>
      <c r="I513" s="357" t="s">
        <v>246</v>
      </c>
    </row>
    <row r="514" spans="2:9" x14ac:dyDescent="0.3">
      <c r="B514" s="401"/>
      <c r="E514" s="400">
        <v>40270</v>
      </c>
      <c r="F514" s="411" t="s">
        <v>176</v>
      </c>
      <c r="G514" s="358" t="s">
        <v>671</v>
      </c>
      <c r="H514" s="386" t="s">
        <v>767</v>
      </c>
      <c r="I514" s="357" t="s">
        <v>246</v>
      </c>
    </row>
    <row r="515" spans="2:9" ht="3.75" customHeight="1" x14ac:dyDescent="0.3">
      <c r="B515" s="401"/>
      <c r="E515" s="400"/>
      <c r="F515" s="386"/>
      <c r="G515" s="358"/>
      <c r="H515" s="386"/>
    </row>
    <row r="516" spans="2:9" x14ac:dyDescent="0.3">
      <c r="B516" s="401" t="s">
        <v>735</v>
      </c>
      <c r="E516" s="400"/>
      <c r="F516" s="386" t="s">
        <v>114</v>
      </c>
      <c r="G516" s="358"/>
      <c r="H516" s="386"/>
    </row>
  </sheetData>
  <phoneticPr fontId="10" type="noConversion"/>
  <pageMargins left="0.25" right="0.25" top="0.75" bottom="0.75" header="0.3" footer="0.3"/>
  <pageSetup paperSize="9" scale="14" orientation="landscape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478" max="16383" man="1"/>
  </rowBreaks>
  <ignoredErrors>
    <ignoredError sqref="F490 F493:F494 F511 F513:F514 F459 F474 F476 F478 F516 F402 F371 F335:F336 F350:F351 F353:F355 F357 F390 F387:F388 F385 F130 F108 F110:F111 F73" numberStoredAsText="1"/>
    <ignoredError sqref="F453 F327 F87" twoDigitTextYear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B2:P838"/>
  <sheetViews>
    <sheetView zoomScale="160" zoomScaleNormal="160" workbookViewId="0">
      <selection activeCell="C838" sqref="C838"/>
    </sheetView>
  </sheetViews>
  <sheetFormatPr defaultColWidth="12.33203125" defaultRowHeight="15" customHeight="1" x14ac:dyDescent="0.3"/>
  <cols>
    <col min="1" max="1" width="2.88671875" style="357" customWidth="1"/>
    <col min="2" max="2" width="8.109375" style="357" customWidth="1"/>
    <col min="3" max="3" width="11.88671875" style="357" customWidth="1"/>
    <col min="4" max="4" width="13.44140625" style="357" customWidth="1"/>
    <col min="5" max="5" width="21" style="357" customWidth="1"/>
    <col min="6" max="6" width="9.33203125" style="377" customWidth="1"/>
    <col min="7" max="7" width="14.44140625" style="357" customWidth="1"/>
    <col min="8" max="8" width="15.6640625" style="357" customWidth="1"/>
    <col min="9" max="9" width="21.109375" style="377" customWidth="1"/>
    <col min="10" max="10" width="24.44140625" style="357" customWidth="1"/>
    <col min="11" max="11" width="25.6640625" style="357" customWidth="1"/>
    <col min="12" max="12" width="12" style="357" customWidth="1"/>
    <col min="13" max="13" width="16.109375" style="357" customWidth="1"/>
    <col min="14" max="14" width="18.6640625" style="357" customWidth="1"/>
    <col min="15" max="15" width="10.5546875" style="357" customWidth="1"/>
    <col min="16" max="16384" width="12.33203125" style="357"/>
  </cols>
  <sheetData>
    <row r="2" spans="2:10" s="377" customFormat="1" ht="36.6" x14ac:dyDescent="0.85">
      <c r="B2" s="379" t="s">
        <v>0</v>
      </c>
      <c r="G2" s="381" t="s">
        <v>15</v>
      </c>
    </row>
    <row r="3" spans="2:10" s="377" customFormat="1" ht="15" customHeight="1" x14ac:dyDescent="0.4">
      <c r="B3" s="381"/>
    </row>
    <row r="4" spans="2:10" s="377" customFormat="1" ht="15" customHeight="1" x14ac:dyDescent="0.35">
      <c r="B4" s="584" t="s">
        <v>1</v>
      </c>
    </row>
    <row r="5" spans="2:10" s="377" customFormat="1" ht="15" customHeight="1" x14ac:dyDescent="0.3"/>
    <row r="6" spans="2:10" ht="15" customHeight="1" x14ac:dyDescent="0.3">
      <c r="B6" s="585" t="s">
        <v>205</v>
      </c>
      <c r="F6" s="386" t="s">
        <v>1686</v>
      </c>
      <c r="G6" s="386"/>
      <c r="H6" s="358"/>
      <c r="I6" s="386"/>
      <c r="J6" s="358"/>
    </row>
    <row r="7" spans="2:10" ht="15" customHeight="1" x14ac:dyDescent="0.3">
      <c r="B7" s="585"/>
      <c r="F7" s="386"/>
      <c r="G7" s="386"/>
      <c r="H7" s="358"/>
      <c r="I7" s="386"/>
      <c r="J7" s="358"/>
    </row>
    <row r="8" spans="2:10" ht="15" customHeight="1" x14ac:dyDescent="0.3">
      <c r="H8" s="358"/>
      <c r="I8" s="386"/>
      <c r="J8" s="358"/>
    </row>
    <row r="9" spans="2:10" ht="15" customHeight="1" x14ac:dyDescent="0.3">
      <c r="B9" s="716" t="s">
        <v>1688</v>
      </c>
      <c r="C9" s="717"/>
      <c r="D9" s="717"/>
      <c r="E9" s="717"/>
      <c r="F9" s="719"/>
      <c r="G9" s="718"/>
      <c r="H9" s="725">
        <f>SUM(H10:H27)</f>
        <v>1691</v>
      </c>
      <c r="I9" s="384"/>
      <c r="J9" s="358"/>
    </row>
    <row r="10" spans="2:10" ht="15" customHeight="1" x14ac:dyDescent="0.3">
      <c r="B10" s="436" t="s">
        <v>78</v>
      </c>
      <c r="C10" s="311"/>
      <c r="D10" s="311"/>
      <c r="E10" s="311"/>
      <c r="F10" s="745" t="s">
        <v>1817</v>
      </c>
      <c r="G10" s="782" t="str">
        <f>VLOOKUP(F10,tbl_KausiDivari[],2,FALSE)</f>
        <v>IV-Div+Kars</v>
      </c>
      <c r="H10" s="746">
        <v>137</v>
      </c>
      <c r="I10" s="384"/>
      <c r="J10" s="358"/>
    </row>
    <row r="11" spans="2:10" ht="15" customHeight="1" x14ac:dyDescent="0.3">
      <c r="B11" s="900"/>
      <c r="C11" s="714"/>
      <c r="D11" s="714"/>
      <c r="E11" s="714"/>
      <c r="F11" s="720" t="s">
        <v>2409</v>
      </c>
      <c r="G11" s="781" t="str">
        <f>VLOOKUP(F11,tbl_KausiDivari[],2,FALSE)</f>
        <v>IV-Div+Kars</v>
      </c>
      <c r="H11" s="721">
        <f>109+25</f>
        <v>134</v>
      </c>
      <c r="I11" s="384"/>
      <c r="J11" s="358"/>
    </row>
    <row r="12" spans="2:10" ht="15" customHeight="1" x14ac:dyDescent="0.3">
      <c r="B12" s="401"/>
      <c r="F12" s="771" t="s">
        <v>2047</v>
      </c>
      <c r="G12" s="781" t="s">
        <v>2081</v>
      </c>
      <c r="H12" s="773">
        <v>116</v>
      </c>
      <c r="I12" s="384"/>
      <c r="J12" s="358"/>
    </row>
    <row r="13" spans="2:10" ht="15" customHeight="1" x14ac:dyDescent="0.3">
      <c r="B13" s="401"/>
      <c r="F13" s="771" t="s">
        <v>261</v>
      </c>
      <c r="G13" s="781" t="str">
        <f>VLOOKUP(F13,tbl_KausiDivari[],2,FALSE)</f>
        <v>V-Div</v>
      </c>
      <c r="H13" s="773">
        <v>115</v>
      </c>
      <c r="I13" s="384"/>
      <c r="J13" s="358"/>
    </row>
    <row r="14" spans="2:10" ht="15" customHeight="1" x14ac:dyDescent="0.3">
      <c r="F14" s="771" t="s">
        <v>178</v>
      </c>
      <c r="G14" s="781" t="str">
        <f>VLOOKUP(F14,tbl_KausiDivari[],2,FALSE)</f>
        <v>V-Div</v>
      </c>
      <c r="H14" s="773">
        <v>111</v>
      </c>
      <c r="I14" s="384"/>
      <c r="J14" s="358"/>
    </row>
    <row r="15" spans="2:10" ht="15" customHeight="1" x14ac:dyDescent="0.3">
      <c r="F15" s="771" t="s">
        <v>2230</v>
      </c>
      <c r="G15" s="723" t="str">
        <f>VLOOKUP(F15,tbl_KausiDivari[],2,FALSE)</f>
        <v>IV-Div</v>
      </c>
      <c r="H15" s="773">
        <v>108</v>
      </c>
      <c r="I15" s="384"/>
      <c r="J15" s="358"/>
    </row>
    <row r="16" spans="2:10" ht="15" customHeight="1" x14ac:dyDescent="0.3">
      <c r="F16" s="722" t="s">
        <v>884</v>
      </c>
      <c r="G16" s="723" t="str">
        <f>VLOOKUP(F16,tbl_KausiDivari[],2,FALSE)</f>
        <v>V-Div</v>
      </c>
      <c r="H16" s="724">
        <v>101</v>
      </c>
      <c r="I16" s="384"/>
      <c r="J16" s="358"/>
    </row>
    <row r="17" spans="2:10" ht="15" customHeight="1" x14ac:dyDescent="0.3">
      <c r="B17" s="469" t="s">
        <v>2079</v>
      </c>
      <c r="C17" s="1072">
        <v>5</v>
      </c>
      <c r="D17" s="1072"/>
      <c r="F17" s="722" t="s">
        <v>1406</v>
      </c>
      <c r="G17" s="723" t="str">
        <f>VLOOKUP(F17,tbl_KausiDivari[],2,FALSE)</f>
        <v>IV-Div</v>
      </c>
      <c r="H17" s="724">
        <v>101</v>
      </c>
      <c r="I17" s="384"/>
      <c r="J17" s="358"/>
    </row>
    <row r="18" spans="2:10" ht="15" customHeight="1" x14ac:dyDescent="0.3">
      <c r="F18" s="722" t="s">
        <v>701</v>
      </c>
      <c r="G18" s="723" t="str">
        <f>VLOOKUP(F18,tbl_KausiDivari[],2,FALSE)</f>
        <v>IV-Div</v>
      </c>
      <c r="H18" s="724">
        <v>95</v>
      </c>
      <c r="I18" s="384"/>
      <c r="J18" s="358"/>
    </row>
    <row r="19" spans="2:10" ht="15" customHeight="1" x14ac:dyDescent="0.3">
      <c r="F19" s="722" t="s">
        <v>2437</v>
      </c>
      <c r="G19" s="723" t="str">
        <f>VLOOKUP(F19,tbl_KausiDivari[],2,FALSE)</f>
        <v>III-Div</v>
      </c>
      <c r="H19" s="724">
        <v>91</v>
      </c>
      <c r="I19" s="384" t="s">
        <v>1685</v>
      </c>
      <c r="J19" s="358"/>
    </row>
    <row r="20" spans="2:10" ht="15" customHeight="1" x14ac:dyDescent="0.3">
      <c r="F20" s="722" t="s">
        <v>1146</v>
      </c>
      <c r="G20" s="723" t="str">
        <f>VLOOKUP(F20,tbl_KausiDivari[],2,FALSE)</f>
        <v>IV-Div</v>
      </c>
      <c r="H20" s="724">
        <v>90</v>
      </c>
      <c r="I20" s="384"/>
      <c r="J20" s="358"/>
    </row>
    <row r="21" spans="2:10" ht="15" customHeight="1" x14ac:dyDescent="0.3">
      <c r="F21" s="722" t="s">
        <v>1079</v>
      </c>
      <c r="G21" s="723" t="str">
        <f>VLOOKUP(F21,tbl_KausiDivari[],2,FALSE)</f>
        <v>IV-Div</v>
      </c>
      <c r="H21" s="724">
        <v>87</v>
      </c>
      <c r="I21" s="384"/>
      <c r="J21" s="358"/>
    </row>
    <row r="22" spans="2:10" ht="15" customHeight="1" x14ac:dyDescent="0.3">
      <c r="F22" s="722" t="s">
        <v>2187</v>
      </c>
      <c r="G22" s="723" t="str">
        <f>VLOOKUP(F22,tbl_KausiDivari[],2,FALSE)</f>
        <v>III-Div+Kars</v>
      </c>
      <c r="H22" s="724">
        <v>76</v>
      </c>
      <c r="I22" s="384"/>
      <c r="J22" s="358"/>
    </row>
    <row r="23" spans="2:10" ht="15" customHeight="1" x14ac:dyDescent="0.3">
      <c r="F23" s="722" t="s">
        <v>177</v>
      </c>
      <c r="G23" s="723" t="str">
        <f>VLOOKUP(F23,tbl_KausiDivari[],2,FALSE)</f>
        <v>IV-Div</v>
      </c>
      <c r="H23" s="724">
        <v>72</v>
      </c>
      <c r="I23" s="384"/>
      <c r="J23" s="358"/>
    </row>
    <row r="24" spans="2:10" ht="15" customHeight="1" x14ac:dyDescent="0.3">
      <c r="F24" s="722" t="s">
        <v>844</v>
      </c>
      <c r="G24" s="723" t="str">
        <f>VLOOKUP(F24,tbl_KausiDivari[],2,FALSE)</f>
        <v>IV-Div</v>
      </c>
      <c r="H24" s="724">
        <v>70</v>
      </c>
      <c r="I24" s="384"/>
      <c r="J24" s="358"/>
    </row>
    <row r="25" spans="2:10" ht="15" customHeight="1" x14ac:dyDescent="0.3">
      <c r="F25" s="722" t="s">
        <v>1589</v>
      </c>
      <c r="G25" s="723" t="str">
        <f>VLOOKUP(F25,tbl_KausiDivari[],2,FALSE)</f>
        <v>IV-Div</v>
      </c>
      <c r="H25" s="724">
        <v>69</v>
      </c>
      <c r="I25" s="384"/>
      <c r="J25" s="358"/>
    </row>
    <row r="26" spans="2:10" ht="15" customHeight="1" x14ac:dyDescent="0.3">
      <c r="B26" s="715"/>
      <c r="C26" s="715"/>
      <c r="D26" s="715"/>
      <c r="E26" s="715"/>
      <c r="F26" s="726" t="s">
        <v>1662</v>
      </c>
      <c r="G26" s="727" t="str">
        <f>VLOOKUP(F26,tbl_KausiDivari[],2,FALSE)</f>
        <v>IV-Div</v>
      </c>
      <c r="H26" s="728">
        <v>63</v>
      </c>
      <c r="I26" s="384"/>
      <c r="J26" s="358"/>
    </row>
    <row r="27" spans="2:10" ht="15" customHeight="1" x14ac:dyDescent="0.3">
      <c r="B27" s="436" t="s">
        <v>80</v>
      </c>
      <c r="C27" s="311"/>
      <c r="D27" s="311"/>
      <c r="E27" s="311"/>
      <c r="F27" s="747" t="s">
        <v>580</v>
      </c>
      <c r="G27" s="747" t="str">
        <f>VLOOKUP(F27,tbl_KausiDivari[],2,FALSE)</f>
        <v>IV-Div</v>
      </c>
      <c r="H27" s="748">
        <v>55</v>
      </c>
      <c r="I27" s="384"/>
      <c r="J27" s="358"/>
    </row>
    <row r="28" spans="2:10" ht="15" customHeight="1" x14ac:dyDescent="0.3">
      <c r="H28" s="358"/>
      <c r="I28" s="384"/>
      <c r="J28" s="358"/>
    </row>
    <row r="29" spans="2:10" ht="15" customHeight="1" x14ac:dyDescent="0.3">
      <c r="H29" s="358"/>
      <c r="I29" s="384"/>
      <c r="J29" s="358"/>
    </row>
    <row r="30" spans="2:10" ht="15" customHeight="1" x14ac:dyDescent="0.3">
      <c r="B30" s="716" t="s">
        <v>1689</v>
      </c>
      <c r="C30" s="717"/>
      <c r="D30" s="717"/>
      <c r="E30" s="717"/>
      <c r="F30" s="719"/>
      <c r="G30" s="718"/>
      <c r="H30" s="725">
        <f>SUM(H31:H48)</f>
        <v>1387</v>
      </c>
      <c r="I30" s="384"/>
      <c r="J30" s="358"/>
    </row>
    <row r="31" spans="2:10" ht="15" customHeight="1" x14ac:dyDescent="0.3">
      <c r="B31" s="423" t="s">
        <v>79</v>
      </c>
      <c r="C31" s="311"/>
      <c r="D31" s="311"/>
      <c r="E31" s="311"/>
      <c r="F31" s="745" t="s">
        <v>2187</v>
      </c>
      <c r="G31" s="782" t="str">
        <f>VLOOKUP(F31,tbl_KausiDivari[],2,FALSE)</f>
        <v>III-Div+Kars</v>
      </c>
      <c r="H31" s="746">
        <v>103</v>
      </c>
      <c r="I31" s="384"/>
      <c r="J31" s="358"/>
    </row>
    <row r="32" spans="2:10" ht="15" customHeight="1" x14ac:dyDescent="0.3">
      <c r="B32" s="399"/>
      <c r="F32" s="722" t="s">
        <v>2230</v>
      </c>
      <c r="G32" s="781" t="s">
        <v>702</v>
      </c>
      <c r="H32" s="724">
        <v>100</v>
      </c>
      <c r="I32" s="384"/>
      <c r="J32" s="358"/>
    </row>
    <row r="33" spans="2:10" ht="15" customHeight="1" x14ac:dyDescent="0.3">
      <c r="B33" s="399"/>
      <c r="F33" s="722" t="s">
        <v>1406</v>
      </c>
      <c r="G33" s="781" t="s">
        <v>702</v>
      </c>
      <c r="H33" s="724">
        <v>98</v>
      </c>
      <c r="I33" s="384"/>
      <c r="J33" s="358"/>
    </row>
    <row r="34" spans="2:10" ht="15" customHeight="1" x14ac:dyDescent="0.3">
      <c r="B34" s="399"/>
      <c r="F34" s="722" t="s">
        <v>2437</v>
      </c>
      <c r="G34" s="781" t="s">
        <v>702</v>
      </c>
      <c r="H34" s="724">
        <v>90</v>
      </c>
      <c r="I34" s="384" t="s">
        <v>1685</v>
      </c>
      <c r="J34" s="358"/>
    </row>
    <row r="35" spans="2:10" ht="15" customHeight="1" x14ac:dyDescent="0.3">
      <c r="F35" s="722" t="s">
        <v>1079</v>
      </c>
      <c r="G35" s="781" t="str">
        <f>VLOOKUP(F35,tbl_KausiDivari[],2,FALSE)</f>
        <v>IV-Div</v>
      </c>
      <c r="H35" s="724">
        <v>89</v>
      </c>
      <c r="I35" s="384"/>
      <c r="J35" s="358"/>
    </row>
    <row r="36" spans="2:10" ht="15" customHeight="1" x14ac:dyDescent="0.3">
      <c r="F36" s="722" t="s">
        <v>1589</v>
      </c>
      <c r="G36" s="723" t="str">
        <f>VLOOKUP(F36,tbl_KausiDivari[],2,FALSE)</f>
        <v>IV-Div</v>
      </c>
      <c r="H36" s="724">
        <v>86</v>
      </c>
      <c r="I36" s="384"/>
      <c r="J36" s="358"/>
    </row>
    <row r="37" spans="2:10" ht="15" customHeight="1" x14ac:dyDescent="0.3">
      <c r="F37" s="722" t="s">
        <v>580</v>
      </c>
      <c r="G37" s="723" t="str">
        <f>VLOOKUP(F37,tbl_KausiDivari[],2,FALSE)</f>
        <v>IV-Div</v>
      </c>
      <c r="H37" s="724">
        <v>85</v>
      </c>
      <c r="I37" s="384"/>
      <c r="J37" s="358"/>
    </row>
    <row r="38" spans="2:10" ht="15" customHeight="1" x14ac:dyDescent="0.3">
      <c r="B38" s="469" t="s">
        <v>2079</v>
      </c>
      <c r="C38" s="1072">
        <v>22</v>
      </c>
      <c r="D38" s="1072"/>
      <c r="F38" s="722" t="s">
        <v>177</v>
      </c>
      <c r="G38" s="723" t="str">
        <f>VLOOKUP(F38,tbl_KausiDivari[],2,FALSE)</f>
        <v>IV-Div</v>
      </c>
      <c r="H38" s="724">
        <v>80</v>
      </c>
      <c r="I38" s="384"/>
      <c r="J38" s="358"/>
    </row>
    <row r="39" spans="2:10" ht="15" customHeight="1" x14ac:dyDescent="0.3">
      <c r="F39" s="722" t="s">
        <v>844</v>
      </c>
      <c r="G39" s="723" t="str">
        <f>VLOOKUP(F39,tbl_KausiDivari[],2,FALSE)</f>
        <v>IV-Div</v>
      </c>
      <c r="H39" s="724">
        <v>78</v>
      </c>
      <c r="I39" s="384"/>
      <c r="J39" s="358"/>
    </row>
    <row r="40" spans="2:10" ht="15" customHeight="1" x14ac:dyDescent="0.3">
      <c r="F40" s="722" t="s">
        <v>1662</v>
      </c>
      <c r="G40" s="723" t="str">
        <f>VLOOKUP(F40,tbl_KausiDivari[],2,FALSE)</f>
        <v>IV-Div</v>
      </c>
      <c r="H40" s="724">
        <v>75</v>
      </c>
      <c r="I40" s="384"/>
      <c r="J40" s="358"/>
    </row>
    <row r="41" spans="2:10" ht="15" customHeight="1" x14ac:dyDescent="0.3">
      <c r="F41" s="722" t="s">
        <v>2047</v>
      </c>
      <c r="G41" s="723" t="str">
        <f>VLOOKUP(F41,tbl_KausiDivari[],2,FALSE)</f>
        <v>IV-Div+Cup</v>
      </c>
      <c r="H41" s="724">
        <v>72</v>
      </c>
      <c r="I41" s="384"/>
      <c r="J41" s="358"/>
    </row>
    <row r="42" spans="2:10" ht="15" customHeight="1" x14ac:dyDescent="0.3">
      <c r="F42" s="722" t="s">
        <v>1817</v>
      </c>
      <c r="G42" s="723" t="str">
        <f>VLOOKUP(F42,tbl_KausiDivari[],2,FALSE)</f>
        <v>IV-Div+Kars</v>
      </c>
      <c r="H42" s="724">
        <v>70</v>
      </c>
      <c r="I42" s="384"/>
      <c r="J42" s="358"/>
    </row>
    <row r="43" spans="2:10" ht="15" customHeight="1" x14ac:dyDescent="0.3">
      <c r="F43" s="722" t="s">
        <v>701</v>
      </c>
      <c r="G43" s="723" t="str">
        <f>VLOOKUP(F43,tbl_KausiDivari[],2,FALSE)</f>
        <v>IV-Div</v>
      </c>
      <c r="H43" s="724">
        <v>66</v>
      </c>
      <c r="I43" s="384"/>
      <c r="J43" s="358"/>
    </row>
    <row r="44" spans="2:10" ht="15" customHeight="1" x14ac:dyDescent="0.3">
      <c r="F44" s="722" t="s">
        <v>178</v>
      </c>
      <c r="G44" s="723" t="str">
        <f>VLOOKUP(F44,tbl_KausiDivari[],2,FALSE)</f>
        <v>V-Div</v>
      </c>
      <c r="H44" s="724">
        <v>64</v>
      </c>
      <c r="I44" s="384"/>
      <c r="J44" s="358"/>
    </row>
    <row r="45" spans="2:10" ht="15" customHeight="1" x14ac:dyDescent="0.3">
      <c r="F45" s="729" t="s">
        <v>2409</v>
      </c>
      <c r="G45" s="730" t="str">
        <f>VLOOKUP(F45,tbl_KausiDivari[],2,FALSE)</f>
        <v>IV-Div+Kars</v>
      </c>
      <c r="H45" s="731">
        <f>56+8</f>
        <v>64</v>
      </c>
      <c r="I45" s="384"/>
      <c r="J45" s="358"/>
    </row>
    <row r="46" spans="2:10" ht="15" customHeight="1" x14ac:dyDescent="0.3">
      <c r="F46" s="729" t="s">
        <v>1146</v>
      </c>
      <c r="G46" s="730" t="s">
        <v>702</v>
      </c>
      <c r="H46" s="731">
        <v>59</v>
      </c>
      <c r="I46" s="384"/>
      <c r="J46" s="358"/>
    </row>
    <row r="47" spans="2:10" ht="15" customHeight="1" x14ac:dyDescent="0.3">
      <c r="E47" s="1024"/>
      <c r="F47" s="729" t="s">
        <v>884</v>
      </c>
      <c r="G47" s="730" t="str">
        <f>VLOOKUP(F47,tbl_KausiDivari[],2,FALSE)</f>
        <v>V-Div</v>
      </c>
      <c r="H47" s="731">
        <v>56</v>
      </c>
      <c r="I47" s="384"/>
      <c r="J47" s="358"/>
    </row>
    <row r="48" spans="2:10" ht="15" customHeight="1" x14ac:dyDescent="0.3">
      <c r="B48" s="436" t="s">
        <v>72</v>
      </c>
      <c r="C48" s="311"/>
      <c r="D48" s="311"/>
      <c r="E48" s="311"/>
      <c r="F48" s="747" t="s">
        <v>261</v>
      </c>
      <c r="G48" s="747" t="str">
        <f>VLOOKUP(F48,tbl_KausiDivari[],2,FALSE)</f>
        <v>V-Div</v>
      </c>
      <c r="H48" s="748">
        <v>52</v>
      </c>
      <c r="I48" s="384"/>
      <c r="J48" s="358"/>
    </row>
    <row r="49" spans="2:9" ht="15" customHeight="1" x14ac:dyDescent="0.3">
      <c r="H49" s="358"/>
      <c r="I49" s="384"/>
    </row>
    <row r="50" spans="2:9" ht="15" customHeight="1" x14ac:dyDescent="0.3">
      <c r="H50" s="358"/>
      <c r="I50" s="384"/>
    </row>
    <row r="51" spans="2:9" ht="15" customHeight="1" x14ac:dyDescent="0.3">
      <c r="B51" s="732" t="s">
        <v>1690</v>
      </c>
      <c r="C51" s="717"/>
      <c r="D51" s="717"/>
      <c r="E51" s="717"/>
      <c r="F51" s="719"/>
      <c r="G51" s="718"/>
      <c r="H51" s="725">
        <f>SUM(H52:H69)</f>
        <v>304</v>
      </c>
      <c r="I51" s="384"/>
    </row>
    <row r="52" spans="2:9" ht="15" customHeight="1" x14ac:dyDescent="0.3">
      <c r="B52" s="423" t="s">
        <v>126</v>
      </c>
      <c r="C52" s="311"/>
      <c r="D52" s="311"/>
      <c r="E52" s="311"/>
      <c r="F52" s="745" t="s">
        <v>2409</v>
      </c>
      <c r="G52" s="782" t="str">
        <f>VLOOKUP(F52,tbl_KausiDivari[],2,FALSE)</f>
        <v>IV-Div+Kars</v>
      </c>
      <c r="H52" s="746">
        <f>53+17</f>
        <v>70</v>
      </c>
      <c r="I52" s="384"/>
    </row>
    <row r="53" spans="2:9" ht="15" customHeight="1" x14ac:dyDescent="0.3">
      <c r="B53" s="399"/>
      <c r="F53" s="722" t="s">
        <v>1817</v>
      </c>
      <c r="G53" s="781" t="str">
        <f>VLOOKUP(F53,tbl_KausiDivari[],2,FALSE)</f>
        <v>IV-Div+Kars</v>
      </c>
      <c r="H53" s="724">
        <v>67</v>
      </c>
      <c r="I53" s="384"/>
    </row>
    <row r="54" spans="2:9" ht="15" customHeight="1" x14ac:dyDescent="0.3">
      <c r="B54" s="399"/>
      <c r="F54" s="722" t="s">
        <v>261</v>
      </c>
      <c r="G54" s="781" t="str">
        <f>VLOOKUP(F54,tbl_KausiDivari[],2,FALSE)</f>
        <v>V-Div</v>
      </c>
      <c r="H54" s="724">
        <v>63</v>
      </c>
      <c r="I54" s="384"/>
    </row>
    <row r="55" spans="2:9" ht="15" customHeight="1" x14ac:dyDescent="0.3">
      <c r="F55" s="722" t="s">
        <v>178</v>
      </c>
      <c r="G55" s="781" t="str">
        <f>VLOOKUP(F55,tbl_KausiDivari[],2,FALSE)</f>
        <v>V-Div</v>
      </c>
      <c r="H55" s="724">
        <v>47</v>
      </c>
      <c r="I55" s="384"/>
    </row>
    <row r="56" spans="2:9" ht="15" customHeight="1" x14ac:dyDescent="0.3">
      <c r="F56" s="722" t="s">
        <v>884</v>
      </c>
      <c r="G56" s="723" t="str">
        <f>VLOOKUP(F56,tbl_KausiDivari[],2,FALSE)</f>
        <v>V-Div</v>
      </c>
      <c r="H56" s="724">
        <v>45</v>
      </c>
      <c r="I56" s="384"/>
    </row>
    <row r="57" spans="2:9" ht="15" customHeight="1" x14ac:dyDescent="0.3">
      <c r="F57" s="722" t="s">
        <v>2047</v>
      </c>
      <c r="G57" s="723" t="str">
        <f>VLOOKUP(F57,tbl_KausiDivari[],2,FALSE)</f>
        <v>IV-Div+Cup</v>
      </c>
      <c r="H57" s="724">
        <v>44</v>
      </c>
      <c r="I57" s="384"/>
    </row>
    <row r="58" spans="2:9" ht="15" customHeight="1" x14ac:dyDescent="0.3">
      <c r="F58" s="722" t="s">
        <v>1146</v>
      </c>
      <c r="G58" s="723" t="str">
        <f>VLOOKUP(F58,tbl_KausiDivari[],2,FALSE)</f>
        <v>IV-Div</v>
      </c>
      <c r="H58" s="724">
        <v>31</v>
      </c>
      <c r="I58" s="384"/>
    </row>
    <row r="59" spans="2:9" ht="15" customHeight="1" x14ac:dyDescent="0.3">
      <c r="F59" s="722" t="s">
        <v>701</v>
      </c>
      <c r="G59" s="723" t="str">
        <f>VLOOKUP(F59,tbl_KausiDivari[],2,FALSE)</f>
        <v>IV-Div</v>
      </c>
      <c r="H59" s="724">
        <v>29</v>
      </c>
      <c r="I59" s="384"/>
    </row>
    <row r="60" spans="2:9" ht="15" customHeight="1" x14ac:dyDescent="0.3">
      <c r="F60" s="722" t="s">
        <v>2230</v>
      </c>
      <c r="G60" s="723" t="str">
        <f>VLOOKUP(F60,tbl_KausiDivari[],2,FALSE)</f>
        <v>IV-Div</v>
      </c>
      <c r="H60" s="724">
        <v>8</v>
      </c>
      <c r="I60" s="384"/>
    </row>
    <row r="61" spans="2:9" ht="15" customHeight="1" x14ac:dyDescent="0.3">
      <c r="F61" s="722" t="s">
        <v>1406</v>
      </c>
      <c r="G61" s="723" t="str">
        <f>VLOOKUP(F61,tbl_KausiDivari[],2,FALSE)</f>
        <v>IV-Div</v>
      </c>
      <c r="H61" s="724">
        <v>3</v>
      </c>
      <c r="I61" s="384"/>
    </row>
    <row r="62" spans="2:9" ht="15" customHeight="1" x14ac:dyDescent="0.3">
      <c r="F62" s="722" t="s">
        <v>2437</v>
      </c>
      <c r="G62" s="723" t="str">
        <f>VLOOKUP(F62,tbl_KausiDivari[],2,FALSE)</f>
        <v>III-Div</v>
      </c>
      <c r="H62" s="724">
        <v>1</v>
      </c>
      <c r="I62" s="384" t="s">
        <v>1685</v>
      </c>
    </row>
    <row r="63" spans="2:9" ht="15" customHeight="1" x14ac:dyDescent="0.3">
      <c r="F63" s="722" t="s">
        <v>1079</v>
      </c>
      <c r="G63" s="723" t="str">
        <f>VLOOKUP(F63,tbl_KausiDivari[],2,FALSE)</f>
        <v>IV-Div</v>
      </c>
      <c r="H63" s="724">
        <v>-2</v>
      </c>
      <c r="I63" s="384"/>
    </row>
    <row r="64" spans="2:9" ht="15" customHeight="1" x14ac:dyDescent="0.3">
      <c r="F64" s="722" t="s">
        <v>177</v>
      </c>
      <c r="G64" s="723" t="str">
        <f>VLOOKUP(F64,tbl_KausiDivari[],2,FALSE)</f>
        <v>IV-Div</v>
      </c>
      <c r="H64" s="724">
        <v>-8</v>
      </c>
      <c r="I64" s="384"/>
    </row>
    <row r="65" spans="2:9" ht="15" customHeight="1" x14ac:dyDescent="0.3">
      <c r="F65" s="722" t="s">
        <v>844</v>
      </c>
      <c r="G65" s="723" t="str">
        <f>VLOOKUP(F65,tbl_KausiDivari[],2,FALSE)</f>
        <v>IV-Div</v>
      </c>
      <c r="H65" s="724">
        <v>-8</v>
      </c>
      <c r="I65" s="384"/>
    </row>
    <row r="66" spans="2:9" ht="15" customHeight="1" x14ac:dyDescent="0.3">
      <c r="F66" s="729" t="s">
        <v>1662</v>
      </c>
      <c r="G66" s="730" t="str">
        <f>VLOOKUP(F66,tbl_KausiDivari[],2,FALSE)</f>
        <v>IV-Div</v>
      </c>
      <c r="H66" s="731">
        <v>-12</v>
      </c>
      <c r="I66" s="384"/>
    </row>
    <row r="67" spans="2:9" ht="15" customHeight="1" x14ac:dyDescent="0.3">
      <c r="F67" s="729" t="s">
        <v>1589</v>
      </c>
      <c r="G67" s="730" t="str">
        <f>VLOOKUP(F67,tbl_KausiDivari[],2,FALSE)</f>
        <v>IV-Div</v>
      </c>
      <c r="H67" s="731">
        <v>-17</v>
      </c>
      <c r="I67" s="384"/>
    </row>
    <row r="68" spans="2:9" ht="15" customHeight="1" x14ac:dyDescent="0.3">
      <c r="B68" s="715"/>
      <c r="C68" s="715"/>
      <c r="D68" s="715"/>
      <c r="E68" s="715"/>
      <c r="F68" s="726" t="s">
        <v>2187</v>
      </c>
      <c r="G68" s="727" t="str">
        <f>VLOOKUP(F68,tbl_KausiDivari[],2,FALSE)</f>
        <v>III-Div+Kars</v>
      </c>
      <c r="H68" s="728">
        <v>-27</v>
      </c>
      <c r="I68" s="384"/>
    </row>
    <row r="69" spans="2:9" ht="15" customHeight="1" x14ac:dyDescent="0.3">
      <c r="B69" s="436" t="s">
        <v>127</v>
      </c>
      <c r="C69" s="311"/>
      <c r="D69" s="311"/>
      <c r="E69" s="311"/>
      <c r="F69" s="747" t="s">
        <v>580</v>
      </c>
      <c r="G69" s="747" t="str">
        <f>VLOOKUP(F69,tbl_KausiDivari[],2,FALSE)</f>
        <v>IV-Div</v>
      </c>
      <c r="H69" s="748">
        <v>-30</v>
      </c>
      <c r="I69" s="384"/>
    </row>
    <row r="70" spans="2:9" ht="15" customHeight="1" x14ac:dyDescent="0.3">
      <c r="B70" s="401"/>
      <c r="F70" s="386"/>
      <c r="G70" s="386"/>
      <c r="H70" s="358"/>
      <c r="I70" s="384"/>
    </row>
    <row r="71" spans="2:9" ht="15" customHeight="1" x14ac:dyDescent="0.3">
      <c r="B71" s="401"/>
      <c r="F71" s="386"/>
      <c r="G71" s="386"/>
      <c r="H71" s="358"/>
      <c r="I71" s="384"/>
    </row>
    <row r="72" spans="2:9" ht="15" customHeight="1" x14ac:dyDescent="0.3">
      <c r="B72" s="732" t="s">
        <v>1692</v>
      </c>
      <c r="C72" s="717"/>
      <c r="D72" s="717"/>
      <c r="E72" s="717"/>
      <c r="F72" s="741"/>
      <c r="G72" s="741"/>
      <c r="H72" s="742">
        <f>SUM(H73:H90)</f>
        <v>20</v>
      </c>
      <c r="I72" s="384"/>
    </row>
    <row r="73" spans="2:9" ht="15" customHeight="1" x14ac:dyDescent="0.3">
      <c r="B73" s="763" t="s">
        <v>1691</v>
      </c>
      <c r="C73" s="311"/>
      <c r="D73" s="311"/>
      <c r="E73" s="311"/>
      <c r="F73" s="745" t="s">
        <v>2187</v>
      </c>
      <c r="G73" s="782" t="str">
        <f>VLOOKUP(F73,tbl_KausiDivari[],2,FALSE)</f>
        <v>III-Div+Kars</v>
      </c>
      <c r="H73" s="746">
        <v>4</v>
      </c>
      <c r="I73" s="384"/>
    </row>
    <row r="74" spans="2:9" ht="15" customHeight="1" x14ac:dyDescent="0.3">
      <c r="F74" s="771" t="s">
        <v>178</v>
      </c>
      <c r="G74" s="785" t="str">
        <f>VLOOKUP(F74,tbl_KausiDivari[],2,FALSE)</f>
        <v>V-Div</v>
      </c>
      <c r="H74" s="773">
        <v>2</v>
      </c>
      <c r="I74" s="384"/>
    </row>
    <row r="75" spans="2:9" ht="15" customHeight="1" x14ac:dyDescent="0.3">
      <c r="F75" s="722" t="s">
        <v>177</v>
      </c>
      <c r="G75" s="764" t="str">
        <f>VLOOKUP(F75,tbl_KausiDivari[],2,FALSE)</f>
        <v>IV-Div</v>
      </c>
      <c r="H75" s="724">
        <v>2</v>
      </c>
      <c r="I75" s="384"/>
    </row>
    <row r="76" spans="2:9" ht="15" customHeight="1" x14ac:dyDescent="0.3">
      <c r="F76" s="722" t="s">
        <v>844</v>
      </c>
      <c r="G76" s="764" t="str">
        <f>VLOOKUP(F76,tbl_KausiDivari[],2,FALSE)</f>
        <v>IV-Div</v>
      </c>
      <c r="H76" s="724">
        <v>2</v>
      </c>
      <c r="I76" s="384"/>
    </row>
    <row r="77" spans="2:9" ht="15" customHeight="1" x14ac:dyDescent="0.3">
      <c r="F77" s="722" t="s">
        <v>884</v>
      </c>
      <c r="G77" s="764" t="str">
        <f>VLOOKUP(F77,tbl_KausiDivari[],2,FALSE)</f>
        <v>V-Div</v>
      </c>
      <c r="H77" s="724">
        <v>2</v>
      </c>
      <c r="I77" s="384"/>
    </row>
    <row r="78" spans="2:9" ht="15" customHeight="1" x14ac:dyDescent="0.3">
      <c r="F78" s="722" t="s">
        <v>1589</v>
      </c>
      <c r="G78" s="764" t="str">
        <f>VLOOKUP(F78,tbl_KausiDivari[],2,FALSE)</f>
        <v>IV-Div</v>
      </c>
      <c r="H78" s="724">
        <v>2</v>
      </c>
      <c r="I78" s="384"/>
    </row>
    <row r="79" spans="2:9" ht="15" customHeight="1" x14ac:dyDescent="0.3">
      <c r="F79" s="722" t="s">
        <v>2409</v>
      </c>
      <c r="G79" s="764" t="str">
        <f>VLOOKUP(F79,tbl_KausiDivari[],2,FALSE)</f>
        <v>IV-Div+Kars</v>
      </c>
      <c r="H79" s="724">
        <f>1+1</f>
        <v>2</v>
      </c>
      <c r="I79" s="384"/>
    </row>
    <row r="80" spans="2:9" ht="15" customHeight="1" x14ac:dyDescent="0.3">
      <c r="F80" s="722" t="s">
        <v>701</v>
      </c>
      <c r="G80" s="743" t="str">
        <f>VLOOKUP(F80,tbl_KausiDivari[],2,FALSE)</f>
        <v>IV-Div</v>
      </c>
      <c r="H80" s="724">
        <v>1</v>
      </c>
      <c r="I80" s="384"/>
    </row>
    <row r="81" spans="2:9" ht="15" customHeight="1" x14ac:dyDescent="0.3">
      <c r="F81" s="729" t="s">
        <v>1079</v>
      </c>
      <c r="G81" s="744" t="str">
        <f>VLOOKUP(F81,tbl_KausiDivari[],2,FALSE)</f>
        <v>IV-Div</v>
      </c>
      <c r="H81" s="731">
        <v>1</v>
      </c>
      <c r="I81" s="384"/>
    </row>
    <row r="82" spans="2:9" ht="15" customHeight="1" x14ac:dyDescent="0.3">
      <c r="F82" s="729" t="s">
        <v>2047</v>
      </c>
      <c r="G82" s="744" t="str">
        <f>VLOOKUP(F82,tbl_KausiDivari[],2,FALSE)</f>
        <v>IV-Div+Cup</v>
      </c>
      <c r="H82" s="731">
        <v>1</v>
      </c>
      <c r="I82" s="384"/>
    </row>
    <row r="83" spans="2:9" ht="15" customHeight="1" x14ac:dyDescent="0.3">
      <c r="F83" s="726" t="s">
        <v>2437</v>
      </c>
      <c r="G83" s="780" t="str">
        <f>VLOOKUP(F83,tbl_KausiDivari[],2,FALSE)</f>
        <v>III-Div</v>
      </c>
      <c r="H83" s="728">
        <v>1</v>
      </c>
      <c r="I83" s="384" t="s">
        <v>1685</v>
      </c>
    </row>
    <row r="84" spans="2:9" ht="15" customHeight="1" x14ac:dyDescent="0.3">
      <c r="F84" s="902" t="s">
        <v>2230</v>
      </c>
      <c r="G84" s="778" t="str">
        <f>VLOOKUP(F84,tbl_KausiDivari[],2,FALSE)</f>
        <v>IV-Div</v>
      </c>
      <c r="H84" s="779">
        <v>0</v>
      </c>
      <c r="I84" s="384"/>
    </row>
    <row r="85" spans="2:9" ht="15" customHeight="1" x14ac:dyDescent="0.3">
      <c r="F85" s="752" t="s">
        <v>1817</v>
      </c>
      <c r="G85" s="750" t="str">
        <f>VLOOKUP(F85,tbl_KausiDivari[],2,FALSE)</f>
        <v>IV-Div+Kars</v>
      </c>
      <c r="H85" s="779">
        <v>0</v>
      </c>
      <c r="I85" s="384"/>
    </row>
    <row r="86" spans="2:9" ht="15" customHeight="1" x14ac:dyDescent="0.3">
      <c r="F86" s="902" t="s">
        <v>1662</v>
      </c>
      <c r="G86" s="750" t="str">
        <f>VLOOKUP(F86,tbl_KausiDivari[],2,FALSE)</f>
        <v>IV-Div</v>
      </c>
      <c r="H86" s="779">
        <v>0</v>
      </c>
      <c r="I86" s="384"/>
    </row>
    <row r="87" spans="2:9" ht="15" customHeight="1" x14ac:dyDescent="0.3">
      <c r="F87" s="749" t="s">
        <v>1406</v>
      </c>
      <c r="G87" s="750" t="str">
        <f>VLOOKUP(F87,tbl_KausiDivari[],2,FALSE)</f>
        <v>IV-Div</v>
      </c>
      <c r="H87" s="751">
        <v>0</v>
      </c>
      <c r="I87" s="384"/>
    </row>
    <row r="88" spans="2:9" ht="15" customHeight="1" x14ac:dyDescent="0.3">
      <c r="F88" s="752" t="s">
        <v>1146</v>
      </c>
      <c r="G88" s="753" t="str">
        <f>VLOOKUP(F88,tbl_KausiDivari[],2,FALSE)</f>
        <v>IV-Div</v>
      </c>
      <c r="H88" s="754">
        <v>0</v>
      </c>
      <c r="I88" s="384"/>
    </row>
    <row r="89" spans="2:9" ht="15" customHeight="1" x14ac:dyDescent="0.3">
      <c r="B89" s="715"/>
      <c r="C89" s="715"/>
      <c r="D89" s="715"/>
      <c r="E89" s="715"/>
      <c r="F89" s="752" t="s">
        <v>580</v>
      </c>
      <c r="G89" s="750" t="str">
        <f>VLOOKUP(F89,tbl_KausiDivari[],2,FALSE)</f>
        <v>IV-Div</v>
      </c>
      <c r="H89" s="751">
        <v>0</v>
      </c>
      <c r="I89" s="384"/>
    </row>
    <row r="90" spans="2:9" ht="15" customHeight="1" x14ac:dyDescent="0.3">
      <c r="B90" s="442" t="s">
        <v>122</v>
      </c>
      <c r="C90" s="332"/>
      <c r="D90" s="332"/>
      <c r="E90" s="332"/>
      <c r="F90" s="755" t="s">
        <v>261</v>
      </c>
      <c r="G90" s="756" t="str">
        <f>VLOOKUP(F90,tbl_KausiDivari[],2,FALSE)</f>
        <v>V-Div</v>
      </c>
      <c r="H90" s="757">
        <v>0</v>
      </c>
      <c r="I90" s="384"/>
    </row>
    <row r="91" spans="2:9" ht="15" customHeight="1" x14ac:dyDescent="0.3">
      <c r="B91" s="736"/>
      <c r="C91" s="737"/>
      <c r="D91" s="737"/>
      <c r="E91" s="737"/>
      <c r="F91" s="738"/>
      <c r="G91" s="739"/>
      <c r="H91" s="740"/>
      <c r="I91" s="384"/>
    </row>
    <row r="92" spans="2:9" ht="15" customHeight="1" x14ac:dyDescent="0.3">
      <c r="B92" s="733"/>
      <c r="C92" s="475"/>
      <c r="D92" s="475"/>
      <c r="E92" s="475"/>
      <c r="F92" s="734"/>
      <c r="G92" s="735"/>
      <c r="H92" s="359"/>
      <c r="I92" s="384"/>
    </row>
    <row r="93" spans="2:9" ht="15" customHeight="1" x14ac:dyDescent="0.3">
      <c r="B93" s="732" t="s">
        <v>1693</v>
      </c>
      <c r="C93" s="717"/>
      <c r="D93" s="717"/>
      <c r="E93" s="717"/>
      <c r="F93" s="741"/>
      <c r="G93" s="741"/>
      <c r="H93" s="742">
        <f>SUM(H94:H111)</f>
        <v>15</v>
      </c>
      <c r="I93" s="384"/>
    </row>
    <row r="94" spans="2:9" ht="15" customHeight="1" x14ac:dyDescent="0.3">
      <c r="B94" s="763" t="s">
        <v>118</v>
      </c>
      <c r="C94" s="311"/>
      <c r="D94" s="311"/>
      <c r="E94" s="311"/>
      <c r="F94" s="765" t="s">
        <v>177</v>
      </c>
      <c r="G94" s="766" t="str">
        <f>VLOOKUP(F94,tbl_KausiDivari[],2,FALSE)</f>
        <v>IV-Div</v>
      </c>
      <c r="H94" s="767">
        <v>4</v>
      </c>
      <c r="I94" s="384"/>
    </row>
    <row r="95" spans="2:9" ht="15" customHeight="1" x14ac:dyDescent="0.3">
      <c r="F95" s="720" t="s">
        <v>1146</v>
      </c>
      <c r="G95" s="768" t="str">
        <f>VLOOKUP(F95,tbl_KausiDivari[],2,FALSE)</f>
        <v>IV-Div</v>
      </c>
      <c r="H95" s="721">
        <v>3</v>
      </c>
      <c r="I95" s="384"/>
    </row>
    <row r="96" spans="2:9" ht="15" customHeight="1" x14ac:dyDescent="0.3">
      <c r="F96" s="771" t="s">
        <v>2187</v>
      </c>
      <c r="G96" s="764" t="str">
        <f>VLOOKUP(F96,tbl_KausiDivari[],2,FALSE)</f>
        <v>III-Div+Kars</v>
      </c>
      <c r="H96" s="773">
        <v>2</v>
      </c>
      <c r="I96" s="384"/>
    </row>
    <row r="97" spans="2:9" ht="15" customHeight="1" x14ac:dyDescent="0.3">
      <c r="F97" s="722" t="s">
        <v>178</v>
      </c>
      <c r="G97" s="764" t="str">
        <f>VLOOKUP(F97,tbl_KausiDivari[],2,FALSE)</f>
        <v>V-Div</v>
      </c>
      <c r="H97" s="724">
        <v>1</v>
      </c>
      <c r="I97" s="384"/>
    </row>
    <row r="98" spans="2:9" ht="15" customHeight="1" x14ac:dyDescent="0.3">
      <c r="F98" s="722" t="s">
        <v>261</v>
      </c>
      <c r="G98" s="764" t="str">
        <f>VLOOKUP(F98,tbl_KausiDivari[],2,FALSE)</f>
        <v>V-Div</v>
      </c>
      <c r="H98" s="724">
        <v>1</v>
      </c>
      <c r="I98" s="384"/>
    </row>
    <row r="99" spans="2:9" ht="15" customHeight="1" x14ac:dyDescent="0.3">
      <c r="F99" s="722" t="s">
        <v>580</v>
      </c>
      <c r="G99" s="764" t="str">
        <f>VLOOKUP(F99,tbl_KausiDivari[],2,FALSE)</f>
        <v>IV-Div</v>
      </c>
      <c r="H99" s="724">
        <v>1</v>
      </c>
      <c r="I99" s="384"/>
    </row>
    <row r="100" spans="2:9" ht="15" customHeight="1" x14ac:dyDescent="0.3">
      <c r="F100" s="771" t="s">
        <v>884</v>
      </c>
      <c r="G100" s="772" t="str">
        <f>VLOOKUP(F100,tbl_KausiDivari[],2,FALSE)</f>
        <v>V-Div</v>
      </c>
      <c r="H100" s="773">
        <v>1</v>
      </c>
      <c r="I100" s="384"/>
    </row>
    <row r="101" spans="2:9" ht="15" customHeight="1" x14ac:dyDescent="0.3">
      <c r="F101" s="1025" t="s">
        <v>1406</v>
      </c>
      <c r="G101" s="772" t="str">
        <f>VLOOKUP(F101,tbl_KausiDivari[],2,FALSE)</f>
        <v>IV-Div</v>
      </c>
      <c r="H101" s="1026">
        <v>1</v>
      </c>
      <c r="I101" s="384"/>
    </row>
    <row r="102" spans="2:9" ht="15" customHeight="1" x14ac:dyDescent="0.3">
      <c r="F102" s="729" t="s">
        <v>2047</v>
      </c>
      <c r="G102" s="744" t="str">
        <f>VLOOKUP(F102,tbl_KausiDivari[],2,FALSE)</f>
        <v>IV-Div+Cup</v>
      </c>
      <c r="H102" s="731">
        <v>1</v>
      </c>
      <c r="I102" s="384"/>
    </row>
    <row r="103" spans="2:9" ht="15" customHeight="1" x14ac:dyDescent="0.3">
      <c r="F103" s="798" t="s">
        <v>2437</v>
      </c>
      <c r="G103" s="901" t="str">
        <f>VLOOKUP(F103,tbl_KausiDivari[],2,FALSE)</f>
        <v>III-Div</v>
      </c>
      <c r="H103" s="800">
        <v>0</v>
      </c>
      <c r="I103" s="384" t="s">
        <v>1685</v>
      </c>
    </row>
    <row r="104" spans="2:9" ht="15" customHeight="1" x14ac:dyDescent="0.3">
      <c r="F104" s="777" t="s">
        <v>2409</v>
      </c>
      <c r="G104" s="750" t="str">
        <f>VLOOKUP(F104,tbl_KausiDivari[],2,FALSE)</f>
        <v>IV-Div+Kars</v>
      </c>
      <c r="H104" s="779">
        <v>0</v>
      </c>
      <c r="I104" s="384"/>
    </row>
    <row r="105" spans="2:9" ht="15" customHeight="1" x14ac:dyDescent="0.3">
      <c r="F105" s="777" t="s">
        <v>2230</v>
      </c>
      <c r="G105" s="750" t="str">
        <f>VLOOKUP(F105,tbl_KausiDivari[],2,FALSE)</f>
        <v>IV-Div</v>
      </c>
      <c r="H105" s="779">
        <v>0</v>
      </c>
      <c r="I105" s="384"/>
    </row>
    <row r="106" spans="2:9" ht="15" customHeight="1" x14ac:dyDescent="0.3">
      <c r="F106" s="752" t="s">
        <v>1817</v>
      </c>
      <c r="G106" s="750" t="str">
        <f>VLOOKUP(F106,tbl_KausiDivari[],2,FALSE)</f>
        <v>IV-Div+Kars</v>
      </c>
      <c r="H106" s="779">
        <v>0</v>
      </c>
      <c r="I106" s="384"/>
    </row>
    <row r="107" spans="2:9" ht="15" customHeight="1" x14ac:dyDescent="0.3">
      <c r="F107" s="902" t="s">
        <v>1662</v>
      </c>
      <c r="G107" s="750" t="str">
        <f>VLOOKUP(F107,tbl_KausiDivari[],2,FALSE)</f>
        <v>IV-Div</v>
      </c>
      <c r="H107" s="779">
        <v>0</v>
      </c>
      <c r="I107" s="384"/>
    </row>
    <row r="108" spans="2:9" ht="15" customHeight="1" x14ac:dyDescent="0.3">
      <c r="F108" s="749" t="s">
        <v>1589</v>
      </c>
      <c r="G108" s="750" t="str">
        <f>VLOOKUP(F108,tbl_KausiDivari[],2,FALSE)</f>
        <v>IV-Div</v>
      </c>
      <c r="H108" s="751">
        <v>0</v>
      </c>
      <c r="I108" s="384"/>
    </row>
    <row r="109" spans="2:9" ht="15" customHeight="1" x14ac:dyDescent="0.3">
      <c r="F109" s="752" t="s">
        <v>1079</v>
      </c>
      <c r="G109" s="753" t="str">
        <f>VLOOKUP(F109,tbl_KausiDivari[],2,FALSE)</f>
        <v>IV-Div</v>
      </c>
      <c r="H109" s="754">
        <v>0</v>
      </c>
      <c r="I109" s="384"/>
    </row>
    <row r="110" spans="2:9" ht="15" customHeight="1" x14ac:dyDescent="0.3">
      <c r="B110" s="715"/>
      <c r="C110" s="715"/>
      <c r="D110" s="715"/>
      <c r="E110" s="715"/>
      <c r="F110" s="752" t="s">
        <v>844</v>
      </c>
      <c r="G110" s="750" t="str">
        <f>VLOOKUP(F110,tbl_KausiDivari[],2,FALSE)</f>
        <v>IV-Div</v>
      </c>
      <c r="H110" s="751">
        <v>0</v>
      </c>
      <c r="I110" s="384"/>
    </row>
    <row r="111" spans="2:9" ht="15" customHeight="1" x14ac:dyDescent="0.3">
      <c r="B111" s="442" t="s">
        <v>119</v>
      </c>
      <c r="C111" s="332"/>
      <c r="D111" s="332"/>
      <c r="E111" s="332"/>
      <c r="F111" s="755" t="s">
        <v>701</v>
      </c>
      <c r="G111" s="756" t="str">
        <f>VLOOKUP(F111,tbl_KausiDivari[],2,FALSE)</f>
        <v>IV-Div</v>
      </c>
      <c r="H111" s="757">
        <v>0</v>
      </c>
      <c r="I111" s="384"/>
    </row>
    <row r="112" spans="2:9" ht="15" customHeight="1" x14ac:dyDescent="0.3">
      <c r="B112" s="736"/>
      <c r="C112" s="737"/>
      <c r="D112" s="737"/>
      <c r="E112" s="737"/>
      <c r="F112" s="738"/>
      <c r="G112" s="738"/>
      <c r="H112" s="740"/>
      <c r="I112" s="384"/>
    </row>
    <row r="113" spans="2:9" ht="15" customHeight="1" x14ac:dyDescent="0.3">
      <c r="B113" s="733"/>
      <c r="F113" s="769"/>
      <c r="G113" s="770"/>
      <c r="H113" s="770"/>
      <c r="I113" s="384"/>
    </row>
    <row r="114" spans="2:9" ht="15" customHeight="1" x14ac:dyDescent="0.3">
      <c r="B114" s="732" t="s">
        <v>1694</v>
      </c>
      <c r="C114" s="717"/>
      <c r="D114" s="717"/>
      <c r="E114" s="717"/>
      <c r="F114" s="741"/>
      <c r="G114" s="741"/>
      <c r="H114" s="742">
        <f>SUM(H115:H132)</f>
        <v>118</v>
      </c>
      <c r="I114" s="384"/>
    </row>
    <row r="115" spans="2:9" ht="15" customHeight="1" x14ac:dyDescent="0.3">
      <c r="B115" s="763" t="s">
        <v>73</v>
      </c>
      <c r="C115" s="311"/>
      <c r="D115" s="311"/>
      <c r="E115" s="311"/>
      <c r="F115" s="765" t="s">
        <v>261</v>
      </c>
      <c r="G115" s="766" t="str">
        <f>VLOOKUP(F115,tbl_KausiDivari[],2,FALSE)</f>
        <v>V-Div</v>
      </c>
      <c r="H115" s="767">
        <v>13</v>
      </c>
      <c r="I115" s="384"/>
    </row>
    <row r="116" spans="2:9" ht="15" customHeight="1" x14ac:dyDescent="0.3">
      <c r="B116" s="733"/>
      <c r="F116" s="760" t="s">
        <v>1817</v>
      </c>
      <c r="G116" s="761" t="str">
        <f>VLOOKUP(F116,tbl_KausiDivari[],2,FALSE)</f>
        <v>IV-Div+Kars</v>
      </c>
      <c r="H116" s="762">
        <v>13</v>
      </c>
      <c r="I116" s="384"/>
    </row>
    <row r="117" spans="2:9" ht="15" customHeight="1" x14ac:dyDescent="0.3">
      <c r="F117" s="720" t="s">
        <v>178</v>
      </c>
      <c r="G117" s="768" t="str">
        <f>VLOOKUP(F117,tbl_KausiDivari[],2,FALSE)</f>
        <v>V-Div</v>
      </c>
      <c r="H117" s="721">
        <v>11</v>
      </c>
      <c r="I117" s="384"/>
    </row>
    <row r="118" spans="2:9" ht="15" customHeight="1" x14ac:dyDescent="0.3">
      <c r="F118" s="771" t="s">
        <v>2047</v>
      </c>
      <c r="G118" s="764" t="str">
        <f>VLOOKUP(F118,tbl_KausiDivari[],2,FALSE)</f>
        <v>IV-Div+Cup</v>
      </c>
      <c r="H118" s="773">
        <v>8</v>
      </c>
      <c r="I118" s="384"/>
    </row>
    <row r="119" spans="2:9" ht="15" customHeight="1" x14ac:dyDescent="0.3">
      <c r="F119" s="771" t="s">
        <v>2230</v>
      </c>
      <c r="G119" s="764" t="str">
        <f>VLOOKUP(F119,tbl_KausiDivari[],2,FALSE)</f>
        <v>IV-Div</v>
      </c>
      <c r="H119" s="773">
        <v>8</v>
      </c>
      <c r="I119" s="384"/>
    </row>
    <row r="120" spans="2:9" ht="15" customHeight="1" x14ac:dyDescent="0.3">
      <c r="F120" s="722" t="s">
        <v>177</v>
      </c>
      <c r="G120" s="764" t="str">
        <f>VLOOKUP(F120,tbl_KausiDivari[],2,FALSE)</f>
        <v>IV-Div</v>
      </c>
      <c r="H120" s="724">
        <v>7</v>
      </c>
      <c r="I120" s="384"/>
    </row>
    <row r="121" spans="2:9" ht="15" customHeight="1" x14ac:dyDescent="0.3">
      <c r="F121" s="722" t="s">
        <v>701</v>
      </c>
      <c r="G121" s="764" t="str">
        <f>VLOOKUP(F121,tbl_KausiDivari[],2,FALSE)</f>
        <v>IV-Div</v>
      </c>
      <c r="H121" s="724">
        <v>7</v>
      </c>
      <c r="I121" s="384"/>
    </row>
    <row r="122" spans="2:9" ht="15" customHeight="1" x14ac:dyDescent="0.3">
      <c r="F122" s="722" t="s">
        <v>1406</v>
      </c>
      <c r="G122" s="764" t="str">
        <f>VLOOKUP(F122,tbl_KausiDivari[],2,FALSE)</f>
        <v>IV-Div</v>
      </c>
      <c r="H122" s="724">
        <v>7</v>
      </c>
      <c r="I122" s="384"/>
    </row>
    <row r="123" spans="2:9" ht="15" customHeight="1" x14ac:dyDescent="0.3">
      <c r="F123" s="771" t="s">
        <v>1589</v>
      </c>
      <c r="G123" s="772" t="str">
        <f>VLOOKUP(F123,tbl_KausiDivari[],2,FALSE)</f>
        <v>IV-Div</v>
      </c>
      <c r="H123" s="773">
        <v>7</v>
      </c>
      <c r="I123" s="384"/>
    </row>
    <row r="124" spans="2:9" ht="15" customHeight="1" x14ac:dyDescent="0.3">
      <c r="F124" s="722" t="s">
        <v>1079</v>
      </c>
      <c r="G124" s="772" t="str">
        <f>VLOOKUP(F124,tbl_KausiDivari[],2,FALSE)</f>
        <v>IV-Div</v>
      </c>
      <c r="H124" s="724">
        <v>6</v>
      </c>
      <c r="I124" s="384"/>
    </row>
    <row r="125" spans="2:9" ht="15" customHeight="1" x14ac:dyDescent="0.3">
      <c r="F125" s="771" t="s">
        <v>1146</v>
      </c>
      <c r="G125" s="772" t="str">
        <f>VLOOKUP(F125,tbl_KausiDivari[],2,FALSE)</f>
        <v>IV-Div</v>
      </c>
      <c r="H125" s="773">
        <v>6</v>
      </c>
      <c r="I125" s="384"/>
    </row>
    <row r="126" spans="2:9" ht="15" customHeight="1" x14ac:dyDescent="0.3">
      <c r="F126" s="729" t="s">
        <v>1662</v>
      </c>
      <c r="G126" s="743" t="str">
        <f>VLOOKUP(F126,tbl_KausiDivari[],2,FALSE)</f>
        <v>IV-Div</v>
      </c>
      <c r="H126" s="724">
        <v>6</v>
      </c>
      <c r="I126" s="384"/>
    </row>
    <row r="127" spans="2:9" ht="15" customHeight="1" x14ac:dyDescent="0.3">
      <c r="F127" s="729" t="s">
        <v>844</v>
      </c>
      <c r="G127" s="743" t="str">
        <f>VLOOKUP(F127,tbl_KausiDivari[],2,FALSE)</f>
        <v>IV-Div</v>
      </c>
      <c r="H127" s="731">
        <v>5</v>
      </c>
      <c r="I127" s="384"/>
    </row>
    <row r="128" spans="2:9" ht="15" customHeight="1" x14ac:dyDescent="0.3">
      <c r="F128" s="729" t="s">
        <v>2437</v>
      </c>
      <c r="G128" s="743" t="str">
        <f>VLOOKUP(F128,tbl_KausiDivari[],2,FALSE)</f>
        <v>III-Div</v>
      </c>
      <c r="H128" s="731">
        <v>4</v>
      </c>
      <c r="I128" s="384" t="s">
        <v>1685</v>
      </c>
    </row>
    <row r="129" spans="2:15" ht="15" customHeight="1" x14ac:dyDescent="0.3">
      <c r="F129" s="729" t="s">
        <v>884</v>
      </c>
      <c r="G129" s="744" t="str">
        <f>VLOOKUP(F129,tbl_KausiDivari[],2,FALSE)</f>
        <v>V-Div</v>
      </c>
      <c r="H129" s="731">
        <v>3</v>
      </c>
      <c r="I129" s="384"/>
    </row>
    <row r="130" spans="2:15" ht="15" customHeight="1" x14ac:dyDescent="0.3">
      <c r="E130" s="1024"/>
      <c r="F130" s="726" t="s">
        <v>580</v>
      </c>
      <c r="G130" s="780" t="str">
        <f>VLOOKUP(F130,tbl_KausiDivari[],2,FALSE)</f>
        <v>IV-Div</v>
      </c>
      <c r="H130" s="728">
        <v>3</v>
      </c>
      <c r="I130" s="384"/>
    </row>
    <row r="131" spans="2:15" ht="15" customHeight="1" x14ac:dyDescent="0.3">
      <c r="B131" s="715"/>
      <c r="C131" s="715"/>
      <c r="D131" s="715"/>
      <c r="E131" s="903"/>
      <c r="F131" s="752" t="s">
        <v>2409</v>
      </c>
      <c r="G131" s="750" t="str">
        <f>VLOOKUP(F131,tbl_KausiDivari[],2,FALSE)</f>
        <v>IV-Div+Kars</v>
      </c>
      <c r="H131" s="751">
        <f>1+1</f>
        <v>2</v>
      </c>
      <c r="I131" s="384"/>
    </row>
    <row r="132" spans="2:15" ht="15" customHeight="1" x14ac:dyDescent="0.3">
      <c r="B132" s="436" t="s">
        <v>123</v>
      </c>
      <c r="C132" s="311"/>
      <c r="D132" s="311"/>
      <c r="E132" s="311"/>
      <c r="F132" s="774" t="s">
        <v>2187</v>
      </c>
      <c r="G132" s="775" t="str">
        <f>VLOOKUP(F132,tbl_KausiDivari[],2,FALSE)</f>
        <v>III-Div+Kars</v>
      </c>
      <c r="H132" s="776">
        <v>2</v>
      </c>
      <c r="I132" s="384"/>
    </row>
    <row r="133" spans="2:15" ht="15" customHeight="1" x14ac:dyDescent="0.3">
      <c r="B133" s="733"/>
      <c r="C133" s="475"/>
      <c r="D133" s="475"/>
      <c r="E133" s="475"/>
      <c r="F133" s="734"/>
      <c r="G133" s="735"/>
      <c r="H133" s="359"/>
      <c r="I133" s="384"/>
    </row>
    <row r="134" spans="2:15" ht="15" customHeight="1" x14ac:dyDescent="0.3">
      <c r="B134" s="733"/>
      <c r="C134" s="475"/>
      <c r="D134" s="475"/>
      <c r="E134" s="475"/>
      <c r="F134" s="734"/>
      <c r="G134" s="735"/>
      <c r="H134" s="359"/>
      <c r="I134" s="384"/>
    </row>
    <row r="135" spans="2:15" ht="15" customHeight="1" x14ac:dyDescent="0.3">
      <c r="B135" s="732" t="s">
        <v>1696</v>
      </c>
      <c r="C135" s="717"/>
      <c r="D135" s="717"/>
      <c r="E135" s="717"/>
      <c r="F135" s="741"/>
      <c r="G135" s="741"/>
      <c r="H135" s="742">
        <f>SUM(H136:H153)</f>
        <v>102</v>
      </c>
      <c r="I135" s="384"/>
    </row>
    <row r="136" spans="2:15" ht="15" customHeight="1" x14ac:dyDescent="0.3">
      <c r="B136" s="763" t="s">
        <v>120</v>
      </c>
      <c r="C136" s="311"/>
      <c r="D136" s="311"/>
      <c r="E136" s="311"/>
      <c r="F136" s="765" t="s">
        <v>580</v>
      </c>
      <c r="G136" s="766" t="str">
        <f>VLOOKUP(F136,tbl_KausiDivari[],2,FALSE)</f>
        <v>IV-Div</v>
      </c>
      <c r="H136" s="767">
        <v>11</v>
      </c>
      <c r="I136" s="384"/>
    </row>
    <row r="137" spans="2:15" ht="15" customHeight="1" x14ac:dyDescent="0.3">
      <c r="F137" s="802" t="s">
        <v>1589</v>
      </c>
      <c r="G137" s="1095" t="str">
        <f>VLOOKUP(F137,tbl_KausiDivari[],2,FALSE)</f>
        <v>IV-Div</v>
      </c>
      <c r="H137" s="804">
        <v>11</v>
      </c>
      <c r="I137" s="384"/>
    </row>
    <row r="138" spans="2:15" ht="15" customHeight="1" x14ac:dyDescent="0.3">
      <c r="F138" s="760" t="s">
        <v>2230</v>
      </c>
      <c r="G138" s="761" t="str">
        <f>VLOOKUP(F138,tbl_KausiDivari[],2,FALSE)</f>
        <v>IV-Div</v>
      </c>
      <c r="H138" s="762">
        <v>11</v>
      </c>
      <c r="I138" s="384"/>
    </row>
    <row r="139" spans="2:15" ht="15" customHeight="1" x14ac:dyDescent="0.3">
      <c r="F139" s="771" t="s">
        <v>261</v>
      </c>
      <c r="G139" s="785" t="str">
        <f>VLOOKUP(F139,tbl_KausiDivari[],2,FALSE)</f>
        <v>V-Div</v>
      </c>
      <c r="H139" s="773">
        <v>10</v>
      </c>
      <c r="I139" s="384"/>
    </row>
    <row r="140" spans="2:15" ht="15" customHeight="1" x14ac:dyDescent="0.3">
      <c r="F140" s="722" t="s">
        <v>178</v>
      </c>
      <c r="G140" s="764" t="str">
        <f>VLOOKUP(F140,tbl_KausiDivari[],2,FALSE)</f>
        <v>V-Div</v>
      </c>
      <c r="H140" s="724">
        <v>7</v>
      </c>
      <c r="I140" s="384"/>
      <c r="K140" s="401"/>
      <c r="N140" s="784"/>
      <c r="O140" s="784"/>
    </row>
    <row r="141" spans="2:15" ht="15" customHeight="1" x14ac:dyDescent="0.3">
      <c r="F141" s="722" t="s">
        <v>2187</v>
      </c>
      <c r="G141" s="764" t="str">
        <f>VLOOKUP(F141,tbl_KausiDivari[],2,FALSE)</f>
        <v>III-Div+Kars</v>
      </c>
      <c r="H141" s="724">
        <v>7</v>
      </c>
      <c r="I141" s="384"/>
      <c r="K141" s="401"/>
      <c r="N141" s="784"/>
      <c r="O141" s="784"/>
    </row>
    <row r="142" spans="2:15" ht="15" customHeight="1" x14ac:dyDescent="0.3">
      <c r="F142" s="722" t="s">
        <v>701</v>
      </c>
      <c r="G142" s="764" t="str">
        <f>VLOOKUP(F142,tbl_KausiDivari[],2,FALSE)</f>
        <v>IV-Div</v>
      </c>
      <c r="H142" s="724">
        <v>6</v>
      </c>
      <c r="I142" s="384"/>
      <c r="K142" s="401"/>
      <c r="N142" s="386"/>
      <c r="O142" s="386"/>
    </row>
    <row r="143" spans="2:15" ht="15" customHeight="1" x14ac:dyDescent="0.3">
      <c r="F143" s="771" t="s">
        <v>2409</v>
      </c>
      <c r="G143" s="764" t="str">
        <f>VLOOKUP(F143,tbl_KausiDivari[],2,FALSE)</f>
        <v>IV-Div+Kars</v>
      </c>
      <c r="H143" s="773">
        <f>6</f>
        <v>6</v>
      </c>
      <c r="I143" s="384"/>
      <c r="K143" s="401"/>
      <c r="N143" s="386"/>
      <c r="O143" s="386"/>
    </row>
    <row r="144" spans="2:15" ht="15" customHeight="1" x14ac:dyDescent="0.3">
      <c r="F144" s="771" t="s">
        <v>2437</v>
      </c>
      <c r="G144" s="764" t="str">
        <f>VLOOKUP(F144,tbl_KausiDivari[],2,FALSE)</f>
        <v>III-Div</v>
      </c>
      <c r="H144" s="773">
        <v>6</v>
      </c>
      <c r="I144" s="384" t="s">
        <v>1685</v>
      </c>
      <c r="K144" s="401"/>
      <c r="N144" s="386"/>
      <c r="O144" s="386"/>
    </row>
    <row r="145" spans="2:15" ht="15" customHeight="1" x14ac:dyDescent="0.3">
      <c r="F145" s="771" t="s">
        <v>844</v>
      </c>
      <c r="G145" s="772" t="str">
        <f>VLOOKUP(F145,tbl_KausiDivari[],2,FALSE)</f>
        <v>IV-Div</v>
      </c>
      <c r="H145" s="773">
        <v>5</v>
      </c>
      <c r="I145" s="384"/>
      <c r="K145" s="401"/>
      <c r="N145" s="783"/>
      <c r="O145" s="783"/>
    </row>
    <row r="146" spans="2:15" ht="15" customHeight="1" x14ac:dyDescent="0.3">
      <c r="F146" s="722" t="s">
        <v>1079</v>
      </c>
      <c r="G146" s="772" t="str">
        <f>VLOOKUP(F146,tbl_KausiDivari[],2,FALSE)</f>
        <v>IV-Div</v>
      </c>
      <c r="H146" s="724">
        <v>5</v>
      </c>
      <c r="I146" s="384"/>
    </row>
    <row r="147" spans="2:15" ht="15" customHeight="1" x14ac:dyDescent="0.3">
      <c r="F147" s="771" t="s">
        <v>1406</v>
      </c>
      <c r="G147" s="772" t="str">
        <f>VLOOKUP(F147,tbl_KausiDivari[],2,FALSE)</f>
        <v>IV-Div</v>
      </c>
      <c r="H147" s="773">
        <v>5</v>
      </c>
      <c r="I147" s="384"/>
    </row>
    <row r="148" spans="2:15" ht="15" customHeight="1" x14ac:dyDescent="0.3">
      <c r="F148" s="729" t="s">
        <v>884</v>
      </c>
      <c r="G148" s="743" t="str">
        <f>VLOOKUP(F148,tbl_KausiDivari[],2,FALSE)</f>
        <v>V-Div</v>
      </c>
      <c r="H148" s="724">
        <v>4</v>
      </c>
      <c r="I148" s="384"/>
    </row>
    <row r="149" spans="2:15" ht="15" customHeight="1" x14ac:dyDescent="0.3">
      <c r="F149" s="729" t="s">
        <v>1817</v>
      </c>
      <c r="G149" s="744" t="str">
        <f>VLOOKUP(F149,tbl_KausiDivari[],2,FALSE)</f>
        <v>IV-Div+Kars</v>
      </c>
      <c r="H149" s="731">
        <v>3</v>
      </c>
      <c r="I149" s="384"/>
    </row>
    <row r="150" spans="2:15" ht="15" customHeight="1" x14ac:dyDescent="0.3">
      <c r="F150" s="729" t="s">
        <v>1146</v>
      </c>
      <c r="G150" s="744" t="str">
        <f>VLOOKUP(F150,tbl_KausiDivari[],2,FALSE)</f>
        <v>IV-Div</v>
      </c>
      <c r="H150" s="731">
        <v>2</v>
      </c>
      <c r="I150" s="384"/>
    </row>
    <row r="151" spans="2:15" ht="15" customHeight="1" x14ac:dyDescent="0.3">
      <c r="F151" s="729" t="s">
        <v>1662</v>
      </c>
      <c r="G151" s="744" t="str">
        <f>VLOOKUP(F151,tbl_KausiDivari[],2,FALSE)</f>
        <v>IV-Div</v>
      </c>
      <c r="H151" s="731">
        <v>2</v>
      </c>
      <c r="I151" s="384"/>
    </row>
    <row r="152" spans="2:15" ht="15" customHeight="1" x14ac:dyDescent="0.3">
      <c r="B152" s="715"/>
      <c r="C152" s="715"/>
      <c r="D152" s="715"/>
      <c r="E152" s="715"/>
      <c r="F152" s="726" t="s">
        <v>177</v>
      </c>
      <c r="G152" s="780" t="str">
        <f>VLOOKUP(F152,tbl_KausiDivari[],2,FALSE)</f>
        <v>IV-Div</v>
      </c>
      <c r="H152" s="728">
        <v>1</v>
      </c>
      <c r="I152" s="384"/>
    </row>
    <row r="153" spans="2:15" ht="15" customHeight="1" x14ac:dyDescent="0.3">
      <c r="B153" s="436" t="s">
        <v>121</v>
      </c>
      <c r="C153" s="311"/>
      <c r="D153" s="311"/>
      <c r="E153" s="311"/>
      <c r="F153" s="774" t="s">
        <v>2047</v>
      </c>
      <c r="G153" s="775" t="str">
        <f>VLOOKUP(F153,tbl_KausiDivari[],2,FALSE)</f>
        <v>IV-Div+Cup</v>
      </c>
      <c r="H153" s="776">
        <v>0</v>
      </c>
      <c r="I153" s="384"/>
    </row>
    <row r="154" spans="2:15" ht="15" customHeight="1" x14ac:dyDescent="0.3">
      <c r="B154" s="733"/>
      <c r="C154" s="475"/>
      <c r="D154" s="475"/>
      <c r="E154" s="475"/>
      <c r="F154" s="734"/>
      <c r="G154" s="735"/>
      <c r="H154" s="359"/>
      <c r="I154" s="384"/>
    </row>
    <row r="155" spans="2:15" ht="15" customHeight="1" x14ac:dyDescent="0.3">
      <c r="B155" s="733"/>
      <c r="C155" s="475"/>
      <c r="D155" s="475"/>
      <c r="E155" s="475"/>
      <c r="F155" s="734"/>
      <c r="G155" s="735"/>
      <c r="H155" s="359"/>
      <c r="I155" s="384"/>
    </row>
    <row r="156" spans="2:15" ht="15" customHeight="1" x14ac:dyDescent="0.3">
      <c r="B156" s="732" t="s">
        <v>1697</v>
      </c>
      <c r="C156" s="717"/>
      <c r="D156" s="717"/>
      <c r="E156" s="717"/>
      <c r="F156" s="719"/>
      <c r="G156" s="719"/>
      <c r="H156" s="791" t="s">
        <v>2784</v>
      </c>
      <c r="I156" s="384"/>
    </row>
    <row r="157" spans="2:15" ht="15" customHeight="1" x14ac:dyDescent="0.3">
      <c r="B157" s="763" t="s">
        <v>81</v>
      </c>
      <c r="C157" s="311"/>
      <c r="D157" s="311"/>
      <c r="E157" s="311"/>
      <c r="F157" s="745" t="s">
        <v>2230</v>
      </c>
      <c r="G157" s="782" t="str">
        <f>VLOOKUP(F157,tbl_KausiDivari[],2,FALSE)</f>
        <v>IV-Div</v>
      </c>
      <c r="H157" s="786" t="s">
        <v>2310</v>
      </c>
      <c r="I157" s="384"/>
    </row>
    <row r="158" spans="2:15" ht="15" customHeight="1" x14ac:dyDescent="0.3">
      <c r="F158" s="720" t="s">
        <v>2047</v>
      </c>
      <c r="G158" s="768" t="str">
        <f>VLOOKUP(F158,tbl_KausiDivari[],2,FALSE)</f>
        <v>IV-Div+Cup</v>
      </c>
      <c r="H158" s="788" t="s">
        <v>2083</v>
      </c>
      <c r="I158" s="384"/>
    </row>
    <row r="159" spans="2:15" ht="15" customHeight="1" x14ac:dyDescent="0.3">
      <c r="F159" s="771" t="s">
        <v>580</v>
      </c>
      <c r="G159" s="764" t="str">
        <f>VLOOKUP(F159,tbl_KausiDivari[],2,FALSE)</f>
        <v>IV-Div</v>
      </c>
      <c r="H159" s="1096" t="s">
        <v>582</v>
      </c>
      <c r="I159" s="384"/>
    </row>
    <row r="160" spans="2:15" ht="15" customHeight="1" x14ac:dyDescent="0.3">
      <c r="F160" s="722" t="s">
        <v>701</v>
      </c>
      <c r="G160" s="764" t="str">
        <f>VLOOKUP(F160,tbl_KausiDivari[],2,FALSE)</f>
        <v>IV-Div</v>
      </c>
      <c r="H160" s="789" t="s">
        <v>582</v>
      </c>
      <c r="I160" s="384"/>
    </row>
    <row r="161" spans="2:9" ht="15" customHeight="1" x14ac:dyDescent="0.3">
      <c r="F161" s="722" t="s">
        <v>1589</v>
      </c>
      <c r="G161" s="743" t="str">
        <f>VLOOKUP(F161,tbl_KausiDivari[],2,FALSE)</f>
        <v>IV-Div</v>
      </c>
      <c r="H161" s="789" t="s">
        <v>582</v>
      </c>
      <c r="I161" s="384"/>
    </row>
    <row r="162" spans="2:9" ht="15" customHeight="1" x14ac:dyDescent="0.3">
      <c r="F162" s="722" t="s">
        <v>178</v>
      </c>
      <c r="G162" s="743" t="str">
        <f>VLOOKUP(F162,tbl_KausiDivari[],2,FALSE)</f>
        <v>V-Div</v>
      </c>
      <c r="H162" s="789" t="s">
        <v>113</v>
      </c>
      <c r="I162" s="384"/>
    </row>
    <row r="163" spans="2:9" ht="15" customHeight="1" x14ac:dyDescent="0.3">
      <c r="F163" s="722" t="s">
        <v>1406</v>
      </c>
      <c r="G163" s="764" t="str">
        <f>VLOOKUP(F163,tbl_KausiDivari[],2,FALSE)</f>
        <v>IV-Div</v>
      </c>
      <c r="H163" s="789" t="s">
        <v>113</v>
      </c>
      <c r="I163" s="384"/>
    </row>
    <row r="164" spans="2:9" ht="15" customHeight="1" x14ac:dyDescent="0.3">
      <c r="F164" s="722" t="s">
        <v>261</v>
      </c>
      <c r="G164" s="743" t="str">
        <f>VLOOKUP(F164,tbl_KausiDivari[],2,FALSE)</f>
        <v>V-Div</v>
      </c>
      <c r="H164" s="789" t="s">
        <v>511</v>
      </c>
      <c r="I164" s="384"/>
    </row>
    <row r="165" spans="2:9" ht="15" customHeight="1" x14ac:dyDescent="0.3">
      <c r="F165" s="722" t="s">
        <v>844</v>
      </c>
      <c r="G165" s="743" t="str">
        <f>VLOOKUP(F165,tbl_KausiDivari[],2,FALSE)</f>
        <v>IV-Div</v>
      </c>
      <c r="H165" s="789" t="s">
        <v>511</v>
      </c>
      <c r="I165" s="384"/>
    </row>
    <row r="166" spans="2:9" ht="15" customHeight="1" x14ac:dyDescent="0.3">
      <c r="F166" s="722" t="s">
        <v>884</v>
      </c>
      <c r="G166" s="743" t="str">
        <f>VLOOKUP(F166,tbl_KausiDivari[],2,FALSE)</f>
        <v>V-Div</v>
      </c>
      <c r="H166" s="789" t="s">
        <v>511</v>
      </c>
      <c r="I166" s="384"/>
    </row>
    <row r="167" spans="2:9" ht="15" customHeight="1" x14ac:dyDescent="0.3">
      <c r="F167" s="722" t="s">
        <v>1146</v>
      </c>
      <c r="G167" s="743" t="str">
        <f>VLOOKUP(F167,tbl_KausiDivari[],2,FALSE)</f>
        <v>IV-Div</v>
      </c>
      <c r="H167" s="789" t="s">
        <v>511</v>
      </c>
      <c r="I167" s="384"/>
    </row>
    <row r="168" spans="2:9" ht="15" customHeight="1" x14ac:dyDescent="0.3">
      <c r="F168" s="722" t="s">
        <v>2437</v>
      </c>
      <c r="G168" s="743" t="str">
        <f>VLOOKUP(F168,tbl_KausiDivari[],2,FALSE)</f>
        <v>III-Div</v>
      </c>
      <c r="H168" s="1097" t="s">
        <v>1439</v>
      </c>
      <c r="I168" s="384" t="s">
        <v>1685</v>
      </c>
    </row>
    <row r="169" spans="2:9" ht="15" customHeight="1" x14ac:dyDescent="0.3">
      <c r="F169" s="722" t="s">
        <v>2409</v>
      </c>
      <c r="G169" s="743" t="str">
        <f>VLOOKUP(F169,tbl_KausiDivari[],2,FALSE)</f>
        <v>IV-Div+Kars</v>
      </c>
      <c r="H169" s="1097" t="s">
        <v>128</v>
      </c>
      <c r="I169" s="384"/>
    </row>
    <row r="170" spans="2:9" ht="15" customHeight="1" x14ac:dyDescent="0.3">
      <c r="F170" s="722" t="s">
        <v>1079</v>
      </c>
      <c r="G170" s="743" t="str">
        <f>VLOOKUP(F170,tbl_KausiDivari[],2,FALSE)</f>
        <v>IV-Div</v>
      </c>
      <c r="H170" s="789" t="s">
        <v>128</v>
      </c>
      <c r="I170" s="384"/>
    </row>
    <row r="171" spans="2:9" ht="15" customHeight="1" x14ac:dyDescent="0.3">
      <c r="F171" s="729" t="s">
        <v>177</v>
      </c>
      <c r="G171" s="743" t="str">
        <f>VLOOKUP(F171,tbl_KausiDivari[],2,FALSE)</f>
        <v>IV-Div</v>
      </c>
      <c r="H171" s="792" t="s">
        <v>105</v>
      </c>
      <c r="I171" s="384"/>
    </row>
    <row r="172" spans="2:9" ht="15" customHeight="1" x14ac:dyDescent="0.3">
      <c r="F172" s="729" t="s">
        <v>1817</v>
      </c>
      <c r="G172" s="743" t="str">
        <f>VLOOKUP(F172,tbl_KausiDivari[],2,FALSE)</f>
        <v>IV-Div+Kars</v>
      </c>
      <c r="H172" s="792" t="s">
        <v>105</v>
      </c>
      <c r="I172" s="384"/>
    </row>
    <row r="173" spans="2:9" ht="15" customHeight="1" x14ac:dyDescent="0.3">
      <c r="B173" s="715"/>
      <c r="C173" s="715"/>
      <c r="D173" s="715"/>
      <c r="E173" s="715"/>
      <c r="F173" s="726" t="s">
        <v>2187</v>
      </c>
      <c r="G173" s="780" t="str">
        <f>VLOOKUP(F173,tbl_KausiDivari[],2,FALSE)</f>
        <v>III-Div+Kars</v>
      </c>
      <c r="H173" s="790" t="s">
        <v>105</v>
      </c>
      <c r="I173" s="384"/>
    </row>
    <row r="174" spans="2:9" ht="15" customHeight="1" x14ac:dyDescent="0.3">
      <c r="B174" s="423" t="s">
        <v>214</v>
      </c>
      <c r="C174" s="311"/>
      <c r="D174" s="311"/>
      <c r="E174" s="311"/>
      <c r="F174" s="774" t="s">
        <v>1662</v>
      </c>
      <c r="G174" s="775" t="str">
        <f>VLOOKUP(F174,tbl_KausiDivari[],2,FALSE)</f>
        <v>IV-Div</v>
      </c>
      <c r="H174" s="787" t="s">
        <v>11</v>
      </c>
      <c r="I174" s="384"/>
    </row>
    <row r="175" spans="2:9" ht="15" customHeight="1" x14ac:dyDescent="0.3">
      <c r="B175" s="733"/>
      <c r="C175" s="475"/>
      <c r="D175" s="475"/>
      <c r="E175" s="475"/>
      <c r="F175" s="734"/>
      <c r="G175" s="735"/>
      <c r="H175" s="359"/>
      <c r="I175" s="384"/>
    </row>
    <row r="176" spans="2:9" ht="15" customHeight="1" x14ac:dyDescent="0.3">
      <c r="B176" s="733"/>
      <c r="C176" s="475"/>
      <c r="D176" s="475"/>
      <c r="E176" s="475"/>
      <c r="F176" s="734"/>
      <c r="G176" s="735"/>
      <c r="H176" s="359"/>
      <c r="I176" s="384"/>
    </row>
    <row r="177" spans="2:10" ht="15" customHeight="1" x14ac:dyDescent="0.3">
      <c r="B177" s="716" t="s">
        <v>1698</v>
      </c>
      <c r="C177" s="717"/>
      <c r="D177" s="717"/>
      <c r="E177" s="717"/>
      <c r="F177" s="719"/>
      <c r="G177" s="718"/>
      <c r="H177" s="791" t="s">
        <v>2312</v>
      </c>
      <c r="I177" s="384"/>
    </row>
    <row r="178" spans="2:10" ht="15" customHeight="1" x14ac:dyDescent="0.3">
      <c r="B178" s="423" t="s">
        <v>215</v>
      </c>
      <c r="C178" s="311"/>
      <c r="D178" s="311"/>
      <c r="E178" s="311"/>
      <c r="F178" s="745" t="s">
        <v>2230</v>
      </c>
      <c r="G178" s="782" t="str">
        <f>VLOOKUP(F178,tbl_KausiDivari[],2,FALSE)</f>
        <v>IV-Div</v>
      </c>
      <c r="H178" s="786" t="s">
        <v>2311</v>
      </c>
      <c r="I178" s="384"/>
    </row>
    <row r="179" spans="2:10" ht="15" customHeight="1" x14ac:dyDescent="0.3">
      <c r="B179" s="399"/>
      <c r="F179" s="720" t="s">
        <v>701</v>
      </c>
      <c r="G179" s="451" t="str">
        <f>VLOOKUP(F179,tbl_KausiDivari[],2,FALSE)</f>
        <v>IV-Div</v>
      </c>
      <c r="H179" s="1097" t="s">
        <v>734</v>
      </c>
      <c r="I179" s="384"/>
    </row>
    <row r="180" spans="2:10" ht="15" customHeight="1" x14ac:dyDescent="0.3">
      <c r="B180" s="399"/>
      <c r="F180" s="771" t="s">
        <v>2187</v>
      </c>
      <c r="G180" s="764" t="str">
        <f>VLOOKUP(F180,tbl_KausiDivari[],2,FALSE)</f>
        <v>III-Div+Kars</v>
      </c>
      <c r="H180" s="1097" t="s">
        <v>582</v>
      </c>
      <c r="I180" s="384"/>
    </row>
    <row r="181" spans="2:10" ht="15" customHeight="1" x14ac:dyDescent="0.3">
      <c r="F181" s="722" t="s">
        <v>580</v>
      </c>
      <c r="G181" s="764" t="str">
        <f>VLOOKUP(F181,tbl_KausiDivari[],2,FALSE)</f>
        <v>IV-Div</v>
      </c>
      <c r="H181" s="789" t="s">
        <v>113</v>
      </c>
      <c r="I181" s="384"/>
    </row>
    <row r="182" spans="2:10" ht="15" customHeight="1" x14ac:dyDescent="0.3">
      <c r="F182" s="722" t="s">
        <v>1817</v>
      </c>
      <c r="G182" s="764" t="str">
        <f>VLOOKUP(F182,tbl_KausiDivari[],2,FALSE)</f>
        <v>IV-Div+Kars</v>
      </c>
      <c r="H182" s="789" t="s">
        <v>113</v>
      </c>
      <c r="I182" s="384"/>
    </row>
    <row r="183" spans="2:10" ht="15" customHeight="1" x14ac:dyDescent="0.3">
      <c r="F183" s="722" t="s">
        <v>1589</v>
      </c>
      <c r="G183" s="764" t="str">
        <f>VLOOKUP(F183,tbl_KausiDivari[],2,FALSE)</f>
        <v>IV-Div</v>
      </c>
      <c r="H183" s="789" t="s">
        <v>511</v>
      </c>
      <c r="I183" s="384"/>
    </row>
    <row r="184" spans="2:10" ht="15" customHeight="1" x14ac:dyDescent="0.3">
      <c r="F184" s="722" t="s">
        <v>844</v>
      </c>
      <c r="G184" s="785" t="str">
        <f>VLOOKUP(F184,tbl_KausiDivari[],2,FALSE)</f>
        <v>IV-Div</v>
      </c>
      <c r="H184" s="789" t="s">
        <v>1439</v>
      </c>
      <c r="I184" s="384"/>
    </row>
    <row r="185" spans="2:10" ht="15" customHeight="1" x14ac:dyDescent="0.3">
      <c r="F185" s="722" t="s">
        <v>1406</v>
      </c>
      <c r="G185" s="764" t="str">
        <f>VLOOKUP(F185,tbl_KausiDivari[],2,FALSE)</f>
        <v>IV-Div</v>
      </c>
      <c r="H185" s="789" t="s">
        <v>1439</v>
      </c>
      <c r="I185" s="384"/>
    </row>
    <row r="186" spans="2:10" ht="15" customHeight="1" x14ac:dyDescent="0.3">
      <c r="F186" s="722" t="s">
        <v>884</v>
      </c>
      <c r="G186" s="743" t="str">
        <f>VLOOKUP(F186,tbl_KausiDivari[],2,FALSE)</f>
        <v>V-Div</v>
      </c>
      <c r="H186" s="789" t="s">
        <v>128</v>
      </c>
      <c r="I186" s="384"/>
    </row>
    <row r="187" spans="2:10" ht="15" customHeight="1" x14ac:dyDescent="0.3">
      <c r="F187" s="722" t="s">
        <v>1146</v>
      </c>
      <c r="G187" s="743" t="str">
        <f>VLOOKUP(F187,tbl_KausiDivari[],2,FALSE)</f>
        <v>IV-Div</v>
      </c>
      <c r="H187" s="789" t="s">
        <v>128</v>
      </c>
      <c r="I187" s="384"/>
    </row>
    <row r="188" spans="2:10" ht="15" customHeight="1" x14ac:dyDescent="0.3">
      <c r="F188" s="722" t="s">
        <v>177</v>
      </c>
      <c r="G188" s="743" t="str">
        <f>VLOOKUP(F188,tbl_KausiDivari[],2,FALSE)</f>
        <v>IV-Div</v>
      </c>
      <c r="H188" s="789" t="s">
        <v>105</v>
      </c>
      <c r="I188" s="384"/>
    </row>
    <row r="189" spans="2:10" ht="15" customHeight="1" x14ac:dyDescent="0.3">
      <c r="F189" s="729" t="s">
        <v>261</v>
      </c>
      <c r="G189" s="744" t="str">
        <f>VLOOKUP(F189,tbl_KausiDivari[],2,FALSE)</f>
        <v>V-Div</v>
      </c>
      <c r="H189" s="792" t="s">
        <v>105</v>
      </c>
      <c r="I189" s="384"/>
    </row>
    <row r="190" spans="2:10" ht="15" customHeight="1" x14ac:dyDescent="0.3">
      <c r="F190" s="726" t="s">
        <v>2409</v>
      </c>
      <c r="G190" s="780" t="str">
        <f>VLOOKUP(F190,tbl_KausiDivari[],2,FALSE)</f>
        <v>IV-Div+Kars</v>
      </c>
      <c r="H190" s="790" t="s">
        <v>105</v>
      </c>
      <c r="I190" s="384"/>
      <c r="J190" s="1278"/>
    </row>
    <row r="191" spans="2:10" ht="15" customHeight="1" x14ac:dyDescent="0.3">
      <c r="F191" s="777" t="s">
        <v>2437</v>
      </c>
      <c r="G191" s="778" t="str">
        <f>VLOOKUP(F191,tbl_KausiDivari[],2,FALSE)</f>
        <v>III-Div</v>
      </c>
      <c r="H191" s="779">
        <v>0</v>
      </c>
      <c r="I191" s="384" t="s">
        <v>1685</v>
      </c>
    </row>
    <row r="192" spans="2:10" ht="15" customHeight="1" x14ac:dyDescent="0.3">
      <c r="F192" s="777" t="s">
        <v>2047</v>
      </c>
      <c r="G192" s="750" t="str">
        <f>VLOOKUP(F192,tbl_KausiDivari[],2,FALSE)</f>
        <v>IV-Div+Cup</v>
      </c>
      <c r="H192" s="779">
        <v>0</v>
      </c>
      <c r="I192" s="384"/>
    </row>
    <row r="193" spans="2:9" ht="15" customHeight="1" x14ac:dyDescent="0.3">
      <c r="F193" s="752" t="s">
        <v>1662</v>
      </c>
      <c r="G193" s="750" t="str">
        <f>VLOOKUP(F193,tbl_KausiDivari[],2,FALSE)</f>
        <v>IV-Div</v>
      </c>
      <c r="H193" s="794" t="s">
        <v>11</v>
      </c>
      <c r="I193" s="384"/>
    </row>
    <row r="194" spans="2:9" ht="15" customHeight="1" x14ac:dyDescent="0.3">
      <c r="B194" s="715"/>
      <c r="C194" s="715"/>
      <c r="D194" s="715"/>
      <c r="E194" s="715"/>
      <c r="F194" s="752" t="s">
        <v>1079</v>
      </c>
      <c r="G194" s="750" t="str">
        <f>VLOOKUP(F194,tbl_KausiDivari[],2,FALSE)</f>
        <v>IV-Div</v>
      </c>
      <c r="H194" s="794" t="s">
        <v>11</v>
      </c>
      <c r="I194" s="384"/>
    </row>
    <row r="195" spans="2:9" ht="15" customHeight="1" x14ac:dyDescent="0.3">
      <c r="B195" s="436" t="s">
        <v>216</v>
      </c>
      <c r="C195" s="311"/>
      <c r="D195" s="311"/>
      <c r="E195" s="311"/>
      <c r="F195" s="774" t="s">
        <v>178</v>
      </c>
      <c r="G195" s="775" t="str">
        <f>VLOOKUP(F195,tbl_KausiDivari[],2,FALSE)</f>
        <v>V-Div</v>
      </c>
      <c r="H195" s="793" t="s">
        <v>11</v>
      </c>
      <c r="I195" s="384"/>
    </row>
    <row r="196" spans="2:9" ht="15" customHeight="1" x14ac:dyDescent="0.3">
      <c r="B196" s="733"/>
      <c r="C196" s="475"/>
      <c r="D196" s="475"/>
      <c r="E196" s="475"/>
      <c r="F196" s="734"/>
      <c r="G196" s="735"/>
      <c r="H196" s="359"/>
      <c r="I196" s="384"/>
    </row>
    <row r="197" spans="2:9" ht="15" customHeight="1" x14ac:dyDescent="0.3">
      <c r="B197" s="733"/>
      <c r="C197" s="475"/>
      <c r="D197" s="475"/>
      <c r="E197" s="475"/>
      <c r="F197" s="734"/>
      <c r="G197" s="735"/>
      <c r="H197" s="359"/>
      <c r="I197" s="384"/>
    </row>
    <row r="198" spans="2:9" ht="15" customHeight="1" x14ac:dyDescent="0.3">
      <c r="B198" s="716" t="s">
        <v>1699</v>
      </c>
      <c r="C198" s="717"/>
      <c r="D198" s="717"/>
      <c r="E198" s="717"/>
      <c r="F198" s="719"/>
      <c r="G198" s="718"/>
      <c r="H198" s="725">
        <f>SUM(H199:H216)</f>
        <v>17</v>
      </c>
      <c r="I198" s="384"/>
    </row>
    <row r="199" spans="2:9" ht="15" customHeight="1" x14ac:dyDescent="0.3">
      <c r="B199" s="423" t="s">
        <v>74</v>
      </c>
      <c r="C199" s="311"/>
      <c r="D199" s="311"/>
      <c r="E199" s="311"/>
      <c r="F199" s="745" t="s">
        <v>178</v>
      </c>
      <c r="G199" s="782" t="str">
        <f>VLOOKUP(F199,tbl_KausiDivari[],2,FALSE)</f>
        <v>V-Div</v>
      </c>
      <c r="H199" s="746">
        <v>4</v>
      </c>
      <c r="I199" s="384"/>
    </row>
    <row r="200" spans="2:9" ht="15" customHeight="1" x14ac:dyDescent="0.3">
      <c r="F200" s="722" t="s">
        <v>177</v>
      </c>
      <c r="G200" s="781" t="str">
        <f>VLOOKUP(F200,tbl_KausiDivari[],2,FALSE)</f>
        <v>IV-Div</v>
      </c>
      <c r="H200" s="724">
        <v>2</v>
      </c>
      <c r="I200" s="384"/>
    </row>
    <row r="201" spans="2:9" ht="15" customHeight="1" x14ac:dyDescent="0.3">
      <c r="F201" s="722" t="s">
        <v>844</v>
      </c>
      <c r="G201" s="723" t="str">
        <f>VLOOKUP(F201,tbl_KausiDivari[],2,FALSE)</f>
        <v>IV-Div</v>
      </c>
      <c r="H201" s="724">
        <v>2</v>
      </c>
      <c r="I201" s="384"/>
    </row>
    <row r="202" spans="2:9" ht="15" customHeight="1" x14ac:dyDescent="0.3">
      <c r="F202" s="722" t="s">
        <v>1079</v>
      </c>
      <c r="G202" s="723" t="str">
        <f>VLOOKUP(F202,tbl_KausiDivari[],2,FALSE)</f>
        <v>IV-Div</v>
      </c>
      <c r="H202" s="724">
        <v>2</v>
      </c>
      <c r="I202" s="384"/>
    </row>
    <row r="203" spans="2:9" ht="15" customHeight="1" x14ac:dyDescent="0.3">
      <c r="F203" s="722" t="s">
        <v>2437</v>
      </c>
      <c r="G203" s="723" t="str">
        <f>VLOOKUP(F203,tbl_KausiDivari[],2,FALSE)</f>
        <v>III-Div</v>
      </c>
      <c r="H203" s="724">
        <v>2</v>
      </c>
      <c r="I203" s="384" t="s">
        <v>1685</v>
      </c>
    </row>
    <row r="204" spans="2:9" ht="15" customHeight="1" x14ac:dyDescent="0.3">
      <c r="F204" s="722" t="s">
        <v>884</v>
      </c>
      <c r="G204" s="723" t="str">
        <f>VLOOKUP(F204,tbl_KausiDivari[],2,FALSE)</f>
        <v>V-Div</v>
      </c>
      <c r="H204" s="724">
        <v>1</v>
      </c>
      <c r="I204" s="384"/>
    </row>
    <row r="205" spans="2:9" ht="15" customHeight="1" x14ac:dyDescent="0.3">
      <c r="F205" s="722" t="s">
        <v>1146</v>
      </c>
      <c r="G205" s="723" t="str">
        <f>VLOOKUP(F205,tbl_KausiDivari[],2,FALSE)</f>
        <v>IV-Div</v>
      </c>
      <c r="H205" s="724">
        <v>1</v>
      </c>
      <c r="I205" s="384"/>
    </row>
    <row r="206" spans="2:9" ht="15" customHeight="1" x14ac:dyDescent="0.3">
      <c r="F206" s="729" t="s">
        <v>1662</v>
      </c>
      <c r="G206" s="730" t="str">
        <f>VLOOKUP(F206,tbl_KausiDivari[],2,FALSE)</f>
        <v>IV-Div</v>
      </c>
      <c r="H206" s="731">
        <v>1</v>
      </c>
      <c r="I206" s="384"/>
    </row>
    <row r="207" spans="2:9" ht="15" customHeight="1" x14ac:dyDescent="0.3">
      <c r="F207" s="729" t="s">
        <v>2230</v>
      </c>
      <c r="G207" s="730" t="str">
        <f>VLOOKUP(F207,tbl_KausiDivari[],2,FALSE)</f>
        <v>IV-Div</v>
      </c>
      <c r="H207" s="731">
        <v>1</v>
      </c>
      <c r="I207" s="384"/>
    </row>
    <row r="208" spans="2:9" ht="15" customHeight="1" x14ac:dyDescent="0.3">
      <c r="F208" s="729" t="s">
        <v>2409</v>
      </c>
      <c r="G208" s="730" t="str">
        <f>VLOOKUP(F208,tbl_KausiDivari[],2,FALSE)</f>
        <v>IV-Div+Kars</v>
      </c>
      <c r="H208" s="731">
        <v>1</v>
      </c>
      <c r="I208" s="384"/>
    </row>
    <row r="209" spans="2:9" ht="15" customHeight="1" x14ac:dyDescent="0.3">
      <c r="F209" s="798" t="s">
        <v>2187</v>
      </c>
      <c r="G209" s="799" t="str">
        <f>VLOOKUP(F209,tbl_KausiDivari[],2,FALSE)</f>
        <v>III-Div+Kars</v>
      </c>
      <c r="H209" s="800">
        <v>0</v>
      </c>
      <c r="I209" s="384"/>
    </row>
    <row r="210" spans="2:9" ht="15" customHeight="1" x14ac:dyDescent="0.3">
      <c r="F210" s="777" t="s">
        <v>2047</v>
      </c>
      <c r="G210" s="795" t="str">
        <f>VLOOKUP(F210,tbl_KausiDivari[],2,FALSE)</f>
        <v>IV-Div+Cup</v>
      </c>
      <c r="H210" s="779">
        <v>0</v>
      </c>
      <c r="I210" s="384"/>
    </row>
    <row r="211" spans="2:9" ht="15" customHeight="1" x14ac:dyDescent="0.3">
      <c r="F211" s="777" t="s">
        <v>1817</v>
      </c>
      <c r="G211" s="795" t="str">
        <f>VLOOKUP(F211,tbl_KausiDivari[],2,FALSE)</f>
        <v>IV-Div+Kars</v>
      </c>
      <c r="H211" s="779">
        <v>0</v>
      </c>
      <c r="I211" s="384"/>
    </row>
    <row r="212" spans="2:9" ht="15" customHeight="1" x14ac:dyDescent="0.3">
      <c r="F212" s="777" t="s">
        <v>1589</v>
      </c>
      <c r="G212" s="795" t="str">
        <f>VLOOKUP(F212,tbl_KausiDivari[],2,FALSE)</f>
        <v>IV-Div</v>
      </c>
      <c r="H212" s="779">
        <v>0</v>
      </c>
      <c r="I212" s="384"/>
    </row>
    <row r="213" spans="2:9" ht="15" customHeight="1" x14ac:dyDescent="0.3">
      <c r="F213" s="752" t="s">
        <v>1406</v>
      </c>
      <c r="G213" s="795" t="str">
        <f>VLOOKUP(F213,tbl_KausiDivari[],2,FALSE)</f>
        <v>IV-Div</v>
      </c>
      <c r="H213" s="751">
        <v>0</v>
      </c>
      <c r="I213" s="384"/>
    </row>
    <row r="214" spans="2:9" ht="15" customHeight="1" x14ac:dyDescent="0.3">
      <c r="F214" s="752" t="s">
        <v>701</v>
      </c>
      <c r="G214" s="795" t="str">
        <f>VLOOKUP(F214,tbl_KausiDivari[],2,FALSE)</f>
        <v>IV-Div</v>
      </c>
      <c r="H214" s="751">
        <v>0</v>
      </c>
      <c r="I214" s="384"/>
    </row>
    <row r="215" spans="2:9" ht="15" customHeight="1" x14ac:dyDescent="0.3">
      <c r="B215" s="715"/>
      <c r="C215" s="715"/>
      <c r="D215" s="715"/>
      <c r="E215" s="715"/>
      <c r="F215" s="752" t="s">
        <v>580</v>
      </c>
      <c r="G215" s="795" t="str">
        <f>VLOOKUP(F215,tbl_KausiDivari[],2,FALSE)</f>
        <v>IV-Div</v>
      </c>
      <c r="H215" s="751">
        <v>0</v>
      </c>
      <c r="I215" s="384"/>
    </row>
    <row r="216" spans="2:9" ht="15" customHeight="1" x14ac:dyDescent="0.3">
      <c r="B216" s="436" t="s">
        <v>124</v>
      </c>
      <c r="C216" s="311"/>
      <c r="D216" s="311"/>
      <c r="E216" s="311"/>
      <c r="F216" s="801" t="s">
        <v>261</v>
      </c>
      <c r="G216" s="801" t="str">
        <f>VLOOKUP(F216,tbl_KausiDivari[],2,FALSE)</f>
        <v>V-Div</v>
      </c>
      <c r="H216" s="797">
        <v>0</v>
      </c>
      <c r="I216" s="384"/>
    </row>
    <row r="217" spans="2:9" ht="15" customHeight="1" x14ac:dyDescent="0.3">
      <c r="B217" s="733"/>
      <c r="C217" s="475"/>
      <c r="D217" s="475"/>
      <c r="E217" s="475"/>
      <c r="F217" s="734"/>
      <c r="G217" s="735"/>
      <c r="H217" s="359"/>
      <c r="I217" s="384"/>
    </row>
    <row r="218" spans="2:9" ht="15" customHeight="1" x14ac:dyDescent="0.3">
      <c r="B218" s="733"/>
      <c r="C218" s="475"/>
      <c r="D218" s="475"/>
      <c r="E218" s="475"/>
      <c r="F218" s="734"/>
      <c r="G218" s="735"/>
      <c r="H218" s="359"/>
      <c r="I218" s="384"/>
    </row>
    <row r="219" spans="2:9" ht="15" customHeight="1" x14ac:dyDescent="0.3">
      <c r="B219" s="716" t="s">
        <v>1700</v>
      </c>
      <c r="C219" s="717"/>
      <c r="D219" s="717"/>
      <c r="E219" s="717"/>
      <c r="F219" s="719"/>
      <c r="G219" s="718"/>
      <c r="H219" s="725">
        <f>SUM(H220:H237)</f>
        <v>12</v>
      </c>
      <c r="I219" s="384"/>
    </row>
    <row r="220" spans="2:9" ht="15" customHeight="1" x14ac:dyDescent="0.3">
      <c r="B220" s="423" t="s">
        <v>217</v>
      </c>
      <c r="C220" s="311"/>
      <c r="D220" s="311"/>
      <c r="E220" s="311"/>
      <c r="F220" s="745" t="s">
        <v>1817</v>
      </c>
      <c r="G220" s="782" t="str">
        <f>VLOOKUP(F220,tbl_KausiDivari[],2,FALSE)</f>
        <v>IV-Div+Kars</v>
      </c>
      <c r="H220" s="746">
        <v>3</v>
      </c>
      <c r="I220" s="384"/>
    </row>
    <row r="221" spans="2:9" ht="15" customHeight="1" x14ac:dyDescent="0.3">
      <c r="B221" s="399"/>
      <c r="F221" s="720" t="s">
        <v>177</v>
      </c>
      <c r="G221" s="781" t="str">
        <f>VLOOKUP(F221,tbl_KausiDivari[],2,FALSE)</f>
        <v>IV-Div</v>
      </c>
      <c r="H221" s="721">
        <v>2</v>
      </c>
      <c r="I221" s="384"/>
    </row>
    <row r="222" spans="2:9" ht="15" customHeight="1" x14ac:dyDescent="0.3">
      <c r="B222" s="399"/>
      <c r="F222" s="771" t="s">
        <v>2230</v>
      </c>
      <c r="G222" s="781" t="str">
        <f>VLOOKUP(F222,tbl_KausiDivari[],2,FALSE)</f>
        <v>IV-Div</v>
      </c>
      <c r="H222" s="773">
        <v>2</v>
      </c>
      <c r="I222" s="384"/>
    </row>
    <row r="223" spans="2:9" ht="15" customHeight="1" x14ac:dyDescent="0.3">
      <c r="F223" s="771" t="s">
        <v>701</v>
      </c>
      <c r="G223" s="781" t="str">
        <f>VLOOKUP(F223,tbl_KausiDivari[],2,FALSE)</f>
        <v>IV-Div</v>
      </c>
      <c r="H223" s="773">
        <v>1</v>
      </c>
      <c r="I223" s="384"/>
    </row>
    <row r="224" spans="2:9" ht="15" customHeight="1" x14ac:dyDescent="0.3">
      <c r="F224" s="722" t="s">
        <v>844</v>
      </c>
      <c r="G224" s="723" t="str">
        <f>VLOOKUP(F224,tbl_KausiDivari[],2,FALSE)</f>
        <v>IV-Div</v>
      </c>
      <c r="H224" s="724">
        <v>1</v>
      </c>
      <c r="I224" s="384"/>
    </row>
    <row r="225" spans="2:9" ht="15" customHeight="1" x14ac:dyDescent="0.3">
      <c r="F225" s="722" t="s">
        <v>884</v>
      </c>
      <c r="G225" s="723" t="str">
        <f>VLOOKUP(F225,tbl_KausiDivari[],2,FALSE)</f>
        <v>V-Div</v>
      </c>
      <c r="H225" s="724">
        <v>1</v>
      </c>
      <c r="I225" s="384"/>
    </row>
    <row r="226" spans="2:9" ht="15" customHeight="1" x14ac:dyDescent="0.3">
      <c r="F226" s="722" t="s">
        <v>1589</v>
      </c>
      <c r="G226" s="723" t="str">
        <f>VLOOKUP(F226,tbl_KausiDivari[],2,FALSE)</f>
        <v>IV-Div</v>
      </c>
      <c r="H226" s="724">
        <v>1</v>
      </c>
      <c r="I226" s="384"/>
    </row>
    <row r="227" spans="2:9" ht="15" customHeight="1" x14ac:dyDescent="0.3">
      <c r="F227" s="1025" t="s">
        <v>2187</v>
      </c>
      <c r="G227" s="1073" t="str">
        <f>VLOOKUP(F227,tbl_KausiDivari[],2,FALSE)</f>
        <v>III-Div+Kars</v>
      </c>
      <c r="H227" s="1026">
        <v>1</v>
      </c>
      <c r="I227" s="384"/>
    </row>
    <row r="228" spans="2:9" ht="15" customHeight="1" x14ac:dyDescent="0.3">
      <c r="F228" s="798" t="s">
        <v>2437</v>
      </c>
      <c r="G228" s="799" t="str">
        <f>VLOOKUP(F228,tbl_KausiDivari[],2,FALSE)</f>
        <v>III-Div</v>
      </c>
      <c r="H228" s="800">
        <v>0</v>
      </c>
      <c r="I228" s="384" t="s">
        <v>1685</v>
      </c>
    </row>
    <row r="229" spans="2:9" ht="15" customHeight="1" x14ac:dyDescent="0.3">
      <c r="F229" s="777" t="s">
        <v>2409</v>
      </c>
      <c r="G229" s="795" t="str">
        <f>VLOOKUP(F229,tbl_KausiDivari[],2,FALSE)</f>
        <v>IV-Div+Kars</v>
      </c>
      <c r="H229" s="779">
        <v>0</v>
      </c>
      <c r="I229" s="384"/>
    </row>
    <row r="230" spans="2:9" ht="15" customHeight="1" x14ac:dyDescent="0.3">
      <c r="F230" s="777" t="s">
        <v>2047</v>
      </c>
      <c r="G230" s="795" t="str">
        <f>VLOOKUP(F230,tbl_KausiDivari[],2,FALSE)</f>
        <v>IV-Div+Cup</v>
      </c>
      <c r="H230" s="779">
        <v>0</v>
      </c>
      <c r="I230" s="384"/>
    </row>
    <row r="231" spans="2:9" ht="15" customHeight="1" x14ac:dyDescent="0.3">
      <c r="F231" s="777" t="s">
        <v>1662</v>
      </c>
      <c r="G231" s="795" t="str">
        <f>VLOOKUP(F231,tbl_KausiDivari[],2,FALSE)</f>
        <v>IV-Div</v>
      </c>
      <c r="H231" s="779">
        <v>0</v>
      </c>
      <c r="I231" s="384"/>
    </row>
    <row r="232" spans="2:9" ht="15" customHeight="1" x14ac:dyDescent="0.3">
      <c r="F232" s="752" t="s">
        <v>1406</v>
      </c>
      <c r="G232" s="795" t="str">
        <f>VLOOKUP(F232,tbl_KausiDivari[],2,FALSE)</f>
        <v>IV-Div</v>
      </c>
      <c r="H232" s="751">
        <v>0</v>
      </c>
      <c r="I232" s="384"/>
    </row>
    <row r="233" spans="2:9" ht="15" customHeight="1" x14ac:dyDescent="0.3">
      <c r="F233" s="752" t="s">
        <v>1146</v>
      </c>
      <c r="G233" s="795" t="str">
        <f>VLOOKUP(F233,tbl_KausiDivari[],2,FALSE)</f>
        <v>IV-Div</v>
      </c>
      <c r="H233" s="751">
        <v>0</v>
      </c>
      <c r="I233" s="384"/>
    </row>
    <row r="234" spans="2:9" ht="15" customHeight="1" x14ac:dyDescent="0.3">
      <c r="F234" s="752" t="s">
        <v>1079</v>
      </c>
      <c r="G234" s="795" t="str">
        <f>VLOOKUP(F234,tbl_KausiDivari[],2,FALSE)</f>
        <v>IV-Div</v>
      </c>
      <c r="H234" s="751">
        <v>0</v>
      </c>
      <c r="I234" s="384"/>
    </row>
    <row r="235" spans="2:9" ht="15" customHeight="1" x14ac:dyDescent="0.3">
      <c r="F235" s="752" t="s">
        <v>580</v>
      </c>
      <c r="G235" s="795" t="str">
        <f>VLOOKUP(F235,tbl_KausiDivari[],2,FALSE)</f>
        <v>IV-Div</v>
      </c>
      <c r="H235" s="751">
        <v>0</v>
      </c>
      <c r="I235" s="384"/>
    </row>
    <row r="236" spans="2:9" ht="15" customHeight="1" x14ac:dyDescent="0.3">
      <c r="B236" s="715"/>
      <c r="C236" s="715"/>
      <c r="D236" s="715"/>
      <c r="E236" s="715"/>
      <c r="F236" s="752" t="s">
        <v>261</v>
      </c>
      <c r="G236" s="795" t="str">
        <f>VLOOKUP(F236,tbl_KausiDivari[],2,FALSE)</f>
        <v>V-Div</v>
      </c>
      <c r="H236" s="751">
        <v>0</v>
      </c>
      <c r="I236" s="384"/>
    </row>
    <row r="237" spans="2:9" ht="15" customHeight="1" x14ac:dyDescent="0.3">
      <c r="B237" s="436" t="s">
        <v>218</v>
      </c>
      <c r="C237" s="311"/>
      <c r="D237" s="311"/>
      <c r="E237" s="311"/>
      <c r="F237" s="774" t="s">
        <v>178</v>
      </c>
      <c r="G237" s="774" t="str">
        <f>VLOOKUP(F237,tbl_KausiDivari[],2,FALSE)</f>
        <v>V-Div</v>
      </c>
      <c r="H237" s="776">
        <v>0</v>
      </c>
      <c r="I237" s="384"/>
    </row>
    <row r="238" spans="2:9" ht="15" customHeight="1" x14ac:dyDescent="0.3">
      <c r="H238" s="358"/>
      <c r="I238" s="384"/>
    </row>
    <row r="239" spans="2:9" ht="15" customHeight="1" x14ac:dyDescent="0.3">
      <c r="H239" s="358"/>
      <c r="I239" s="384"/>
    </row>
    <row r="240" spans="2:9" ht="15" customHeight="1" x14ac:dyDescent="0.3">
      <c r="B240" s="732" t="s">
        <v>1701</v>
      </c>
      <c r="C240" s="717"/>
      <c r="D240" s="717"/>
      <c r="E240" s="717"/>
      <c r="F240" s="719"/>
      <c r="G240" s="718"/>
      <c r="H240" s="725">
        <f>SUM(H241:H258)</f>
        <v>12</v>
      </c>
      <c r="I240" s="384"/>
    </row>
    <row r="241" spans="2:9" ht="15" customHeight="1" x14ac:dyDescent="0.3">
      <c r="B241" s="423" t="s">
        <v>71</v>
      </c>
      <c r="C241" s="311"/>
      <c r="D241" s="311"/>
      <c r="E241" s="311"/>
      <c r="F241" s="745" t="s">
        <v>2409</v>
      </c>
      <c r="G241" s="782" t="str">
        <f>VLOOKUP(F241,tbl_KausiDivari[],2,FALSE)</f>
        <v>IV-Div+Kars</v>
      </c>
      <c r="H241" s="746">
        <v>3</v>
      </c>
      <c r="I241" s="384"/>
    </row>
    <row r="242" spans="2:9" ht="15" customHeight="1" x14ac:dyDescent="0.3">
      <c r="F242" s="722" t="s">
        <v>1146</v>
      </c>
      <c r="G242" s="781" t="str">
        <f>VLOOKUP(F242,tbl_KausiDivari[],2,FALSE)</f>
        <v>IV-Div</v>
      </c>
      <c r="H242" s="724">
        <v>2</v>
      </c>
      <c r="I242" s="384"/>
    </row>
    <row r="243" spans="2:9" ht="15" customHeight="1" x14ac:dyDescent="0.3">
      <c r="F243" s="722" t="s">
        <v>178</v>
      </c>
      <c r="G243" s="723" t="str">
        <f>VLOOKUP(F243,tbl_KausiDivari[],2,FALSE)</f>
        <v>V-Div</v>
      </c>
      <c r="H243" s="724">
        <v>1</v>
      </c>
      <c r="I243" s="384"/>
    </row>
    <row r="244" spans="2:9" ht="15" customHeight="1" x14ac:dyDescent="0.3">
      <c r="F244" s="722" t="s">
        <v>701</v>
      </c>
      <c r="G244" s="723" t="str">
        <f>VLOOKUP(F244,tbl_KausiDivari[],2,FALSE)</f>
        <v>IV-Div</v>
      </c>
      <c r="H244" s="724">
        <v>1</v>
      </c>
      <c r="I244" s="384"/>
    </row>
    <row r="245" spans="2:9" ht="15" customHeight="1" x14ac:dyDescent="0.3">
      <c r="F245" s="722" t="s">
        <v>844</v>
      </c>
      <c r="G245" s="723" t="str">
        <f>VLOOKUP(F245,tbl_KausiDivari[],2,FALSE)</f>
        <v>IV-Div</v>
      </c>
      <c r="H245" s="724">
        <v>1</v>
      </c>
      <c r="I245" s="384"/>
    </row>
    <row r="246" spans="2:9" ht="15" customHeight="1" x14ac:dyDescent="0.3">
      <c r="F246" s="722" t="s">
        <v>884</v>
      </c>
      <c r="G246" s="723" t="str">
        <f>VLOOKUP(F246,tbl_KausiDivari[],2,FALSE)</f>
        <v>V-Div</v>
      </c>
      <c r="H246" s="724">
        <v>1</v>
      </c>
      <c r="I246" s="384"/>
    </row>
    <row r="247" spans="2:9" ht="15" customHeight="1" x14ac:dyDescent="0.3">
      <c r="F247" s="722" t="s">
        <v>1079</v>
      </c>
      <c r="G247" s="723" t="str">
        <f>VLOOKUP(F247,tbl_KausiDivari[],2,FALSE)</f>
        <v>IV-Div</v>
      </c>
      <c r="H247" s="724">
        <v>1</v>
      </c>
      <c r="I247" s="384"/>
    </row>
    <row r="248" spans="2:9" ht="15" customHeight="1" x14ac:dyDescent="0.3">
      <c r="F248" s="722" t="s">
        <v>2187</v>
      </c>
      <c r="G248" s="723" t="str">
        <f>VLOOKUP(F248,tbl_KausiDivari[],2,FALSE)</f>
        <v>III-Div+Kars</v>
      </c>
      <c r="H248" s="724">
        <v>1</v>
      </c>
      <c r="I248" s="384"/>
    </row>
    <row r="249" spans="2:9" ht="15" customHeight="1" x14ac:dyDescent="0.3">
      <c r="F249" s="1025" t="s">
        <v>2230</v>
      </c>
      <c r="G249" s="1073" t="str">
        <f>VLOOKUP(F249,tbl_KausiDivari[],2,FALSE)</f>
        <v>IV-Div</v>
      </c>
      <c r="H249" s="1026">
        <v>1</v>
      </c>
      <c r="I249" s="384"/>
    </row>
    <row r="250" spans="2:9" ht="15" customHeight="1" x14ac:dyDescent="0.3">
      <c r="F250" s="798" t="s">
        <v>2437</v>
      </c>
      <c r="G250" s="799" t="str">
        <f>VLOOKUP(F250,tbl_KausiDivari[],2,FALSE)</f>
        <v>III-Div</v>
      </c>
      <c r="H250" s="800">
        <v>0</v>
      </c>
      <c r="I250" s="384" t="s">
        <v>1685</v>
      </c>
    </row>
    <row r="251" spans="2:9" ht="15" customHeight="1" x14ac:dyDescent="0.3">
      <c r="F251" s="777" t="s">
        <v>2047</v>
      </c>
      <c r="G251" s="795" t="str">
        <f>VLOOKUP(F251,tbl_KausiDivari[],2,FALSE)</f>
        <v>IV-Div+Cup</v>
      </c>
      <c r="H251" s="779">
        <v>0</v>
      </c>
      <c r="I251" s="384"/>
    </row>
    <row r="252" spans="2:9" ht="15" customHeight="1" x14ac:dyDescent="0.3">
      <c r="F252" s="777" t="s">
        <v>1817</v>
      </c>
      <c r="G252" s="795" t="str">
        <f>VLOOKUP(F252,tbl_KausiDivari[],2,FALSE)</f>
        <v>IV-Div+Kars</v>
      </c>
      <c r="H252" s="779">
        <v>0</v>
      </c>
      <c r="I252" s="384"/>
    </row>
    <row r="253" spans="2:9" ht="15" customHeight="1" x14ac:dyDescent="0.3">
      <c r="F253" s="777" t="s">
        <v>1662</v>
      </c>
      <c r="G253" s="795" t="str">
        <f>VLOOKUP(F253,tbl_KausiDivari[],2,FALSE)</f>
        <v>IV-Div</v>
      </c>
      <c r="H253" s="779">
        <v>0</v>
      </c>
      <c r="I253" s="384"/>
    </row>
    <row r="254" spans="2:9" ht="15" customHeight="1" x14ac:dyDescent="0.3">
      <c r="F254" s="752" t="s">
        <v>1589</v>
      </c>
      <c r="G254" s="795" t="str">
        <f>VLOOKUP(F254,tbl_KausiDivari[],2,FALSE)</f>
        <v>IV-Div</v>
      </c>
      <c r="H254" s="751">
        <v>0</v>
      </c>
      <c r="I254" s="384"/>
    </row>
    <row r="255" spans="2:9" ht="15" customHeight="1" x14ac:dyDescent="0.3">
      <c r="F255" s="752" t="s">
        <v>1406</v>
      </c>
      <c r="G255" s="795" t="str">
        <f>VLOOKUP(F255,tbl_KausiDivari[],2,FALSE)</f>
        <v>IV-Div</v>
      </c>
      <c r="H255" s="751">
        <v>0</v>
      </c>
      <c r="I255" s="384"/>
    </row>
    <row r="256" spans="2:9" ht="15" customHeight="1" x14ac:dyDescent="0.3">
      <c r="F256" s="752" t="s">
        <v>580</v>
      </c>
      <c r="G256" s="795" t="str">
        <f>VLOOKUP(F256,tbl_KausiDivari[],2,FALSE)</f>
        <v>IV-Div</v>
      </c>
      <c r="H256" s="751">
        <v>0</v>
      </c>
      <c r="I256" s="384"/>
    </row>
    <row r="257" spans="2:9" ht="15" customHeight="1" x14ac:dyDescent="0.3">
      <c r="B257" s="715"/>
      <c r="C257" s="715"/>
      <c r="D257" s="715"/>
      <c r="E257" s="715"/>
      <c r="F257" s="752" t="s">
        <v>261</v>
      </c>
      <c r="G257" s="795" t="str">
        <f>VLOOKUP(F257,tbl_KausiDivari[],2,FALSE)</f>
        <v>V-Div</v>
      </c>
      <c r="H257" s="751">
        <v>0</v>
      </c>
      <c r="I257" s="384"/>
    </row>
    <row r="258" spans="2:9" ht="15" customHeight="1" x14ac:dyDescent="0.3">
      <c r="B258" s="436" t="s">
        <v>262</v>
      </c>
      <c r="C258" s="311"/>
      <c r="D258" s="311"/>
      <c r="E258" s="311"/>
      <c r="F258" s="774" t="s">
        <v>177</v>
      </c>
      <c r="G258" s="774" t="str">
        <f>VLOOKUP(F258,tbl_KausiDivari[],2,FALSE)</f>
        <v>IV-Div</v>
      </c>
      <c r="H258" s="776">
        <v>0</v>
      </c>
      <c r="I258" s="384"/>
    </row>
    <row r="259" spans="2:9" ht="15" customHeight="1" x14ac:dyDescent="0.3">
      <c r="H259" s="358"/>
      <c r="I259" s="384"/>
    </row>
    <row r="260" spans="2:9" ht="15" customHeight="1" x14ac:dyDescent="0.3">
      <c r="H260" s="358"/>
      <c r="I260" s="384"/>
    </row>
    <row r="261" spans="2:9" ht="15" customHeight="1" x14ac:dyDescent="0.3">
      <c r="B261" s="732" t="s">
        <v>1702</v>
      </c>
      <c r="C261" s="717"/>
      <c r="D261" s="717"/>
      <c r="E261" s="717"/>
      <c r="F261" s="719"/>
      <c r="G261" s="718"/>
      <c r="H261" s="725">
        <f>SUM(H262:H279)</f>
        <v>6</v>
      </c>
      <c r="I261" s="384"/>
    </row>
    <row r="262" spans="2:9" ht="15" customHeight="1" x14ac:dyDescent="0.3">
      <c r="B262" s="423" t="s">
        <v>115</v>
      </c>
      <c r="C262" s="311"/>
      <c r="D262" s="311"/>
      <c r="E262" s="311"/>
      <c r="F262" s="745" t="s">
        <v>178</v>
      </c>
      <c r="G262" s="782" t="str">
        <f>VLOOKUP(F262,tbl_KausiDivari[],2,FALSE)</f>
        <v>V-Div</v>
      </c>
      <c r="H262" s="746">
        <v>1</v>
      </c>
      <c r="I262" s="384"/>
    </row>
    <row r="263" spans="2:9" ht="15" customHeight="1" x14ac:dyDescent="0.3">
      <c r="F263" s="722" t="s">
        <v>177</v>
      </c>
      <c r="G263" s="781" t="str">
        <f>VLOOKUP(F263,tbl_KausiDivari[],2,FALSE)</f>
        <v>IV-Div</v>
      </c>
      <c r="H263" s="724">
        <v>1</v>
      </c>
      <c r="I263" s="384"/>
    </row>
    <row r="264" spans="2:9" ht="15" customHeight="1" x14ac:dyDescent="0.3">
      <c r="F264" s="722" t="s">
        <v>580</v>
      </c>
      <c r="G264" s="723" t="str">
        <f>VLOOKUP(F264,tbl_KausiDivari[],2,FALSE)</f>
        <v>IV-Div</v>
      </c>
      <c r="H264" s="724">
        <v>1</v>
      </c>
      <c r="I264" s="384"/>
    </row>
    <row r="265" spans="2:9" ht="15" customHeight="1" x14ac:dyDescent="0.3">
      <c r="F265" s="722" t="s">
        <v>844</v>
      </c>
      <c r="G265" s="723" t="str">
        <f>VLOOKUP(F265,tbl_KausiDivari[],2,FALSE)</f>
        <v>IV-Div</v>
      </c>
      <c r="H265" s="724">
        <v>1</v>
      </c>
      <c r="I265" s="384"/>
    </row>
    <row r="266" spans="2:9" ht="15" customHeight="1" x14ac:dyDescent="0.3">
      <c r="F266" s="722" t="s">
        <v>1079</v>
      </c>
      <c r="G266" s="723" t="str">
        <f>VLOOKUP(F266,tbl_KausiDivari[],2,FALSE)</f>
        <v>IV-Div</v>
      </c>
      <c r="H266" s="724">
        <v>1</v>
      </c>
      <c r="I266" s="384"/>
    </row>
    <row r="267" spans="2:9" ht="15" customHeight="1" x14ac:dyDescent="0.3">
      <c r="F267" s="1025" t="s">
        <v>2187</v>
      </c>
      <c r="G267" s="723" t="str">
        <f>VLOOKUP(F267,tbl_KausiDivari[],2,FALSE)</f>
        <v>III-Div+Kars</v>
      </c>
      <c r="H267" s="1026">
        <v>1</v>
      </c>
      <c r="I267" s="384"/>
    </row>
    <row r="268" spans="2:9" ht="15" customHeight="1" x14ac:dyDescent="0.3">
      <c r="F268" s="798" t="s">
        <v>2437</v>
      </c>
      <c r="G268" s="799" t="str">
        <f>VLOOKUP(F268,tbl_KausiDivari[],2,FALSE)</f>
        <v>III-Div</v>
      </c>
      <c r="H268" s="800">
        <v>0</v>
      </c>
      <c r="I268" s="384" t="s">
        <v>1685</v>
      </c>
    </row>
    <row r="269" spans="2:9" ht="15" customHeight="1" x14ac:dyDescent="0.3">
      <c r="F269" s="777" t="s">
        <v>2409</v>
      </c>
      <c r="G269" s="795" t="str">
        <f>VLOOKUP(F269,tbl_KausiDivari[],2,FALSE)</f>
        <v>IV-Div+Kars</v>
      </c>
      <c r="H269" s="779">
        <v>0</v>
      </c>
      <c r="I269" s="384"/>
    </row>
    <row r="270" spans="2:9" ht="15" customHeight="1" x14ac:dyDescent="0.3">
      <c r="F270" s="777" t="s">
        <v>2230</v>
      </c>
      <c r="G270" s="795" t="str">
        <f>VLOOKUP(F270,tbl_KausiDivari[],2,FALSE)</f>
        <v>IV-Div</v>
      </c>
      <c r="H270" s="779">
        <v>0</v>
      </c>
      <c r="I270" s="384"/>
    </row>
    <row r="271" spans="2:9" ht="15" customHeight="1" x14ac:dyDescent="0.3">
      <c r="F271" s="777" t="s">
        <v>2047</v>
      </c>
      <c r="G271" s="795" t="str">
        <f>VLOOKUP(F271,tbl_KausiDivari[],2,FALSE)</f>
        <v>IV-Div+Cup</v>
      </c>
      <c r="H271" s="779">
        <v>0</v>
      </c>
      <c r="I271" s="384"/>
    </row>
    <row r="272" spans="2:9" ht="15" customHeight="1" x14ac:dyDescent="0.3">
      <c r="F272" s="777" t="s">
        <v>1817</v>
      </c>
      <c r="G272" s="795" t="str">
        <f>VLOOKUP(F272,tbl_KausiDivari[],2,FALSE)</f>
        <v>IV-Div+Kars</v>
      </c>
      <c r="H272" s="779">
        <v>0</v>
      </c>
      <c r="I272" s="384"/>
    </row>
    <row r="273" spans="2:9" ht="15" customHeight="1" x14ac:dyDescent="0.3">
      <c r="F273" s="777" t="s">
        <v>1662</v>
      </c>
      <c r="G273" s="795" t="str">
        <f>VLOOKUP(F273,tbl_KausiDivari[],2,FALSE)</f>
        <v>IV-Div</v>
      </c>
      <c r="H273" s="779">
        <v>0</v>
      </c>
      <c r="I273" s="384"/>
    </row>
    <row r="274" spans="2:9" ht="15" customHeight="1" x14ac:dyDescent="0.3">
      <c r="F274" s="752" t="s">
        <v>1589</v>
      </c>
      <c r="G274" s="795" t="str">
        <f>VLOOKUP(F274,tbl_KausiDivari[],2,FALSE)</f>
        <v>IV-Div</v>
      </c>
      <c r="H274" s="751">
        <v>0</v>
      </c>
      <c r="I274" s="384"/>
    </row>
    <row r="275" spans="2:9" ht="15" customHeight="1" x14ac:dyDescent="0.3">
      <c r="F275" s="752" t="s">
        <v>1406</v>
      </c>
      <c r="G275" s="795" t="str">
        <f>VLOOKUP(F275,tbl_KausiDivari[],2,FALSE)</f>
        <v>IV-Div</v>
      </c>
      <c r="H275" s="751">
        <v>0</v>
      </c>
      <c r="I275" s="384"/>
    </row>
    <row r="276" spans="2:9" ht="15" customHeight="1" x14ac:dyDescent="0.3">
      <c r="F276" s="752" t="s">
        <v>1146</v>
      </c>
      <c r="G276" s="795" t="str">
        <f>VLOOKUP(F276,tbl_KausiDivari[],2,FALSE)</f>
        <v>IV-Div</v>
      </c>
      <c r="H276" s="751">
        <v>0</v>
      </c>
      <c r="I276" s="384"/>
    </row>
    <row r="277" spans="2:9" ht="15" customHeight="1" x14ac:dyDescent="0.3">
      <c r="F277" s="752" t="s">
        <v>884</v>
      </c>
      <c r="G277" s="795" t="str">
        <f>VLOOKUP(F277,tbl_KausiDivari[],2,FALSE)</f>
        <v>V-Div</v>
      </c>
      <c r="H277" s="751">
        <v>0</v>
      </c>
      <c r="I277" s="384"/>
    </row>
    <row r="278" spans="2:9" ht="15" customHeight="1" x14ac:dyDescent="0.3">
      <c r="B278" s="715"/>
      <c r="C278" s="715"/>
      <c r="D278" s="715"/>
      <c r="E278" s="715"/>
      <c r="F278" s="752" t="s">
        <v>701</v>
      </c>
      <c r="G278" s="795" t="str">
        <f>VLOOKUP(F278,tbl_KausiDivari[],2,FALSE)</f>
        <v>IV-Div</v>
      </c>
      <c r="H278" s="751">
        <v>0</v>
      </c>
      <c r="I278" s="384"/>
    </row>
    <row r="279" spans="2:9" ht="15" customHeight="1" x14ac:dyDescent="0.3">
      <c r="B279" s="436" t="s">
        <v>263</v>
      </c>
      <c r="C279" s="311"/>
      <c r="D279" s="311"/>
      <c r="E279" s="311"/>
      <c r="F279" s="774" t="s">
        <v>261</v>
      </c>
      <c r="G279" s="774" t="str">
        <f>VLOOKUP(F279,tbl_KausiDivari[],2,FALSE)</f>
        <v>V-Div</v>
      </c>
      <c r="H279" s="776">
        <v>0</v>
      </c>
      <c r="I279" s="384"/>
    </row>
    <row r="280" spans="2:9" ht="15" customHeight="1" x14ac:dyDescent="0.3">
      <c r="H280" s="358"/>
      <c r="I280" s="384"/>
    </row>
    <row r="281" spans="2:9" ht="15" customHeight="1" x14ac:dyDescent="0.3">
      <c r="H281" s="358"/>
      <c r="I281" s="384"/>
    </row>
    <row r="282" spans="2:9" ht="15" customHeight="1" x14ac:dyDescent="0.3">
      <c r="B282" s="732" t="s">
        <v>1703</v>
      </c>
      <c r="C282" s="717"/>
      <c r="D282" s="717"/>
      <c r="E282" s="717"/>
      <c r="F282" s="719"/>
      <c r="G282" s="718"/>
      <c r="H282" s="725">
        <f>SUM(H283:H300)</f>
        <v>85</v>
      </c>
      <c r="I282" s="384"/>
    </row>
    <row r="283" spans="2:9" ht="15" customHeight="1" x14ac:dyDescent="0.3">
      <c r="B283" s="423" t="s">
        <v>75</v>
      </c>
      <c r="C283" s="311"/>
      <c r="D283" s="311"/>
      <c r="E283" s="311"/>
      <c r="F283" s="765" t="s">
        <v>884</v>
      </c>
      <c r="G283" s="915" t="str">
        <f>VLOOKUP(F283,tbl_KausiDivari[],2,FALSE)</f>
        <v>V-Div</v>
      </c>
      <c r="H283" s="767">
        <v>9</v>
      </c>
      <c r="I283" s="384"/>
    </row>
    <row r="284" spans="2:9" ht="15" customHeight="1" x14ac:dyDescent="0.3">
      <c r="B284" s="399"/>
      <c r="F284" s="760" t="s">
        <v>1817</v>
      </c>
      <c r="G284" s="914" t="str">
        <f>VLOOKUP(F284,tbl_KausiDivari[],2,FALSE)</f>
        <v>IV-Div+Kars</v>
      </c>
      <c r="H284" s="762">
        <v>9</v>
      </c>
      <c r="I284" s="384"/>
    </row>
    <row r="285" spans="2:9" ht="15" customHeight="1" x14ac:dyDescent="0.3">
      <c r="F285" s="771" t="s">
        <v>178</v>
      </c>
      <c r="G285" s="781" t="str">
        <f>VLOOKUP(F285,tbl_KausiDivari[],2,FALSE)</f>
        <v>V-Div</v>
      </c>
      <c r="H285" s="773">
        <v>8</v>
      </c>
      <c r="I285" s="384"/>
    </row>
    <row r="286" spans="2:9" ht="15" customHeight="1" x14ac:dyDescent="0.3">
      <c r="F286" s="722" t="s">
        <v>701</v>
      </c>
      <c r="G286" s="723" t="str">
        <f>VLOOKUP(F286,tbl_KausiDivari[],2,FALSE)</f>
        <v>IV-Div</v>
      </c>
      <c r="H286" s="724">
        <v>8</v>
      </c>
      <c r="I286" s="384"/>
    </row>
    <row r="287" spans="2:9" ht="15" customHeight="1" x14ac:dyDescent="0.3">
      <c r="F287" s="722" t="s">
        <v>1146</v>
      </c>
      <c r="G287" s="723" t="str">
        <f>VLOOKUP(F287,tbl_KausiDivari[],2,FALSE)</f>
        <v>IV-Div</v>
      </c>
      <c r="H287" s="724">
        <v>8</v>
      </c>
      <c r="I287" s="384"/>
    </row>
    <row r="288" spans="2:9" ht="15" customHeight="1" x14ac:dyDescent="0.3">
      <c r="F288" s="722" t="s">
        <v>2409</v>
      </c>
      <c r="G288" s="723" t="str">
        <f>VLOOKUP(F288,tbl_KausiDivari[],2,FALSE)</f>
        <v>IV-Div+Kars</v>
      </c>
      <c r="H288" s="724">
        <v>8</v>
      </c>
      <c r="I288" s="384"/>
    </row>
    <row r="289" spans="2:11" ht="15" customHeight="1" x14ac:dyDescent="0.3">
      <c r="F289" s="722" t="s">
        <v>2047</v>
      </c>
      <c r="G289" s="723" t="str">
        <f>VLOOKUP(F289,tbl_KausiDivari[],2,FALSE)</f>
        <v>IV-Div+Cup</v>
      </c>
      <c r="H289" s="724">
        <v>7</v>
      </c>
      <c r="I289" s="384"/>
    </row>
    <row r="290" spans="2:11" ht="15" customHeight="1" x14ac:dyDescent="0.3">
      <c r="F290" s="722" t="s">
        <v>261</v>
      </c>
      <c r="G290" s="723" t="str">
        <f>VLOOKUP(F290,tbl_KausiDivari[],2,FALSE)</f>
        <v>V-Div</v>
      </c>
      <c r="H290" s="724" t="s">
        <v>1484</v>
      </c>
      <c r="I290" s="384"/>
    </row>
    <row r="291" spans="2:11" ht="15" customHeight="1" x14ac:dyDescent="0.3">
      <c r="F291" s="722" t="s">
        <v>1079</v>
      </c>
      <c r="G291" s="723" t="str">
        <f>VLOOKUP(F291,tbl_KausiDivari[],2,FALSE)</f>
        <v>IV-Div</v>
      </c>
      <c r="H291" s="724">
        <v>5</v>
      </c>
      <c r="I291" s="384"/>
    </row>
    <row r="292" spans="2:11" ht="15" customHeight="1" x14ac:dyDescent="0.3">
      <c r="F292" s="722" t="s">
        <v>2230</v>
      </c>
      <c r="G292" s="723" t="str">
        <f>VLOOKUP(F292,tbl_KausiDivari[],2,FALSE)</f>
        <v>IV-Div</v>
      </c>
      <c r="H292" s="724">
        <v>5</v>
      </c>
      <c r="I292" s="357"/>
    </row>
    <row r="293" spans="2:11" ht="15" customHeight="1" x14ac:dyDescent="0.3">
      <c r="F293" s="722" t="s">
        <v>2437</v>
      </c>
      <c r="G293" s="723" t="str">
        <f>VLOOKUP(F293,tbl_KausiDivari[],2,FALSE)</f>
        <v>III-Div</v>
      </c>
      <c r="H293" s="724">
        <v>5</v>
      </c>
      <c r="I293" s="357" t="s">
        <v>1685</v>
      </c>
    </row>
    <row r="294" spans="2:11" ht="15" customHeight="1" x14ac:dyDescent="0.3">
      <c r="F294" s="722" t="s">
        <v>1406</v>
      </c>
      <c r="G294" s="723" t="str">
        <f>VLOOKUP(F294,tbl_KausiDivari[],2,FALSE)</f>
        <v>IV-Div</v>
      </c>
      <c r="H294" s="724">
        <v>4</v>
      </c>
      <c r="I294" s="384"/>
    </row>
    <row r="295" spans="2:11" ht="15" customHeight="1" x14ac:dyDescent="0.3">
      <c r="F295" s="722" t="s">
        <v>1589</v>
      </c>
      <c r="G295" s="723" t="str">
        <f>VLOOKUP(F295,tbl_KausiDivari[],2,FALSE)</f>
        <v>IV-Div</v>
      </c>
      <c r="H295" s="724">
        <v>3</v>
      </c>
      <c r="I295" s="384"/>
    </row>
    <row r="296" spans="2:11" ht="15" customHeight="1" x14ac:dyDescent="0.3">
      <c r="F296" s="729" t="s">
        <v>1662</v>
      </c>
      <c r="G296" s="730" t="str">
        <f>VLOOKUP(F296,tbl_KausiDivari[],2,FALSE)</f>
        <v>IV-Div</v>
      </c>
      <c r="H296" s="731">
        <v>2</v>
      </c>
      <c r="I296" s="384"/>
    </row>
    <row r="297" spans="2:11" ht="15" customHeight="1" x14ac:dyDescent="0.3">
      <c r="F297" s="798" t="s">
        <v>2187</v>
      </c>
      <c r="G297" s="799" t="str">
        <f>VLOOKUP(F297,tbl_KausiDivari[],2,FALSE)</f>
        <v>III-Div+Kars</v>
      </c>
      <c r="H297" s="800">
        <v>1</v>
      </c>
      <c r="I297" s="384"/>
      <c r="K297" s="810"/>
    </row>
    <row r="298" spans="2:11" ht="15" customHeight="1" x14ac:dyDescent="0.3">
      <c r="F298" s="777" t="s">
        <v>844</v>
      </c>
      <c r="G298" s="795" t="str">
        <f>VLOOKUP(F298,tbl_KausiDivari[],2,FALSE)</f>
        <v>IV-Div</v>
      </c>
      <c r="H298" s="779">
        <v>1</v>
      </c>
      <c r="I298" s="384"/>
      <c r="K298" s="810"/>
    </row>
    <row r="299" spans="2:11" ht="15" customHeight="1" x14ac:dyDescent="0.3">
      <c r="B299" s="715"/>
      <c r="C299" s="715"/>
      <c r="D299" s="715"/>
      <c r="E299" s="715"/>
      <c r="F299" s="752" t="s">
        <v>580</v>
      </c>
      <c r="G299" s="795" t="str">
        <f>VLOOKUP(F299,tbl_KausiDivari[],2,FALSE)</f>
        <v>IV-Div</v>
      </c>
      <c r="H299" s="751">
        <v>1</v>
      </c>
      <c r="I299" s="384"/>
      <c r="K299" s="810"/>
    </row>
    <row r="300" spans="2:11" ht="15" customHeight="1" x14ac:dyDescent="0.3">
      <c r="B300" s="436" t="s">
        <v>219</v>
      </c>
      <c r="C300" s="311"/>
      <c r="D300" s="311"/>
      <c r="E300" s="311"/>
      <c r="F300" s="801" t="s">
        <v>177</v>
      </c>
      <c r="G300" s="801" t="str">
        <f>VLOOKUP(F300,tbl_KausiDivari[],2,FALSE)</f>
        <v>IV-Div</v>
      </c>
      <c r="H300" s="797">
        <v>1</v>
      </c>
      <c r="I300" s="384"/>
    </row>
    <row r="301" spans="2:11" ht="15" customHeight="1" x14ac:dyDescent="0.3">
      <c r="H301" s="358"/>
      <c r="I301" s="384"/>
    </row>
    <row r="302" spans="2:11" ht="15" customHeight="1" x14ac:dyDescent="0.3">
      <c r="H302" s="358"/>
      <c r="I302" s="384"/>
      <c r="J302" s="810"/>
    </row>
    <row r="303" spans="2:11" ht="15" customHeight="1" x14ac:dyDescent="0.3">
      <c r="B303" s="732" t="s">
        <v>1704</v>
      </c>
      <c r="C303" s="717"/>
      <c r="D303" s="717"/>
      <c r="E303" s="717"/>
      <c r="F303" s="719"/>
      <c r="G303" s="718"/>
      <c r="H303" s="725">
        <f>SUM(H304:H321)</f>
        <v>8</v>
      </c>
      <c r="I303" s="384"/>
    </row>
    <row r="304" spans="2:11" ht="15" customHeight="1" x14ac:dyDescent="0.3">
      <c r="B304" s="423" t="s">
        <v>230</v>
      </c>
      <c r="C304" s="311"/>
      <c r="D304" s="311"/>
      <c r="E304" s="311"/>
      <c r="F304" s="745" t="s">
        <v>844</v>
      </c>
      <c r="G304" s="782" t="str">
        <f>VLOOKUP(F304,tbl_KausiDivari[],2,FALSE)</f>
        <v>IV-Div</v>
      </c>
      <c r="H304" s="746">
        <v>2</v>
      </c>
      <c r="I304" s="384"/>
    </row>
    <row r="305" spans="2:9" ht="15" customHeight="1" x14ac:dyDescent="0.3">
      <c r="F305" s="722" t="s">
        <v>261</v>
      </c>
      <c r="G305" s="781" t="str">
        <f>VLOOKUP(F305,tbl_KausiDivari[],2,FALSE)</f>
        <v>V-Div</v>
      </c>
      <c r="H305" s="724">
        <v>1</v>
      </c>
      <c r="I305" s="384"/>
    </row>
    <row r="306" spans="2:9" ht="15" customHeight="1" x14ac:dyDescent="0.3">
      <c r="F306" s="722" t="s">
        <v>884</v>
      </c>
      <c r="G306" s="723" t="str">
        <f>VLOOKUP(F306,tbl_KausiDivari[],2,FALSE)</f>
        <v>V-Div</v>
      </c>
      <c r="H306" s="724">
        <v>1</v>
      </c>
      <c r="I306" s="384"/>
    </row>
    <row r="307" spans="2:9" ht="15" customHeight="1" x14ac:dyDescent="0.3">
      <c r="F307" s="722" t="s">
        <v>1079</v>
      </c>
      <c r="G307" s="723" t="str">
        <f>VLOOKUP(F307,tbl_KausiDivari[],2,FALSE)</f>
        <v>IV-Div</v>
      </c>
      <c r="H307" s="724">
        <v>1</v>
      </c>
      <c r="I307" s="384"/>
    </row>
    <row r="308" spans="2:9" ht="15" customHeight="1" x14ac:dyDescent="0.3">
      <c r="F308" s="729" t="s">
        <v>1146</v>
      </c>
      <c r="G308" s="730" t="str">
        <f>VLOOKUP(F308,tbl_KausiDivari[],2,FALSE)</f>
        <v>IV-Div</v>
      </c>
      <c r="H308" s="731">
        <v>1</v>
      </c>
      <c r="I308" s="384"/>
    </row>
    <row r="309" spans="2:9" ht="15" customHeight="1" x14ac:dyDescent="0.3">
      <c r="F309" s="729" t="s">
        <v>1817</v>
      </c>
      <c r="G309" s="730" t="str">
        <f>VLOOKUP(F309,tbl_KausiDivari[],2,FALSE)</f>
        <v>IV-Div+Kars</v>
      </c>
      <c r="H309" s="731">
        <v>1</v>
      </c>
      <c r="I309" s="384"/>
    </row>
    <row r="310" spans="2:9" ht="15" customHeight="1" x14ac:dyDescent="0.3">
      <c r="F310" s="726" t="s">
        <v>2409</v>
      </c>
      <c r="G310" s="727" t="str">
        <f>VLOOKUP(F310,tbl_KausiDivari[],2,FALSE)</f>
        <v>IV-Div+Kars</v>
      </c>
      <c r="H310" s="728">
        <v>1</v>
      </c>
      <c r="I310" s="384"/>
    </row>
    <row r="311" spans="2:9" ht="15" customHeight="1" x14ac:dyDescent="0.3">
      <c r="F311" s="777" t="s">
        <v>2437</v>
      </c>
      <c r="G311" s="805" t="str">
        <f>VLOOKUP(F311,tbl_KausiDivari[],2,FALSE)</f>
        <v>III-Div</v>
      </c>
      <c r="H311" s="779">
        <v>0</v>
      </c>
      <c r="I311" s="384" t="s">
        <v>1685</v>
      </c>
    </row>
    <row r="312" spans="2:9" ht="15" customHeight="1" x14ac:dyDescent="0.3">
      <c r="F312" s="777" t="s">
        <v>2230</v>
      </c>
      <c r="G312" s="795" t="str">
        <f>VLOOKUP(F312,tbl_KausiDivari[],2,FALSE)</f>
        <v>IV-Div</v>
      </c>
      <c r="H312" s="779">
        <v>0</v>
      </c>
      <c r="I312" s="384"/>
    </row>
    <row r="313" spans="2:9" ht="15" customHeight="1" x14ac:dyDescent="0.3">
      <c r="F313" s="777" t="s">
        <v>2187</v>
      </c>
      <c r="G313" s="795" t="str">
        <f>VLOOKUP(F313,tbl_KausiDivari[],2,FALSE)</f>
        <v>III-Div+Kars</v>
      </c>
      <c r="H313" s="779">
        <v>0</v>
      </c>
      <c r="I313" s="384"/>
    </row>
    <row r="314" spans="2:9" ht="15" customHeight="1" x14ac:dyDescent="0.3">
      <c r="F314" s="777" t="s">
        <v>2047</v>
      </c>
      <c r="G314" s="795" t="str">
        <f>VLOOKUP(F314,tbl_KausiDivari[],2,FALSE)</f>
        <v>IV-Div+Cup</v>
      </c>
      <c r="H314" s="779">
        <v>0</v>
      </c>
      <c r="I314" s="384"/>
    </row>
    <row r="315" spans="2:9" ht="15" customHeight="1" x14ac:dyDescent="0.3">
      <c r="F315" s="777" t="s">
        <v>1662</v>
      </c>
      <c r="G315" s="795" t="str">
        <f>VLOOKUP(F315,tbl_KausiDivari[],2,FALSE)</f>
        <v>IV-Div</v>
      </c>
      <c r="H315" s="779">
        <v>0</v>
      </c>
      <c r="I315" s="384"/>
    </row>
    <row r="316" spans="2:9" ht="15" customHeight="1" x14ac:dyDescent="0.3">
      <c r="F316" s="752" t="s">
        <v>1589</v>
      </c>
      <c r="G316" s="795" t="str">
        <f>VLOOKUP(F316,tbl_KausiDivari[],2,FALSE)</f>
        <v>IV-Div</v>
      </c>
      <c r="H316" s="751">
        <v>0</v>
      </c>
      <c r="I316" s="384"/>
    </row>
    <row r="317" spans="2:9" ht="15" customHeight="1" x14ac:dyDescent="0.3">
      <c r="F317" s="752" t="s">
        <v>1406</v>
      </c>
      <c r="G317" s="795" t="str">
        <f>VLOOKUP(F317,tbl_KausiDivari[],2,FALSE)</f>
        <v>IV-Div</v>
      </c>
      <c r="H317" s="751">
        <v>0</v>
      </c>
      <c r="I317" s="384"/>
    </row>
    <row r="318" spans="2:9" ht="15" customHeight="1" x14ac:dyDescent="0.3">
      <c r="F318" s="752" t="s">
        <v>701</v>
      </c>
      <c r="G318" s="795" t="str">
        <f>VLOOKUP(F318,tbl_KausiDivari[],2,FALSE)</f>
        <v>IV-Div</v>
      </c>
      <c r="H318" s="751">
        <v>0</v>
      </c>
      <c r="I318" s="384"/>
    </row>
    <row r="319" spans="2:9" ht="15" customHeight="1" x14ac:dyDescent="0.3">
      <c r="F319" s="752" t="s">
        <v>580</v>
      </c>
      <c r="G319" s="795" t="str">
        <f>VLOOKUP(F319,tbl_KausiDivari[],2,FALSE)</f>
        <v>IV-Div</v>
      </c>
      <c r="H319" s="751">
        <v>0</v>
      </c>
      <c r="I319" s="384"/>
    </row>
    <row r="320" spans="2:9" ht="15" customHeight="1" x14ac:dyDescent="0.3">
      <c r="B320" s="715"/>
      <c r="C320" s="715"/>
      <c r="D320" s="715"/>
      <c r="E320" s="715"/>
      <c r="F320" s="752" t="s">
        <v>177</v>
      </c>
      <c r="G320" s="795" t="str">
        <f>VLOOKUP(F320,tbl_KausiDivari[],2,FALSE)</f>
        <v>IV-Div</v>
      </c>
      <c r="H320" s="751">
        <v>0</v>
      </c>
      <c r="I320" s="384"/>
    </row>
    <row r="321" spans="2:9" ht="15" customHeight="1" x14ac:dyDescent="0.3">
      <c r="B321" s="436" t="s">
        <v>229</v>
      </c>
      <c r="C321" s="311"/>
      <c r="D321" s="311"/>
      <c r="E321" s="311"/>
      <c r="F321" s="774" t="s">
        <v>178</v>
      </c>
      <c r="G321" s="774" t="str">
        <f>VLOOKUP(F321,tbl_KausiDivari[],2,FALSE)</f>
        <v>V-Div</v>
      </c>
      <c r="H321" s="776">
        <v>0</v>
      </c>
      <c r="I321" s="384"/>
    </row>
    <row r="322" spans="2:9" ht="15" customHeight="1" x14ac:dyDescent="0.3">
      <c r="H322" s="358"/>
      <c r="I322" s="384"/>
    </row>
    <row r="323" spans="2:9" ht="15" customHeight="1" x14ac:dyDescent="0.3">
      <c r="H323" s="358"/>
      <c r="I323" s="384"/>
    </row>
    <row r="324" spans="2:9" ht="15" customHeight="1" x14ac:dyDescent="0.3">
      <c r="B324" s="732" t="s">
        <v>1705</v>
      </c>
      <c r="C324" s="717"/>
      <c r="D324" s="717"/>
      <c r="E324" s="717"/>
      <c r="F324" s="719"/>
      <c r="G324" s="718"/>
      <c r="H324" s="725">
        <f>SUM(H325:H342)</f>
        <v>2</v>
      </c>
      <c r="I324" s="384"/>
    </row>
    <row r="325" spans="2:9" ht="15" customHeight="1" x14ac:dyDescent="0.3">
      <c r="B325" s="423" t="s">
        <v>200</v>
      </c>
      <c r="C325" s="311"/>
      <c r="D325" s="311"/>
      <c r="E325" s="311"/>
      <c r="F325" s="765" t="s">
        <v>580</v>
      </c>
      <c r="G325" s="766" t="str">
        <f>VLOOKUP(F325,tbl_KausiDivari[],2,FALSE)</f>
        <v>IV-Div</v>
      </c>
      <c r="H325" s="767">
        <v>1</v>
      </c>
      <c r="I325" s="384"/>
    </row>
    <row r="326" spans="2:9" ht="15" customHeight="1" x14ac:dyDescent="0.3">
      <c r="F326" s="802" t="s">
        <v>701</v>
      </c>
      <c r="G326" s="803" t="str">
        <f>VLOOKUP(F326,tbl_KausiDivari[],2,FALSE)</f>
        <v>IV-Div</v>
      </c>
      <c r="H326" s="804">
        <v>1</v>
      </c>
      <c r="I326" s="384"/>
    </row>
    <row r="327" spans="2:9" ht="15" customHeight="1" x14ac:dyDescent="0.3">
      <c r="F327" s="798" t="s">
        <v>2437</v>
      </c>
      <c r="G327" s="799" t="str">
        <f>VLOOKUP(F327,tbl_KausiDivari[],2,FALSE)</f>
        <v>III-Div</v>
      </c>
      <c r="H327" s="800">
        <v>0</v>
      </c>
      <c r="I327" s="384" t="s">
        <v>1685</v>
      </c>
    </row>
    <row r="328" spans="2:9" ht="15" customHeight="1" x14ac:dyDescent="0.3">
      <c r="F328" s="777" t="s">
        <v>2409</v>
      </c>
      <c r="G328" s="795" t="str">
        <f>VLOOKUP(F328,tbl_KausiDivari[],2,FALSE)</f>
        <v>IV-Div+Kars</v>
      </c>
      <c r="H328" s="779">
        <v>0</v>
      </c>
      <c r="I328" s="384"/>
    </row>
    <row r="329" spans="2:9" ht="15" customHeight="1" x14ac:dyDescent="0.3">
      <c r="F329" s="777" t="s">
        <v>2230</v>
      </c>
      <c r="G329" s="795" t="str">
        <f>VLOOKUP(F329,tbl_KausiDivari[],2,FALSE)</f>
        <v>IV-Div</v>
      </c>
      <c r="H329" s="779">
        <v>0</v>
      </c>
      <c r="I329" s="384"/>
    </row>
    <row r="330" spans="2:9" ht="15" customHeight="1" x14ac:dyDescent="0.3">
      <c r="F330" s="777" t="s">
        <v>2187</v>
      </c>
      <c r="G330" s="795" t="str">
        <f>VLOOKUP(F330,tbl_KausiDivari[],2,FALSE)</f>
        <v>III-Div+Kars</v>
      </c>
      <c r="H330" s="779">
        <v>0</v>
      </c>
      <c r="I330" s="384"/>
    </row>
    <row r="331" spans="2:9" ht="15" customHeight="1" x14ac:dyDescent="0.3">
      <c r="F331" s="777" t="s">
        <v>2047</v>
      </c>
      <c r="G331" s="795" t="str">
        <f>VLOOKUP(F331,tbl_KausiDivari[],2,FALSE)</f>
        <v>IV-Div+Cup</v>
      </c>
      <c r="H331" s="779">
        <v>0</v>
      </c>
      <c r="I331" s="384"/>
    </row>
    <row r="332" spans="2:9" ht="15" customHeight="1" x14ac:dyDescent="0.3">
      <c r="F332" s="777" t="s">
        <v>1817</v>
      </c>
      <c r="G332" s="795" t="str">
        <f>VLOOKUP(F332,tbl_KausiDivari[],2,FALSE)</f>
        <v>IV-Div+Kars</v>
      </c>
      <c r="H332" s="779">
        <v>0</v>
      </c>
      <c r="I332" s="384"/>
    </row>
    <row r="333" spans="2:9" ht="15" customHeight="1" x14ac:dyDescent="0.3">
      <c r="F333" s="777" t="s">
        <v>1662</v>
      </c>
      <c r="G333" s="795" t="str">
        <f>VLOOKUP(F333,tbl_KausiDivari[],2,FALSE)</f>
        <v>IV-Div</v>
      </c>
      <c r="H333" s="779">
        <v>0</v>
      </c>
      <c r="I333" s="384"/>
    </row>
    <row r="334" spans="2:9" ht="15" customHeight="1" x14ac:dyDescent="0.3">
      <c r="F334" s="752" t="s">
        <v>1589</v>
      </c>
      <c r="G334" s="795" t="str">
        <f>VLOOKUP(F334,tbl_KausiDivari[],2,FALSE)</f>
        <v>IV-Div</v>
      </c>
      <c r="H334" s="751">
        <v>0</v>
      </c>
      <c r="I334" s="384"/>
    </row>
    <row r="335" spans="2:9" ht="15" customHeight="1" x14ac:dyDescent="0.3">
      <c r="F335" s="752" t="s">
        <v>1406</v>
      </c>
      <c r="G335" s="795" t="str">
        <f>VLOOKUP(F335,tbl_KausiDivari[],2,FALSE)</f>
        <v>IV-Div</v>
      </c>
      <c r="H335" s="751">
        <v>0</v>
      </c>
      <c r="I335" s="384"/>
    </row>
    <row r="336" spans="2:9" ht="15" customHeight="1" x14ac:dyDescent="0.3">
      <c r="F336" s="752" t="s">
        <v>1146</v>
      </c>
      <c r="G336" s="795" t="str">
        <f>VLOOKUP(F336,tbl_KausiDivari[],2,FALSE)</f>
        <v>IV-Div</v>
      </c>
      <c r="H336" s="751">
        <v>0</v>
      </c>
      <c r="I336" s="384"/>
    </row>
    <row r="337" spans="2:9" ht="15" customHeight="1" x14ac:dyDescent="0.3">
      <c r="F337" s="752" t="s">
        <v>1079</v>
      </c>
      <c r="G337" s="795" t="str">
        <f>VLOOKUP(F337,tbl_KausiDivari[],2,FALSE)</f>
        <v>IV-Div</v>
      </c>
      <c r="H337" s="751">
        <v>0</v>
      </c>
      <c r="I337" s="384"/>
    </row>
    <row r="338" spans="2:9" ht="15" customHeight="1" x14ac:dyDescent="0.3">
      <c r="F338" s="752" t="s">
        <v>884</v>
      </c>
      <c r="G338" s="795" t="str">
        <f>VLOOKUP(F338,tbl_KausiDivari[],2,FALSE)</f>
        <v>V-Div</v>
      </c>
      <c r="H338" s="751">
        <v>0</v>
      </c>
      <c r="I338" s="384"/>
    </row>
    <row r="339" spans="2:9" ht="15" customHeight="1" x14ac:dyDescent="0.3">
      <c r="F339" s="752" t="s">
        <v>844</v>
      </c>
      <c r="G339" s="795" t="str">
        <f>VLOOKUP(F339,tbl_KausiDivari[],2,FALSE)</f>
        <v>IV-Div</v>
      </c>
      <c r="H339" s="751">
        <v>0</v>
      </c>
      <c r="I339" s="384"/>
    </row>
    <row r="340" spans="2:9" ht="15" customHeight="1" x14ac:dyDescent="0.3">
      <c r="F340" s="752" t="s">
        <v>261</v>
      </c>
      <c r="G340" s="795" t="str">
        <f>VLOOKUP(F340,tbl_KausiDivari[],2,FALSE)</f>
        <v>V-Div</v>
      </c>
      <c r="H340" s="751">
        <v>0</v>
      </c>
      <c r="I340" s="384"/>
    </row>
    <row r="341" spans="2:9" ht="15" customHeight="1" x14ac:dyDescent="0.3">
      <c r="B341" s="715"/>
      <c r="C341" s="715"/>
      <c r="D341" s="715"/>
      <c r="E341" s="715"/>
      <c r="F341" s="752" t="s">
        <v>177</v>
      </c>
      <c r="G341" s="795" t="str">
        <f>VLOOKUP(F341,tbl_KausiDivari[],2,FALSE)</f>
        <v>IV-Div</v>
      </c>
      <c r="H341" s="751">
        <v>0</v>
      </c>
      <c r="I341" s="384"/>
    </row>
    <row r="342" spans="2:9" ht="15" customHeight="1" x14ac:dyDescent="0.3">
      <c r="B342" s="436" t="s">
        <v>220</v>
      </c>
      <c r="C342" s="311"/>
      <c r="D342" s="311"/>
      <c r="E342" s="311"/>
      <c r="F342" s="774" t="s">
        <v>178</v>
      </c>
      <c r="G342" s="774" t="str">
        <f>VLOOKUP(F342,tbl_KausiDivari[],2,FALSE)</f>
        <v>V-Div</v>
      </c>
      <c r="H342" s="776">
        <v>0</v>
      </c>
      <c r="I342" s="384"/>
    </row>
    <row r="343" spans="2:9" ht="15" customHeight="1" x14ac:dyDescent="0.3">
      <c r="H343" s="358"/>
      <c r="I343" s="384"/>
    </row>
    <row r="344" spans="2:9" ht="15" customHeight="1" x14ac:dyDescent="0.3">
      <c r="H344" s="358"/>
      <c r="I344" s="384"/>
    </row>
    <row r="345" spans="2:9" ht="15" customHeight="1" x14ac:dyDescent="0.3">
      <c r="B345" s="732" t="s">
        <v>1733</v>
      </c>
      <c r="C345" s="717"/>
      <c r="D345" s="717"/>
      <c r="E345" s="717"/>
      <c r="F345" s="719"/>
      <c r="G345" s="718"/>
      <c r="H345" s="725">
        <f>SUM(H346:H363)</f>
        <v>16</v>
      </c>
      <c r="I345" s="384"/>
    </row>
    <row r="346" spans="2:9" ht="15" customHeight="1" x14ac:dyDescent="0.3">
      <c r="B346" s="423" t="s">
        <v>1734</v>
      </c>
      <c r="C346" s="311"/>
      <c r="D346" s="311"/>
      <c r="E346" s="311"/>
      <c r="F346" s="765" t="s">
        <v>261</v>
      </c>
      <c r="G346" s="766" t="str">
        <f>VLOOKUP(F346,tbl_KausiDivari[],2,FALSE)</f>
        <v>V-Div</v>
      </c>
      <c r="H346" s="767">
        <v>2</v>
      </c>
      <c r="I346" s="384"/>
    </row>
    <row r="347" spans="2:9" ht="15" customHeight="1" x14ac:dyDescent="0.3">
      <c r="F347" s="802" t="s">
        <v>1146</v>
      </c>
      <c r="G347" s="803" t="str">
        <f>VLOOKUP(F347,tbl_KausiDivari[],2,FALSE)</f>
        <v>IV-Div</v>
      </c>
      <c r="H347" s="804">
        <v>2</v>
      </c>
      <c r="I347" s="384"/>
    </row>
    <row r="348" spans="2:9" ht="15" customHeight="1" x14ac:dyDescent="0.3">
      <c r="F348" s="802" t="s">
        <v>1662</v>
      </c>
      <c r="G348" s="803" t="str">
        <f>VLOOKUP(F348,tbl_KausiDivari[],2,FALSE)</f>
        <v>IV-Div</v>
      </c>
      <c r="H348" s="804">
        <v>2</v>
      </c>
      <c r="I348" s="384"/>
    </row>
    <row r="349" spans="2:9" ht="15" customHeight="1" x14ac:dyDescent="0.3">
      <c r="F349" s="802" t="s">
        <v>2409</v>
      </c>
      <c r="G349" s="803" t="str">
        <f>VLOOKUP(F349,tbl_KausiDivari[],2,FALSE)</f>
        <v>IV-Div+Kars</v>
      </c>
      <c r="H349" s="804">
        <v>2</v>
      </c>
      <c r="I349" s="384"/>
    </row>
    <row r="350" spans="2:9" ht="15" customHeight="1" x14ac:dyDescent="0.3">
      <c r="F350" s="760" t="s">
        <v>2437</v>
      </c>
      <c r="G350" s="809" t="str">
        <f>VLOOKUP(F350,tbl_KausiDivari[],2,FALSE)</f>
        <v>III-Div</v>
      </c>
      <c r="H350" s="762">
        <v>2</v>
      </c>
      <c r="I350" s="384" t="s">
        <v>1685</v>
      </c>
    </row>
    <row r="351" spans="2:9" ht="15" customHeight="1" x14ac:dyDescent="0.3">
      <c r="F351" s="771" t="s">
        <v>177</v>
      </c>
      <c r="G351" s="781" t="str">
        <f>VLOOKUP(F351,tbl_KausiDivari[],2,FALSE)</f>
        <v>IV-Div</v>
      </c>
      <c r="H351" s="773">
        <v>1</v>
      </c>
      <c r="I351" s="384"/>
    </row>
    <row r="352" spans="2:9" ht="15" customHeight="1" x14ac:dyDescent="0.3">
      <c r="F352" s="722" t="s">
        <v>1079</v>
      </c>
      <c r="G352" s="723" t="str">
        <f>VLOOKUP(F352,tbl_KausiDivari[],2,FALSE)</f>
        <v>IV-Div</v>
      </c>
      <c r="H352" s="724">
        <v>1</v>
      </c>
      <c r="I352" s="384"/>
    </row>
    <row r="353" spans="2:9" ht="15" customHeight="1" x14ac:dyDescent="0.3">
      <c r="F353" s="729" t="s">
        <v>1589</v>
      </c>
      <c r="G353" s="723" t="str">
        <f>VLOOKUP(F353,tbl_KausiDivari[],2,FALSE)</f>
        <v>IV-Div</v>
      </c>
      <c r="H353" s="731">
        <v>1</v>
      </c>
      <c r="I353" s="384"/>
    </row>
    <row r="354" spans="2:9" ht="15" customHeight="1" x14ac:dyDescent="0.3">
      <c r="F354" s="729" t="s">
        <v>1817</v>
      </c>
      <c r="G354" s="723" t="str">
        <f>VLOOKUP(F354,tbl_KausiDivari[],2,FALSE)</f>
        <v>IV-Div+Kars</v>
      </c>
      <c r="H354" s="731">
        <v>1</v>
      </c>
      <c r="I354" s="384"/>
    </row>
    <row r="355" spans="2:9" ht="15" customHeight="1" x14ac:dyDescent="0.3">
      <c r="F355" s="729" t="s">
        <v>2047</v>
      </c>
      <c r="G355" s="730" t="str">
        <f>VLOOKUP(F355,tbl_KausiDivari[],2,FALSE)</f>
        <v>IV-Div+Cup</v>
      </c>
      <c r="H355" s="731">
        <v>1</v>
      </c>
      <c r="I355" s="384"/>
    </row>
    <row r="356" spans="2:9" ht="15" customHeight="1" x14ac:dyDescent="0.3">
      <c r="F356" s="729" t="s">
        <v>2230</v>
      </c>
      <c r="G356" s="730" t="str">
        <f>VLOOKUP(F356,tbl_KausiDivari[],2,FALSE)</f>
        <v>IV-Div</v>
      </c>
      <c r="H356" s="731">
        <v>1</v>
      </c>
      <c r="I356" s="384"/>
    </row>
    <row r="357" spans="2:9" ht="15" customHeight="1" x14ac:dyDescent="0.3">
      <c r="F357" s="798" t="s">
        <v>2187</v>
      </c>
      <c r="G357" s="799" t="str">
        <f>VLOOKUP(F357,tbl_KausiDivari[],2,FALSE)</f>
        <v>III-Div+Kars</v>
      </c>
      <c r="H357" s="800">
        <v>0</v>
      </c>
      <c r="I357" s="384"/>
    </row>
    <row r="358" spans="2:9" ht="15" customHeight="1" x14ac:dyDescent="0.3">
      <c r="F358" s="777" t="s">
        <v>1406</v>
      </c>
      <c r="G358" s="795" t="str">
        <f>VLOOKUP(F358,tbl_KausiDivari[],2,FALSE)</f>
        <v>IV-Div</v>
      </c>
      <c r="H358" s="779">
        <v>0</v>
      </c>
      <c r="I358" s="384"/>
    </row>
    <row r="359" spans="2:9" ht="15" customHeight="1" x14ac:dyDescent="0.3">
      <c r="F359" s="752" t="s">
        <v>884</v>
      </c>
      <c r="G359" s="795" t="str">
        <f>VLOOKUP(F359,tbl_KausiDivari[],2,FALSE)</f>
        <v>V-Div</v>
      </c>
      <c r="H359" s="751">
        <v>0</v>
      </c>
      <c r="I359" s="384"/>
    </row>
    <row r="360" spans="2:9" ht="15" customHeight="1" x14ac:dyDescent="0.3">
      <c r="F360" s="752" t="s">
        <v>844</v>
      </c>
      <c r="G360" s="795" t="str">
        <f>VLOOKUP(F360,tbl_KausiDivari[],2,FALSE)</f>
        <v>IV-Div</v>
      </c>
      <c r="H360" s="751">
        <v>0</v>
      </c>
      <c r="I360" s="384"/>
    </row>
    <row r="361" spans="2:9" ht="15" customHeight="1" x14ac:dyDescent="0.3">
      <c r="F361" s="752" t="s">
        <v>701</v>
      </c>
      <c r="G361" s="795" t="str">
        <f>VLOOKUP(F361,tbl_KausiDivari[],2,FALSE)</f>
        <v>IV-Div</v>
      </c>
      <c r="H361" s="751">
        <v>0</v>
      </c>
      <c r="I361" s="384"/>
    </row>
    <row r="362" spans="2:9" ht="15" customHeight="1" x14ac:dyDescent="0.3">
      <c r="B362" s="715"/>
      <c r="C362" s="715"/>
      <c r="D362" s="715"/>
      <c r="E362" s="715"/>
      <c r="F362" s="752" t="s">
        <v>580</v>
      </c>
      <c r="G362" s="795" t="str">
        <f>VLOOKUP(F362,tbl_KausiDivari[],2,FALSE)</f>
        <v>IV-Div</v>
      </c>
      <c r="H362" s="751">
        <v>0</v>
      </c>
      <c r="I362" s="384"/>
    </row>
    <row r="363" spans="2:9" ht="15" customHeight="1" x14ac:dyDescent="0.3">
      <c r="B363" s="423" t="s">
        <v>1735</v>
      </c>
      <c r="C363" s="311"/>
      <c r="D363" s="311"/>
      <c r="E363" s="311"/>
      <c r="F363" s="774" t="s">
        <v>178</v>
      </c>
      <c r="G363" s="774" t="str">
        <f>VLOOKUP(F363,tbl_KausiDivari[],2,FALSE)</f>
        <v>V-Div</v>
      </c>
      <c r="H363" s="776">
        <v>0</v>
      </c>
      <c r="I363" s="384"/>
    </row>
    <row r="364" spans="2:9" ht="15" customHeight="1" x14ac:dyDescent="0.3">
      <c r="H364" s="358"/>
      <c r="I364" s="384"/>
    </row>
    <row r="365" spans="2:9" ht="15" customHeight="1" x14ac:dyDescent="0.3">
      <c r="H365" s="358"/>
      <c r="I365" s="384"/>
    </row>
    <row r="366" spans="2:9" ht="15" customHeight="1" x14ac:dyDescent="0.3">
      <c r="B366" s="732" t="s">
        <v>1738</v>
      </c>
      <c r="C366" s="717"/>
      <c r="D366" s="717"/>
      <c r="E366" s="717"/>
      <c r="F366" s="719"/>
      <c r="G366" s="718"/>
      <c r="H366" s="725">
        <f>SUM(H367:H384)</f>
        <v>22</v>
      </c>
      <c r="I366" s="384"/>
    </row>
    <row r="367" spans="2:9" ht="15" customHeight="1" x14ac:dyDescent="0.3">
      <c r="B367" s="423" t="s">
        <v>1736</v>
      </c>
      <c r="C367" s="311"/>
      <c r="D367" s="311"/>
      <c r="E367" s="311"/>
      <c r="F367" s="765" t="s">
        <v>177</v>
      </c>
      <c r="G367" s="766" t="str">
        <f>VLOOKUP(F367,tbl_KausiDivari[],2,FALSE)</f>
        <v>IV-Div</v>
      </c>
      <c r="H367" s="767">
        <v>4</v>
      </c>
      <c r="I367" s="384"/>
    </row>
    <row r="368" spans="2:9" ht="15" customHeight="1" x14ac:dyDescent="0.3">
      <c r="F368" s="806" t="s">
        <v>580</v>
      </c>
      <c r="G368" s="807" t="str">
        <f>VLOOKUP(F368,tbl_KausiDivari[],2,FALSE)</f>
        <v>IV-Div</v>
      </c>
      <c r="H368" s="808">
        <v>3</v>
      </c>
      <c r="I368" s="384"/>
    </row>
    <row r="369" spans="2:9" ht="15" customHeight="1" x14ac:dyDescent="0.3">
      <c r="F369" s="722" t="s">
        <v>1662</v>
      </c>
      <c r="G369" s="723" t="str">
        <f>VLOOKUP(F369,tbl_KausiDivari[],2,FALSE)</f>
        <v>IV-Div</v>
      </c>
      <c r="H369" s="724">
        <v>3</v>
      </c>
      <c r="I369" s="384"/>
    </row>
    <row r="370" spans="2:9" ht="15" customHeight="1" x14ac:dyDescent="0.3">
      <c r="F370" s="771" t="s">
        <v>261</v>
      </c>
      <c r="G370" s="781" t="str">
        <f>VLOOKUP(F370,tbl_KausiDivari[],2,FALSE)</f>
        <v>V-Div</v>
      </c>
      <c r="H370" s="773">
        <v>2</v>
      </c>
      <c r="I370" s="384"/>
    </row>
    <row r="371" spans="2:9" ht="15" customHeight="1" x14ac:dyDescent="0.3">
      <c r="F371" s="771" t="s">
        <v>2187</v>
      </c>
      <c r="G371" s="723" t="str">
        <f>VLOOKUP(F371,tbl_KausiDivari[],2,FALSE)</f>
        <v>III-Div+Kars</v>
      </c>
      <c r="H371" s="773">
        <v>2</v>
      </c>
      <c r="I371" s="384"/>
    </row>
    <row r="372" spans="2:9" ht="15" customHeight="1" x14ac:dyDescent="0.3">
      <c r="F372" s="771" t="s">
        <v>2230</v>
      </c>
      <c r="G372" s="723" t="str">
        <f>VLOOKUP(F372,tbl_KausiDivari[],2,FALSE)</f>
        <v>IV-Div</v>
      </c>
      <c r="H372" s="773">
        <v>2</v>
      </c>
      <c r="I372" s="384"/>
    </row>
    <row r="373" spans="2:9" ht="15" customHeight="1" x14ac:dyDescent="0.3">
      <c r="F373" s="771" t="s">
        <v>2437</v>
      </c>
      <c r="G373" s="723" t="str">
        <f>VLOOKUP(F373,tbl_KausiDivari[],2,FALSE)</f>
        <v>III-Div</v>
      </c>
      <c r="H373" s="773">
        <v>2</v>
      </c>
      <c r="I373" s="384" t="s">
        <v>1685</v>
      </c>
    </row>
    <row r="374" spans="2:9" ht="15" customHeight="1" x14ac:dyDescent="0.3">
      <c r="F374" s="722" t="s">
        <v>844</v>
      </c>
      <c r="G374" s="723" t="str">
        <f>VLOOKUP(F374,tbl_KausiDivari[],2,FALSE)</f>
        <v>IV-Div</v>
      </c>
      <c r="H374" s="724">
        <v>1</v>
      </c>
      <c r="I374" s="384"/>
    </row>
    <row r="375" spans="2:9" ht="15" customHeight="1" x14ac:dyDescent="0.3">
      <c r="F375" s="729" t="s">
        <v>884</v>
      </c>
      <c r="G375" s="730" t="str">
        <f>VLOOKUP(F375,tbl_KausiDivari[],2,FALSE)</f>
        <v>V-Div</v>
      </c>
      <c r="H375" s="731">
        <v>1</v>
      </c>
      <c r="I375" s="384"/>
    </row>
    <row r="376" spans="2:9" ht="15" customHeight="1" x14ac:dyDescent="0.3">
      <c r="F376" s="722" t="s">
        <v>1146</v>
      </c>
      <c r="G376" s="723" t="str">
        <f>VLOOKUP(F376,tbl_KausiDivari[],2,FALSE)</f>
        <v>IV-Div</v>
      </c>
      <c r="H376" s="724">
        <v>1</v>
      </c>
      <c r="I376" s="384"/>
    </row>
    <row r="377" spans="2:9" ht="15" customHeight="1" x14ac:dyDescent="0.3">
      <c r="F377" s="726" t="s">
        <v>1589</v>
      </c>
      <c r="G377" s="727" t="str">
        <f>VLOOKUP(F377,tbl_KausiDivari[],2,FALSE)</f>
        <v>IV-Div</v>
      </c>
      <c r="H377" s="728">
        <v>1</v>
      </c>
      <c r="I377" s="384"/>
    </row>
    <row r="378" spans="2:9" ht="15" customHeight="1" x14ac:dyDescent="0.3">
      <c r="F378" s="777" t="s">
        <v>2409</v>
      </c>
      <c r="G378" s="805" t="str">
        <f>VLOOKUP(F378,tbl_KausiDivari[],2,FALSE)</f>
        <v>IV-Div+Kars</v>
      </c>
      <c r="H378" s="779">
        <v>0</v>
      </c>
      <c r="I378" s="384"/>
    </row>
    <row r="379" spans="2:9" ht="15" customHeight="1" x14ac:dyDescent="0.3">
      <c r="F379" s="777" t="s">
        <v>2047</v>
      </c>
      <c r="G379" s="795" t="str">
        <f>VLOOKUP(F379,tbl_KausiDivari[],2,FALSE)</f>
        <v>IV-Div+Cup</v>
      </c>
      <c r="H379" s="779">
        <v>0</v>
      </c>
      <c r="I379" s="384"/>
    </row>
    <row r="380" spans="2:9" ht="15" customHeight="1" x14ac:dyDescent="0.3">
      <c r="F380" s="777" t="s">
        <v>1817</v>
      </c>
      <c r="G380" s="795" t="str">
        <f>VLOOKUP(F380,tbl_KausiDivari[],2,FALSE)</f>
        <v>IV-Div+Kars</v>
      </c>
      <c r="H380" s="779">
        <v>0</v>
      </c>
      <c r="I380" s="384"/>
    </row>
    <row r="381" spans="2:9" ht="15" customHeight="1" x14ac:dyDescent="0.3">
      <c r="F381" s="777" t="s">
        <v>1406</v>
      </c>
      <c r="G381" s="795" t="str">
        <f>VLOOKUP(F381,tbl_KausiDivari[],2,FALSE)</f>
        <v>IV-Div</v>
      </c>
      <c r="H381" s="779">
        <v>0</v>
      </c>
      <c r="I381" s="384"/>
    </row>
    <row r="382" spans="2:9" ht="15" customHeight="1" x14ac:dyDescent="0.3">
      <c r="F382" s="752" t="s">
        <v>1079</v>
      </c>
      <c r="G382" s="795" t="str">
        <f>VLOOKUP(F382,tbl_KausiDivari[],2,FALSE)</f>
        <v>IV-Div</v>
      </c>
      <c r="H382" s="751">
        <v>0</v>
      </c>
      <c r="I382" s="384"/>
    </row>
    <row r="383" spans="2:9" ht="15" customHeight="1" x14ac:dyDescent="0.3">
      <c r="B383" s="715"/>
      <c r="C383" s="715"/>
      <c r="D383" s="715"/>
      <c r="E383" s="715"/>
      <c r="F383" s="752" t="s">
        <v>701</v>
      </c>
      <c r="G383" s="795" t="str">
        <f>VLOOKUP(F383,tbl_KausiDivari[],2,FALSE)</f>
        <v>IV-Div</v>
      </c>
      <c r="H383" s="751">
        <v>0</v>
      </c>
      <c r="I383" s="384"/>
    </row>
    <row r="384" spans="2:9" ht="15" customHeight="1" x14ac:dyDescent="0.3">
      <c r="B384" s="423" t="s">
        <v>1737</v>
      </c>
      <c r="C384" s="311"/>
      <c r="D384" s="311"/>
      <c r="E384" s="311"/>
      <c r="F384" s="774" t="s">
        <v>178</v>
      </c>
      <c r="G384" s="774" t="str">
        <f>VLOOKUP(F384,tbl_KausiDivari[],2,FALSE)</f>
        <v>V-Div</v>
      </c>
      <c r="H384" s="776">
        <v>0</v>
      </c>
      <c r="I384" s="384"/>
    </row>
    <row r="385" spans="2:9" ht="15" customHeight="1" x14ac:dyDescent="0.3">
      <c r="H385" s="358"/>
      <c r="I385" s="384"/>
    </row>
    <row r="386" spans="2:9" ht="15" customHeight="1" x14ac:dyDescent="0.3">
      <c r="H386" s="358"/>
      <c r="I386" s="384"/>
    </row>
    <row r="387" spans="2:9" ht="15" customHeight="1" x14ac:dyDescent="0.3">
      <c r="B387" s="732" t="s">
        <v>1739</v>
      </c>
      <c r="C387" s="717"/>
      <c r="D387" s="717"/>
      <c r="E387" s="717"/>
      <c r="F387" s="719"/>
      <c r="G387" s="718"/>
      <c r="H387" s="725">
        <f>SUM(H388:H405)</f>
        <v>4</v>
      </c>
      <c r="I387" s="384"/>
    </row>
    <row r="388" spans="2:9" ht="15" customHeight="1" x14ac:dyDescent="0.3">
      <c r="B388" s="423" t="s">
        <v>1740</v>
      </c>
      <c r="C388" s="311"/>
      <c r="D388" s="311"/>
      <c r="E388" s="311"/>
      <c r="F388" s="765" t="s">
        <v>261</v>
      </c>
      <c r="G388" s="766" t="str">
        <f>VLOOKUP(F388,tbl_KausiDivari[],2,FALSE)</f>
        <v>V-Div</v>
      </c>
      <c r="H388" s="767">
        <v>1</v>
      </c>
      <c r="I388" s="384"/>
    </row>
    <row r="389" spans="2:9" ht="15" customHeight="1" x14ac:dyDescent="0.3">
      <c r="F389" s="802" t="s">
        <v>580</v>
      </c>
      <c r="G389" s="803" t="str">
        <f>VLOOKUP(F389,tbl_KausiDivari[],2,FALSE)</f>
        <v>IV-Div</v>
      </c>
      <c r="H389" s="804">
        <v>1</v>
      </c>
      <c r="I389" s="384"/>
    </row>
    <row r="390" spans="2:9" ht="15" customHeight="1" x14ac:dyDescent="0.3">
      <c r="F390" s="802" t="s">
        <v>701</v>
      </c>
      <c r="G390" s="803" t="str">
        <f>VLOOKUP(F390,tbl_KausiDivari[],2,FALSE)</f>
        <v>IV-Div</v>
      </c>
      <c r="H390" s="804">
        <v>1</v>
      </c>
      <c r="I390" s="384"/>
    </row>
    <row r="391" spans="2:9" ht="15" customHeight="1" x14ac:dyDescent="0.3">
      <c r="F391" s="760" t="s">
        <v>1817</v>
      </c>
      <c r="G391" s="809" t="str">
        <f>VLOOKUP(F391,tbl_KausiDivari[],2,FALSE)</f>
        <v>IV-Div+Kars</v>
      </c>
      <c r="H391" s="762">
        <v>1</v>
      </c>
      <c r="I391" s="384"/>
    </row>
    <row r="392" spans="2:9" ht="15" customHeight="1" x14ac:dyDescent="0.3">
      <c r="F392" s="777" t="s">
        <v>2437</v>
      </c>
      <c r="G392" s="805" t="str">
        <f>VLOOKUP(F392,tbl_KausiDivari[],2,FALSE)</f>
        <v>III-Div</v>
      </c>
      <c r="H392" s="779">
        <v>0</v>
      </c>
      <c r="I392" s="384" t="s">
        <v>1685</v>
      </c>
    </row>
    <row r="393" spans="2:9" ht="15" customHeight="1" x14ac:dyDescent="0.3">
      <c r="F393" s="777" t="s">
        <v>2409</v>
      </c>
      <c r="G393" s="795" t="str">
        <f>VLOOKUP(F393,tbl_KausiDivari[],2,FALSE)</f>
        <v>IV-Div+Kars</v>
      </c>
      <c r="H393" s="779">
        <v>0</v>
      </c>
      <c r="I393" s="384"/>
    </row>
    <row r="394" spans="2:9" ht="15" customHeight="1" x14ac:dyDescent="0.3">
      <c r="F394" s="777" t="s">
        <v>2230</v>
      </c>
      <c r="G394" s="795" t="str">
        <f>VLOOKUP(F394,tbl_KausiDivari[],2,FALSE)</f>
        <v>IV-Div</v>
      </c>
      <c r="H394" s="779">
        <v>0</v>
      </c>
      <c r="I394" s="384"/>
    </row>
    <row r="395" spans="2:9" ht="15" customHeight="1" x14ac:dyDescent="0.3">
      <c r="F395" s="777" t="s">
        <v>2187</v>
      </c>
      <c r="G395" s="795" t="str">
        <f>VLOOKUP(F395,tbl_KausiDivari[],2,FALSE)</f>
        <v>III-Div+Kars</v>
      </c>
      <c r="H395" s="779">
        <v>0</v>
      </c>
      <c r="I395" s="384"/>
    </row>
    <row r="396" spans="2:9" ht="15" customHeight="1" x14ac:dyDescent="0.3">
      <c r="F396" s="777" t="s">
        <v>2047</v>
      </c>
      <c r="G396" s="795" t="str">
        <f>VLOOKUP(F396,tbl_KausiDivari[],2,FALSE)</f>
        <v>IV-Div+Cup</v>
      </c>
      <c r="H396" s="779">
        <v>0</v>
      </c>
      <c r="I396" s="384"/>
    </row>
    <row r="397" spans="2:9" ht="15" customHeight="1" x14ac:dyDescent="0.3">
      <c r="F397" s="777" t="s">
        <v>1662</v>
      </c>
      <c r="G397" s="795" t="str">
        <f>VLOOKUP(F397,tbl_KausiDivari[],2,FALSE)</f>
        <v>IV-Div</v>
      </c>
      <c r="H397" s="779">
        <v>0</v>
      </c>
      <c r="I397" s="384"/>
    </row>
    <row r="398" spans="2:9" ht="15" customHeight="1" x14ac:dyDescent="0.3">
      <c r="F398" s="752" t="s">
        <v>1589</v>
      </c>
      <c r="G398" s="795" t="str">
        <f>VLOOKUP(F398,tbl_KausiDivari[],2,FALSE)</f>
        <v>IV-Div</v>
      </c>
      <c r="H398" s="751">
        <v>0</v>
      </c>
      <c r="I398" s="384"/>
    </row>
    <row r="399" spans="2:9" ht="15" customHeight="1" x14ac:dyDescent="0.3">
      <c r="F399" s="749" t="s">
        <v>1406</v>
      </c>
      <c r="G399" s="796" t="str">
        <f>VLOOKUP(F399,tbl_KausiDivari[],2,FALSE)</f>
        <v>IV-Div</v>
      </c>
      <c r="H399" s="754">
        <v>0</v>
      </c>
      <c r="I399" s="384"/>
    </row>
    <row r="400" spans="2:9" ht="15" customHeight="1" x14ac:dyDescent="0.3">
      <c r="F400" s="752" t="s">
        <v>1146</v>
      </c>
      <c r="G400" s="795" t="str">
        <f>VLOOKUP(F400,tbl_KausiDivari[],2,FALSE)</f>
        <v>IV-Div</v>
      </c>
      <c r="H400" s="751">
        <v>0</v>
      </c>
      <c r="I400" s="384"/>
    </row>
    <row r="401" spans="2:9" ht="15" customHeight="1" x14ac:dyDescent="0.3">
      <c r="F401" s="752" t="s">
        <v>1079</v>
      </c>
      <c r="G401" s="795" t="str">
        <f>VLOOKUP(F401,tbl_KausiDivari[],2,FALSE)</f>
        <v>IV-Div</v>
      </c>
      <c r="H401" s="751">
        <v>0</v>
      </c>
      <c r="I401" s="384"/>
    </row>
    <row r="402" spans="2:9" ht="15" customHeight="1" x14ac:dyDescent="0.3">
      <c r="F402" s="777" t="s">
        <v>884</v>
      </c>
      <c r="G402" s="805" t="str">
        <f>VLOOKUP(F402,tbl_KausiDivari[],2,FALSE)</f>
        <v>V-Div</v>
      </c>
      <c r="H402" s="779">
        <v>0</v>
      </c>
      <c r="I402" s="384"/>
    </row>
    <row r="403" spans="2:9" ht="15" customHeight="1" x14ac:dyDescent="0.3">
      <c r="F403" s="752" t="s">
        <v>844</v>
      </c>
      <c r="G403" s="795" t="str">
        <f>VLOOKUP(F403,tbl_KausiDivari[],2,FALSE)</f>
        <v>IV-Div</v>
      </c>
      <c r="H403" s="751">
        <v>0</v>
      </c>
      <c r="I403" s="384"/>
    </row>
    <row r="404" spans="2:9" ht="15" customHeight="1" x14ac:dyDescent="0.3">
      <c r="B404" s="715"/>
      <c r="C404" s="715"/>
      <c r="D404" s="715"/>
      <c r="E404" s="715"/>
      <c r="F404" s="752" t="s">
        <v>177</v>
      </c>
      <c r="G404" s="795" t="str">
        <f>VLOOKUP(F404,tbl_KausiDivari[],2,FALSE)</f>
        <v>IV-Div</v>
      </c>
      <c r="H404" s="751">
        <v>0</v>
      </c>
      <c r="I404" s="384"/>
    </row>
    <row r="405" spans="2:9" ht="15" customHeight="1" x14ac:dyDescent="0.3">
      <c r="B405" s="423" t="s">
        <v>1741</v>
      </c>
      <c r="C405" s="311"/>
      <c r="D405" s="311"/>
      <c r="E405" s="311"/>
      <c r="F405" s="774" t="s">
        <v>178</v>
      </c>
      <c r="G405" s="774" t="str">
        <f>VLOOKUP(F405,tbl_KausiDivari[],2,FALSE)</f>
        <v>V-Div</v>
      </c>
      <c r="H405" s="776">
        <v>0</v>
      </c>
      <c r="I405" s="384"/>
    </row>
    <row r="406" spans="2:9" ht="15" customHeight="1" x14ac:dyDescent="0.3">
      <c r="H406" s="358"/>
      <c r="I406" s="384"/>
    </row>
    <row r="407" spans="2:9" ht="15" customHeight="1" x14ac:dyDescent="0.3">
      <c r="H407" s="358"/>
      <c r="I407" s="384"/>
    </row>
    <row r="408" spans="2:9" ht="15" customHeight="1" x14ac:dyDescent="0.3">
      <c r="B408" s="732" t="s">
        <v>1742</v>
      </c>
      <c r="C408" s="717"/>
      <c r="D408" s="717"/>
      <c r="E408" s="717"/>
      <c r="F408" s="719"/>
      <c r="G408" s="718"/>
      <c r="H408" s="725">
        <f>SUM(H409:H426)</f>
        <v>9</v>
      </c>
      <c r="I408" s="384"/>
    </row>
    <row r="409" spans="2:9" ht="15" customHeight="1" x14ac:dyDescent="0.3">
      <c r="B409" s="423" t="s">
        <v>1743</v>
      </c>
      <c r="C409" s="311"/>
      <c r="D409" s="311"/>
      <c r="E409" s="311"/>
      <c r="F409" s="758" t="s">
        <v>1406</v>
      </c>
      <c r="G409" s="915" t="str">
        <f>VLOOKUP(F409,tbl_KausiDivari[],2,FALSE)</f>
        <v>IV-Div</v>
      </c>
      <c r="H409" s="759">
        <v>2</v>
      </c>
      <c r="I409" s="384"/>
    </row>
    <row r="410" spans="2:9" ht="15" customHeight="1" x14ac:dyDescent="0.3">
      <c r="B410" s="1027"/>
      <c r="C410" s="714"/>
      <c r="D410" s="714"/>
      <c r="E410" s="1028"/>
      <c r="F410" s="1029" t="s">
        <v>2047</v>
      </c>
      <c r="G410" s="1031" t="str">
        <f>VLOOKUP(F410,tbl_KausiDivari[],2,FALSE)</f>
        <v>IV-Div+Cup</v>
      </c>
      <c r="H410" s="1030">
        <v>2</v>
      </c>
      <c r="I410" s="384"/>
    </row>
    <row r="411" spans="2:9" ht="15" customHeight="1" x14ac:dyDescent="0.3">
      <c r="F411" s="806" t="s">
        <v>177</v>
      </c>
      <c r="G411" s="807" t="str">
        <f>VLOOKUP(F411,tbl_KausiDivari[],2,FALSE)</f>
        <v>IV-Div</v>
      </c>
      <c r="H411" s="808">
        <v>1</v>
      </c>
      <c r="I411" s="384"/>
    </row>
    <row r="412" spans="2:9" ht="15" customHeight="1" x14ac:dyDescent="0.3">
      <c r="F412" s="722" t="s">
        <v>261</v>
      </c>
      <c r="G412" s="723" t="str">
        <f>VLOOKUP(F412,tbl_KausiDivari[],2,FALSE)</f>
        <v>V-Div</v>
      </c>
      <c r="H412" s="724">
        <v>1</v>
      </c>
      <c r="I412" s="384"/>
    </row>
    <row r="413" spans="2:9" ht="15" customHeight="1" x14ac:dyDescent="0.3">
      <c r="F413" s="771" t="s">
        <v>580</v>
      </c>
      <c r="G413" s="781" t="str">
        <f>VLOOKUP(F413,tbl_KausiDivari[],2,FALSE)</f>
        <v>IV-Div</v>
      </c>
      <c r="H413" s="773">
        <v>1</v>
      </c>
      <c r="I413" s="384"/>
    </row>
    <row r="414" spans="2:9" ht="15" customHeight="1" x14ac:dyDescent="0.3">
      <c r="F414" s="771" t="s">
        <v>884</v>
      </c>
      <c r="G414" s="781" t="str">
        <f>VLOOKUP(F414,tbl_KausiDivari[],2,FALSE)</f>
        <v>V-Div</v>
      </c>
      <c r="H414" s="773">
        <v>1</v>
      </c>
      <c r="I414" s="384"/>
    </row>
    <row r="415" spans="2:9" ht="15" customHeight="1" x14ac:dyDescent="0.3">
      <c r="F415" s="726" t="s">
        <v>2409</v>
      </c>
      <c r="G415" s="727" t="str">
        <f>VLOOKUP(F415,tbl_KausiDivari[],2,FALSE)</f>
        <v>IV-Div+Kars</v>
      </c>
      <c r="H415" s="728">
        <v>1</v>
      </c>
      <c r="I415" s="384"/>
    </row>
    <row r="416" spans="2:9" ht="15" customHeight="1" x14ac:dyDescent="0.3">
      <c r="F416" s="777" t="s">
        <v>2437</v>
      </c>
      <c r="G416" s="805" t="str">
        <f>VLOOKUP(F416,tbl_KausiDivari[],2,FALSE)</f>
        <v>III-Div</v>
      </c>
      <c r="H416" s="779">
        <v>0</v>
      </c>
      <c r="I416" s="384" t="s">
        <v>1685</v>
      </c>
    </row>
    <row r="417" spans="2:9" ht="15" customHeight="1" x14ac:dyDescent="0.3">
      <c r="F417" s="752" t="s">
        <v>2230</v>
      </c>
      <c r="G417" s="805" t="str">
        <f>VLOOKUP(F417,tbl_KausiDivari[],2,FALSE)</f>
        <v>IV-Div</v>
      </c>
      <c r="H417" s="751">
        <v>0</v>
      </c>
      <c r="I417" s="384"/>
    </row>
    <row r="418" spans="2:9" ht="15" customHeight="1" x14ac:dyDescent="0.3">
      <c r="F418" s="902" t="s">
        <v>2187</v>
      </c>
      <c r="G418" s="805" t="str">
        <f>VLOOKUP(F418,tbl_KausiDivari[],2,FALSE)</f>
        <v>III-Div+Kars</v>
      </c>
      <c r="H418" s="757">
        <v>0</v>
      </c>
      <c r="I418" s="384"/>
    </row>
    <row r="419" spans="2:9" ht="15" customHeight="1" x14ac:dyDescent="0.3">
      <c r="F419" s="752" t="s">
        <v>1817</v>
      </c>
      <c r="G419" s="795" t="str">
        <f>VLOOKUP(F419,tbl_KausiDivari[],2,FALSE)</f>
        <v>IV-Div+Kars</v>
      </c>
      <c r="H419" s="751">
        <v>0</v>
      </c>
      <c r="I419" s="384"/>
    </row>
    <row r="420" spans="2:9" ht="15" customHeight="1" x14ac:dyDescent="0.3">
      <c r="F420" s="752" t="s">
        <v>1662</v>
      </c>
      <c r="G420" s="795" t="str">
        <f>VLOOKUP(F420,tbl_KausiDivari[],2,FALSE)</f>
        <v>IV-Div</v>
      </c>
      <c r="H420" s="751">
        <v>0</v>
      </c>
      <c r="I420" s="384"/>
    </row>
    <row r="421" spans="2:9" ht="15" customHeight="1" x14ac:dyDescent="0.3">
      <c r="F421" s="752" t="s">
        <v>1589</v>
      </c>
      <c r="G421" s="795" t="str">
        <f>VLOOKUP(F421,tbl_KausiDivari[],2,FALSE)</f>
        <v>IV-Div</v>
      </c>
      <c r="H421" s="751">
        <v>0</v>
      </c>
      <c r="I421" s="384"/>
    </row>
    <row r="422" spans="2:9" ht="15" customHeight="1" x14ac:dyDescent="0.3">
      <c r="F422" s="752" t="s">
        <v>1146</v>
      </c>
      <c r="G422" s="795" t="str">
        <f>VLOOKUP(F422,tbl_KausiDivari[],2,FALSE)</f>
        <v>IV-Div</v>
      </c>
      <c r="H422" s="751">
        <v>0</v>
      </c>
      <c r="I422" s="384"/>
    </row>
    <row r="423" spans="2:9" ht="15" customHeight="1" x14ac:dyDescent="0.3">
      <c r="F423" s="777" t="s">
        <v>1079</v>
      </c>
      <c r="G423" s="805" t="str">
        <f>VLOOKUP(F423,tbl_KausiDivari[],2,FALSE)</f>
        <v>IV-Div</v>
      </c>
      <c r="H423" s="779">
        <v>0</v>
      </c>
      <c r="I423" s="384"/>
    </row>
    <row r="424" spans="2:9" ht="15" customHeight="1" x14ac:dyDescent="0.3">
      <c r="F424" s="752" t="s">
        <v>844</v>
      </c>
      <c r="G424" s="795" t="str">
        <f>VLOOKUP(F424,tbl_KausiDivari[],2,FALSE)</f>
        <v>IV-Div</v>
      </c>
      <c r="H424" s="751">
        <v>0</v>
      </c>
      <c r="I424" s="384"/>
    </row>
    <row r="425" spans="2:9" ht="15" customHeight="1" x14ac:dyDescent="0.3">
      <c r="B425" s="715"/>
      <c r="C425" s="715"/>
      <c r="D425" s="715"/>
      <c r="E425" s="715"/>
      <c r="F425" s="752" t="s">
        <v>701</v>
      </c>
      <c r="G425" s="795" t="str">
        <f>VLOOKUP(F425,tbl_KausiDivari[],2,FALSE)</f>
        <v>IV-Div</v>
      </c>
      <c r="H425" s="751">
        <v>0</v>
      </c>
      <c r="I425" s="384"/>
    </row>
    <row r="426" spans="2:9" ht="15" customHeight="1" x14ac:dyDescent="0.3">
      <c r="B426" s="423" t="s">
        <v>1744</v>
      </c>
      <c r="C426" s="311"/>
      <c r="D426" s="311"/>
      <c r="E426" s="311"/>
      <c r="F426" s="774" t="s">
        <v>178</v>
      </c>
      <c r="G426" s="774" t="str">
        <f>VLOOKUP(F426,tbl_KausiDivari[],2,FALSE)</f>
        <v>V-Div</v>
      </c>
      <c r="H426" s="776">
        <v>0</v>
      </c>
      <c r="I426" s="384"/>
    </row>
    <row r="427" spans="2:9" ht="15" customHeight="1" x14ac:dyDescent="0.3">
      <c r="H427" s="358"/>
      <c r="I427" s="384"/>
    </row>
    <row r="428" spans="2:9" ht="15" customHeight="1" x14ac:dyDescent="0.3">
      <c r="H428" s="358"/>
      <c r="I428" s="384"/>
    </row>
    <row r="429" spans="2:9" ht="15" customHeight="1" x14ac:dyDescent="0.3">
      <c r="B429" s="732" t="s">
        <v>2112</v>
      </c>
      <c r="C429" s="717"/>
      <c r="D429" s="717"/>
      <c r="E429" s="717"/>
      <c r="F429" s="719"/>
      <c r="G429" s="718"/>
      <c r="H429" s="725" t="s">
        <v>2787</v>
      </c>
      <c r="I429" s="384"/>
    </row>
    <row r="430" spans="2:9" ht="15" customHeight="1" x14ac:dyDescent="0.3">
      <c r="B430" s="423" t="s">
        <v>116</v>
      </c>
      <c r="C430" s="311"/>
      <c r="D430" s="311"/>
      <c r="E430" s="311"/>
      <c r="F430" s="745" t="s">
        <v>844</v>
      </c>
      <c r="G430" s="782" t="str">
        <f>VLOOKUP(F430,tbl_KausiDivari[],2,FALSE)</f>
        <v>IV-Div</v>
      </c>
      <c r="H430" s="786" t="s">
        <v>1706</v>
      </c>
      <c r="I430" s="384"/>
    </row>
    <row r="431" spans="2:9" ht="15" customHeight="1" x14ac:dyDescent="0.3">
      <c r="F431" s="722" t="s">
        <v>1589</v>
      </c>
      <c r="G431" s="781" t="str">
        <f>VLOOKUP(F431,tbl_KausiDivari[],2,FALSE)</f>
        <v>IV-Div</v>
      </c>
      <c r="H431" s="789" t="s">
        <v>1707</v>
      </c>
      <c r="I431" s="384"/>
    </row>
    <row r="432" spans="2:9" ht="15" customHeight="1" x14ac:dyDescent="0.3">
      <c r="F432" s="722" t="s">
        <v>701</v>
      </c>
      <c r="G432" s="723" t="str">
        <f>VLOOKUP(F432,tbl_KausiDivari[],2,FALSE)</f>
        <v>IV-Div</v>
      </c>
      <c r="H432" s="789" t="s">
        <v>1709</v>
      </c>
      <c r="I432" s="384"/>
    </row>
    <row r="433" spans="2:9" ht="15" customHeight="1" x14ac:dyDescent="0.3">
      <c r="F433" s="722" t="s">
        <v>261</v>
      </c>
      <c r="G433" s="723" t="str">
        <f>VLOOKUP(F433,tbl_KausiDivari[],2,FALSE)</f>
        <v>V-Div</v>
      </c>
      <c r="H433" s="789" t="s">
        <v>1708</v>
      </c>
      <c r="I433" s="384"/>
    </row>
    <row r="434" spans="2:9" ht="15" customHeight="1" x14ac:dyDescent="0.3">
      <c r="F434" s="722" t="s">
        <v>1817</v>
      </c>
      <c r="G434" s="723" t="str">
        <f>VLOOKUP(F434,tbl_KausiDivari[],2,FALSE)</f>
        <v>IV-Div+Kars</v>
      </c>
      <c r="H434" s="789" t="s">
        <v>1940</v>
      </c>
      <c r="I434" s="384"/>
    </row>
    <row r="435" spans="2:9" ht="15" customHeight="1" x14ac:dyDescent="0.3">
      <c r="F435" s="722" t="s">
        <v>2409</v>
      </c>
      <c r="G435" s="723" t="str">
        <f>VLOOKUP(F435,tbl_KausiDivari[],2,FALSE)</f>
        <v>IV-Div+Kars</v>
      </c>
      <c r="H435" s="789" t="s">
        <v>2439</v>
      </c>
      <c r="I435" s="384"/>
    </row>
    <row r="436" spans="2:9" ht="15" customHeight="1" x14ac:dyDescent="0.3">
      <c r="F436" s="722" t="s">
        <v>178</v>
      </c>
      <c r="G436" s="723" t="str">
        <f>VLOOKUP(F436,tbl_KausiDivari[],2,FALSE)</f>
        <v>V-Div</v>
      </c>
      <c r="H436" s="789" t="s">
        <v>1710</v>
      </c>
      <c r="I436" s="384"/>
    </row>
    <row r="437" spans="2:9" ht="15" customHeight="1" x14ac:dyDescent="0.3">
      <c r="F437" s="722" t="s">
        <v>2230</v>
      </c>
      <c r="G437" s="723" t="str">
        <f>VLOOKUP(F437,tbl_KausiDivari[],2,FALSE)</f>
        <v>IV-Div</v>
      </c>
      <c r="H437" s="789" t="s">
        <v>1710</v>
      </c>
      <c r="I437" s="384"/>
    </row>
    <row r="438" spans="2:9" ht="15" customHeight="1" x14ac:dyDescent="0.3">
      <c r="F438" s="722" t="s">
        <v>884</v>
      </c>
      <c r="G438" s="723" t="str">
        <f>VLOOKUP(F438,tbl_KausiDivari[],2,FALSE)</f>
        <v>V-Div</v>
      </c>
      <c r="H438" s="789" t="s">
        <v>1711</v>
      </c>
      <c r="I438" s="384"/>
    </row>
    <row r="439" spans="2:9" ht="15" customHeight="1" x14ac:dyDescent="0.3">
      <c r="F439" s="722" t="s">
        <v>2437</v>
      </c>
      <c r="G439" s="723" t="str">
        <f>VLOOKUP(F439,tbl_KausiDivari[],2,FALSE)</f>
        <v>III-Div</v>
      </c>
      <c r="H439" s="789" t="s">
        <v>2786</v>
      </c>
      <c r="I439" s="384" t="s">
        <v>1685</v>
      </c>
    </row>
    <row r="440" spans="2:9" ht="15" customHeight="1" x14ac:dyDescent="0.3">
      <c r="F440" s="722" t="s">
        <v>580</v>
      </c>
      <c r="G440" s="723" t="str">
        <f>VLOOKUP(F440,tbl_KausiDivari[],2,FALSE)</f>
        <v>IV-Div</v>
      </c>
      <c r="H440" s="789" t="s">
        <v>1712</v>
      </c>
      <c r="I440" s="384"/>
    </row>
    <row r="441" spans="2:9" ht="15" customHeight="1" x14ac:dyDescent="0.3">
      <c r="F441" s="722" t="s">
        <v>177</v>
      </c>
      <c r="G441" s="723" t="str">
        <f>VLOOKUP(F441,tbl_KausiDivari[],2,FALSE)</f>
        <v>IV-Div</v>
      </c>
      <c r="H441" s="789" t="s">
        <v>1713</v>
      </c>
      <c r="I441" s="384"/>
    </row>
    <row r="442" spans="2:9" ht="15" customHeight="1" x14ac:dyDescent="0.3">
      <c r="F442" s="722" t="s">
        <v>2187</v>
      </c>
      <c r="G442" s="723" t="str">
        <f>VLOOKUP(F442,tbl_KausiDivari[],2,FALSE)</f>
        <v>III-Div+Kars</v>
      </c>
      <c r="H442" s="789" t="s">
        <v>2236</v>
      </c>
      <c r="I442" s="384"/>
    </row>
    <row r="443" spans="2:9" ht="15" customHeight="1" x14ac:dyDescent="0.3">
      <c r="F443" s="722" t="s">
        <v>1662</v>
      </c>
      <c r="G443" s="723" t="str">
        <f>VLOOKUP(F443,tbl_KausiDivari[],2,FALSE)</f>
        <v>IV-Div</v>
      </c>
      <c r="H443" s="789" t="s">
        <v>1714</v>
      </c>
      <c r="I443" s="384"/>
    </row>
    <row r="444" spans="2:9" ht="15" customHeight="1" x14ac:dyDescent="0.3">
      <c r="F444" s="729" t="s">
        <v>1079</v>
      </c>
      <c r="G444" s="730" t="str">
        <f>VLOOKUP(F444,tbl_KausiDivari[],2,FALSE)</f>
        <v>IV-Div</v>
      </c>
      <c r="H444" s="792" t="s">
        <v>1715</v>
      </c>
      <c r="I444" s="384"/>
    </row>
    <row r="445" spans="2:9" ht="15" customHeight="1" x14ac:dyDescent="0.3">
      <c r="F445" s="729" t="s">
        <v>1146</v>
      </c>
      <c r="G445" s="730" t="str">
        <f>VLOOKUP(F445,tbl_KausiDivari[],2,FALSE)</f>
        <v>IV-Div</v>
      </c>
      <c r="H445" s="792" t="s">
        <v>1716</v>
      </c>
      <c r="I445" s="384"/>
    </row>
    <row r="446" spans="2:9" ht="15" customHeight="1" x14ac:dyDescent="0.3">
      <c r="B446" s="715"/>
      <c r="C446" s="715"/>
      <c r="D446" s="715"/>
      <c r="E446" s="715"/>
      <c r="F446" s="726" t="s">
        <v>1406</v>
      </c>
      <c r="G446" s="727" t="str">
        <f>VLOOKUP(F446,tbl_KausiDivari[],2,FALSE)</f>
        <v>IV-Div</v>
      </c>
      <c r="H446" s="790" t="s">
        <v>1718</v>
      </c>
      <c r="I446" s="384"/>
    </row>
    <row r="447" spans="2:9" ht="15" customHeight="1" x14ac:dyDescent="0.3">
      <c r="B447" s="423" t="s">
        <v>1717</v>
      </c>
      <c r="C447" s="311"/>
      <c r="D447" s="311"/>
      <c r="E447" s="311"/>
      <c r="F447" s="747" t="s">
        <v>2047</v>
      </c>
      <c r="G447" s="747" t="str">
        <f>VLOOKUP(F447,tbl_KausiDivari[],2,FALSE)</f>
        <v>IV-Div+Cup</v>
      </c>
      <c r="H447" s="787" t="s">
        <v>2084</v>
      </c>
      <c r="I447" s="384"/>
    </row>
    <row r="448" spans="2:9" ht="15" customHeight="1" x14ac:dyDescent="0.3">
      <c r="H448" s="358"/>
      <c r="I448" s="384"/>
    </row>
    <row r="449" spans="2:9" ht="15" customHeight="1" x14ac:dyDescent="0.3">
      <c r="H449" s="358"/>
      <c r="I449" s="384"/>
    </row>
    <row r="450" spans="2:9" ht="15" customHeight="1" x14ac:dyDescent="0.3">
      <c r="B450" s="732" t="s">
        <v>2086</v>
      </c>
      <c r="C450" s="717"/>
      <c r="D450" s="717"/>
      <c r="E450" s="717"/>
      <c r="F450" s="719"/>
      <c r="G450" s="718"/>
      <c r="H450" s="725" t="s">
        <v>2788</v>
      </c>
      <c r="I450" s="384"/>
    </row>
    <row r="451" spans="2:9" ht="15" customHeight="1" x14ac:dyDescent="0.3">
      <c r="B451" s="423" t="s">
        <v>117</v>
      </c>
      <c r="C451" s="311"/>
      <c r="D451" s="311"/>
      <c r="E451" s="311"/>
      <c r="F451" s="745" t="s">
        <v>178</v>
      </c>
      <c r="G451" s="782" t="str">
        <f>VLOOKUP(F451,tbl_KausiDivari[],2,FALSE)</f>
        <v>V-Div</v>
      </c>
      <c r="H451" s="746" t="s">
        <v>1720</v>
      </c>
      <c r="I451" s="384"/>
    </row>
    <row r="452" spans="2:9" ht="15" customHeight="1" x14ac:dyDescent="0.3">
      <c r="F452" s="722" t="s">
        <v>261</v>
      </c>
      <c r="G452" s="781" t="str">
        <f>VLOOKUP(F452,tbl_KausiDivari[],2,FALSE)</f>
        <v>V-Div</v>
      </c>
      <c r="H452" s="724" t="s">
        <v>1721</v>
      </c>
      <c r="I452" s="384"/>
    </row>
    <row r="453" spans="2:9" ht="15" customHeight="1" x14ac:dyDescent="0.3">
      <c r="F453" s="722" t="s">
        <v>844</v>
      </c>
      <c r="G453" s="723" t="str">
        <f>VLOOKUP(F453,tbl_KausiDivari[],2,FALSE)</f>
        <v>IV-Div</v>
      </c>
      <c r="H453" s="724" t="s">
        <v>1722</v>
      </c>
      <c r="I453" s="384"/>
    </row>
    <row r="454" spans="2:9" ht="15" customHeight="1" x14ac:dyDescent="0.3">
      <c r="F454" s="722" t="s">
        <v>701</v>
      </c>
      <c r="G454" s="723" t="str">
        <f>VLOOKUP(F454,tbl_KausiDivari[],2,FALSE)</f>
        <v>IV-Div</v>
      </c>
      <c r="H454" s="724" t="s">
        <v>1723</v>
      </c>
      <c r="I454" s="384"/>
    </row>
    <row r="455" spans="2:9" ht="15" customHeight="1" x14ac:dyDescent="0.3">
      <c r="F455" s="722" t="s">
        <v>884</v>
      </c>
      <c r="G455" s="723" t="str">
        <f>VLOOKUP(F455,tbl_KausiDivari[],2,FALSE)</f>
        <v>V-Div</v>
      </c>
      <c r="H455" s="724" t="s">
        <v>1724</v>
      </c>
      <c r="I455" s="384"/>
    </row>
    <row r="456" spans="2:9" ht="15" customHeight="1" x14ac:dyDescent="0.3">
      <c r="F456" s="722" t="s">
        <v>1817</v>
      </c>
      <c r="G456" s="723" t="str">
        <f>VLOOKUP(F456,tbl_KausiDivari[],2,FALSE)</f>
        <v>IV-Div+Kars</v>
      </c>
      <c r="H456" s="724" t="s">
        <v>1941</v>
      </c>
      <c r="I456" s="384"/>
    </row>
    <row r="457" spans="2:9" ht="15" customHeight="1" x14ac:dyDescent="0.3">
      <c r="F457" s="722" t="s">
        <v>2437</v>
      </c>
      <c r="G457" s="723" t="str">
        <f>VLOOKUP(F457,tbl_KausiDivari[],2,FALSE)</f>
        <v>III-Div</v>
      </c>
      <c r="H457" s="724" t="s">
        <v>2785</v>
      </c>
      <c r="I457" s="384" t="s">
        <v>1685</v>
      </c>
    </row>
    <row r="458" spans="2:9" ht="15" customHeight="1" x14ac:dyDescent="0.3">
      <c r="F458" s="722" t="s">
        <v>2230</v>
      </c>
      <c r="G458" s="723" t="str">
        <f>VLOOKUP(F458,tbl_KausiDivari[],2,FALSE)</f>
        <v>IV-Div</v>
      </c>
      <c r="H458" s="724" t="s">
        <v>2335</v>
      </c>
      <c r="I458" s="384"/>
    </row>
    <row r="459" spans="2:9" ht="15" customHeight="1" x14ac:dyDescent="0.3">
      <c r="F459" s="722" t="s">
        <v>1146</v>
      </c>
      <c r="G459" s="723" t="str">
        <f>VLOOKUP(F459,tbl_KausiDivari[],2,FALSE)</f>
        <v>IV-Div</v>
      </c>
      <c r="H459" s="724" t="s">
        <v>1725</v>
      </c>
      <c r="I459" s="384"/>
    </row>
    <row r="460" spans="2:9" ht="15" customHeight="1" x14ac:dyDescent="0.3">
      <c r="F460" s="722" t="s">
        <v>1079</v>
      </c>
      <c r="G460" s="723" t="str">
        <f>VLOOKUP(F460,tbl_KausiDivari[],2,FALSE)</f>
        <v>IV-Div</v>
      </c>
      <c r="H460" s="724" t="s">
        <v>1726</v>
      </c>
      <c r="I460" s="384"/>
    </row>
    <row r="461" spans="2:9" ht="15" customHeight="1" x14ac:dyDescent="0.3">
      <c r="F461" s="722" t="s">
        <v>2409</v>
      </c>
      <c r="G461" s="723" t="str">
        <f>VLOOKUP(F461,tbl_KausiDivari[],2,FALSE)</f>
        <v>IV-Div+Kars</v>
      </c>
      <c r="H461" s="724" t="s">
        <v>2438</v>
      </c>
      <c r="I461" s="384"/>
    </row>
    <row r="462" spans="2:9" ht="15" customHeight="1" x14ac:dyDescent="0.3">
      <c r="F462" s="722" t="s">
        <v>1589</v>
      </c>
      <c r="G462" s="723" t="str">
        <f>VLOOKUP(F462,tbl_KausiDivari[],2,FALSE)</f>
        <v>IV-Div</v>
      </c>
      <c r="H462" s="724" t="s">
        <v>1727</v>
      </c>
      <c r="I462" s="384"/>
    </row>
    <row r="463" spans="2:9" ht="15" customHeight="1" x14ac:dyDescent="0.3">
      <c r="F463" s="722" t="s">
        <v>580</v>
      </c>
      <c r="G463" s="723" t="str">
        <f>VLOOKUP(F463,tbl_KausiDivari[],2,FALSE)</f>
        <v>IV-Div</v>
      </c>
      <c r="H463" s="724" t="s">
        <v>1728</v>
      </c>
      <c r="I463" s="384"/>
    </row>
    <row r="464" spans="2:9" ht="15" customHeight="1" x14ac:dyDescent="0.3">
      <c r="F464" s="729" t="s">
        <v>1406</v>
      </c>
      <c r="G464" s="730" t="str">
        <f>VLOOKUP(F464,tbl_KausiDivari[],2,FALSE)</f>
        <v>IV-Div</v>
      </c>
      <c r="H464" s="731" t="s">
        <v>1728</v>
      </c>
      <c r="I464" s="384"/>
    </row>
    <row r="465" spans="2:9" ht="15" customHeight="1" x14ac:dyDescent="0.3">
      <c r="F465" s="729" t="s">
        <v>177</v>
      </c>
      <c r="G465" s="730" t="str">
        <f>VLOOKUP(F465,tbl_KausiDivari[],2,FALSE)</f>
        <v>IV-Div</v>
      </c>
      <c r="H465" s="731" t="s">
        <v>1729</v>
      </c>
      <c r="I465" s="384"/>
    </row>
    <row r="466" spans="2:9" ht="15" customHeight="1" x14ac:dyDescent="0.3">
      <c r="F466" s="729" t="s">
        <v>1662</v>
      </c>
      <c r="G466" s="730" t="str">
        <f>VLOOKUP(F466,tbl_KausiDivari[],2,FALSE)</f>
        <v>IV-Div</v>
      </c>
      <c r="H466" s="731" t="s">
        <v>1730</v>
      </c>
      <c r="I466" s="384"/>
    </row>
    <row r="467" spans="2:9" ht="15" customHeight="1" x14ac:dyDescent="0.3">
      <c r="B467" s="715"/>
      <c r="C467" s="715"/>
      <c r="D467" s="715"/>
      <c r="E467" s="715"/>
      <c r="F467" s="726" t="s">
        <v>2047</v>
      </c>
      <c r="G467" s="727" t="str">
        <f>VLOOKUP(F467,tbl_KausiDivari[],2,FALSE)</f>
        <v>IV-Div+Cup</v>
      </c>
      <c r="H467" s="728" t="s">
        <v>2085</v>
      </c>
      <c r="I467" s="384"/>
    </row>
    <row r="468" spans="2:9" ht="15" customHeight="1" x14ac:dyDescent="0.3">
      <c r="B468" s="423" t="s">
        <v>1719</v>
      </c>
      <c r="C468" s="311"/>
      <c r="D468" s="311"/>
      <c r="E468" s="311"/>
      <c r="F468" s="747" t="s">
        <v>2187</v>
      </c>
      <c r="G468" s="747" t="str">
        <f>VLOOKUP(F468,tbl_KausiDivari[],2,FALSE)</f>
        <v>III-Div+Kars</v>
      </c>
      <c r="H468" s="748" t="s">
        <v>2237</v>
      </c>
      <c r="I468" s="384"/>
    </row>
    <row r="469" spans="2:9" ht="15" customHeight="1" x14ac:dyDescent="0.3">
      <c r="H469" s="358"/>
      <c r="I469" s="384"/>
    </row>
    <row r="470" spans="2:9" ht="15" customHeight="1" x14ac:dyDescent="0.3">
      <c r="H470" s="358"/>
      <c r="I470" s="384"/>
    </row>
    <row r="471" spans="2:9" ht="15" customHeight="1" x14ac:dyDescent="0.3">
      <c r="B471" s="732" t="s">
        <v>1731</v>
      </c>
      <c r="C471" s="717"/>
      <c r="D471" s="717"/>
      <c r="E471" s="717"/>
      <c r="F471" s="719"/>
      <c r="G471" s="718"/>
      <c r="H471" s="725">
        <f>SUM(H472:H489)</f>
        <v>52</v>
      </c>
      <c r="I471" s="384"/>
    </row>
    <row r="472" spans="2:9" ht="15" customHeight="1" x14ac:dyDescent="0.3">
      <c r="B472" s="423" t="s">
        <v>228</v>
      </c>
      <c r="C472" s="311"/>
      <c r="D472" s="311"/>
      <c r="E472" s="311"/>
      <c r="F472" s="765" t="s">
        <v>2047</v>
      </c>
      <c r="G472" s="766" t="str">
        <f>VLOOKUP(F472,tbl_KausiDivari[],2,FALSE)</f>
        <v>IV-Div+Cup</v>
      </c>
      <c r="H472" s="767">
        <v>7</v>
      </c>
      <c r="I472" s="384"/>
    </row>
    <row r="473" spans="2:9" ht="15" customHeight="1" x14ac:dyDescent="0.3">
      <c r="B473" s="399"/>
      <c r="F473" s="720" t="s">
        <v>1146</v>
      </c>
      <c r="G473" s="1032" t="str">
        <f>VLOOKUP(F473,tbl_KausiDivari[],2,FALSE)</f>
        <v>IV-Div</v>
      </c>
      <c r="H473" s="721">
        <v>6</v>
      </c>
      <c r="I473" s="384"/>
    </row>
    <row r="474" spans="2:9" ht="15" customHeight="1" x14ac:dyDescent="0.3">
      <c r="F474" s="771" t="s">
        <v>1817</v>
      </c>
      <c r="G474" s="781" t="str">
        <f>VLOOKUP(F474,tbl_KausiDivari[],2,FALSE)</f>
        <v>IV-Div+Kars</v>
      </c>
      <c r="H474" s="773">
        <v>6</v>
      </c>
      <c r="I474" s="384"/>
    </row>
    <row r="475" spans="2:9" ht="15" customHeight="1" x14ac:dyDescent="0.3">
      <c r="F475" s="771" t="s">
        <v>2230</v>
      </c>
      <c r="G475" s="723" t="str">
        <f>VLOOKUP(F475,tbl_KausiDivari[],2,FALSE)</f>
        <v>IV-Div</v>
      </c>
      <c r="H475" s="773">
        <v>5</v>
      </c>
      <c r="I475" s="384"/>
    </row>
    <row r="476" spans="2:9" ht="15" customHeight="1" x14ac:dyDescent="0.3">
      <c r="F476" s="771" t="s">
        <v>2409</v>
      </c>
      <c r="G476" s="723" t="str">
        <f>VLOOKUP(F476,tbl_KausiDivari[],2,FALSE)</f>
        <v>IV-Div+Kars</v>
      </c>
      <c r="H476" s="773">
        <v>5</v>
      </c>
      <c r="I476" s="384"/>
    </row>
    <row r="477" spans="2:9" ht="15" customHeight="1" x14ac:dyDescent="0.3">
      <c r="F477" s="771" t="s">
        <v>2187</v>
      </c>
      <c r="G477" s="723" t="str">
        <f>VLOOKUP(F477,tbl_KausiDivari[],2,FALSE)</f>
        <v>III-Div+Kars</v>
      </c>
      <c r="H477" s="773">
        <v>4</v>
      </c>
      <c r="I477" s="384"/>
    </row>
    <row r="478" spans="2:9" ht="15" customHeight="1" x14ac:dyDescent="0.3">
      <c r="F478" s="771" t="s">
        <v>580</v>
      </c>
      <c r="G478" s="723" t="str">
        <f>VLOOKUP(F478,tbl_KausiDivari[],2,FALSE)</f>
        <v>IV-Div</v>
      </c>
      <c r="H478" s="773">
        <v>3</v>
      </c>
      <c r="I478" s="384"/>
    </row>
    <row r="479" spans="2:9" ht="15" customHeight="1" x14ac:dyDescent="0.3">
      <c r="F479" s="722" t="s">
        <v>1406</v>
      </c>
      <c r="G479" s="723" t="str">
        <f>VLOOKUP(F479,tbl_KausiDivari[],2,FALSE)</f>
        <v>IV-Div</v>
      </c>
      <c r="H479" s="724">
        <v>3</v>
      </c>
      <c r="I479" s="384"/>
    </row>
    <row r="480" spans="2:9" ht="15" customHeight="1" x14ac:dyDescent="0.3">
      <c r="F480" s="722" t="s">
        <v>178</v>
      </c>
      <c r="G480" s="723" t="str">
        <f>VLOOKUP(F480,tbl_KausiDivari[],2,FALSE)</f>
        <v>V-Div</v>
      </c>
      <c r="H480" s="724">
        <v>2</v>
      </c>
      <c r="I480" s="384"/>
    </row>
    <row r="481" spans="2:9" ht="15" customHeight="1" x14ac:dyDescent="0.3">
      <c r="F481" s="722" t="s">
        <v>1079</v>
      </c>
      <c r="G481" s="723" t="str">
        <f>VLOOKUP(F481,tbl_KausiDivari[],2,FALSE)</f>
        <v>IV-Div</v>
      </c>
      <c r="H481" s="724">
        <v>2</v>
      </c>
      <c r="I481" s="384"/>
    </row>
    <row r="482" spans="2:9" ht="15" customHeight="1" x14ac:dyDescent="0.3">
      <c r="F482" s="722" t="s">
        <v>1589</v>
      </c>
      <c r="G482" s="723" t="str">
        <f>VLOOKUP(F482,tbl_KausiDivari[],2,FALSE)</f>
        <v>IV-Div</v>
      </c>
      <c r="H482" s="724">
        <v>2</v>
      </c>
      <c r="I482" s="384"/>
    </row>
    <row r="483" spans="2:9" ht="15" customHeight="1" x14ac:dyDescent="0.3">
      <c r="F483" s="722" t="s">
        <v>1662</v>
      </c>
      <c r="G483" s="723" t="str">
        <f>VLOOKUP(F483,tbl_KausiDivari[],2,FALSE)</f>
        <v>IV-Div</v>
      </c>
      <c r="H483" s="724">
        <v>2</v>
      </c>
      <c r="I483" s="384"/>
    </row>
    <row r="484" spans="2:9" ht="15" customHeight="1" x14ac:dyDescent="0.3">
      <c r="F484" s="722" t="s">
        <v>2437</v>
      </c>
      <c r="G484" s="723" t="str">
        <f>VLOOKUP(F484,tbl_KausiDivari[],2,FALSE)</f>
        <v>III-Div</v>
      </c>
      <c r="H484" s="724">
        <v>2</v>
      </c>
      <c r="I484" s="384" t="s">
        <v>1685</v>
      </c>
    </row>
    <row r="485" spans="2:9" ht="15" customHeight="1" x14ac:dyDescent="0.3">
      <c r="F485" s="722" t="s">
        <v>177</v>
      </c>
      <c r="G485" s="723" t="str">
        <f>VLOOKUP(F485,tbl_KausiDivari[],2,FALSE)</f>
        <v>IV-Div</v>
      </c>
      <c r="H485" s="724">
        <v>1</v>
      </c>
      <c r="I485" s="384"/>
    </row>
    <row r="486" spans="2:9" ht="15" customHeight="1" x14ac:dyDescent="0.3">
      <c r="F486" s="722" t="s">
        <v>844</v>
      </c>
      <c r="G486" s="723" t="str">
        <f>VLOOKUP(F486,tbl_KausiDivari[],2,FALSE)</f>
        <v>IV-Div</v>
      </c>
      <c r="H486" s="724">
        <v>1</v>
      </c>
      <c r="I486" s="384"/>
    </row>
    <row r="487" spans="2:9" ht="15" customHeight="1" x14ac:dyDescent="0.3">
      <c r="F487" s="729" t="s">
        <v>884</v>
      </c>
      <c r="G487" s="730" t="str">
        <f>VLOOKUP(F487,tbl_KausiDivari[],2,FALSE)</f>
        <v>V-Div</v>
      </c>
      <c r="H487" s="731">
        <v>1</v>
      </c>
      <c r="I487" s="384"/>
    </row>
    <row r="488" spans="2:9" ht="15" customHeight="1" x14ac:dyDescent="0.3">
      <c r="B488" s="715"/>
      <c r="C488" s="715"/>
      <c r="D488" s="715"/>
      <c r="E488" s="715"/>
      <c r="F488" s="798" t="s">
        <v>701</v>
      </c>
      <c r="G488" s="799" t="str">
        <f>VLOOKUP(F488,tbl_KausiDivari[],2,FALSE)</f>
        <v>IV-Div</v>
      </c>
      <c r="H488" s="800">
        <v>0</v>
      </c>
      <c r="I488" s="384"/>
    </row>
    <row r="489" spans="2:9" ht="15" customHeight="1" x14ac:dyDescent="0.3">
      <c r="B489" s="436" t="s">
        <v>227</v>
      </c>
      <c r="C489" s="311"/>
      <c r="D489" s="311"/>
      <c r="E489" s="311"/>
      <c r="F489" s="774" t="s">
        <v>261</v>
      </c>
      <c r="G489" s="774" t="str">
        <f>VLOOKUP(F489,tbl_KausiDivari[],2,FALSE)</f>
        <v>V-Div</v>
      </c>
      <c r="H489" s="776">
        <v>0</v>
      </c>
      <c r="I489" s="384"/>
    </row>
    <row r="490" spans="2:9" ht="15" customHeight="1" x14ac:dyDescent="0.3">
      <c r="H490" s="358"/>
      <c r="I490" s="384"/>
    </row>
    <row r="491" spans="2:9" ht="15" customHeight="1" x14ac:dyDescent="0.3">
      <c r="H491" s="358"/>
      <c r="I491" s="384"/>
    </row>
    <row r="492" spans="2:9" ht="15" customHeight="1" x14ac:dyDescent="0.3">
      <c r="B492" s="732" t="s">
        <v>1732</v>
      </c>
      <c r="C492" s="717"/>
      <c r="D492" s="717"/>
      <c r="E492" s="717"/>
      <c r="F492" s="719"/>
      <c r="G492" s="718"/>
      <c r="H492" s="725">
        <f>SUM(H493:H510)</f>
        <v>65</v>
      </c>
      <c r="I492" s="384"/>
    </row>
    <row r="493" spans="2:9" ht="15" customHeight="1" x14ac:dyDescent="0.3">
      <c r="B493" s="423" t="s">
        <v>221</v>
      </c>
      <c r="C493" s="311"/>
      <c r="D493" s="311"/>
      <c r="E493" s="311"/>
      <c r="F493" s="745" t="s">
        <v>2047</v>
      </c>
      <c r="G493" s="782" t="str">
        <f>VLOOKUP(F493,tbl_KausiDivari[],2,FALSE)</f>
        <v>IV-Div+Cup</v>
      </c>
      <c r="H493" s="746">
        <v>8</v>
      </c>
      <c r="I493" s="384"/>
    </row>
    <row r="494" spans="2:9" ht="15" customHeight="1" x14ac:dyDescent="0.3">
      <c r="B494" s="399"/>
      <c r="F494" s="806" t="s">
        <v>1817</v>
      </c>
      <c r="G494" s="781" t="str">
        <f>VLOOKUP(F494,tbl_KausiDivari[],2,FALSE)</f>
        <v>IV-Div+Kars</v>
      </c>
      <c r="H494" s="808">
        <v>7</v>
      </c>
      <c r="I494" s="384"/>
    </row>
    <row r="495" spans="2:9" ht="15" customHeight="1" x14ac:dyDescent="0.3">
      <c r="B495" s="399"/>
      <c r="F495" s="722" t="s">
        <v>844</v>
      </c>
      <c r="G495" s="781" t="str">
        <f>VLOOKUP(F495,tbl_KausiDivari[],2,FALSE)</f>
        <v>IV-Div</v>
      </c>
      <c r="H495" s="724">
        <v>6</v>
      </c>
      <c r="I495" s="384"/>
    </row>
    <row r="496" spans="2:9" ht="15" customHeight="1" x14ac:dyDescent="0.3">
      <c r="F496" s="722" t="s">
        <v>1406</v>
      </c>
      <c r="G496" s="781" t="str">
        <f>VLOOKUP(F496,tbl_KausiDivari[],2,FALSE)</f>
        <v>IV-Div</v>
      </c>
      <c r="H496" s="724">
        <v>5</v>
      </c>
      <c r="I496" s="384"/>
    </row>
    <row r="497" spans="2:9" ht="15" customHeight="1" x14ac:dyDescent="0.3">
      <c r="F497" s="722" t="s">
        <v>2230</v>
      </c>
      <c r="G497" s="723" t="str">
        <f>VLOOKUP(F497,tbl_KausiDivari[],2,FALSE)</f>
        <v>IV-Div</v>
      </c>
      <c r="H497" s="724">
        <v>5</v>
      </c>
      <c r="I497" s="384"/>
    </row>
    <row r="498" spans="2:9" ht="15" customHeight="1" x14ac:dyDescent="0.3">
      <c r="F498" s="722" t="s">
        <v>701</v>
      </c>
      <c r="G498" s="723" t="str">
        <f>VLOOKUP(F498,tbl_KausiDivari[],2,FALSE)</f>
        <v>IV-Div</v>
      </c>
      <c r="H498" s="724">
        <v>4</v>
      </c>
      <c r="I498" s="384"/>
    </row>
    <row r="499" spans="2:9" ht="15" customHeight="1" x14ac:dyDescent="0.3">
      <c r="F499" s="722" t="s">
        <v>1079</v>
      </c>
      <c r="G499" s="723" t="str">
        <f>VLOOKUP(F499,tbl_KausiDivari[],2,FALSE)</f>
        <v>IV-Div</v>
      </c>
      <c r="H499" s="724">
        <v>4</v>
      </c>
      <c r="I499" s="384"/>
    </row>
    <row r="500" spans="2:9" ht="15" customHeight="1" x14ac:dyDescent="0.3">
      <c r="F500" s="722" t="s">
        <v>2409</v>
      </c>
      <c r="G500" s="723" t="str">
        <f>VLOOKUP(F500,tbl_KausiDivari[],2,FALSE)</f>
        <v>IV-Div+Kars</v>
      </c>
      <c r="H500" s="724">
        <v>4</v>
      </c>
      <c r="I500" s="384"/>
    </row>
    <row r="501" spans="2:9" ht="15" customHeight="1" x14ac:dyDescent="0.3">
      <c r="F501" s="722" t="s">
        <v>2437</v>
      </c>
      <c r="G501" s="723" t="str">
        <f>VLOOKUP(F501,tbl_KausiDivari[],2,FALSE)</f>
        <v>III-Div</v>
      </c>
      <c r="H501" s="724">
        <v>4</v>
      </c>
      <c r="I501" s="384" t="s">
        <v>1685</v>
      </c>
    </row>
    <row r="502" spans="2:9" ht="15" customHeight="1" x14ac:dyDescent="0.3">
      <c r="F502" s="722" t="s">
        <v>261</v>
      </c>
      <c r="G502" s="723" t="str">
        <f>VLOOKUP(F502,tbl_KausiDivari[],2,FALSE)</f>
        <v>V-Div</v>
      </c>
      <c r="H502" s="724">
        <v>3</v>
      </c>
      <c r="I502" s="384"/>
    </row>
    <row r="503" spans="2:9" ht="15" customHeight="1" x14ac:dyDescent="0.3">
      <c r="F503" s="722" t="s">
        <v>884</v>
      </c>
      <c r="G503" s="723" t="str">
        <f>VLOOKUP(F503,tbl_KausiDivari[],2,FALSE)</f>
        <v>V-Div</v>
      </c>
      <c r="H503" s="724">
        <v>3</v>
      </c>
      <c r="I503" s="384"/>
    </row>
    <row r="504" spans="2:9" ht="15" customHeight="1" x14ac:dyDescent="0.3">
      <c r="F504" s="722" t="s">
        <v>1146</v>
      </c>
      <c r="G504" s="723" t="str">
        <f>VLOOKUP(F504,tbl_KausiDivari[],2,FALSE)</f>
        <v>IV-Div</v>
      </c>
      <c r="H504" s="724">
        <v>3</v>
      </c>
      <c r="I504" s="384"/>
    </row>
    <row r="505" spans="2:9" ht="15" customHeight="1" x14ac:dyDescent="0.3">
      <c r="F505" s="722" t="s">
        <v>1662</v>
      </c>
      <c r="G505" s="723" t="str">
        <f>VLOOKUP(F505,tbl_KausiDivari[],2,FALSE)</f>
        <v>IV-Div</v>
      </c>
      <c r="H505" s="724">
        <v>3</v>
      </c>
      <c r="I505" s="384"/>
    </row>
    <row r="506" spans="2:9" ht="15" customHeight="1" x14ac:dyDescent="0.3">
      <c r="F506" s="722" t="s">
        <v>177</v>
      </c>
      <c r="G506" s="723" t="str">
        <f>VLOOKUP(F506,tbl_KausiDivari[],2,FALSE)</f>
        <v>IV-Div</v>
      </c>
      <c r="H506" s="724">
        <v>2</v>
      </c>
      <c r="I506" s="384"/>
    </row>
    <row r="507" spans="2:9" ht="15" customHeight="1" x14ac:dyDescent="0.3">
      <c r="F507" s="722" t="s">
        <v>2187</v>
      </c>
      <c r="G507" s="723" t="str">
        <f>VLOOKUP(F507,tbl_KausiDivari[],2,FALSE)</f>
        <v>III-Div+Kars</v>
      </c>
      <c r="H507" s="724">
        <v>2</v>
      </c>
      <c r="I507" s="384"/>
    </row>
    <row r="508" spans="2:9" ht="15" customHeight="1" x14ac:dyDescent="0.3">
      <c r="F508" s="722" t="s">
        <v>178</v>
      </c>
      <c r="G508" s="723" t="str">
        <f>VLOOKUP(F508,tbl_KausiDivari[],2,FALSE)</f>
        <v>V-Div</v>
      </c>
      <c r="H508" s="724">
        <v>1</v>
      </c>
      <c r="I508" s="384"/>
    </row>
    <row r="509" spans="2:9" ht="15" customHeight="1" x14ac:dyDescent="0.3">
      <c r="B509" s="715"/>
      <c r="C509" s="715"/>
      <c r="D509" s="715"/>
      <c r="E509" s="715"/>
      <c r="F509" s="726" t="s">
        <v>580</v>
      </c>
      <c r="G509" s="727" t="str">
        <f>VLOOKUP(F509,tbl_KausiDivari[],2,FALSE)</f>
        <v>IV-Div</v>
      </c>
      <c r="H509" s="728">
        <v>1</v>
      </c>
      <c r="I509" s="384"/>
    </row>
    <row r="510" spans="2:9" ht="15" customHeight="1" x14ac:dyDescent="0.3">
      <c r="B510" s="436" t="s">
        <v>222</v>
      </c>
      <c r="C510" s="311"/>
      <c r="D510" s="311"/>
      <c r="E510" s="311"/>
      <c r="F510" s="747" t="s">
        <v>1589</v>
      </c>
      <c r="G510" s="747" t="str">
        <f>VLOOKUP(F510,tbl_KausiDivari[],2,FALSE)</f>
        <v>IV-Div</v>
      </c>
      <c r="H510" s="748">
        <v>0</v>
      </c>
      <c r="I510" s="384"/>
    </row>
    <row r="511" spans="2:9" ht="15" customHeight="1" x14ac:dyDescent="0.3">
      <c r="H511" s="358"/>
      <c r="I511" s="384"/>
    </row>
    <row r="512" spans="2:9" ht="15" customHeight="1" x14ac:dyDescent="0.3">
      <c r="H512" s="358"/>
      <c r="I512" s="384"/>
    </row>
    <row r="513" spans="2:9" ht="15" customHeight="1" x14ac:dyDescent="0.3">
      <c r="B513" s="732" t="s">
        <v>1745</v>
      </c>
      <c r="C513" s="717"/>
      <c r="D513" s="717"/>
      <c r="E513" s="717"/>
      <c r="F513" s="719"/>
      <c r="G513" s="718"/>
      <c r="H513" s="725">
        <f>SUM(H514:H531)</f>
        <v>49</v>
      </c>
      <c r="I513" s="384"/>
    </row>
    <row r="514" spans="2:9" ht="15" customHeight="1" x14ac:dyDescent="0.3">
      <c r="B514" s="423" t="s">
        <v>225</v>
      </c>
      <c r="C514" s="311"/>
      <c r="D514" s="311"/>
      <c r="E514" s="311"/>
      <c r="F514" s="745" t="s">
        <v>177</v>
      </c>
      <c r="G514" s="782" t="str">
        <f>VLOOKUP(F514,tbl_KausiDivari[],2,FALSE)</f>
        <v>IV-Div</v>
      </c>
      <c r="H514" s="746">
        <v>7</v>
      </c>
      <c r="I514" s="384"/>
    </row>
    <row r="515" spans="2:9" ht="15" customHeight="1" x14ac:dyDescent="0.3">
      <c r="F515" s="722" t="s">
        <v>2187</v>
      </c>
      <c r="G515" s="781" t="str">
        <f>VLOOKUP(F515,tbl_KausiDivari[],2,FALSE)</f>
        <v>III-Div+Kars</v>
      </c>
      <c r="H515" s="724">
        <v>5</v>
      </c>
      <c r="I515" s="384"/>
    </row>
    <row r="516" spans="2:9" ht="15" customHeight="1" x14ac:dyDescent="0.3">
      <c r="F516" s="722" t="s">
        <v>2230</v>
      </c>
      <c r="G516" s="723" t="str">
        <f>VLOOKUP(F516,tbl_KausiDivari[],2,FALSE)</f>
        <v>IV-Div</v>
      </c>
      <c r="H516" s="724">
        <v>5</v>
      </c>
      <c r="I516" s="384"/>
    </row>
    <row r="517" spans="2:9" ht="15" customHeight="1" x14ac:dyDescent="0.3">
      <c r="F517" s="722" t="s">
        <v>2409</v>
      </c>
      <c r="G517" s="723" t="str">
        <f>VLOOKUP(F517,tbl_KausiDivari[],2,FALSE)</f>
        <v>IV-Div+Kars</v>
      </c>
      <c r="H517" s="724">
        <v>5</v>
      </c>
      <c r="I517" s="384"/>
    </row>
    <row r="518" spans="2:9" ht="15" customHeight="1" x14ac:dyDescent="0.3">
      <c r="F518" s="722" t="s">
        <v>178</v>
      </c>
      <c r="G518" s="723" t="str">
        <f>VLOOKUP(F518,tbl_KausiDivari[],2,FALSE)</f>
        <v>V-Div</v>
      </c>
      <c r="H518" s="724">
        <v>3</v>
      </c>
      <c r="I518" s="384"/>
    </row>
    <row r="519" spans="2:9" ht="15" customHeight="1" x14ac:dyDescent="0.3">
      <c r="F519" s="722" t="s">
        <v>701</v>
      </c>
      <c r="G519" s="723" t="str">
        <f>VLOOKUP(F519,tbl_KausiDivari[],2,FALSE)</f>
        <v>IV-Div</v>
      </c>
      <c r="H519" s="724">
        <v>3</v>
      </c>
      <c r="I519" s="384"/>
    </row>
    <row r="520" spans="2:9" ht="15" customHeight="1" x14ac:dyDescent="0.3">
      <c r="F520" s="722" t="s">
        <v>884</v>
      </c>
      <c r="G520" s="723" t="str">
        <f>VLOOKUP(F520,tbl_KausiDivari[],2,FALSE)</f>
        <v>V-Div</v>
      </c>
      <c r="H520" s="724">
        <v>3</v>
      </c>
      <c r="I520" s="384"/>
    </row>
    <row r="521" spans="2:9" ht="15" customHeight="1" x14ac:dyDescent="0.3">
      <c r="F521" s="722" t="s">
        <v>1406</v>
      </c>
      <c r="G521" s="723" t="str">
        <f>VLOOKUP(F521,tbl_KausiDivari[],2,FALSE)</f>
        <v>IV-Div</v>
      </c>
      <c r="H521" s="724">
        <v>3</v>
      </c>
      <c r="I521" s="384"/>
    </row>
    <row r="522" spans="2:9" ht="15" customHeight="1" x14ac:dyDescent="0.3">
      <c r="F522" s="722" t="s">
        <v>580</v>
      </c>
      <c r="G522" s="723" t="str">
        <f>VLOOKUP(F522,tbl_KausiDivari[],2,FALSE)</f>
        <v>IV-Div</v>
      </c>
      <c r="H522" s="724">
        <v>2</v>
      </c>
      <c r="I522" s="384"/>
    </row>
    <row r="523" spans="2:9" ht="15" customHeight="1" x14ac:dyDescent="0.3">
      <c r="F523" s="722" t="s">
        <v>844</v>
      </c>
      <c r="G523" s="723" t="str">
        <f>VLOOKUP(F523,tbl_KausiDivari[],2,FALSE)</f>
        <v>IV-Div</v>
      </c>
      <c r="H523" s="724">
        <v>2</v>
      </c>
      <c r="I523" s="384"/>
    </row>
    <row r="524" spans="2:9" ht="15" customHeight="1" x14ac:dyDescent="0.3">
      <c r="F524" s="722" t="s">
        <v>1079</v>
      </c>
      <c r="G524" s="723" t="str">
        <f>VLOOKUP(F524,tbl_KausiDivari[],2,FALSE)</f>
        <v>IV-Div</v>
      </c>
      <c r="H524" s="724">
        <v>2</v>
      </c>
      <c r="I524" s="384"/>
    </row>
    <row r="525" spans="2:9" ht="15" customHeight="1" x14ac:dyDescent="0.3">
      <c r="F525" s="722" t="s">
        <v>1589</v>
      </c>
      <c r="G525" s="723" t="str">
        <f>VLOOKUP(F525,tbl_KausiDivari[],2,FALSE)</f>
        <v>IV-Div</v>
      </c>
      <c r="H525" s="724">
        <v>2</v>
      </c>
      <c r="I525" s="384"/>
    </row>
    <row r="526" spans="2:9" ht="15" customHeight="1" x14ac:dyDescent="0.3">
      <c r="F526" s="722" t="s">
        <v>2047</v>
      </c>
      <c r="G526" s="723" t="str">
        <f>VLOOKUP(F526,tbl_KausiDivari[],2,FALSE)</f>
        <v>IV-Div+Cup</v>
      </c>
      <c r="H526" s="724">
        <v>2</v>
      </c>
      <c r="I526" s="384"/>
    </row>
    <row r="527" spans="2:9" ht="15" customHeight="1" x14ac:dyDescent="0.3">
      <c r="F527" s="722" t="s">
        <v>2437</v>
      </c>
      <c r="G527" s="723" t="str">
        <f>VLOOKUP(F527,tbl_KausiDivari[],2,FALSE)</f>
        <v>III-Div</v>
      </c>
      <c r="H527" s="724">
        <v>2</v>
      </c>
      <c r="I527" s="384" t="s">
        <v>1685</v>
      </c>
    </row>
    <row r="528" spans="2:9" ht="15" customHeight="1" x14ac:dyDescent="0.3">
      <c r="F528" s="722" t="s">
        <v>1662</v>
      </c>
      <c r="G528" s="723" t="str">
        <f>VLOOKUP(F528,tbl_KausiDivari[],2,FALSE)</f>
        <v>IV-Div</v>
      </c>
      <c r="H528" s="724">
        <v>1</v>
      </c>
      <c r="I528" s="384"/>
    </row>
    <row r="529" spans="2:13" ht="15" customHeight="1" x14ac:dyDescent="0.3">
      <c r="F529" s="722" t="s">
        <v>1146</v>
      </c>
      <c r="G529" s="723" t="str">
        <f>VLOOKUP(F529,tbl_KausiDivari[],2,FALSE)</f>
        <v>IV-Div</v>
      </c>
      <c r="H529" s="724">
        <v>1</v>
      </c>
      <c r="I529" s="384"/>
    </row>
    <row r="530" spans="2:13" ht="15" customHeight="1" x14ac:dyDescent="0.3">
      <c r="B530" s="715"/>
      <c r="C530" s="715"/>
      <c r="D530" s="715"/>
      <c r="E530" s="903"/>
      <c r="F530" s="726" t="s">
        <v>261</v>
      </c>
      <c r="G530" s="727" t="str">
        <f>VLOOKUP(F530,tbl_KausiDivari[],2,FALSE)</f>
        <v>V-Div</v>
      </c>
      <c r="H530" s="728">
        <v>1</v>
      </c>
      <c r="I530" s="384"/>
    </row>
    <row r="531" spans="2:13" ht="15" customHeight="1" x14ac:dyDescent="0.3">
      <c r="B531" s="436" t="s">
        <v>226</v>
      </c>
      <c r="C531" s="311"/>
      <c r="D531" s="311"/>
      <c r="E531" s="311"/>
      <c r="F531" s="774" t="s">
        <v>1817</v>
      </c>
      <c r="G531" s="774" t="str">
        <f>VLOOKUP(F531,tbl_KausiDivari[],2,FALSE)</f>
        <v>IV-Div+Kars</v>
      </c>
      <c r="H531" s="776">
        <v>0</v>
      </c>
      <c r="I531" s="384"/>
    </row>
    <row r="532" spans="2:13" ht="15" customHeight="1" x14ac:dyDescent="0.3">
      <c r="H532" s="358"/>
    </row>
    <row r="533" spans="2:13" ht="15" customHeight="1" x14ac:dyDescent="0.3">
      <c r="B533" s="401"/>
      <c r="F533" s="386"/>
      <c r="G533" s="386"/>
      <c r="H533" s="358"/>
      <c r="I533" s="587"/>
      <c r="J533" s="588"/>
      <c r="K533" s="589"/>
      <c r="L533" s="588"/>
      <c r="M533" s="590"/>
    </row>
    <row r="534" spans="2:13" ht="15" customHeight="1" x14ac:dyDescent="0.3">
      <c r="B534" s="585" t="s">
        <v>206</v>
      </c>
      <c r="F534" s="386" t="s">
        <v>1686</v>
      </c>
      <c r="G534" s="386"/>
      <c r="H534" s="358"/>
      <c r="I534" s="386"/>
      <c r="J534" s="358"/>
    </row>
    <row r="535" spans="2:13" ht="15" customHeight="1" x14ac:dyDescent="0.3">
      <c r="B535" s="585"/>
      <c r="F535" s="386"/>
      <c r="G535" s="386"/>
      <c r="H535" s="358"/>
      <c r="I535" s="386"/>
      <c r="J535" s="358"/>
    </row>
    <row r="536" spans="2:13" ht="15" customHeight="1" x14ac:dyDescent="0.3">
      <c r="B536" s="1221" t="s">
        <v>2087</v>
      </c>
      <c r="C536" s="279"/>
      <c r="D536" s="279"/>
      <c r="E536" s="298"/>
      <c r="F536" s="386"/>
      <c r="G536" s="386"/>
      <c r="H536" s="358"/>
      <c r="I536" s="386"/>
      <c r="J536" s="358"/>
    </row>
    <row r="537" spans="2:13" ht="15" customHeight="1" x14ac:dyDescent="0.3">
      <c r="B537" s="399"/>
      <c r="F537" s="386"/>
      <c r="G537" s="386"/>
      <c r="H537" s="358"/>
      <c r="I537" s="386"/>
      <c r="J537" s="358"/>
    </row>
    <row r="538" spans="2:13" ht="15" customHeight="1" x14ac:dyDescent="0.3">
      <c r="B538" s="1177" t="s">
        <v>844</v>
      </c>
      <c r="C538" s="1178">
        <v>40915</v>
      </c>
      <c r="D538" s="745" t="s">
        <v>854</v>
      </c>
      <c r="E538" s="782" t="s">
        <v>806</v>
      </c>
      <c r="F538" s="745" t="s">
        <v>715</v>
      </c>
      <c r="G538" s="1104" t="s">
        <v>796</v>
      </c>
      <c r="H538" s="1104"/>
      <c r="I538" s="1104" t="s">
        <v>855</v>
      </c>
      <c r="J538" s="1148"/>
      <c r="K538" s="591"/>
    </row>
    <row r="539" spans="2:13" ht="15" customHeight="1" x14ac:dyDescent="0.3">
      <c r="B539" s="712" t="s">
        <v>1146</v>
      </c>
      <c r="C539" s="1170">
        <v>42049</v>
      </c>
      <c r="D539" s="1171" t="s">
        <v>1371</v>
      </c>
      <c r="E539" s="1140" t="s">
        <v>1370</v>
      </c>
      <c r="F539" s="1171" t="s">
        <v>1328</v>
      </c>
      <c r="G539" s="1139" t="s">
        <v>579</v>
      </c>
      <c r="H539" s="1139"/>
      <c r="I539" s="1139" t="s">
        <v>1372</v>
      </c>
      <c r="J539" s="1172"/>
      <c r="K539" s="591"/>
    </row>
    <row r="540" spans="2:13" ht="15" customHeight="1" x14ac:dyDescent="0.3">
      <c r="B540" s="1079" t="s">
        <v>178</v>
      </c>
      <c r="C540" s="1075">
        <v>39046</v>
      </c>
      <c r="D540" s="1076" t="s">
        <v>270</v>
      </c>
      <c r="E540" s="1077" t="s">
        <v>29</v>
      </c>
      <c r="F540" s="1076" t="s">
        <v>37</v>
      </c>
      <c r="G540" s="1078" t="s">
        <v>41</v>
      </c>
      <c r="H540" s="1078"/>
      <c r="I540" s="1078" t="s">
        <v>862</v>
      </c>
      <c r="J540" s="1173"/>
      <c r="K540" s="591"/>
    </row>
    <row r="541" spans="2:13" ht="15" customHeight="1" x14ac:dyDescent="0.3">
      <c r="B541" s="917" t="s">
        <v>844</v>
      </c>
      <c r="C541" s="920">
        <v>40873</v>
      </c>
      <c r="D541" s="922" t="s">
        <v>852</v>
      </c>
      <c r="E541" s="921" t="s">
        <v>790</v>
      </c>
      <c r="F541" s="921" t="s">
        <v>245</v>
      </c>
      <c r="G541" s="918" t="s">
        <v>794</v>
      </c>
      <c r="H541" s="918"/>
      <c r="I541" s="918" t="s">
        <v>853</v>
      </c>
      <c r="J541" s="916"/>
      <c r="K541" s="591"/>
    </row>
    <row r="542" spans="2:13" ht="15" customHeight="1" x14ac:dyDescent="0.3">
      <c r="B542" s="600" t="s">
        <v>261</v>
      </c>
      <c r="C542" s="599">
        <v>39879</v>
      </c>
      <c r="D542" s="579" t="s">
        <v>267</v>
      </c>
      <c r="E542" s="556" t="s">
        <v>259</v>
      </c>
      <c r="F542" s="579" t="s">
        <v>260</v>
      </c>
      <c r="G542" s="555" t="s">
        <v>41</v>
      </c>
      <c r="H542" s="555"/>
      <c r="I542" s="555" t="s">
        <v>269</v>
      </c>
      <c r="J542" s="1145"/>
      <c r="K542" s="591"/>
    </row>
    <row r="543" spans="2:13" ht="15" customHeight="1" x14ac:dyDescent="0.3">
      <c r="B543" s="600" t="s">
        <v>261</v>
      </c>
      <c r="C543" s="599">
        <v>39851</v>
      </c>
      <c r="D543" s="579" t="s">
        <v>266</v>
      </c>
      <c r="E543" s="556" t="s">
        <v>238</v>
      </c>
      <c r="F543" s="579" t="s">
        <v>239</v>
      </c>
      <c r="G543" s="555" t="s">
        <v>41</v>
      </c>
      <c r="H543" s="555"/>
      <c r="I543" s="555" t="s">
        <v>268</v>
      </c>
      <c r="J543" s="916"/>
    </row>
    <row r="544" spans="2:13" ht="15" customHeight="1" x14ac:dyDescent="0.3">
      <c r="B544" s="600" t="s">
        <v>701</v>
      </c>
      <c r="C544" s="599">
        <v>40593</v>
      </c>
      <c r="D544" s="579" t="s">
        <v>714</v>
      </c>
      <c r="E544" s="556" t="s">
        <v>659</v>
      </c>
      <c r="F544" s="579" t="s">
        <v>715</v>
      </c>
      <c r="G544" s="555" t="s">
        <v>246</v>
      </c>
      <c r="H544" s="555"/>
      <c r="I544" s="555" t="s">
        <v>716</v>
      </c>
      <c r="J544" s="916"/>
    </row>
    <row r="545" spans="2:11" ht="15" customHeight="1" x14ac:dyDescent="0.3">
      <c r="B545" s="600" t="s">
        <v>884</v>
      </c>
      <c r="C545" s="599">
        <v>41307</v>
      </c>
      <c r="D545" s="579" t="s">
        <v>960</v>
      </c>
      <c r="E545" s="556" t="s">
        <v>916</v>
      </c>
      <c r="F545" s="579" t="s">
        <v>161</v>
      </c>
      <c r="G545" s="555" t="s">
        <v>579</v>
      </c>
      <c r="H545" s="555"/>
      <c r="I545" s="555" t="s">
        <v>961</v>
      </c>
      <c r="J545" s="916"/>
    </row>
    <row r="546" spans="2:11" ht="15" customHeight="1" x14ac:dyDescent="0.3">
      <c r="B546" s="600" t="s">
        <v>2047</v>
      </c>
      <c r="C546" s="599">
        <v>43806</v>
      </c>
      <c r="D546" s="579" t="s">
        <v>1927</v>
      </c>
      <c r="E546" s="556" t="s">
        <v>780</v>
      </c>
      <c r="F546" s="579" t="s">
        <v>1235</v>
      </c>
      <c r="G546" s="555" t="s">
        <v>242</v>
      </c>
      <c r="H546" s="555"/>
      <c r="I546" s="555" t="s">
        <v>1930</v>
      </c>
      <c r="J546" s="916"/>
    </row>
    <row r="547" spans="2:11" ht="15" customHeight="1" x14ac:dyDescent="0.3">
      <c r="B547" s="600" t="s">
        <v>2409</v>
      </c>
      <c r="C547" s="599">
        <v>45374</v>
      </c>
      <c r="D547" s="579" t="s">
        <v>2423</v>
      </c>
      <c r="E547" s="556" t="s">
        <v>2420</v>
      </c>
      <c r="F547" s="1085" t="s">
        <v>2421</v>
      </c>
      <c r="G547" s="555" t="s">
        <v>579</v>
      </c>
      <c r="H547" s="555"/>
      <c r="I547" s="555" t="s">
        <v>2445</v>
      </c>
      <c r="J547" s="916"/>
    </row>
    <row r="548" spans="2:11" ht="15" customHeight="1" x14ac:dyDescent="0.3">
      <c r="B548" s="600" t="s">
        <v>1589</v>
      </c>
      <c r="C548" s="599">
        <v>42694</v>
      </c>
      <c r="D548" s="579" t="s">
        <v>1629</v>
      </c>
      <c r="E548" s="556" t="s">
        <v>1610</v>
      </c>
      <c r="F548" s="579" t="s">
        <v>251</v>
      </c>
      <c r="G548" s="555" t="s">
        <v>150</v>
      </c>
      <c r="H548" s="555"/>
      <c r="I548" s="555" t="s">
        <v>1630</v>
      </c>
      <c r="J548" s="916"/>
    </row>
    <row r="549" spans="2:11" ht="15" customHeight="1" x14ac:dyDescent="0.3">
      <c r="B549" s="600" t="s">
        <v>1079</v>
      </c>
      <c r="C549" s="599">
        <v>41679</v>
      </c>
      <c r="D549" s="579" t="s">
        <v>962</v>
      </c>
      <c r="E549" s="556" t="s">
        <v>1047</v>
      </c>
      <c r="F549" s="579" t="s">
        <v>39</v>
      </c>
      <c r="G549" s="555" t="s">
        <v>1049</v>
      </c>
      <c r="H549" s="555"/>
      <c r="I549" s="555" t="s">
        <v>963</v>
      </c>
      <c r="J549" s="916"/>
    </row>
    <row r="550" spans="2:11" ht="15" customHeight="1" x14ac:dyDescent="0.3">
      <c r="B550" s="600" t="s">
        <v>2230</v>
      </c>
      <c r="C550" s="599">
        <v>44947</v>
      </c>
      <c r="D550" s="579" t="s">
        <v>962</v>
      </c>
      <c r="E550" s="556" t="s">
        <v>2328</v>
      </c>
      <c r="F550" s="579" t="s">
        <v>156</v>
      </c>
      <c r="G550" s="555" t="s">
        <v>2297</v>
      </c>
      <c r="H550" s="555"/>
      <c r="I550" s="555" t="s">
        <v>963</v>
      </c>
      <c r="J550" s="916"/>
    </row>
    <row r="551" spans="2:11" ht="15" customHeight="1" x14ac:dyDescent="0.3">
      <c r="B551" s="600" t="s">
        <v>2187</v>
      </c>
      <c r="C551" s="599">
        <v>44464</v>
      </c>
      <c r="D551" s="579" t="s">
        <v>1923</v>
      </c>
      <c r="E551" s="556" t="s">
        <v>2192</v>
      </c>
      <c r="F551" s="579" t="s">
        <v>39</v>
      </c>
      <c r="G551" s="555" t="s">
        <v>2173</v>
      </c>
      <c r="H551" s="555"/>
      <c r="I551" s="555" t="s">
        <v>2204</v>
      </c>
      <c r="J551" s="916"/>
    </row>
    <row r="552" spans="2:11" ht="15" customHeight="1" x14ac:dyDescent="0.3">
      <c r="B552" s="600" t="s">
        <v>1817</v>
      </c>
      <c r="C552" s="599">
        <v>43393</v>
      </c>
      <c r="D552" s="579" t="s">
        <v>1950</v>
      </c>
      <c r="E552" s="556" t="s">
        <v>1029</v>
      </c>
      <c r="F552" s="579" t="s">
        <v>1058</v>
      </c>
      <c r="G552" s="555" t="s">
        <v>1147</v>
      </c>
      <c r="H552" s="555"/>
      <c r="I552" s="555" t="s">
        <v>1951</v>
      </c>
      <c r="J552" s="916"/>
    </row>
    <row r="553" spans="2:11" ht="15" customHeight="1" x14ac:dyDescent="0.3">
      <c r="B553" s="600" t="s">
        <v>1817</v>
      </c>
      <c r="C553" s="599">
        <v>43512</v>
      </c>
      <c r="D553" s="579" t="s">
        <v>1950</v>
      </c>
      <c r="E553" s="556" t="s">
        <v>163</v>
      </c>
      <c r="F553" s="579" t="s">
        <v>254</v>
      </c>
      <c r="G553" s="555" t="s">
        <v>796</v>
      </c>
      <c r="H553" s="555"/>
      <c r="I553" s="555" t="s">
        <v>1951</v>
      </c>
      <c r="J553" s="916"/>
    </row>
    <row r="554" spans="2:11" ht="15" customHeight="1" x14ac:dyDescent="0.3">
      <c r="B554" s="600" t="s">
        <v>1406</v>
      </c>
      <c r="C554" s="599">
        <v>42358</v>
      </c>
      <c r="D554" s="579" t="s">
        <v>717</v>
      </c>
      <c r="E554" s="556" t="s">
        <v>1441</v>
      </c>
      <c r="F554" s="579" t="s">
        <v>1058</v>
      </c>
      <c r="G554" s="555" t="s">
        <v>796</v>
      </c>
      <c r="H554" s="555"/>
      <c r="I554" s="555" t="s">
        <v>265</v>
      </c>
      <c r="J554" s="916"/>
    </row>
    <row r="555" spans="2:11" ht="15" customHeight="1" x14ac:dyDescent="0.3">
      <c r="B555" s="1037" t="s">
        <v>1662</v>
      </c>
      <c r="C555" s="1033">
        <v>43107</v>
      </c>
      <c r="D555" s="1034" t="s">
        <v>1684</v>
      </c>
      <c r="E555" s="1035" t="s">
        <v>1366</v>
      </c>
      <c r="F555" s="1034" t="s">
        <v>1058</v>
      </c>
      <c r="G555" s="1036" t="s">
        <v>796</v>
      </c>
      <c r="H555" s="1036"/>
      <c r="I555" s="1036" t="s">
        <v>45</v>
      </c>
      <c r="J555" s="1211"/>
      <c r="K555" s="357" t="s">
        <v>1685</v>
      </c>
    </row>
    <row r="556" spans="2:11" ht="15" customHeight="1" x14ac:dyDescent="0.3">
      <c r="B556" s="1037" t="s">
        <v>2437</v>
      </c>
      <c r="C556" s="1033">
        <v>45562</v>
      </c>
      <c r="D556" s="1034" t="s">
        <v>1670</v>
      </c>
      <c r="E556" s="1035" t="s">
        <v>2770</v>
      </c>
      <c r="F556" s="1034" t="s">
        <v>2772</v>
      </c>
      <c r="G556" s="1036" t="s">
        <v>796</v>
      </c>
      <c r="H556" s="1036"/>
      <c r="I556" s="1036" t="s">
        <v>45</v>
      </c>
      <c r="J556" s="1211"/>
      <c r="K556" s="357" t="s">
        <v>1685</v>
      </c>
    </row>
    <row r="557" spans="2:11" ht="15" customHeight="1" x14ac:dyDescent="0.3">
      <c r="B557" s="1037" t="s">
        <v>2437</v>
      </c>
      <c r="C557" s="1033">
        <v>45626</v>
      </c>
      <c r="D557" s="1034" t="s">
        <v>1670</v>
      </c>
      <c r="E557" s="1035" t="s">
        <v>1454</v>
      </c>
      <c r="F557" s="1034" t="s">
        <v>715</v>
      </c>
      <c r="G557" s="1036" t="s">
        <v>796</v>
      </c>
      <c r="H557" s="1036"/>
      <c r="I557" s="1036" t="s">
        <v>45</v>
      </c>
      <c r="J557" s="1211"/>
      <c r="K557" s="357" t="s">
        <v>1685</v>
      </c>
    </row>
    <row r="558" spans="2:11" ht="15" customHeight="1" x14ac:dyDescent="0.3">
      <c r="B558" s="1174" t="s">
        <v>2437</v>
      </c>
      <c r="C558" s="1175">
        <v>45717</v>
      </c>
      <c r="D558" s="1176" t="s">
        <v>1670</v>
      </c>
      <c r="E558" s="559" t="s">
        <v>780</v>
      </c>
      <c r="F558" s="1176" t="s">
        <v>506</v>
      </c>
      <c r="G558" s="558" t="s">
        <v>796</v>
      </c>
      <c r="H558" s="558"/>
      <c r="I558" s="558" t="s">
        <v>45</v>
      </c>
      <c r="J558" s="1118"/>
    </row>
    <row r="559" spans="2:11" ht="15" customHeight="1" x14ac:dyDescent="0.3">
      <c r="B559" s="401"/>
      <c r="F559" s="386"/>
      <c r="G559" s="400"/>
      <c r="H559" s="386"/>
      <c r="I559" s="358"/>
      <c r="J559" s="386"/>
    </row>
    <row r="560" spans="2:11" ht="15" customHeight="1" x14ac:dyDescent="0.3">
      <c r="B560" s="401"/>
      <c r="F560" s="386"/>
      <c r="G560" s="400"/>
      <c r="H560" s="386"/>
      <c r="I560" s="358"/>
      <c r="J560" s="386"/>
    </row>
    <row r="561" spans="2:16" ht="15" customHeight="1" x14ac:dyDescent="0.3">
      <c r="B561" s="1221" t="s">
        <v>2088</v>
      </c>
      <c r="C561" s="279"/>
      <c r="D561" s="279"/>
      <c r="E561" s="298"/>
      <c r="F561" s="357"/>
      <c r="I561" s="357"/>
    </row>
    <row r="562" spans="2:16" s="519" customFormat="1" ht="15" customHeight="1" x14ac:dyDescent="0.2">
      <c r="B562" s="529"/>
      <c r="P562" s="522"/>
    </row>
    <row r="563" spans="2:16" s="519" customFormat="1" ht="15" customHeight="1" x14ac:dyDescent="0.3">
      <c r="B563" s="1222" t="s">
        <v>844</v>
      </c>
      <c r="C563" s="1180">
        <v>40873</v>
      </c>
      <c r="D563" s="1155" t="s">
        <v>270</v>
      </c>
      <c r="E563" s="1179" t="s">
        <v>790</v>
      </c>
      <c r="F563" s="1179" t="s">
        <v>245</v>
      </c>
      <c r="G563" s="1154" t="s">
        <v>794</v>
      </c>
      <c r="H563" s="1154"/>
      <c r="I563" s="1154" t="s">
        <v>862</v>
      </c>
      <c r="J563" s="1159"/>
      <c r="K563" s="357"/>
      <c r="P563" s="522"/>
    </row>
    <row r="564" spans="2:16" s="519" customFormat="1" ht="15" customHeight="1" x14ac:dyDescent="0.2">
      <c r="B564" s="1045" t="s">
        <v>1146</v>
      </c>
      <c r="C564" s="1170">
        <v>42049</v>
      </c>
      <c r="D564" s="1171" t="s">
        <v>1373</v>
      </c>
      <c r="E564" s="1140" t="s">
        <v>1374</v>
      </c>
      <c r="F564" s="1171" t="s">
        <v>508</v>
      </c>
      <c r="G564" s="1139" t="s">
        <v>579</v>
      </c>
      <c r="H564" s="1139"/>
      <c r="I564" s="1139" t="s">
        <v>1375</v>
      </c>
      <c r="J564" s="925"/>
      <c r="K564" s="522"/>
    </row>
    <row r="565" spans="2:16" s="519" customFormat="1" ht="15" customHeight="1" x14ac:dyDescent="0.3">
      <c r="B565" s="1074" t="s">
        <v>2187</v>
      </c>
      <c r="C565" s="1075">
        <v>44632</v>
      </c>
      <c r="D565" s="1076" t="s">
        <v>2205</v>
      </c>
      <c r="E565" s="1077" t="s">
        <v>2206</v>
      </c>
      <c r="F565" s="1076" t="s">
        <v>209</v>
      </c>
      <c r="G565" s="1078" t="s">
        <v>2173</v>
      </c>
      <c r="H565" s="1078"/>
      <c r="I565" s="1078" t="s">
        <v>1375</v>
      </c>
      <c r="J565" s="1044"/>
      <c r="K565" s="357"/>
    </row>
    <row r="566" spans="2:16" s="519" customFormat="1" ht="15" customHeight="1" x14ac:dyDescent="0.2">
      <c r="B566" s="917" t="s">
        <v>884</v>
      </c>
      <c r="C566" s="599">
        <v>41251</v>
      </c>
      <c r="D566" s="579" t="s">
        <v>964</v>
      </c>
      <c r="E566" s="556" t="s">
        <v>887</v>
      </c>
      <c r="F566" s="579" t="s">
        <v>914</v>
      </c>
      <c r="G566" s="918" t="s">
        <v>579</v>
      </c>
      <c r="H566" s="555"/>
      <c r="I566" s="555" t="s">
        <v>965</v>
      </c>
      <c r="J566" s="919"/>
    </row>
    <row r="567" spans="2:16" s="519" customFormat="1" ht="15" customHeight="1" x14ac:dyDescent="0.3">
      <c r="B567" s="917" t="s">
        <v>2409</v>
      </c>
      <c r="C567" s="599">
        <v>45339</v>
      </c>
      <c r="D567" s="579" t="s">
        <v>2446</v>
      </c>
      <c r="E567" s="556" t="s">
        <v>2202</v>
      </c>
      <c r="F567" s="579" t="s">
        <v>164</v>
      </c>
      <c r="G567" s="918" t="s">
        <v>579</v>
      </c>
      <c r="H567" s="555"/>
      <c r="I567" s="555" t="s">
        <v>2447</v>
      </c>
      <c r="J567" s="919"/>
      <c r="K567" s="357"/>
    </row>
    <row r="568" spans="2:16" s="519" customFormat="1" ht="15" customHeight="1" x14ac:dyDescent="0.2">
      <c r="B568" s="917" t="s">
        <v>1589</v>
      </c>
      <c r="C568" s="599">
        <v>42672</v>
      </c>
      <c r="D568" s="579" t="s">
        <v>1626</v>
      </c>
      <c r="E568" s="556" t="s">
        <v>1017</v>
      </c>
      <c r="F568" s="579" t="s">
        <v>34</v>
      </c>
      <c r="G568" s="918" t="s">
        <v>1627</v>
      </c>
      <c r="H568" s="555"/>
      <c r="I568" s="555" t="s">
        <v>1628</v>
      </c>
      <c r="J568" s="919"/>
    </row>
    <row r="569" spans="2:16" s="519" customFormat="1" ht="15" customHeight="1" x14ac:dyDescent="0.3">
      <c r="B569" s="917" t="s">
        <v>1817</v>
      </c>
      <c r="C569" s="599">
        <v>43541</v>
      </c>
      <c r="D569" s="579" t="s">
        <v>1952</v>
      </c>
      <c r="E569" s="556" t="s">
        <v>1928</v>
      </c>
      <c r="F569" s="579" t="s">
        <v>156</v>
      </c>
      <c r="G569" s="918" t="s">
        <v>1906</v>
      </c>
      <c r="H569" s="555"/>
      <c r="I569" s="555" t="s">
        <v>1930</v>
      </c>
      <c r="J569" s="919"/>
      <c r="K569" s="357"/>
    </row>
    <row r="570" spans="2:16" s="519" customFormat="1" ht="15" customHeight="1" x14ac:dyDescent="0.2">
      <c r="B570" s="917" t="s">
        <v>580</v>
      </c>
      <c r="C570" s="599">
        <v>40187</v>
      </c>
      <c r="D570" s="579" t="s">
        <v>570</v>
      </c>
      <c r="E570" s="556" t="s">
        <v>550</v>
      </c>
      <c r="F570" s="579" t="s">
        <v>560</v>
      </c>
      <c r="G570" s="555" t="s">
        <v>558</v>
      </c>
      <c r="H570" s="555"/>
      <c r="I570" s="555" t="s">
        <v>571</v>
      </c>
      <c r="J570" s="919"/>
    </row>
    <row r="571" spans="2:16" s="519" customFormat="1" ht="15" customHeight="1" x14ac:dyDescent="0.3">
      <c r="B571" s="917" t="s">
        <v>1817</v>
      </c>
      <c r="C571" s="599">
        <v>43393</v>
      </c>
      <c r="D571" s="579" t="s">
        <v>1954</v>
      </c>
      <c r="E571" s="556" t="s">
        <v>1617</v>
      </c>
      <c r="F571" s="579" t="s">
        <v>260</v>
      </c>
      <c r="G571" s="555" t="s">
        <v>1147</v>
      </c>
      <c r="H571" s="555"/>
      <c r="I571" s="555" t="s">
        <v>1926</v>
      </c>
      <c r="J571" s="919"/>
      <c r="K571" s="357"/>
    </row>
    <row r="572" spans="2:16" s="519" customFormat="1" ht="15" customHeight="1" x14ac:dyDescent="0.2">
      <c r="B572" s="600" t="s">
        <v>1662</v>
      </c>
      <c r="C572" s="599">
        <v>43065</v>
      </c>
      <c r="D572" s="579" t="s">
        <v>1953</v>
      </c>
      <c r="E572" s="556" t="s">
        <v>1447</v>
      </c>
      <c r="F572" s="579" t="s">
        <v>1349</v>
      </c>
      <c r="G572" s="555" t="s">
        <v>1674</v>
      </c>
      <c r="H572" s="555"/>
      <c r="I572" s="555" t="s">
        <v>1672</v>
      </c>
      <c r="J572" s="919"/>
    </row>
    <row r="573" spans="2:16" s="519" customFormat="1" ht="15" customHeight="1" x14ac:dyDescent="0.2">
      <c r="B573" s="917" t="s">
        <v>884</v>
      </c>
      <c r="C573" s="599">
        <v>41307</v>
      </c>
      <c r="D573" s="579" t="s">
        <v>962</v>
      </c>
      <c r="E573" s="556" t="s">
        <v>916</v>
      </c>
      <c r="F573" s="579" t="s">
        <v>161</v>
      </c>
      <c r="G573" s="555" t="s">
        <v>579</v>
      </c>
      <c r="H573" s="555"/>
      <c r="I573" s="555" t="s">
        <v>963</v>
      </c>
      <c r="J573" s="919"/>
    </row>
    <row r="574" spans="2:16" s="519" customFormat="1" ht="15" customHeight="1" x14ac:dyDescent="0.2">
      <c r="B574" s="600" t="s">
        <v>261</v>
      </c>
      <c r="C574" s="599">
        <v>39782</v>
      </c>
      <c r="D574" s="579" t="s">
        <v>717</v>
      </c>
      <c r="E574" s="556" t="s">
        <v>257</v>
      </c>
      <c r="F574" s="579" t="s">
        <v>258</v>
      </c>
      <c r="G574" s="555" t="s">
        <v>44</v>
      </c>
      <c r="H574" s="555"/>
      <c r="I574" s="555" t="s">
        <v>265</v>
      </c>
      <c r="J574" s="919"/>
    </row>
    <row r="575" spans="2:16" s="519" customFormat="1" ht="15" customHeight="1" x14ac:dyDescent="0.2">
      <c r="B575" s="600" t="s">
        <v>701</v>
      </c>
      <c r="C575" s="599">
        <v>40552</v>
      </c>
      <c r="D575" s="579" t="s">
        <v>717</v>
      </c>
      <c r="E575" s="556" t="s">
        <v>648</v>
      </c>
      <c r="F575" s="579" t="s">
        <v>713</v>
      </c>
      <c r="G575" s="555" t="s">
        <v>731</v>
      </c>
      <c r="H575" s="555"/>
      <c r="I575" s="555" t="s">
        <v>265</v>
      </c>
      <c r="J575" s="919"/>
    </row>
    <row r="576" spans="2:16" s="519" customFormat="1" ht="15" customHeight="1" x14ac:dyDescent="0.2">
      <c r="B576" s="600" t="s">
        <v>701</v>
      </c>
      <c r="C576" s="599">
        <v>40572</v>
      </c>
      <c r="D576" s="579" t="s">
        <v>717</v>
      </c>
      <c r="E576" s="556" t="s">
        <v>621</v>
      </c>
      <c r="F576" s="579" t="s">
        <v>260</v>
      </c>
      <c r="G576" s="555" t="s">
        <v>719</v>
      </c>
      <c r="H576" s="555"/>
      <c r="I576" s="555" t="s">
        <v>265</v>
      </c>
      <c r="J576" s="919"/>
    </row>
    <row r="577" spans="2:11" s="519" customFormat="1" ht="15" customHeight="1" x14ac:dyDescent="0.2">
      <c r="B577" s="600" t="s">
        <v>701</v>
      </c>
      <c r="C577" s="599">
        <v>40635</v>
      </c>
      <c r="D577" s="579" t="s">
        <v>717</v>
      </c>
      <c r="E577" s="556" t="s">
        <v>769</v>
      </c>
      <c r="F577" s="579" t="s">
        <v>768</v>
      </c>
      <c r="G577" s="555" t="s">
        <v>246</v>
      </c>
      <c r="H577" s="555"/>
      <c r="I577" s="555" t="s">
        <v>265</v>
      </c>
      <c r="J577" s="919"/>
    </row>
    <row r="578" spans="2:11" s="519" customFormat="1" ht="15" customHeight="1" x14ac:dyDescent="0.2">
      <c r="B578" s="600" t="s">
        <v>1079</v>
      </c>
      <c r="C578" s="599">
        <v>41679</v>
      </c>
      <c r="D578" s="579" t="s">
        <v>717</v>
      </c>
      <c r="E578" s="556" t="s">
        <v>1047</v>
      </c>
      <c r="F578" s="579" t="s">
        <v>39</v>
      </c>
      <c r="G578" s="555" t="s">
        <v>1049</v>
      </c>
      <c r="H578" s="555"/>
      <c r="I578" s="555" t="s">
        <v>265</v>
      </c>
      <c r="J578" s="919"/>
    </row>
    <row r="579" spans="2:11" s="519" customFormat="1" ht="15" customHeight="1" x14ac:dyDescent="0.3">
      <c r="B579" s="600" t="s">
        <v>2230</v>
      </c>
      <c r="C579" s="599">
        <v>45003</v>
      </c>
      <c r="D579" s="579" t="s">
        <v>717</v>
      </c>
      <c r="E579" s="556" t="s">
        <v>1961</v>
      </c>
      <c r="F579" s="579" t="s">
        <v>156</v>
      </c>
      <c r="G579" s="555" t="s">
        <v>1593</v>
      </c>
      <c r="H579" s="555"/>
      <c r="I579" s="555" t="s">
        <v>265</v>
      </c>
      <c r="J579" s="919"/>
      <c r="K579" s="357"/>
    </row>
    <row r="580" spans="2:11" s="519" customFormat="1" ht="15" customHeight="1" x14ac:dyDescent="0.3">
      <c r="B580" s="600" t="s">
        <v>2437</v>
      </c>
      <c r="C580" s="599">
        <v>45703</v>
      </c>
      <c r="D580" s="579" t="s">
        <v>1450</v>
      </c>
      <c r="E580" s="556" t="s">
        <v>2191</v>
      </c>
      <c r="F580" s="579" t="s">
        <v>757</v>
      </c>
      <c r="G580" s="555" t="s">
        <v>2765</v>
      </c>
      <c r="H580" s="555"/>
      <c r="I580" s="555" t="s">
        <v>265</v>
      </c>
      <c r="J580" s="919"/>
      <c r="K580" s="357" t="s">
        <v>1685</v>
      </c>
    </row>
    <row r="581" spans="2:11" s="519" customFormat="1" ht="15" customHeight="1" x14ac:dyDescent="0.3">
      <c r="B581" s="600" t="s">
        <v>2437</v>
      </c>
      <c r="C581" s="599">
        <v>45745</v>
      </c>
      <c r="D581" s="579" t="s">
        <v>1450</v>
      </c>
      <c r="E581" s="556" t="s">
        <v>1039</v>
      </c>
      <c r="F581" s="579" t="s">
        <v>1680</v>
      </c>
      <c r="G581" s="555" t="s">
        <v>796</v>
      </c>
      <c r="H581" s="555"/>
      <c r="I581" s="555" t="s">
        <v>265</v>
      </c>
      <c r="J581" s="919"/>
      <c r="K581" s="357" t="s">
        <v>1685</v>
      </c>
    </row>
    <row r="582" spans="2:11" s="405" customFormat="1" ht="15" customHeight="1" x14ac:dyDescent="0.3">
      <c r="B582" s="600" t="s">
        <v>1662</v>
      </c>
      <c r="C582" s="599">
        <v>43022</v>
      </c>
      <c r="D582" s="579" t="s">
        <v>1684</v>
      </c>
      <c r="E582" s="556" t="s">
        <v>1454</v>
      </c>
      <c r="F582" s="579" t="s">
        <v>1268</v>
      </c>
      <c r="G582" s="555" t="s">
        <v>150</v>
      </c>
      <c r="H582" s="555"/>
      <c r="I582" s="555" t="s">
        <v>45</v>
      </c>
      <c r="J582" s="919"/>
      <c r="K582" s="357"/>
    </row>
    <row r="583" spans="2:11" s="405" customFormat="1" ht="15" customHeight="1" x14ac:dyDescent="0.3">
      <c r="B583" s="600" t="s">
        <v>1662</v>
      </c>
      <c r="C583" s="599">
        <v>43169</v>
      </c>
      <c r="D583" s="579" t="s">
        <v>1684</v>
      </c>
      <c r="E583" s="556" t="s">
        <v>1673</v>
      </c>
      <c r="F583" s="579" t="s">
        <v>245</v>
      </c>
      <c r="G583" s="555" t="s">
        <v>1414</v>
      </c>
      <c r="H583" s="555"/>
      <c r="I583" s="555" t="s">
        <v>45</v>
      </c>
      <c r="J583" s="919"/>
      <c r="K583" s="357"/>
    </row>
    <row r="584" spans="2:11" s="405" customFormat="1" ht="15" customHeight="1" x14ac:dyDescent="0.3">
      <c r="B584" s="600" t="s">
        <v>178</v>
      </c>
      <c r="C584" s="599">
        <v>39158</v>
      </c>
      <c r="D584" s="579" t="s">
        <v>1684</v>
      </c>
      <c r="E584" s="556" t="s">
        <v>26</v>
      </c>
      <c r="F584" s="579" t="s">
        <v>38</v>
      </c>
      <c r="G584" s="555" t="s">
        <v>41</v>
      </c>
      <c r="H584" s="555"/>
      <c r="I584" s="555" t="s">
        <v>45</v>
      </c>
      <c r="J584" s="916"/>
      <c r="K584" s="357"/>
    </row>
    <row r="585" spans="2:11" s="405" customFormat="1" ht="15" customHeight="1" x14ac:dyDescent="0.2">
      <c r="B585" s="600" t="s">
        <v>178</v>
      </c>
      <c r="C585" s="599">
        <v>38991</v>
      </c>
      <c r="D585" s="579" t="s">
        <v>1684</v>
      </c>
      <c r="E585" s="556" t="s">
        <v>30</v>
      </c>
      <c r="F585" s="579" t="s">
        <v>39</v>
      </c>
      <c r="G585" s="555" t="s">
        <v>41</v>
      </c>
      <c r="H585" s="555"/>
      <c r="I585" s="555" t="s">
        <v>45</v>
      </c>
      <c r="J585" s="916"/>
    </row>
    <row r="586" spans="2:11" s="405" customFormat="1" ht="15" customHeight="1" x14ac:dyDescent="0.2">
      <c r="B586" s="600" t="s">
        <v>177</v>
      </c>
      <c r="C586" s="599">
        <v>39411</v>
      </c>
      <c r="D586" s="579" t="s">
        <v>1684</v>
      </c>
      <c r="E586" s="556" t="s">
        <v>155</v>
      </c>
      <c r="F586" s="579" t="s">
        <v>156</v>
      </c>
      <c r="G586" s="555" t="s">
        <v>44</v>
      </c>
      <c r="H586" s="555"/>
      <c r="I586" s="555" t="s">
        <v>45</v>
      </c>
      <c r="J586" s="916"/>
    </row>
    <row r="587" spans="2:11" s="405" customFormat="1" ht="15" customHeight="1" x14ac:dyDescent="0.2">
      <c r="B587" s="600" t="s">
        <v>177</v>
      </c>
      <c r="C587" s="599">
        <v>39467</v>
      </c>
      <c r="D587" s="579" t="s">
        <v>1684</v>
      </c>
      <c r="E587" s="556" t="s">
        <v>160</v>
      </c>
      <c r="F587" s="579" t="s">
        <v>161</v>
      </c>
      <c r="G587" s="555" t="s">
        <v>44</v>
      </c>
      <c r="H587" s="555"/>
      <c r="I587" s="555" t="s">
        <v>45</v>
      </c>
      <c r="J587" s="916"/>
    </row>
    <row r="588" spans="2:11" s="405" customFormat="1" ht="15" customHeight="1" x14ac:dyDescent="0.3">
      <c r="B588" s="600" t="s">
        <v>2047</v>
      </c>
      <c r="C588" s="599">
        <v>43708</v>
      </c>
      <c r="D588" s="579" t="s">
        <v>2060</v>
      </c>
      <c r="E588" s="556" t="s">
        <v>2061</v>
      </c>
      <c r="F588" s="579" t="s">
        <v>253</v>
      </c>
      <c r="G588" s="555" t="s">
        <v>579</v>
      </c>
      <c r="H588" s="555"/>
      <c r="I588" s="555" t="s">
        <v>2066</v>
      </c>
      <c r="J588" s="916"/>
      <c r="K588" s="357"/>
    </row>
    <row r="589" spans="2:11" s="405" customFormat="1" ht="15" customHeight="1" x14ac:dyDescent="0.2">
      <c r="B589" s="600" t="s">
        <v>1406</v>
      </c>
      <c r="C589" s="599">
        <v>42337</v>
      </c>
      <c r="D589" s="579" t="s">
        <v>1479</v>
      </c>
      <c r="E589" s="556" t="s">
        <v>1366</v>
      </c>
      <c r="F589" s="579" t="s">
        <v>897</v>
      </c>
      <c r="G589" s="555" t="s">
        <v>579</v>
      </c>
      <c r="H589" s="555"/>
      <c r="I589" s="555" t="s">
        <v>1452</v>
      </c>
      <c r="J589" s="916"/>
    </row>
    <row r="590" spans="2:11" ht="15" customHeight="1" x14ac:dyDescent="0.3">
      <c r="B590" s="600" t="s">
        <v>1406</v>
      </c>
      <c r="C590" s="599">
        <v>42068</v>
      </c>
      <c r="D590" s="579" t="s">
        <v>1479</v>
      </c>
      <c r="E590" s="556" t="s">
        <v>250</v>
      </c>
      <c r="F590" s="579" t="s">
        <v>1453</v>
      </c>
      <c r="G590" s="555" t="s">
        <v>1414</v>
      </c>
      <c r="H590" s="555"/>
      <c r="I590" s="555" t="s">
        <v>1452</v>
      </c>
      <c r="J590" s="916"/>
      <c r="K590" s="405"/>
    </row>
    <row r="591" spans="2:11" ht="15" customHeight="1" x14ac:dyDescent="0.3">
      <c r="B591" s="1174" t="s">
        <v>1406</v>
      </c>
      <c r="C591" s="1175">
        <v>42076</v>
      </c>
      <c r="D591" s="1176" t="s">
        <v>1479</v>
      </c>
      <c r="E591" s="559" t="s">
        <v>1454</v>
      </c>
      <c r="F591" s="1176" t="s">
        <v>903</v>
      </c>
      <c r="G591" s="558" t="s">
        <v>150</v>
      </c>
      <c r="H591" s="558"/>
      <c r="I591" s="558" t="s">
        <v>1452</v>
      </c>
      <c r="J591" s="1118"/>
      <c r="K591" s="405"/>
    </row>
    <row r="592" spans="2:11" ht="15" customHeight="1" x14ac:dyDescent="0.3">
      <c r="B592" s="401"/>
      <c r="F592" s="386"/>
      <c r="G592" s="386"/>
      <c r="H592" s="358"/>
      <c r="I592" s="386"/>
      <c r="J592" s="358"/>
    </row>
    <row r="593" spans="2:11" ht="15" customHeight="1" x14ac:dyDescent="0.3">
      <c r="B593" s="401"/>
      <c r="F593" s="386"/>
      <c r="G593" s="386"/>
      <c r="H593" s="358"/>
      <c r="I593" s="386"/>
      <c r="J593" s="358"/>
    </row>
    <row r="594" spans="2:11" ht="15" customHeight="1" x14ac:dyDescent="0.3">
      <c r="B594" s="1221" t="s">
        <v>2367</v>
      </c>
      <c r="C594" s="279"/>
      <c r="D594" s="279"/>
      <c r="E594" s="298"/>
      <c r="F594" s="386"/>
      <c r="G594" s="386"/>
      <c r="H594" s="358"/>
      <c r="I594" s="386"/>
      <c r="J594" s="358"/>
    </row>
    <row r="595" spans="2:11" ht="15" customHeight="1" x14ac:dyDescent="0.3">
      <c r="F595" s="357"/>
      <c r="I595" s="357"/>
    </row>
    <row r="596" spans="2:11" ht="15" customHeight="1" x14ac:dyDescent="0.3">
      <c r="B596" s="1177" t="s">
        <v>2437</v>
      </c>
      <c r="C596" s="1178">
        <v>45717</v>
      </c>
      <c r="D596" s="745" t="s">
        <v>2760</v>
      </c>
      <c r="E596" s="782" t="s">
        <v>2761</v>
      </c>
      <c r="F596" s="745" t="s">
        <v>258</v>
      </c>
      <c r="G596" s="1104" t="s">
        <v>579</v>
      </c>
      <c r="H596" s="1104"/>
      <c r="I596" s="1104" t="s">
        <v>2762</v>
      </c>
      <c r="J596" s="1148"/>
      <c r="K596" s="410" t="s">
        <v>1685</v>
      </c>
    </row>
    <row r="597" spans="2:11" ht="15" customHeight="1" x14ac:dyDescent="0.3">
      <c r="B597" s="1224" t="s">
        <v>261</v>
      </c>
      <c r="C597" s="1039">
        <v>39739</v>
      </c>
      <c r="D597" s="1041" t="s">
        <v>234</v>
      </c>
      <c r="E597" s="1040" t="s">
        <v>235</v>
      </c>
      <c r="F597" s="1041" t="s">
        <v>236</v>
      </c>
      <c r="G597" s="1225" t="s">
        <v>44</v>
      </c>
      <c r="H597" s="1225"/>
      <c r="I597" s="1225" t="s">
        <v>237</v>
      </c>
      <c r="J597" s="1166"/>
      <c r="K597" s="410"/>
    </row>
    <row r="598" spans="2:11" ht="15" customHeight="1" x14ac:dyDescent="0.3">
      <c r="B598" s="600" t="s">
        <v>580</v>
      </c>
      <c r="C598" s="920">
        <v>40160</v>
      </c>
      <c r="D598" s="921" t="s">
        <v>234</v>
      </c>
      <c r="E598" s="922" t="s">
        <v>549</v>
      </c>
      <c r="F598" s="921" t="s">
        <v>506</v>
      </c>
      <c r="G598" s="918" t="s">
        <v>558</v>
      </c>
      <c r="H598" s="918"/>
      <c r="I598" s="918" t="s">
        <v>559</v>
      </c>
      <c r="J598" s="916"/>
      <c r="K598" s="410"/>
    </row>
    <row r="599" spans="2:11" ht="15" customHeight="1" x14ac:dyDescent="0.3">
      <c r="B599" s="1079" t="s">
        <v>2230</v>
      </c>
      <c r="C599" s="1080">
        <v>45017</v>
      </c>
      <c r="D599" s="1082" t="s">
        <v>1613</v>
      </c>
      <c r="E599" s="1081" t="s">
        <v>2314</v>
      </c>
      <c r="F599" s="1082" t="s">
        <v>2052</v>
      </c>
      <c r="G599" s="1043" t="s">
        <v>242</v>
      </c>
      <c r="H599" s="1043"/>
      <c r="I599" s="1043" t="s">
        <v>2315</v>
      </c>
      <c r="J599" s="1083"/>
      <c r="K599" s="410"/>
    </row>
    <row r="600" spans="2:11" s="530" customFormat="1" ht="15" customHeight="1" x14ac:dyDescent="0.3">
      <c r="B600" s="1079" t="s">
        <v>1589</v>
      </c>
      <c r="C600" s="1080">
        <v>42672</v>
      </c>
      <c r="D600" s="1082" t="s">
        <v>1612</v>
      </c>
      <c r="E600" s="1081" t="s">
        <v>1017</v>
      </c>
      <c r="F600" s="1082" t="s">
        <v>34</v>
      </c>
      <c r="G600" s="1043" t="s">
        <v>150</v>
      </c>
      <c r="H600" s="1043"/>
      <c r="I600" s="1043" t="s">
        <v>1634</v>
      </c>
      <c r="J600" s="1083"/>
      <c r="K600" s="586"/>
    </row>
    <row r="601" spans="2:11" s="530" customFormat="1" ht="15" customHeight="1" x14ac:dyDescent="0.3">
      <c r="B601" s="1079" t="s">
        <v>2409</v>
      </c>
      <c r="C601" s="1080">
        <v>45234</v>
      </c>
      <c r="D601" s="1082" t="s">
        <v>1612</v>
      </c>
      <c r="E601" s="1081" t="s">
        <v>2413</v>
      </c>
      <c r="F601" s="1082" t="s">
        <v>810</v>
      </c>
      <c r="G601" s="1043" t="s">
        <v>796</v>
      </c>
      <c r="H601" s="1043"/>
      <c r="I601" s="1043" t="s">
        <v>2414</v>
      </c>
      <c r="J601" s="1083"/>
      <c r="K601" s="410"/>
    </row>
    <row r="602" spans="2:11" s="530" customFormat="1" ht="15" customHeight="1" x14ac:dyDescent="0.2">
      <c r="B602" s="1079" t="s">
        <v>701</v>
      </c>
      <c r="C602" s="1075">
        <v>40572</v>
      </c>
      <c r="D602" s="1076" t="s">
        <v>725</v>
      </c>
      <c r="E602" s="1077" t="s">
        <v>653</v>
      </c>
      <c r="F602" s="1076" t="s">
        <v>508</v>
      </c>
      <c r="G602" s="1078" t="s">
        <v>719</v>
      </c>
      <c r="H602" s="1078"/>
      <c r="I602" s="1078" t="s">
        <v>726</v>
      </c>
      <c r="J602" s="1083"/>
    </row>
    <row r="603" spans="2:11" s="530" customFormat="1" ht="15" customHeight="1" x14ac:dyDescent="0.2">
      <c r="B603" s="600" t="s">
        <v>884</v>
      </c>
      <c r="C603" s="920">
        <v>41322</v>
      </c>
      <c r="D603" s="921" t="s">
        <v>953</v>
      </c>
      <c r="E603" s="922" t="s">
        <v>931</v>
      </c>
      <c r="F603" s="921" t="s">
        <v>933</v>
      </c>
      <c r="G603" s="918" t="s">
        <v>796</v>
      </c>
      <c r="H603" s="918"/>
      <c r="I603" s="918" t="s">
        <v>954</v>
      </c>
      <c r="J603" s="916"/>
    </row>
    <row r="604" spans="2:11" s="530" customFormat="1" ht="15" customHeight="1" x14ac:dyDescent="0.2">
      <c r="B604" s="600" t="s">
        <v>1146</v>
      </c>
      <c r="C604" s="920">
        <v>41951</v>
      </c>
      <c r="D604" s="921" t="s">
        <v>1196</v>
      </c>
      <c r="E604" s="922" t="s">
        <v>28</v>
      </c>
      <c r="F604" s="921" t="s">
        <v>888</v>
      </c>
      <c r="G604" s="918" t="s">
        <v>150</v>
      </c>
      <c r="H604" s="918"/>
      <c r="I604" s="918" t="s">
        <v>1365</v>
      </c>
      <c r="J604" s="916"/>
    </row>
    <row r="605" spans="2:11" s="530" customFormat="1" ht="15" customHeight="1" x14ac:dyDescent="0.2">
      <c r="B605" s="600" t="s">
        <v>844</v>
      </c>
      <c r="C605" s="599">
        <v>40859</v>
      </c>
      <c r="D605" s="579" t="s">
        <v>849</v>
      </c>
      <c r="E605" s="556" t="s">
        <v>789</v>
      </c>
      <c r="F605" s="579" t="s">
        <v>824</v>
      </c>
      <c r="G605" s="555" t="s">
        <v>579</v>
      </c>
      <c r="H605" s="555"/>
      <c r="I605" s="555" t="s">
        <v>847</v>
      </c>
      <c r="J605" s="916"/>
    </row>
    <row r="606" spans="2:11" s="530" customFormat="1" ht="15" customHeight="1" x14ac:dyDescent="0.3">
      <c r="B606" s="600" t="s">
        <v>1817</v>
      </c>
      <c r="C606" s="599">
        <v>43436</v>
      </c>
      <c r="D606" s="579" t="s">
        <v>1915</v>
      </c>
      <c r="E606" s="556" t="s">
        <v>1060</v>
      </c>
      <c r="F606" s="579" t="s">
        <v>906</v>
      </c>
      <c r="G606" s="555" t="s">
        <v>150</v>
      </c>
      <c r="H606" s="555"/>
      <c r="I606" s="555" t="s">
        <v>1916</v>
      </c>
      <c r="J606" s="916"/>
      <c r="K606" s="410"/>
    </row>
    <row r="607" spans="2:11" s="530" customFormat="1" ht="15" customHeight="1" x14ac:dyDescent="0.3">
      <c r="B607" s="600" t="s">
        <v>2187</v>
      </c>
      <c r="C607" s="599">
        <v>44513</v>
      </c>
      <c r="D607" s="579" t="s">
        <v>2190</v>
      </c>
      <c r="E607" s="556" t="s">
        <v>2191</v>
      </c>
      <c r="F607" s="579" t="s">
        <v>1328</v>
      </c>
      <c r="G607" s="555" t="s">
        <v>2174</v>
      </c>
      <c r="H607" s="555"/>
      <c r="I607" s="555" t="s">
        <v>1981</v>
      </c>
      <c r="J607" s="916"/>
      <c r="K607" s="410"/>
    </row>
    <row r="608" spans="2:11" s="530" customFormat="1" ht="15" customHeight="1" x14ac:dyDescent="0.3">
      <c r="B608" s="600" t="s">
        <v>1662</v>
      </c>
      <c r="C608" s="599">
        <v>43127</v>
      </c>
      <c r="D608" s="579" t="s">
        <v>1080</v>
      </c>
      <c r="E608" s="556" t="s">
        <v>1609</v>
      </c>
      <c r="F608" s="579" t="s">
        <v>1171</v>
      </c>
      <c r="G608" s="555" t="s">
        <v>1643</v>
      </c>
      <c r="H608" s="555"/>
      <c r="I608" s="555" t="s">
        <v>1869</v>
      </c>
      <c r="J608" s="916"/>
      <c r="K608" s="357"/>
    </row>
    <row r="609" spans="2:11" s="405" customFormat="1" ht="15" customHeight="1" x14ac:dyDescent="0.2">
      <c r="B609" s="600" t="s">
        <v>1079</v>
      </c>
      <c r="C609" s="599">
        <v>41664</v>
      </c>
      <c r="D609" s="579" t="s">
        <v>1080</v>
      </c>
      <c r="E609" s="556" t="s">
        <v>1081</v>
      </c>
      <c r="F609" s="579" t="s">
        <v>506</v>
      </c>
      <c r="G609" s="555" t="s">
        <v>1027</v>
      </c>
      <c r="H609" s="555"/>
      <c r="I609" s="555" t="s">
        <v>1082</v>
      </c>
      <c r="J609" s="916"/>
      <c r="K609" s="530"/>
    </row>
    <row r="610" spans="2:11" s="405" customFormat="1" ht="15" customHeight="1" x14ac:dyDescent="0.2">
      <c r="B610" s="600" t="s">
        <v>178</v>
      </c>
      <c r="C610" s="599">
        <v>39068</v>
      </c>
      <c r="D610" s="579" t="s">
        <v>24</v>
      </c>
      <c r="E610" s="556" t="s">
        <v>25</v>
      </c>
      <c r="F610" s="579" t="s">
        <v>33</v>
      </c>
      <c r="G610" s="555" t="s">
        <v>44</v>
      </c>
      <c r="H610" s="555"/>
      <c r="I610" s="555" t="s">
        <v>223</v>
      </c>
      <c r="J610" s="916"/>
    </row>
    <row r="611" spans="2:11" s="405" customFormat="1" ht="15" customHeight="1" x14ac:dyDescent="0.3">
      <c r="B611" s="1037" t="s">
        <v>2047</v>
      </c>
      <c r="C611" s="1033">
        <v>43765</v>
      </c>
      <c r="D611" s="1034" t="s">
        <v>1270</v>
      </c>
      <c r="E611" s="1035" t="s">
        <v>155</v>
      </c>
      <c r="F611" s="1034" t="s">
        <v>1615</v>
      </c>
      <c r="G611" s="1036" t="s">
        <v>579</v>
      </c>
      <c r="H611" s="1036"/>
      <c r="I611" s="1036" t="s">
        <v>2049</v>
      </c>
      <c r="J611" s="1211"/>
      <c r="K611" s="713"/>
    </row>
    <row r="612" spans="2:11" ht="15" customHeight="1" x14ac:dyDescent="0.3">
      <c r="B612" s="1174" t="s">
        <v>1406</v>
      </c>
      <c r="C612" s="1175">
        <v>42414</v>
      </c>
      <c r="D612" s="1176" t="s">
        <v>1440</v>
      </c>
      <c r="E612" s="559" t="s">
        <v>163</v>
      </c>
      <c r="F612" s="1176" t="s">
        <v>577</v>
      </c>
      <c r="G612" s="558" t="s">
        <v>579</v>
      </c>
      <c r="H612" s="558"/>
      <c r="I612" s="558" t="s">
        <v>1442</v>
      </c>
      <c r="J612" s="1118"/>
      <c r="K612" s="405"/>
    </row>
    <row r="613" spans="2:11" ht="15" customHeight="1" x14ac:dyDescent="0.3">
      <c r="B613" s="401"/>
      <c r="F613" s="386"/>
      <c r="G613" s="400"/>
      <c r="H613" s="386"/>
      <c r="I613" s="358"/>
      <c r="J613" s="386"/>
    </row>
    <row r="614" spans="2:11" ht="15" customHeight="1" x14ac:dyDescent="0.3">
      <c r="B614" s="401"/>
      <c r="F614" s="386"/>
      <c r="G614" s="400"/>
      <c r="H614" s="386"/>
      <c r="I614" s="358"/>
      <c r="J614" s="386"/>
    </row>
    <row r="615" spans="2:11" ht="15" customHeight="1" x14ac:dyDescent="0.3">
      <c r="B615" s="1221" t="s">
        <v>2368</v>
      </c>
      <c r="C615" s="279"/>
      <c r="D615" s="279"/>
      <c r="E615" s="298"/>
      <c r="F615" s="357"/>
      <c r="I615" s="357"/>
    </row>
    <row r="616" spans="2:11" ht="15" customHeight="1" x14ac:dyDescent="0.3">
      <c r="B616" s="401"/>
      <c r="F616" s="357"/>
      <c r="I616" s="357"/>
    </row>
    <row r="617" spans="2:11" s="519" customFormat="1" ht="15" customHeight="1" x14ac:dyDescent="0.3">
      <c r="B617" s="1226" t="s">
        <v>177</v>
      </c>
      <c r="C617" s="1181">
        <v>39467</v>
      </c>
      <c r="D617" s="758" t="s">
        <v>159</v>
      </c>
      <c r="E617" s="915" t="s">
        <v>160</v>
      </c>
      <c r="F617" s="758" t="s">
        <v>161</v>
      </c>
      <c r="G617" s="1120" t="s">
        <v>44</v>
      </c>
      <c r="H617" s="1182"/>
      <c r="I617" s="1182"/>
      <c r="J617" s="1183"/>
      <c r="K617" s="357"/>
    </row>
    <row r="618" spans="2:11" s="519" customFormat="1" ht="15" customHeight="1" x14ac:dyDescent="0.3">
      <c r="B618" s="760" t="s">
        <v>261</v>
      </c>
      <c r="C618" s="1184">
        <v>39886</v>
      </c>
      <c r="D618" s="1185" t="s">
        <v>159</v>
      </c>
      <c r="E618" s="761" t="s">
        <v>244</v>
      </c>
      <c r="F618" s="1185" t="s">
        <v>245</v>
      </c>
      <c r="G618" s="1133" t="s">
        <v>246</v>
      </c>
      <c r="H618" s="1133"/>
      <c r="I618" s="1186"/>
      <c r="J618" s="1187"/>
      <c r="K618" s="357"/>
    </row>
    <row r="619" spans="2:11" ht="15" customHeight="1" x14ac:dyDescent="0.3">
      <c r="B619" s="712" t="s">
        <v>1079</v>
      </c>
      <c r="C619" s="1046">
        <v>41700</v>
      </c>
      <c r="D619" s="1048" t="s">
        <v>1084</v>
      </c>
      <c r="E619" s="1047" t="s">
        <v>1060</v>
      </c>
      <c r="F619" s="1048" t="s">
        <v>508</v>
      </c>
      <c r="G619" s="924" t="s">
        <v>1049</v>
      </c>
      <c r="H619" s="924"/>
      <c r="I619" s="924"/>
      <c r="J619" s="925"/>
      <c r="K619" s="519"/>
    </row>
    <row r="620" spans="2:11" ht="15" customHeight="1" x14ac:dyDescent="0.3">
      <c r="B620" s="1079" t="s">
        <v>2437</v>
      </c>
      <c r="C620" s="1080">
        <v>45725</v>
      </c>
      <c r="D620" s="1082" t="s">
        <v>2763</v>
      </c>
      <c r="E620" s="1081" t="s">
        <v>2416</v>
      </c>
      <c r="F620" s="1082" t="s">
        <v>903</v>
      </c>
      <c r="G620" s="1043" t="s">
        <v>579</v>
      </c>
      <c r="H620" s="1043"/>
      <c r="I620" s="1043"/>
      <c r="J620" s="1044"/>
      <c r="K620" s="357" t="s">
        <v>1685</v>
      </c>
    </row>
    <row r="621" spans="2:11" ht="15" customHeight="1" x14ac:dyDescent="0.3">
      <c r="B621" s="1079" t="s">
        <v>1589</v>
      </c>
      <c r="C621" s="1080">
        <v>42694</v>
      </c>
      <c r="D621" s="1082" t="s">
        <v>1613</v>
      </c>
      <c r="E621" s="1081" t="s">
        <v>1610</v>
      </c>
      <c r="F621" s="1082" t="s">
        <v>251</v>
      </c>
      <c r="G621" s="1043" t="s">
        <v>150</v>
      </c>
      <c r="H621" s="1043"/>
      <c r="I621" s="1043"/>
      <c r="J621" s="1044"/>
      <c r="K621" s="519"/>
    </row>
    <row r="622" spans="2:11" ht="15" customHeight="1" x14ac:dyDescent="0.3">
      <c r="B622" s="600" t="s">
        <v>1406</v>
      </c>
      <c r="C622" s="920">
        <v>42414</v>
      </c>
      <c r="D622" s="921" t="s">
        <v>1443</v>
      </c>
      <c r="E622" s="922" t="s">
        <v>163</v>
      </c>
      <c r="F622" s="921" t="s">
        <v>577</v>
      </c>
      <c r="G622" s="918" t="s">
        <v>579</v>
      </c>
      <c r="H622" s="918"/>
      <c r="I622" s="918"/>
      <c r="J622" s="923"/>
    </row>
    <row r="623" spans="2:11" ht="15" customHeight="1" x14ac:dyDescent="0.3">
      <c r="B623" s="600" t="s">
        <v>2187</v>
      </c>
      <c r="C623" s="920">
        <v>44464</v>
      </c>
      <c r="D623" s="921" t="s">
        <v>1915</v>
      </c>
      <c r="E623" s="922" t="s">
        <v>2192</v>
      </c>
      <c r="F623" s="921" t="s">
        <v>39</v>
      </c>
      <c r="G623" s="918" t="s">
        <v>2173</v>
      </c>
      <c r="H623" s="918"/>
      <c r="I623" s="918"/>
      <c r="J623" s="923"/>
    </row>
    <row r="624" spans="2:11" ht="15" customHeight="1" x14ac:dyDescent="0.3">
      <c r="B624" s="600" t="s">
        <v>1662</v>
      </c>
      <c r="C624" s="920">
        <v>43022</v>
      </c>
      <c r="D624" s="921" t="s">
        <v>1665</v>
      </c>
      <c r="E624" s="922" t="s">
        <v>1454</v>
      </c>
      <c r="F624" s="921" t="s">
        <v>1268</v>
      </c>
      <c r="G624" s="918" t="s">
        <v>150</v>
      </c>
      <c r="H624" s="918"/>
      <c r="I624" s="918"/>
      <c r="J624" s="923"/>
    </row>
    <row r="625" spans="2:11" ht="15" customHeight="1" x14ac:dyDescent="0.3">
      <c r="B625" s="600" t="s">
        <v>1817</v>
      </c>
      <c r="C625" s="920">
        <v>43526</v>
      </c>
      <c r="D625" s="921" t="s">
        <v>1917</v>
      </c>
      <c r="E625" s="922" t="s">
        <v>1918</v>
      </c>
      <c r="F625" s="921" t="s">
        <v>906</v>
      </c>
      <c r="G625" s="918" t="s">
        <v>1414</v>
      </c>
      <c r="H625" s="918"/>
      <c r="I625" s="918"/>
      <c r="J625" s="923"/>
    </row>
    <row r="626" spans="2:11" ht="15" customHeight="1" x14ac:dyDescent="0.3">
      <c r="B626" s="600" t="s">
        <v>580</v>
      </c>
      <c r="C626" s="599">
        <v>40160</v>
      </c>
      <c r="D626" s="579" t="s">
        <v>561</v>
      </c>
      <c r="E626" s="556" t="s">
        <v>549</v>
      </c>
      <c r="F626" s="579" t="s">
        <v>506</v>
      </c>
      <c r="G626" s="555" t="s">
        <v>558</v>
      </c>
      <c r="H626" s="1205"/>
      <c r="I626" s="926"/>
      <c r="J626" s="923"/>
    </row>
    <row r="627" spans="2:11" ht="15" customHeight="1" x14ac:dyDescent="0.3">
      <c r="B627" s="600" t="s">
        <v>1146</v>
      </c>
      <c r="C627" s="920">
        <v>42028</v>
      </c>
      <c r="D627" s="921" t="s">
        <v>561</v>
      </c>
      <c r="E627" s="922" t="s">
        <v>130</v>
      </c>
      <c r="F627" s="921" t="s">
        <v>245</v>
      </c>
      <c r="G627" s="918" t="s">
        <v>579</v>
      </c>
      <c r="H627" s="926"/>
      <c r="I627" s="926"/>
      <c r="J627" s="923"/>
    </row>
    <row r="628" spans="2:11" ht="15" customHeight="1" x14ac:dyDescent="0.3">
      <c r="B628" s="600" t="s">
        <v>2047</v>
      </c>
      <c r="C628" s="920">
        <v>43856</v>
      </c>
      <c r="D628" s="921" t="s">
        <v>2050</v>
      </c>
      <c r="E628" s="922" t="s">
        <v>2051</v>
      </c>
      <c r="F628" s="921" t="s">
        <v>2052</v>
      </c>
      <c r="G628" s="918" t="s">
        <v>579</v>
      </c>
      <c r="H628" s="926"/>
      <c r="I628" s="926"/>
      <c r="J628" s="923"/>
    </row>
    <row r="629" spans="2:11" ht="15" customHeight="1" x14ac:dyDescent="0.3">
      <c r="B629" s="600" t="s">
        <v>2409</v>
      </c>
      <c r="C629" s="920">
        <v>45277</v>
      </c>
      <c r="D629" s="921" t="s">
        <v>2415</v>
      </c>
      <c r="E629" s="922" t="s">
        <v>2416</v>
      </c>
      <c r="F629" s="921" t="s">
        <v>906</v>
      </c>
      <c r="G629" s="918" t="s">
        <v>579</v>
      </c>
      <c r="H629" s="926"/>
      <c r="I629" s="926"/>
      <c r="J629" s="923"/>
    </row>
    <row r="630" spans="2:11" s="530" customFormat="1" ht="15" customHeight="1" x14ac:dyDescent="0.3">
      <c r="B630" s="600" t="s">
        <v>2230</v>
      </c>
      <c r="C630" s="920">
        <v>45003</v>
      </c>
      <c r="D630" s="921" t="s">
        <v>2316</v>
      </c>
      <c r="E630" s="922" t="s">
        <v>2317</v>
      </c>
      <c r="F630" s="921" t="s">
        <v>2336</v>
      </c>
      <c r="G630" s="918" t="s">
        <v>1593</v>
      </c>
      <c r="H630" s="926"/>
      <c r="I630" s="926"/>
      <c r="J630" s="923"/>
      <c r="K630" s="357"/>
    </row>
    <row r="631" spans="2:11" s="530" customFormat="1" ht="15" customHeight="1" x14ac:dyDescent="0.3">
      <c r="B631" s="600" t="s">
        <v>178</v>
      </c>
      <c r="C631" s="599">
        <v>39046</v>
      </c>
      <c r="D631" s="579" t="s">
        <v>20</v>
      </c>
      <c r="E631" s="556" t="s">
        <v>26</v>
      </c>
      <c r="F631" s="579" t="s">
        <v>34</v>
      </c>
      <c r="G631" s="555" t="s">
        <v>41</v>
      </c>
      <c r="H631" s="555"/>
      <c r="I631" s="926"/>
      <c r="J631" s="923"/>
      <c r="K631" s="357"/>
    </row>
    <row r="632" spans="2:11" s="530" customFormat="1" ht="15" customHeight="1" x14ac:dyDescent="0.2">
      <c r="B632" s="600" t="s">
        <v>701</v>
      </c>
      <c r="C632" s="599">
        <v>40614</v>
      </c>
      <c r="D632" s="579" t="s">
        <v>727</v>
      </c>
      <c r="E632" s="556" t="s">
        <v>664</v>
      </c>
      <c r="F632" s="579" t="s">
        <v>715</v>
      </c>
      <c r="G632" s="555" t="s">
        <v>728</v>
      </c>
      <c r="H632" s="555"/>
      <c r="I632" s="555"/>
      <c r="J632" s="916"/>
    </row>
    <row r="633" spans="2:11" ht="15" customHeight="1" x14ac:dyDescent="0.3">
      <c r="B633" s="600" t="s">
        <v>884</v>
      </c>
      <c r="C633" s="920">
        <v>41202</v>
      </c>
      <c r="D633" s="921" t="s">
        <v>955</v>
      </c>
      <c r="E633" s="922" t="s">
        <v>896</v>
      </c>
      <c r="F633" s="921" t="s">
        <v>897</v>
      </c>
      <c r="G633" s="918" t="s">
        <v>579</v>
      </c>
      <c r="H633" s="918"/>
      <c r="I633" s="555"/>
      <c r="J633" s="916"/>
      <c r="K633" s="530"/>
    </row>
    <row r="634" spans="2:11" ht="15" customHeight="1" x14ac:dyDescent="0.3">
      <c r="B634" s="1174" t="s">
        <v>844</v>
      </c>
      <c r="C634" s="1175">
        <v>40971</v>
      </c>
      <c r="D634" s="1176" t="s">
        <v>848</v>
      </c>
      <c r="E634" s="559" t="s">
        <v>816</v>
      </c>
      <c r="F634" s="1176" t="s">
        <v>577</v>
      </c>
      <c r="G634" s="558" t="s">
        <v>794</v>
      </c>
      <c r="H634" s="558"/>
      <c r="I634" s="558"/>
      <c r="J634" s="1118"/>
      <c r="K634" s="530"/>
    </row>
    <row r="635" spans="2:11" ht="15" customHeight="1" x14ac:dyDescent="0.3">
      <c r="B635" s="401"/>
      <c r="F635" s="386"/>
      <c r="G635" s="400"/>
      <c r="H635" s="386"/>
      <c r="I635" s="358"/>
      <c r="J635" s="386"/>
    </row>
    <row r="636" spans="2:11" ht="15" customHeight="1" x14ac:dyDescent="0.3">
      <c r="B636" s="401"/>
      <c r="F636" s="386"/>
      <c r="G636" s="400"/>
      <c r="H636" s="386"/>
      <c r="I636" s="358"/>
      <c r="J636" s="386"/>
    </row>
    <row r="637" spans="2:11" ht="15" customHeight="1" x14ac:dyDescent="0.3">
      <c r="B637" s="1223" t="s">
        <v>199</v>
      </c>
      <c r="C637" s="279"/>
      <c r="D637" s="279"/>
      <c r="E637" s="298"/>
      <c r="F637" s="357"/>
      <c r="I637" s="357"/>
    </row>
    <row r="638" spans="2:11" s="519" customFormat="1" ht="15" customHeight="1" x14ac:dyDescent="0.2">
      <c r="B638" s="529"/>
    </row>
    <row r="639" spans="2:11" s="519" customFormat="1" ht="15" customHeight="1" x14ac:dyDescent="0.3">
      <c r="B639" s="1222" t="s">
        <v>1406</v>
      </c>
      <c r="C639" s="1180">
        <v>42442</v>
      </c>
      <c r="D639" s="1155" t="s">
        <v>1444</v>
      </c>
      <c r="E639" s="1179" t="s">
        <v>1366</v>
      </c>
      <c r="F639" s="1179" t="s">
        <v>40</v>
      </c>
      <c r="G639" s="1188" t="s">
        <v>579</v>
      </c>
      <c r="H639" s="1155"/>
      <c r="I639" s="1188" t="s">
        <v>1445</v>
      </c>
      <c r="J639" s="746"/>
      <c r="K639" s="357"/>
    </row>
    <row r="640" spans="2:11" s="519" customFormat="1" ht="15" customHeight="1" x14ac:dyDescent="0.2">
      <c r="B640" s="1045" t="s">
        <v>844</v>
      </c>
      <c r="C640" s="1046">
        <v>40619</v>
      </c>
      <c r="D640" s="1047" t="s">
        <v>850</v>
      </c>
      <c r="E640" s="1048" t="s">
        <v>30</v>
      </c>
      <c r="F640" s="1048" t="s">
        <v>565</v>
      </c>
      <c r="G640" s="1049" t="s">
        <v>242</v>
      </c>
      <c r="H640" s="924"/>
      <c r="I640" s="1049" t="s">
        <v>863</v>
      </c>
      <c r="J640" s="1172"/>
    </row>
    <row r="641" spans="2:11" s="519" customFormat="1" ht="15" customHeight="1" x14ac:dyDescent="0.3">
      <c r="B641" s="1074" t="s">
        <v>2230</v>
      </c>
      <c r="C641" s="1080">
        <v>44828</v>
      </c>
      <c r="D641" s="1081" t="s">
        <v>2319</v>
      </c>
      <c r="E641" s="1082" t="s">
        <v>2320</v>
      </c>
      <c r="F641" s="1082" t="s">
        <v>897</v>
      </c>
      <c r="G641" s="1218" t="s">
        <v>796</v>
      </c>
      <c r="H641" s="1043"/>
      <c r="I641" s="1218" t="s">
        <v>2323</v>
      </c>
      <c r="J641" s="1083"/>
      <c r="K641" s="357"/>
    </row>
    <row r="642" spans="2:11" s="519" customFormat="1" ht="15" customHeight="1" x14ac:dyDescent="0.2">
      <c r="B642" s="600" t="s">
        <v>177</v>
      </c>
      <c r="C642" s="599">
        <v>39502</v>
      </c>
      <c r="D642" s="579" t="s">
        <v>162</v>
      </c>
      <c r="E642" s="556" t="s">
        <v>163</v>
      </c>
      <c r="F642" s="579" t="s">
        <v>164</v>
      </c>
      <c r="G642" s="555" t="s">
        <v>44</v>
      </c>
      <c r="H642" s="555"/>
      <c r="I642" s="555" t="s">
        <v>224</v>
      </c>
      <c r="J642" s="916"/>
    </row>
    <row r="643" spans="2:11" s="519" customFormat="1" ht="15" customHeight="1" x14ac:dyDescent="0.2">
      <c r="B643" s="600" t="s">
        <v>1079</v>
      </c>
      <c r="C643" s="920">
        <v>41566</v>
      </c>
      <c r="D643" s="921" t="s">
        <v>1085</v>
      </c>
      <c r="E643" s="922" t="s">
        <v>1017</v>
      </c>
      <c r="F643" s="921" t="s">
        <v>903</v>
      </c>
      <c r="G643" s="918" t="s">
        <v>150</v>
      </c>
      <c r="H643" s="918"/>
      <c r="I643" s="918" t="s">
        <v>1086</v>
      </c>
      <c r="J643" s="916"/>
    </row>
    <row r="644" spans="2:11" s="519" customFormat="1" ht="15" customHeight="1" x14ac:dyDescent="0.2">
      <c r="B644" s="600" t="s">
        <v>1146</v>
      </c>
      <c r="C644" s="920">
        <v>41972</v>
      </c>
      <c r="D644" s="921" t="s">
        <v>1227</v>
      </c>
      <c r="E644" s="922" t="s">
        <v>1366</v>
      </c>
      <c r="F644" s="921" t="s">
        <v>1235</v>
      </c>
      <c r="G644" s="918" t="s">
        <v>150</v>
      </c>
      <c r="H644" s="918"/>
      <c r="I644" s="918" t="s">
        <v>1367</v>
      </c>
      <c r="J644" s="916"/>
    </row>
    <row r="645" spans="2:11" s="519" customFormat="1" ht="15" customHeight="1" x14ac:dyDescent="0.3">
      <c r="B645" s="600" t="s">
        <v>1662</v>
      </c>
      <c r="C645" s="920">
        <v>43169</v>
      </c>
      <c r="D645" s="921" t="s">
        <v>1666</v>
      </c>
      <c r="E645" s="922" t="s">
        <v>806</v>
      </c>
      <c r="F645" s="921" t="s">
        <v>164</v>
      </c>
      <c r="G645" s="918" t="s">
        <v>1414</v>
      </c>
      <c r="H645" s="918"/>
      <c r="I645" s="918" t="s">
        <v>1667</v>
      </c>
      <c r="J645" s="916"/>
      <c r="K645" s="357"/>
    </row>
    <row r="646" spans="2:11" s="519" customFormat="1" ht="15" customHeight="1" x14ac:dyDescent="0.3">
      <c r="B646" s="600" t="s">
        <v>2187</v>
      </c>
      <c r="C646" s="920">
        <v>44597</v>
      </c>
      <c r="D646" s="921" t="s">
        <v>2193</v>
      </c>
      <c r="E646" s="922" t="s">
        <v>2194</v>
      </c>
      <c r="F646" s="921" t="s">
        <v>38</v>
      </c>
      <c r="G646" s="918" t="s">
        <v>150</v>
      </c>
      <c r="H646" s="918"/>
      <c r="I646" s="918" t="s">
        <v>2195</v>
      </c>
      <c r="J646" s="916"/>
      <c r="K646" s="357"/>
    </row>
    <row r="647" spans="2:11" s="519" customFormat="1" ht="15" customHeight="1" x14ac:dyDescent="0.2">
      <c r="B647" s="600" t="s">
        <v>580</v>
      </c>
      <c r="C647" s="599">
        <v>40187</v>
      </c>
      <c r="D647" s="579" t="s">
        <v>562</v>
      </c>
      <c r="E647" s="556" t="s">
        <v>551</v>
      </c>
      <c r="F647" s="579" t="s">
        <v>254</v>
      </c>
      <c r="G647" s="555" t="s">
        <v>558</v>
      </c>
      <c r="H647" s="555"/>
      <c r="I647" s="555" t="s">
        <v>563</v>
      </c>
      <c r="J647" s="916"/>
    </row>
    <row r="648" spans="2:11" s="519" customFormat="1" ht="15" customHeight="1" x14ac:dyDescent="0.2">
      <c r="B648" s="600" t="s">
        <v>1817</v>
      </c>
      <c r="C648" s="599">
        <v>43436</v>
      </c>
      <c r="D648" s="579" t="s">
        <v>1919</v>
      </c>
      <c r="E648" s="556" t="s">
        <v>780</v>
      </c>
      <c r="F648" s="579" t="s">
        <v>156</v>
      </c>
      <c r="G648" s="555" t="s">
        <v>150</v>
      </c>
      <c r="H648" s="555"/>
      <c r="I648" s="555" t="s">
        <v>1920</v>
      </c>
      <c r="J648" s="916"/>
    </row>
    <row r="649" spans="2:11" s="519" customFormat="1" ht="15" customHeight="1" x14ac:dyDescent="0.2">
      <c r="B649" s="600" t="s">
        <v>2047</v>
      </c>
      <c r="C649" s="599">
        <v>43876</v>
      </c>
      <c r="D649" s="579" t="s">
        <v>2053</v>
      </c>
      <c r="E649" s="556" t="s">
        <v>2054</v>
      </c>
      <c r="F649" s="579" t="s">
        <v>506</v>
      </c>
      <c r="G649" s="555" t="s">
        <v>1643</v>
      </c>
      <c r="H649" s="555"/>
      <c r="I649" s="555" t="s">
        <v>2055</v>
      </c>
      <c r="J649" s="916"/>
    </row>
    <row r="650" spans="2:11" s="530" customFormat="1" ht="15" customHeight="1" x14ac:dyDescent="0.2">
      <c r="B650" s="600" t="s">
        <v>1589</v>
      </c>
      <c r="C650" s="599">
        <v>42722</v>
      </c>
      <c r="D650" s="579" t="s">
        <v>1614</v>
      </c>
      <c r="E650" s="556" t="s">
        <v>250</v>
      </c>
      <c r="F650" s="579" t="s">
        <v>1615</v>
      </c>
      <c r="G650" s="555" t="s">
        <v>150</v>
      </c>
      <c r="H650" s="555"/>
      <c r="I650" s="555" t="s">
        <v>1625</v>
      </c>
      <c r="J650" s="916"/>
      <c r="K650" s="519"/>
    </row>
    <row r="651" spans="2:11" s="530" customFormat="1" ht="15" customHeight="1" x14ac:dyDescent="0.3">
      <c r="B651" s="600" t="s">
        <v>2409</v>
      </c>
      <c r="C651" s="599">
        <v>45297</v>
      </c>
      <c r="D651" s="579" t="s">
        <v>2417</v>
      </c>
      <c r="E651" s="556" t="s">
        <v>2429</v>
      </c>
      <c r="F651" s="579" t="s">
        <v>506</v>
      </c>
      <c r="G651" s="555" t="s">
        <v>731</v>
      </c>
      <c r="H651" s="555"/>
      <c r="I651" s="555" t="s">
        <v>2448</v>
      </c>
      <c r="J651" s="916"/>
      <c r="K651" s="357"/>
    </row>
    <row r="652" spans="2:11" s="530" customFormat="1" ht="15" customHeight="1" x14ac:dyDescent="0.3">
      <c r="B652" s="600" t="s">
        <v>2437</v>
      </c>
      <c r="C652" s="599">
        <v>45703</v>
      </c>
      <c r="D652" s="579" t="s">
        <v>1170</v>
      </c>
      <c r="E652" s="556" t="s">
        <v>2206</v>
      </c>
      <c r="F652" s="579" t="s">
        <v>2766</v>
      </c>
      <c r="G652" s="555" t="s">
        <v>2765</v>
      </c>
      <c r="H652" s="555"/>
      <c r="I652" s="555" t="s">
        <v>2789</v>
      </c>
      <c r="J652" s="916"/>
      <c r="K652" s="357" t="s">
        <v>1685</v>
      </c>
    </row>
    <row r="653" spans="2:11" ht="15" customHeight="1" x14ac:dyDescent="0.3">
      <c r="B653" s="600" t="s">
        <v>884</v>
      </c>
      <c r="C653" s="920">
        <v>41279</v>
      </c>
      <c r="D653" s="921" t="s">
        <v>956</v>
      </c>
      <c r="E653" s="922" t="s">
        <v>916</v>
      </c>
      <c r="F653" s="921" t="s">
        <v>245</v>
      </c>
      <c r="G653" s="918" t="s">
        <v>579</v>
      </c>
      <c r="H653" s="918"/>
      <c r="I653" s="918" t="s">
        <v>957</v>
      </c>
      <c r="J653" s="916"/>
      <c r="K653" s="519"/>
    </row>
    <row r="654" spans="2:11" ht="15" customHeight="1" x14ac:dyDescent="0.3">
      <c r="B654" s="1174" t="s">
        <v>701</v>
      </c>
      <c r="C654" s="1175">
        <v>40440</v>
      </c>
      <c r="D654" s="1176" t="s">
        <v>732</v>
      </c>
      <c r="E654" s="559" t="s">
        <v>615</v>
      </c>
      <c r="F654" s="1176" t="s">
        <v>37</v>
      </c>
      <c r="G654" s="558" t="s">
        <v>731</v>
      </c>
      <c r="H654" s="558"/>
      <c r="I654" s="558" t="s">
        <v>733</v>
      </c>
      <c r="J654" s="1118"/>
      <c r="K654" s="530"/>
    </row>
    <row r="655" spans="2:11" ht="15" customHeight="1" x14ac:dyDescent="0.3">
      <c r="B655" s="401"/>
      <c r="F655" s="386"/>
      <c r="G655" s="400"/>
      <c r="H655" s="386"/>
      <c r="I655" s="358"/>
      <c r="J655" s="386"/>
    </row>
    <row r="656" spans="2:11" ht="15" customHeight="1" x14ac:dyDescent="0.3">
      <c r="B656" s="401"/>
      <c r="F656" s="386"/>
      <c r="G656" s="400"/>
      <c r="H656" s="386"/>
      <c r="I656" s="358"/>
      <c r="J656" s="386"/>
    </row>
    <row r="657" spans="2:11" ht="15" customHeight="1" x14ac:dyDescent="0.3">
      <c r="B657" s="1223" t="s">
        <v>193</v>
      </c>
      <c r="C657" s="279"/>
      <c r="D657" s="279"/>
      <c r="E657" s="298"/>
      <c r="F657" s="357"/>
      <c r="I657" s="357"/>
    </row>
    <row r="658" spans="2:11" s="519" customFormat="1" ht="15" customHeight="1" x14ac:dyDescent="0.2">
      <c r="B658" s="529"/>
    </row>
    <row r="659" spans="2:11" s="519" customFormat="1" ht="15" customHeight="1" x14ac:dyDescent="0.3">
      <c r="B659" s="1222" t="s">
        <v>1146</v>
      </c>
      <c r="C659" s="1180">
        <v>41916</v>
      </c>
      <c r="D659" s="1179" t="s">
        <v>1119</v>
      </c>
      <c r="E659" s="1155" t="s">
        <v>1368</v>
      </c>
      <c r="F659" s="1179" t="s">
        <v>565</v>
      </c>
      <c r="G659" s="1154" t="s">
        <v>579</v>
      </c>
      <c r="H659" s="1154"/>
      <c r="I659" s="1154" t="s">
        <v>1369</v>
      </c>
      <c r="J659" s="1159"/>
      <c r="K659" s="357"/>
    </row>
    <row r="660" spans="2:11" s="519" customFormat="1" ht="15" customHeight="1" x14ac:dyDescent="0.2">
      <c r="B660" s="1045" t="s">
        <v>1817</v>
      </c>
      <c r="C660" s="1046">
        <v>43498</v>
      </c>
      <c r="D660" s="1047" t="s">
        <v>1921</v>
      </c>
      <c r="E660" s="1048" t="s">
        <v>1617</v>
      </c>
      <c r="F660" s="1048" t="s">
        <v>565</v>
      </c>
      <c r="G660" s="1049" t="s">
        <v>1147</v>
      </c>
      <c r="H660" s="924"/>
      <c r="I660" s="924" t="s">
        <v>1949</v>
      </c>
      <c r="J660" s="925"/>
    </row>
    <row r="661" spans="2:11" s="519" customFormat="1" ht="15" customHeight="1" x14ac:dyDescent="0.2">
      <c r="B661" s="1038" t="s">
        <v>2047</v>
      </c>
      <c r="C661" s="1039">
        <v>43765</v>
      </c>
      <c r="D661" s="1040" t="s">
        <v>1921</v>
      </c>
      <c r="E661" s="1041" t="s">
        <v>2056</v>
      </c>
      <c r="F661" s="1041" t="s">
        <v>164</v>
      </c>
      <c r="G661" s="1042" t="s">
        <v>579</v>
      </c>
      <c r="H661" s="1043"/>
      <c r="I661" s="1043"/>
      <c r="J661" s="1044"/>
    </row>
    <row r="662" spans="2:11" s="519" customFormat="1" ht="15" customHeight="1" x14ac:dyDescent="0.2">
      <c r="B662" s="917" t="s">
        <v>844</v>
      </c>
      <c r="C662" s="920">
        <v>40811</v>
      </c>
      <c r="D662" s="922" t="s">
        <v>851</v>
      </c>
      <c r="E662" s="921" t="s">
        <v>777</v>
      </c>
      <c r="F662" s="921" t="s">
        <v>164</v>
      </c>
      <c r="G662" s="944" t="s">
        <v>796</v>
      </c>
      <c r="H662" s="1043"/>
      <c r="I662" s="1043"/>
      <c r="J662" s="1044"/>
    </row>
    <row r="663" spans="2:11" s="519" customFormat="1" ht="15" customHeight="1" x14ac:dyDescent="0.2">
      <c r="B663" s="600" t="s">
        <v>261</v>
      </c>
      <c r="C663" s="599">
        <v>39767</v>
      </c>
      <c r="D663" s="579" t="s">
        <v>247</v>
      </c>
      <c r="E663" s="556" t="s">
        <v>250</v>
      </c>
      <c r="F663" s="579" t="s">
        <v>251</v>
      </c>
      <c r="G663" s="555" t="s">
        <v>44</v>
      </c>
      <c r="H663" s="918"/>
      <c r="I663" s="918"/>
      <c r="J663" s="919"/>
    </row>
    <row r="664" spans="2:11" s="519" customFormat="1" ht="15" customHeight="1" x14ac:dyDescent="0.2">
      <c r="B664" s="600" t="s">
        <v>580</v>
      </c>
      <c r="C664" s="599">
        <v>40082</v>
      </c>
      <c r="D664" s="579" t="s">
        <v>564</v>
      </c>
      <c r="E664" s="556" t="s">
        <v>542</v>
      </c>
      <c r="F664" s="579" t="s">
        <v>565</v>
      </c>
      <c r="G664" s="555" t="s">
        <v>249</v>
      </c>
      <c r="H664" s="918"/>
      <c r="I664" s="918"/>
      <c r="J664" s="919"/>
    </row>
    <row r="665" spans="2:11" s="405" customFormat="1" ht="15" customHeight="1" x14ac:dyDescent="0.2">
      <c r="B665" s="600" t="s">
        <v>1589</v>
      </c>
      <c r="C665" s="599">
        <v>42652</v>
      </c>
      <c r="D665" s="579" t="s">
        <v>1616</v>
      </c>
      <c r="E665" s="556" t="s">
        <v>1602</v>
      </c>
      <c r="F665" s="579" t="s">
        <v>565</v>
      </c>
      <c r="G665" s="555" t="s">
        <v>150</v>
      </c>
      <c r="H665" s="918"/>
      <c r="I665" s="918"/>
      <c r="J665" s="919"/>
      <c r="K665" s="519"/>
    </row>
    <row r="666" spans="2:11" s="536" customFormat="1" ht="15" customHeight="1" x14ac:dyDescent="0.2">
      <c r="B666" s="600" t="s">
        <v>884</v>
      </c>
      <c r="C666" s="920">
        <v>41182</v>
      </c>
      <c r="D666" s="921" t="s">
        <v>958</v>
      </c>
      <c r="E666" s="922" t="s">
        <v>887</v>
      </c>
      <c r="F666" s="921" t="s">
        <v>888</v>
      </c>
      <c r="G666" s="918" t="s">
        <v>794</v>
      </c>
      <c r="H666" s="918"/>
      <c r="I666" s="918"/>
      <c r="J666" s="919"/>
      <c r="K666" s="519"/>
    </row>
    <row r="667" spans="2:11" s="536" customFormat="1" ht="15" customHeight="1" x14ac:dyDescent="0.3">
      <c r="B667" s="600" t="s">
        <v>2409</v>
      </c>
      <c r="C667" s="920">
        <v>45339</v>
      </c>
      <c r="D667" s="921" t="s">
        <v>2419</v>
      </c>
      <c r="E667" s="922" t="s">
        <v>2202</v>
      </c>
      <c r="F667" s="921" t="s">
        <v>164</v>
      </c>
      <c r="G667" s="918" t="s">
        <v>579</v>
      </c>
      <c r="H667" s="918"/>
      <c r="I667" s="918"/>
      <c r="J667" s="919"/>
      <c r="K667" s="357"/>
    </row>
    <row r="668" spans="2:11" s="536" customFormat="1" ht="15" customHeight="1" x14ac:dyDescent="0.3">
      <c r="B668" s="600" t="s">
        <v>2437</v>
      </c>
      <c r="C668" s="920">
        <v>45695</v>
      </c>
      <c r="D668" s="921" t="s">
        <v>2768</v>
      </c>
      <c r="E668" s="922" t="s">
        <v>2769</v>
      </c>
      <c r="F668" s="921" t="s">
        <v>1680</v>
      </c>
      <c r="G668" s="918" t="s">
        <v>579</v>
      </c>
      <c r="H668" s="918"/>
      <c r="I668" s="918"/>
      <c r="J668" s="919"/>
      <c r="K668" s="357" t="s">
        <v>1685</v>
      </c>
    </row>
    <row r="669" spans="2:11" s="536" customFormat="1" ht="15" customHeight="1" x14ac:dyDescent="0.2">
      <c r="B669" s="600" t="s">
        <v>1079</v>
      </c>
      <c r="C669" s="920">
        <v>41609</v>
      </c>
      <c r="D669" s="921" t="s">
        <v>1087</v>
      </c>
      <c r="E669" s="922" t="s">
        <v>1031</v>
      </c>
      <c r="F669" s="921" t="s">
        <v>506</v>
      </c>
      <c r="G669" s="918" t="s">
        <v>579</v>
      </c>
      <c r="H669" s="918"/>
      <c r="I669" s="555"/>
      <c r="J669" s="916"/>
      <c r="K669" s="405"/>
    </row>
    <row r="670" spans="2:11" s="536" customFormat="1" ht="15" customHeight="1" x14ac:dyDescent="0.2">
      <c r="B670" s="600" t="s">
        <v>177</v>
      </c>
      <c r="C670" s="599">
        <v>39347</v>
      </c>
      <c r="D670" s="579" t="s">
        <v>165</v>
      </c>
      <c r="E670" s="556" t="s">
        <v>166</v>
      </c>
      <c r="F670" s="579" t="s">
        <v>167</v>
      </c>
      <c r="G670" s="555" t="s">
        <v>44</v>
      </c>
      <c r="H670" s="555"/>
      <c r="I670" s="555"/>
      <c r="J670" s="916"/>
    </row>
    <row r="671" spans="2:11" s="536" customFormat="1" ht="15" customHeight="1" x14ac:dyDescent="0.3">
      <c r="B671" s="600" t="s">
        <v>2230</v>
      </c>
      <c r="C671" s="599">
        <v>44850</v>
      </c>
      <c r="D671" s="579" t="s">
        <v>2321</v>
      </c>
      <c r="E671" s="556" t="s">
        <v>2322</v>
      </c>
      <c r="F671" s="579" t="s">
        <v>258</v>
      </c>
      <c r="G671" s="555" t="s">
        <v>796</v>
      </c>
      <c r="H671" s="555"/>
      <c r="I671" s="555"/>
      <c r="J671" s="916"/>
      <c r="K671" s="357"/>
    </row>
    <row r="672" spans="2:11" s="536" customFormat="1" ht="15" customHeight="1" x14ac:dyDescent="0.2">
      <c r="B672" s="600" t="s">
        <v>1406</v>
      </c>
      <c r="C672" s="599">
        <v>42399</v>
      </c>
      <c r="D672" s="579" t="s">
        <v>1446</v>
      </c>
      <c r="E672" s="556" t="s">
        <v>1447</v>
      </c>
      <c r="F672" s="579" t="s">
        <v>1448</v>
      </c>
      <c r="G672" s="555" t="s">
        <v>150</v>
      </c>
      <c r="H672" s="555"/>
      <c r="I672" s="555"/>
      <c r="J672" s="916"/>
    </row>
    <row r="673" spans="2:11" s="536" customFormat="1" ht="15" customHeight="1" x14ac:dyDescent="0.2">
      <c r="B673" s="600" t="s">
        <v>2187</v>
      </c>
      <c r="C673" s="599">
        <v>44597</v>
      </c>
      <c r="D673" s="579" t="s">
        <v>2196</v>
      </c>
      <c r="E673" s="556" t="s">
        <v>1617</v>
      </c>
      <c r="F673" s="579" t="s">
        <v>1292</v>
      </c>
      <c r="G673" s="555" t="s">
        <v>150</v>
      </c>
      <c r="H673" s="555"/>
      <c r="I673" s="555" t="s">
        <v>2197</v>
      </c>
      <c r="J673" s="916"/>
      <c r="K673" s="519"/>
    </row>
    <row r="674" spans="2:11" ht="15" customHeight="1" x14ac:dyDescent="0.3">
      <c r="B674" s="600" t="s">
        <v>701</v>
      </c>
      <c r="C674" s="599">
        <v>40552</v>
      </c>
      <c r="D674" s="579" t="s">
        <v>729</v>
      </c>
      <c r="E674" s="556" t="s">
        <v>644</v>
      </c>
      <c r="F674" s="579" t="s">
        <v>730</v>
      </c>
      <c r="G674" s="555" t="s">
        <v>731</v>
      </c>
      <c r="H674" s="555"/>
      <c r="I674" s="555"/>
      <c r="J674" s="916"/>
      <c r="K674" s="536"/>
    </row>
    <row r="675" spans="2:11" ht="15" customHeight="1" x14ac:dyDescent="0.3">
      <c r="B675" s="1212" t="s">
        <v>1662</v>
      </c>
      <c r="C675" s="1213">
        <v>43107</v>
      </c>
      <c r="D675" s="1214" t="s">
        <v>1668</v>
      </c>
      <c r="E675" s="1215" t="s">
        <v>1366</v>
      </c>
      <c r="F675" s="1214" t="s">
        <v>1058</v>
      </c>
      <c r="G675" s="1216" t="s">
        <v>579</v>
      </c>
      <c r="H675" s="1216"/>
      <c r="I675" s="1216"/>
      <c r="J675" s="1217"/>
    </row>
    <row r="676" spans="2:11" ht="15" customHeight="1" x14ac:dyDescent="0.3">
      <c r="B676" s="401"/>
      <c r="F676" s="386"/>
      <c r="G676" s="400"/>
      <c r="H676" s="386"/>
      <c r="I676" s="358"/>
      <c r="J676" s="386"/>
    </row>
    <row r="677" spans="2:11" ht="15" customHeight="1" x14ac:dyDescent="0.3">
      <c r="B677" s="401"/>
      <c r="F677" s="386"/>
      <c r="G677" s="400"/>
      <c r="H677" s="386"/>
      <c r="I677" s="358"/>
      <c r="J677" s="386"/>
    </row>
    <row r="678" spans="2:11" ht="15" customHeight="1" x14ac:dyDescent="0.3">
      <c r="B678" s="1221" t="s">
        <v>1687</v>
      </c>
      <c r="C678" s="279"/>
      <c r="D678" s="279"/>
      <c r="E678" s="298"/>
      <c r="F678" s="357"/>
      <c r="I678" s="357"/>
    </row>
    <row r="679" spans="2:11" s="519" customFormat="1" ht="15" customHeight="1" x14ac:dyDescent="0.2">
      <c r="B679" s="529"/>
    </row>
    <row r="680" spans="2:11" s="519" customFormat="1" ht="15" customHeight="1" x14ac:dyDescent="0.3">
      <c r="B680" s="1177" t="s">
        <v>2230</v>
      </c>
      <c r="C680" s="1180">
        <v>44898</v>
      </c>
      <c r="D680" s="1155">
        <v>15</v>
      </c>
      <c r="E680" s="1155" t="s">
        <v>2324</v>
      </c>
      <c r="F680" s="1179" t="s">
        <v>2325</v>
      </c>
      <c r="G680" s="1154" t="s">
        <v>2297</v>
      </c>
      <c r="H680" s="1104"/>
      <c r="I680" s="1154"/>
      <c r="J680" s="1159"/>
      <c r="K680" s="357"/>
    </row>
    <row r="681" spans="2:11" s="530" customFormat="1" ht="15" customHeight="1" x14ac:dyDescent="0.2">
      <c r="B681" s="1079" t="s">
        <v>884</v>
      </c>
      <c r="C681" s="1075">
        <v>41322</v>
      </c>
      <c r="D681" s="1077">
        <v>14</v>
      </c>
      <c r="E681" s="1077" t="s">
        <v>931</v>
      </c>
      <c r="F681" s="1076" t="s">
        <v>933</v>
      </c>
      <c r="G681" s="1078" t="s">
        <v>579</v>
      </c>
      <c r="H681" s="1078"/>
      <c r="I681" s="1043"/>
      <c r="J681" s="1044"/>
      <c r="K681" s="519"/>
    </row>
    <row r="682" spans="2:11" s="530" customFormat="1" ht="15" customHeight="1" x14ac:dyDescent="0.2">
      <c r="B682" s="1079" t="s">
        <v>261</v>
      </c>
      <c r="C682" s="1075">
        <v>39823</v>
      </c>
      <c r="D682" s="1077">
        <v>13</v>
      </c>
      <c r="E682" s="1077" t="s">
        <v>252</v>
      </c>
      <c r="F682" s="1076" t="s">
        <v>253</v>
      </c>
      <c r="G682" s="1078" t="s">
        <v>41</v>
      </c>
      <c r="H682" s="1078"/>
      <c r="I682" s="1043"/>
      <c r="J682" s="1044"/>
      <c r="K682" s="519"/>
    </row>
    <row r="683" spans="2:11" s="530" customFormat="1" ht="15" customHeight="1" x14ac:dyDescent="0.2">
      <c r="B683" s="600" t="s">
        <v>701</v>
      </c>
      <c r="C683" s="599">
        <v>40502</v>
      </c>
      <c r="D683" s="556">
        <v>13</v>
      </c>
      <c r="E683" s="556" t="s">
        <v>631</v>
      </c>
      <c r="F683" s="579" t="s">
        <v>712</v>
      </c>
      <c r="G683" s="555" t="s">
        <v>246</v>
      </c>
      <c r="H683" s="555"/>
      <c r="I683" s="555"/>
      <c r="J683" s="916"/>
    </row>
    <row r="684" spans="2:11" s="530" customFormat="1" ht="15" customHeight="1" x14ac:dyDescent="0.2">
      <c r="B684" s="600" t="s">
        <v>1817</v>
      </c>
      <c r="C684" s="599">
        <v>43512</v>
      </c>
      <c r="D684" s="556">
        <v>13</v>
      </c>
      <c r="E684" s="556" t="s">
        <v>1025</v>
      </c>
      <c r="F684" s="579" t="s">
        <v>1922</v>
      </c>
      <c r="G684" s="555" t="s">
        <v>579</v>
      </c>
      <c r="H684" s="555"/>
      <c r="I684" s="555"/>
      <c r="J684" s="916"/>
      <c r="K684" s="949"/>
    </row>
    <row r="685" spans="2:11" s="538" customFormat="1" ht="15" customHeight="1" x14ac:dyDescent="0.2">
      <c r="B685" s="600" t="s">
        <v>2047</v>
      </c>
      <c r="C685" s="599">
        <v>43806</v>
      </c>
      <c r="D685" s="556">
        <v>13</v>
      </c>
      <c r="E685" s="556" t="s">
        <v>2057</v>
      </c>
      <c r="F685" s="579" t="s">
        <v>2058</v>
      </c>
      <c r="G685" s="555" t="s">
        <v>242</v>
      </c>
      <c r="H685" s="555"/>
      <c r="I685" s="555"/>
      <c r="J685" s="916"/>
      <c r="K685" s="949"/>
    </row>
    <row r="686" spans="2:11" s="538" customFormat="1" ht="15" customHeight="1" x14ac:dyDescent="0.2">
      <c r="B686" s="600" t="s">
        <v>2047</v>
      </c>
      <c r="C686" s="599">
        <v>43708</v>
      </c>
      <c r="D686" s="556">
        <v>13</v>
      </c>
      <c r="E686" s="556" t="s">
        <v>2061</v>
      </c>
      <c r="F686" s="579" t="s">
        <v>253</v>
      </c>
      <c r="G686" s="555" t="s">
        <v>579</v>
      </c>
      <c r="H686" s="555"/>
      <c r="I686" s="555" t="s">
        <v>2065</v>
      </c>
      <c r="J686" s="916"/>
      <c r="K686" s="949"/>
    </row>
    <row r="687" spans="2:11" s="538" customFormat="1" ht="15" customHeight="1" x14ac:dyDescent="0.2">
      <c r="B687" s="600" t="s">
        <v>178</v>
      </c>
      <c r="C687" s="599">
        <v>39088</v>
      </c>
      <c r="D687" s="556">
        <v>12</v>
      </c>
      <c r="E687" s="556" t="s">
        <v>27</v>
      </c>
      <c r="F687" s="579" t="s">
        <v>35</v>
      </c>
      <c r="G687" s="555" t="s">
        <v>41</v>
      </c>
      <c r="H687" s="555"/>
      <c r="I687" s="555"/>
      <c r="J687" s="916"/>
    </row>
    <row r="688" spans="2:11" s="538" customFormat="1" ht="15" customHeight="1" x14ac:dyDescent="0.2">
      <c r="B688" s="600" t="s">
        <v>1146</v>
      </c>
      <c r="C688" s="920">
        <v>42049</v>
      </c>
      <c r="D688" s="922">
        <v>12</v>
      </c>
      <c r="E688" s="922" t="s">
        <v>1370</v>
      </c>
      <c r="F688" s="921" t="s">
        <v>1328</v>
      </c>
      <c r="G688" s="918" t="s">
        <v>579</v>
      </c>
      <c r="H688" s="918"/>
      <c r="I688" s="555"/>
      <c r="J688" s="916"/>
    </row>
    <row r="689" spans="2:11" s="538" customFormat="1" ht="15" customHeight="1" x14ac:dyDescent="0.2">
      <c r="B689" s="600" t="s">
        <v>2187</v>
      </c>
      <c r="C689" s="920">
        <v>44513</v>
      </c>
      <c r="D689" s="922">
        <v>12</v>
      </c>
      <c r="E689" s="922" t="s">
        <v>2191</v>
      </c>
      <c r="F689" s="921" t="s">
        <v>1328</v>
      </c>
      <c r="G689" s="918" t="s">
        <v>2174</v>
      </c>
      <c r="H689" s="918"/>
      <c r="I689" s="555"/>
      <c r="J689" s="916"/>
      <c r="K689" s="519"/>
    </row>
    <row r="690" spans="2:11" s="538" customFormat="1" ht="15" customHeight="1" x14ac:dyDescent="0.2">
      <c r="B690" s="600" t="s">
        <v>1079</v>
      </c>
      <c r="C690" s="920">
        <v>41692</v>
      </c>
      <c r="D690" s="922">
        <v>11</v>
      </c>
      <c r="E690" s="922" t="s">
        <v>1053</v>
      </c>
      <c r="F690" s="921" t="s">
        <v>891</v>
      </c>
      <c r="G690" s="918" t="s">
        <v>579</v>
      </c>
      <c r="H690" s="918"/>
      <c r="I690" s="555"/>
      <c r="J690" s="916"/>
    </row>
    <row r="691" spans="2:11" s="538" customFormat="1" ht="15" customHeight="1" x14ac:dyDescent="0.2">
      <c r="B691" s="600" t="s">
        <v>1406</v>
      </c>
      <c r="C691" s="920">
        <v>42294</v>
      </c>
      <c r="D691" s="922">
        <v>10</v>
      </c>
      <c r="E691" s="922" t="s">
        <v>28</v>
      </c>
      <c r="F691" s="921" t="s">
        <v>1449</v>
      </c>
      <c r="G691" s="918" t="s">
        <v>1414</v>
      </c>
      <c r="H691" s="918"/>
      <c r="I691" s="555"/>
      <c r="J691" s="916"/>
    </row>
    <row r="692" spans="2:11" s="538" customFormat="1" ht="15" customHeight="1" x14ac:dyDescent="0.2">
      <c r="B692" s="600" t="s">
        <v>1406</v>
      </c>
      <c r="C692" s="920">
        <v>42399</v>
      </c>
      <c r="D692" s="922">
        <v>10</v>
      </c>
      <c r="E692" s="922" t="s">
        <v>1447</v>
      </c>
      <c r="F692" s="921" t="s">
        <v>1448</v>
      </c>
      <c r="G692" s="918" t="s">
        <v>150</v>
      </c>
      <c r="H692" s="918"/>
      <c r="I692" s="555"/>
      <c r="J692" s="916"/>
    </row>
    <row r="693" spans="2:11" s="538" customFormat="1" ht="15" customHeight="1" x14ac:dyDescent="0.3">
      <c r="B693" s="600" t="s">
        <v>2409</v>
      </c>
      <c r="C693" s="920">
        <v>45213</v>
      </c>
      <c r="D693" s="922">
        <v>10</v>
      </c>
      <c r="E693" s="922" t="s">
        <v>1495</v>
      </c>
      <c r="F693" s="921" t="s">
        <v>2422</v>
      </c>
      <c r="G693" s="918" t="s">
        <v>579</v>
      </c>
      <c r="H693" s="918"/>
      <c r="I693" s="555"/>
      <c r="J693" s="916"/>
      <c r="K693" s="357"/>
    </row>
    <row r="694" spans="2:11" s="538" customFormat="1" ht="15" customHeight="1" x14ac:dyDescent="0.2">
      <c r="B694" s="600" t="s">
        <v>1589</v>
      </c>
      <c r="C694" s="920">
        <v>42722</v>
      </c>
      <c r="D694" s="922">
        <v>9</v>
      </c>
      <c r="E694" s="922" t="s">
        <v>1609</v>
      </c>
      <c r="F694" s="921" t="s">
        <v>566</v>
      </c>
      <c r="G694" s="918" t="s">
        <v>150</v>
      </c>
      <c r="H694" s="918"/>
      <c r="I694" s="555"/>
      <c r="J694" s="916"/>
    </row>
    <row r="695" spans="2:11" s="538" customFormat="1" ht="15" customHeight="1" x14ac:dyDescent="0.2">
      <c r="B695" s="600" t="s">
        <v>580</v>
      </c>
      <c r="C695" s="599">
        <v>40082</v>
      </c>
      <c r="D695" s="556">
        <v>9</v>
      </c>
      <c r="E695" s="556" t="s">
        <v>541</v>
      </c>
      <c r="F695" s="579" t="s">
        <v>566</v>
      </c>
      <c r="G695" s="555" t="s">
        <v>249</v>
      </c>
      <c r="H695" s="555"/>
      <c r="I695" s="555"/>
      <c r="J695" s="916"/>
    </row>
    <row r="696" spans="2:11" ht="15" customHeight="1" x14ac:dyDescent="0.3">
      <c r="B696" s="1037" t="s">
        <v>1662</v>
      </c>
      <c r="C696" s="1033">
        <v>43148</v>
      </c>
      <c r="D696" s="1035">
        <v>8</v>
      </c>
      <c r="E696" s="1035" t="s">
        <v>1677</v>
      </c>
      <c r="F696" s="1034" t="s">
        <v>1235</v>
      </c>
      <c r="G696" s="1036" t="s">
        <v>150</v>
      </c>
      <c r="H696" s="1036"/>
      <c r="I696" s="1036"/>
      <c r="J696" s="1211"/>
    </row>
    <row r="697" spans="2:11" ht="15" customHeight="1" x14ac:dyDescent="0.3">
      <c r="B697" s="1037" t="s">
        <v>2437</v>
      </c>
      <c r="C697" s="1033">
        <v>45562</v>
      </c>
      <c r="D697" s="1035">
        <v>8</v>
      </c>
      <c r="E697" s="1035" t="s">
        <v>2770</v>
      </c>
      <c r="F697" s="1034" t="s">
        <v>2772</v>
      </c>
      <c r="G697" s="1036" t="s">
        <v>796</v>
      </c>
      <c r="H697" s="1036"/>
      <c r="I697" s="1036"/>
      <c r="J697" s="1211"/>
      <c r="K697" s="357" t="s">
        <v>1685</v>
      </c>
    </row>
    <row r="698" spans="2:11" ht="15" customHeight="1" x14ac:dyDescent="0.3">
      <c r="B698" s="1037" t="s">
        <v>2437</v>
      </c>
      <c r="C698" s="1033">
        <v>45577</v>
      </c>
      <c r="D698" s="1035">
        <v>8</v>
      </c>
      <c r="E698" s="1035" t="s">
        <v>2771</v>
      </c>
      <c r="F698" s="1034" t="s">
        <v>857</v>
      </c>
      <c r="G698" s="1036" t="s">
        <v>2539</v>
      </c>
      <c r="H698" s="1036"/>
      <c r="I698" s="1036"/>
      <c r="J698" s="1211"/>
      <c r="K698" s="357" t="s">
        <v>1685</v>
      </c>
    </row>
    <row r="699" spans="2:11" ht="15" customHeight="1" x14ac:dyDescent="0.3">
      <c r="B699" s="1037" t="s">
        <v>2437</v>
      </c>
      <c r="C699" s="1033">
        <v>45703</v>
      </c>
      <c r="D699" s="1035">
        <v>8</v>
      </c>
      <c r="E699" s="1035" t="s">
        <v>2191</v>
      </c>
      <c r="F699" s="1034" t="s">
        <v>757</v>
      </c>
      <c r="G699" s="1036" t="s">
        <v>2765</v>
      </c>
      <c r="H699" s="1036"/>
      <c r="I699" s="1036"/>
      <c r="J699" s="1211"/>
      <c r="K699" s="357" t="s">
        <v>1685</v>
      </c>
    </row>
    <row r="700" spans="2:11" ht="15" customHeight="1" x14ac:dyDescent="0.3">
      <c r="B700" s="1174" t="s">
        <v>844</v>
      </c>
      <c r="C700" s="1175">
        <v>40838</v>
      </c>
      <c r="D700" s="559">
        <v>7</v>
      </c>
      <c r="E700" s="559" t="s">
        <v>787</v>
      </c>
      <c r="F700" s="1176" t="s">
        <v>574</v>
      </c>
      <c r="G700" s="558" t="s">
        <v>794</v>
      </c>
      <c r="H700" s="558"/>
      <c r="I700" s="558"/>
      <c r="J700" s="1118"/>
      <c r="K700" s="538"/>
    </row>
    <row r="701" spans="2:11" ht="15" customHeight="1" x14ac:dyDescent="0.3">
      <c r="B701" s="401"/>
      <c r="F701" s="386"/>
      <c r="G701" s="400"/>
      <c r="H701" s="386"/>
      <c r="I701" s="358"/>
      <c r="J701" s="386"/>
    </row>
    <row r="702" spans="2:11" ht="15" customHeight="1" x14ac:dyDescent="0.3">
      <c r="B702" s="401"/>
      <c r="F702" s="386"/>
      <c r="G702" s="400"/>
      <c r="H702" s="386"/>
      <c r="I702" s="358"/>
      <c r="J702" s="386"/>
    </row>
    <row r="703" spans="2:11" ht="15" customHeight="1" x14ac:dyDescent="0.3">
      <c r="B703" s="1221" t="s">
        <v>2366</v>
      </c>
      <c r="C703" s="279"/>
      <c r="D703" s="279"/>
      <c r="E703" s="298"/>
      <c r="F703" s="357"/>
      <c r="I703" s="357"/>
    </row>
    <row r="704" spans="2:11" ht="15" customHeight="1" x14ac:dyDescent="0.3">
      <c r="B704" s="401"/>
      <c r="F704" s="357"/>
      <c r="I704" s="357"/>
    </row>
    <row r="705" spans="2:11" ht="15" customHeight="1" x14ac:dyDescent="0.3">
      <c r="B705" s="1226" t="s">
        <v>1589</v>
      </c>
      <c r="C705" s="1189">
        <v>42742</v>
      </c>
      <c r="D705" s="1190">
        <v>15</v>
      </c>
      <c r="E705" s="1190" t="s">
        <v>1617</v>
      </c>
      <c r="F705" s="1191" t="s">
        <v>1618</v>
      </c>
      <c r="G705" s="1182" t="s">
        <v>796</v>
      </c>
      <c r="H705" s="1120"/>
      <c r="I705" s="1120"/>
      <c r="J705" s="1183"/>
    </row>
    <row r="706" spans="2:11" ht="15" customHeight="1" x14ac:dyDescent="0.3">
      <c r="B706" s="712" t="s">
        <v>2409</v>
      </c>
      <c r="C706" s="1046">
        <v>45374</v>
      </c>
      <c r="D706" s="1047">
        <v>13</v>
      </c>
      <c r="E706" s="1047" t="s">
        <v>2420</v>
      </c>
      <c r="F706" s="1048" t="s">
        <v>2421</v>
      </c>
      <c r="G706" s="924" t="s">
        <v>796</v>
      </c>
      <c r="H706" s="1139"/>
      <c r="I706" s="1139"/>
      <c r="J706" s="925"/>
    </row>
    <row r="707" spans="2:11" ht="15" customHeight="1" x14ac:dyDescent="0.3">
      <c r="B707" s="1079" t="s">
        <v>580</v>
      </c>
      <c r="C707" s="1080">
        <v>40230</v>
      </c>
      <c r="D707" s="1081">
        <v>11</v>
      </c>
      <c r="E707" s="1081" t="s">
        <v>257</v>
      </c>
      <c r="F707" s="1082" t="s">
        <v>567</v>
      </c>
      <c r="G707" s="1043" t="s">
        <v>568</v>
      </c>
      <c r="H707" s="1078"/>
      <c r="I707" s="1078"/>
      <c r="J707" s="1044"/>
    </row>
    <row r="708" spans="2:11" s="519" customFormat="1" ht="15" customHeight="1" x14ac:dyDescent="0.3">
      <c r="B708" s="600" t="s">
        <v>1079</v>
      </c>
      <c r="C708" s="920">
        <v>41623</v>
      </c>
      <c r="D708" s="922">
        <v>11</v>
      </c>
      <c r="E708" s="922" t="s">
        <v>1036</v>
      </c>
      <c r="F708" s="921" t="s">
        <v>1037</v>
      </c>
      <c r="G708" s="918" t="s">
        <v>150</v>
      </c>
      <c r="H708" s="555"/>
      <c r="I708" s="555"/>
      <c r="J708" s="919"/>
      <c r="K708" s="357"/>
    </row>
    <row r="709" spans="2:11" s="519" customFormat="1" ht="15" customHeight="1" x14ac:dyDescent="0.3">
      <c r="B709" s="1079" t="s">
        <v>1662</v>
      </c>
      <c r="C709" s="1080">
        <v>43127</v>
      </c>
      <c r="D709" s="1081">
        <v>11</v>
      </c>
      <c r="E709" s="1081" t="s">
        <v>1493</v>
      </c>
      <c r="F709" s="1082" t="s">
        <v>241</v>
      </c>
      <c r="G709" s="1043" t="s">
        <v>1643</v>
      </c>
      <c r="H709" s="1078"/>
      <c r="I709" s="1078"/>
      <c r="J709" s="1044"/>
      <c r="K709" s="357"/>
    </row>
    <row r="710" spans="2:11" s="519" customFormat="1" ht="15" customHeight="1" x14ac:dyDescent="0.2">
      <c r="B710" s="1079" t="s">
        <v>701</v>
      </c>
      <c r="C710" s="1075">
        <v>40502</v>
      </c>
      <c r="D710" s="1077">
        <v>10</v>
      </c>
      <c r="E710" s="1077" t="s">
        <v>671</v>
      </c>
      <c r="F710" s="1076" t="s">
        <v>767</v>
      </c>
      <c r="G710" s="1078" t="s">
        <v>246</v>
      </c>
      <c r="H710" s="1078"/>
      <c r="I710" s="1078"/>
      <c r="J710" s="1044"/>
    </row>
    <row r="711" spans="2:11" s="519" customFormat="1" ht="15" customHeight="1" x14ac:dyDescent="0.2">
      <c r="B711" s="1079" t="s">
        <v>2187</v>
      </c>
      <c r="C711" s="1075">
        <v>44618</v>
      </c>
      <c r="D711" s="1077">
        <v>10</v>
      </c>
      <c r="E711" s="1077" t="s">
        <v>2198</v>
      </c>
      <c r="F711" s="1076" t="s">
        <v>2199</v>
      </c>
      <c r="G711" s="1078" t="s">
        <v>150</v>
      </c>
      <c r="H711" s="1078"/>
      <c r="I711" s="1078"/>
      <c r="J711" s="1044"/>
    </row>
    <row r="712" spans="2:11" ht="15" customHeight="1" x14ac:dyDescent="0.3">
      <c r="B712" s="1079" t="s">
        <v>2187</v>
      </c>
      <c r="C712" s="1075">
        <v>44639</v>
      </c>
      <c r="D712" s="1077">
        <v>10</v>
      </c>
      <c r="E712" s="1077" t="s">
        <v>2201</v>
      </c>
      <c r="F712" s="1076" t="s">
        <v>768</v>
      </c>
      <c r="G712" s="1078" t="s">
        <v>579</v>
      </c>
      <c r="H712" s="1078"/>
      <c r="I712" s="1078"/>
      <c r="J712" s="1044"/>
      <c r="K712" s="519"/>
    </row>
    <row r="713" spans="2:11" ht="15" customHeight="1" x14ac:dyDescent="0.3">
      <c r="B713" s="600" t="s">
        <v>1406</v>
      </c>
      <c r="C713" s="599">
        <v>42294</v>
      </c>
      <c r="D713" s="556">
        <v>9</v>
      </c>
      <c r="E713" s="556" t="s">
        <v>28</v>
      </c>
      <c r="F713" s="579" t="s">
        <v>1449</v>
      </c>
      <c r="G713" s="555" t="s">
        <v>1414</v>
      </c>
      <c r="H713" s="555"/>
      <c r="I713" s="555"/>
      <c r="J713" s="919"/>
      <c r="K713" s="519"/>
    </row>
    <row r="714" spans="2:11" ht="15" customHeight="1" x14ac:dyDescent="0.3">
      <c r="B714" s="600" t="s">
        <v>177</v>
      </c>
      <c r="C714" s="599">
        <v>39431</v>
      </c>
      <c r="D714" s="556">
        <v>9</v>
      </c>
      <c r="E714" s="556" t="s">
        <v>157</v>
      </c>
      <c r="F714" s="579" t="s">
        <v>158</v>
      </c>
      <c r="G714" s="555" t="s">
        <v>41</v>
      </c>
      <c r="H714" s="1205"/>
      <c r="I714" s="1205"/>
      <c r="J714" s="923"/>
    </row>
    <row r="715" spans="2:11" ht="15" customHeight="1" x14ac:dyDescent="0.3">
      <c r="B715" s="600" t="s">
        <v>844</v>
      </c>
      <c r="C715" s="599">
        <v>40811</v>
      </c>
      <c r="D715" s="556">
        <v>9</v>
      </c>
      <c r="E715" s="556" t="s">
        <v>864</v>
      </c>
      <c r="F715" s="579" t="s">
        <v>781</v>
      </c>
      <c r="G715" s="555" t="s">
        <v>796</v>
      </c>
      <c r="H715" s="1205"/>
      <c r="I715" s="1205"/>
      <c r="J715" s="923"/>
    </row>
    <row r="716" spans="2:11" ht="15" customHeight="1" x14ac:dyDescent="0.3">
      <c r="B716" s="600" t="s">
        <v>1146</v>
      </c>
      <c r="C716" s="920">
        <v>41972</v>
      </c>
      <c r="D716" s="922">
        <v>8</v>
      </c>
      <c r="E716" s="922" t="s">
        <v>1366</v>
      </c>
      <c r="F716" s="921" t="s">
        <v>1235</v>
      </c>
      <c r="G716" s="918" t="s">
        <v>150</v>
      </c>
      <c r="H716" s="926"/>
      <c r="I716" s="1205"/>
      <c r="J716" s="923"/>
    </row>
    <row r="717" spans="2:11" ht="15" customHeight="1" x14ac:dyDescent="0.3">
      <c r="B717" s="600" t="s">
        <v>2047</v>
      </c>
      <c r="C717" s="920">
        <v>43835</v>
      </c>
      <c r="D717" s="922">
        <v>8</v>
      </c>
      <c r="E717" s="922" t="s">
        <v>1441</v>
      </c>
      <c r="F717" s="921" t="s">
        <v>2059</v>
      </c>
      <c r="G717" s="918" t="s">
        <v>1674</v>
      </c>
      <c r="H717" s="926"/>
      <c r="I717" s="1205"/>
      <c r="J717" s="923"/>
    </row>
    <row r="718" spans="2:11" ht="15" customHeight="1" x14ac:dyDescent="0.3">
      <c r="B718" s="600" t="s">
        <v>2230</v>
      </c>
      <c r="C718" s="920">
        <v>44850</v>
      </c>
      <c r="D718" s="922">
        <v>8</v>
      </c>
      <c r="E718" s="922" t="s">
        <v>2326</v>
      </c>
      <c r="F718" s="921" t="s">
        <v>1235</v>
      </c>
      <c r="G718" s="918" t="s">
        <v>796</v>
      </c>
      <c r="H718" s="926"/>
      <c r="I718" s="1205"/>
      <c r="J718" s="923"/>
    </row>
    <row r="719" spans="2:11" ht="15" customHeight="1" x14ac:dyDescent="0.3">
      <c r="B719" s="600" t="s">
        <v>2230</v>
      </c>
      <c r="C719" s="920">
        <v>44934</v>
      </c>
      <c r="D719" s="922">
        <v>8</v>
      </c>
      <c r="E719" s="922" t="s">
        <v>1965</v>
      </c>
      <c r="F719" s="921" t="s">
        <v>2059</v>
      </c>
      <c r="G719" s="918" t="s">
        <v>242</v>
      </c>
      <c r="H719" s="926"/>
      <c r="I719" s="1205"/>
      <c r="J719" s="923"/>
    </row>
    <row r="720" spans="2:11" ht="15" customHeight="1" x14ac:dyDescent="0.3">
      <c r="B720" s="600" t="s">
        <v>884</v>
      </c>
      <c r="C720" s="920">
        <v>41307</v>
      </c>
      <c r="D720" s="922">
        <v>7</v>
      </c>
      <c r="E720" s="922" t="s">
        <v>928</v>
      </c>
      <c r="F720" s="921" t="s">
        <v>929</v>
      </c>
      <c r="G720" s="918" t="s">
        <v>796</v>
      </c>
      <c r="H720" s="1205"/>
      <c r="I720" s="1205"/>
      <c r="J720" s="923"/>
    </row>
    <row r="721" spans="2:12" s="530" customFormat="1" ht="15" customHeight="1" x14ac:dyDescent="0.3">
      <c r="B721" s="600" t="s">
        <v>178</v>
      </c>
      <c r="C721" s="599">
        <v>39103</v>
      </c>
      <c r="D721" s="556">
        <v>7</v>
      </c>
      <c r="E721" s="556" t="s">
        <v>28</v>
      </c>
      <c r="F721" s="579" t="s">
        <v>36</v>
      </c>
      <c r="G721" s="555" t="s">
        <v>41</v>
      </c>
      <c r="H721" s="555"/>
      <c r="I721" s="926"/>
      <c r="J721" s="923"/>
      <c r="K721" s="357"/>
    </row>
    <row r="722" spans="2:12" s="530" customFormat="1" ht="15" customHeight="1" x14ac:dyDescent="0.3">
      <c r="B722" s="600" t="s">
        <v>2437</v>
      </c>
      <c r="C722" s="599">
        <v>45577</v>
      </c>
      <c r="D722" s="556">
        <v>7</v>
      </c>
      <c r="E722" s="556" t="s">
        <v>2192</v>
      </c>
      <c r="F722" s="579" t="s">
        <v>1234</v>
      </c>
      <c r="G722" s="555" t="s">
        <v>2539</v>
      </c>
      <c r="H722" s="555"/>
      <c r="I722" s="926"/>
      <c r="J722" s="923"/>
      <c r="K722" s="357" t="s">
        <v>1685</v>
      </c>
    </row>
    <row r="723" spans="2:12" s="530" customFormat="1" ht="15" customHeight="1" x14ac:dyDescent="0.3">
      <c r="B723" s="600" t="s">
        <v>2437</v>
      </c>
      <c r="C723" s="599">
        <v>45703</v>
      </c>
      <c r="D723" s="556">
        <v>7</v>
      </c>
      <c r="E723" s="556" t="s">
        <v>2206</v>
      </c>
      <c r="F723" s="579" t="s">
        <v>2766</v>
      </c>
      <c r="G723" s="555" t="s">
        <v>2765</v>
      </c>
      <c r="H723" s="555"/>
      <c r="I723" s="926"/>
      <c r="J723" s="923"/>
      <c r="K723" s="357" t="s">
        <v>1685</v>
      </c>
    </row>
    <row r="724" spans="2:12" s="530" customFormat="1" ht="15" customHeight="1" x14ac:dyDescent="0.3">
      <c r="B724" s="600" t="s">
        <v>2437</v>
      </c>
      <c r="C724" s="599">
        <v>45745</v>
      </c>
      <c r="D724" s="556">
        <v>7</v>
      </c>
      <c r="E724" s="556" t="s">
        <v>1039</v>
      </c>
      <c r="F724" s="579" t="s">
        <v>1680</v>
      </c>
      <c r="G724" s="555" t="s">
        <v>796</v>
      </c>
      <c r="H724" s="555"/>
      <c r="I724" s="926"/>
      <c r="J724" s="923"/>
      <c r="K724" s="357" t="s">
        <v>1685</v>
      </c>
    </row>
    <row r="725" spans="2:12" s="530" customFormat="1" ht="15" customHeight="1" x14ac:dyDescent="0.3">
      <c r="B725" s="600" t="s">
        <v>1817</v>
      </c>
      <c r="C725" s="599">
        <v>43379</v>
      </c>
      <c r="D725" s="556">
        <v>6</v>
      </c>
      <c r="E725" s="556" t="s">
        <v>806</v>
      </c>
      <c r="F725" s="579" t="s">
        <v>508</v>
      </c>
      <c r="G725" s="555" t="s">
        <v>1593</v>
      </c>
      <c r="H725" s="555"/>
      <c r="I725" s="926"/>
      <c r="J725" s="923"/>
      <c r="K725" s="357"/>
    </row>
    <row r="726" spans="2:12" ht="15" customHeight="1" x14ac:dyDescent="0.3">
      <c r="B726" s="600" t="s">
        <v>701</v>
      </c>
      <c r="C726" s="599">
        <v>40502</v>
      </c>
      <c r="D726" s="556">
        <v>6</v>
      </c>
      <c r="E726" s="556" t="s">
        <v>634</v>
      </c>
      <c r="F726" s="579" t="s">
        <v>40</v>
      </c>
      <c r="G726" s="555" t="s">
        <v>246</v>
      </c>
      <c r="H726" s="555"/>
      <c r="I726" s="555"/>
      <c r="J726" s="916"/>
      <c r="K726" s="530"/>
      <c r="L726" s="595"/>
    </row>
    <row r="727" spans="2:12" ht="15" customHeight="1" x14ac:dyDescent="0.3">
      <c r="B727" s="1174" t="s">
        <v>701</v>
      </c>
      <c r="C727" s="1175">
        <v>40552</v>
      </c>
      <c r="D727" s="559">
        <v>6</v>
      </c>
      <c r="E727" s="559" t="s">
        <v>648</v>
      </c>
      <c r="F727" s="1176" t="s">
        <v>713</v>
      </c>
      <c r="G727" s="558" t="s">
        <v>731</v>
      </c>
      <c r="H727" s="558"/>
      <c r="I727" s="558"/>
      <c r="J727" s="1118"/>
      <c r="K727" s="530"/>
      <c r="L727" s="595"/>
    </row>
    <row r="728" spans="2:12" ht="15" customHeight="1" x14ac:dyDescent="0.3">
      <c r="B728" s="401"/>
      <c r="F728" s="592"/>
      <c r="G728" s="593"/>
      <c r="H728" s="592"/>
      <c r="I728" s="594"/>
      <c r="J728" s="592"/>
      <c r="K728" s="595"/>
      <c r="L728" s="595"/>
    </row>
    <row r="729" spans="2:12" ht="15" customHeight="1" x14ac:dyDescent="0.3">
      <c r="B729" s="401"/>
      <c r="F729" s="386"/>
      <c r="G729" s="386"/>
      <c r="H729" s="358"/>
      <c r="I729" s="386"/>
      <c r="J729" s="358"/>
    </row>
    <row r="730" spans="2:12" ht="15" customHeight="1" x14ac:dyDescent="0.3">
      <c r="B730" s="1223" t="s">
        <v>77</v>
      </c>
      <c r="C730" s="279"/>
      <c r="D730" s="279"/>
      <c r="E730" s="298"/>
      <c r="F730" s="357"/>
      <c r="I730" s="357"/>
    </row>
    <row r="731" spans="2:12" ht="15" customHeight="1" x14ac:dyDescent="0.3">
      <c r="B731" s="401"/>
      <c r="F731" s="357"/>
      <c r="I731" s="357"/>
    </row>
    <row r="732" spans="2:12" ht="15" customHeight="1" x14ac:dyDescent="0.3">
      <c r="B732" s="1233" t="s">
        <v>1146</v>
      </c>
      <c r="C732" s="1189">
        <v>42049</v>
      </c>
      <c r="D732" s="1191" t="s">
        <v>967</v>
      </c>
      <c r="E732" s="1190" t="s">
        <v>1370</v>
      </c>
      <c r="F732" s="1191" t="s">
        <v>1328</v>
      </c>
      <c r="G732" s="1182" t="s">
        <v>579</v>
      </c>
      <c r="H732" s="1182"/>
      <c r="I732" s="1182"/>
      <c r="J732" s="1183"/>
    </row>
    <row r="733" spans="2:12" ht="15" customHeight="1" x14ac:dyDescent="0.3">
      <c r="B733" s="1192" t="s">
        <v>261</v>
      </c>
      <c r="C733" s="1227">
        <v>39823</v>
      </c>
      <c r="D733" s="1228" t="s">
        <v>967</v>
      </c>
      <c r="E733" s="1127" t="s">
        <v>252</v>
      </c>
      <c r="F733" s="1228" t="s">
        <v>253</v>
      </c>
      <c r="G733" s="1126" t="s">
        <v>41</v>
      </c>
      <c r="H733" s="1126"/>
      <c r="I733" s="1196"/>
      <c r="J733" s="1197"/>
    </row>
    <row r="734" spans="2:12" ht="15" customHeight="1" x14ac:dyDescent="0.3">
      <c r="B734" s="802" t="s">
        <v>1817</v>
      </c>
      <c r="C734" s="1229">
        <v>43470</v>
      </c>
      <c r="D734" s="1230" t="s">
        <v>967</v>
      </c>
      <c r="E734" s="1095" t="s">
        <v>1047</v>
      </c>
      <c r="F734" s="1230" t="s">
        <v>253</v>
      </c>
      <c r="G734" s="1231" t="s">
        <v>579</v>
      </c>
      <c r="H734" s="1231"/>
      <c r="I734" s="1234" t="s">
        <v>1957</v>
      </c>
      <c r="J734" s="1235" t="s">
        <v>1955</v>
      </c>
    </row>
    <row r="735" spans="2:12" ht="15" customHeight="1" x14ac:dyDescent="0.3">
      <c r="B735" s="802" t="s">
        <v>2047</v>
      </c>
      <c r="C735" s="1229">
        <v>43708</v>
      </c>
      <c r="D735" s="1230" t="s">
        <v>967</v>
      </c>
      <c r="E735" s="1095" t="s">
        <v>2061</v>
      </c>
      <c r="F735" s="1230" t="s">
        <v>253</v>
      </c>
      <c r="G735" s="1231" t="s">
        <v>579</v>
      </c>
      <c r="H735" s="1231"/>
      <c r="I735" s="1234" t="s">
        <v>2113</v>
      </c>
      <c r="J735" s="1232"/>
    </row>
    <row r="736" spans="2:12" ht="15" customHeight="1" x14ac:dyDescent="0.3">
      <c r="B736" s="802" t="s">
        <v>2187</v>
      </c>
      <c r="C736" s="1229">
        <v>44513</v>
      </c>
      <c r="D736" s="1230" t="s">
        <v>967</v>
      </c>
      <c r="E736" s="1095" t="s">
        <v>2191</v>
      </c>
      <c r="F736" s="1230" t="s">
        <v>1328</v>
      </c>
      <c r="G736" s="1231" t="s">
        <v>2174</v>
      </c>
      <c r="H736" s="1231"/>
      <c r="I736" s="1234" t="s">
        <v>2209</v>
      </c>
      <c r="J736" s="1232"/>
    </row>
    <row r="737" spans="2:11" s="519" customFormat="1" ht="15" customHeight="1" x14ac:dyDescent="0.3">
      <c r="B737" s="802" t="s">
        <v>2230</v>
      </c>
      <c r="C737" s="1229">
        <v>44898</v>
      </c>
      <c r="D737" s="1230" t="s">
        <v>967</v>
      </c>
      <c r="E737" s="1095" t="s">
        <v>2324</v>
      </c>
      <c r="F737" s="1230" t="s">
        <v>2325</v>
      </c>
      <c r="G737" s="1231" t="s">
        <v>2297</v>
      </c>
      <c r="H737" s="1231"/>
      <c r="I737" s="1234" t="s">
        <v>2332</v>
      </c>
      <c r="J737" s="1232"/>
      <c r="K737" s="357"/>
    </row>
    <row r="738" spans="2:11" s="538" customFormat="1" ht="15" customHeight="1" x14ac:dyDescent="0.3">
      <c r="B738" s="760" t="s">
        <v>884</v>
      </c>
      <c r="C738" s="1219">
        <v>41322</v>
      </c>
      <c r="D738" s="809" t="s">
        <v>967</v>
      </c>
      <c r="E738" s="1220" t="s">
        <v>931</v>
      </c>
      <c r="F738" s="809" t="s">
        <v>933</v>
      </c>
      <c r="G738" s="1186" t="s">
        <v>579</v>
      </c>
      <c r="H738" s="1133"/>
      <c r="I738" s="1186"/>
      <c r="J738" s="1187"/>
      <c r="K738" s="357"/>
    </row>
    <row r="739" spans="2:11" s="536" customFormat="1" ht="15" customHeight="1" x14ac:dyDescent="0.2">
      <c r="B739" s="712" t="s">
        <v>1079</v>
      </c>
      <c r="C739" s="1046">
        <v>41623</v>
      </c>
      <c r="D739" s="1048" t="s">
        <v>1089</v>
      </c>
      <c r="E739" s="1047" t="s">
        <v>1053</v>
      </c>
      <c r="F739" s="1048" t="s">
        <v>891</v>
      </c>
      <c r="G739" s="924" t="s">
        <v>579</v>
      </c>
      <c r="H739" s="1139"/>
      <c r="I739" s="924"/>
      <c r="J739" s="925"/>
      <c r="K739" s="519"/>
    </row>
    <row r="740" spans="2:11" s="536" customFormat="1" ht="15" customHeight="1" x14ac:dyDescent="0.2">
      <c r="B740" s="600" t="s">
        <v>178</v>
      </c>
      <c r="C740" s="599">
        <v>39088</v>
      </c>
      <c r="D740" s="579" t="s">
        <v>2370</v>
      </c>
      <c r="E740" s="556" t="s">
        <v>27</v>
      </c>
      <c r="F740" s="579" t="s">
        <v>35</v>
      </c>
      <c r="G740" s="555" t="s">
        <v>41</v>
      </c>
      <c r="H740" s="555"/>
      <c r="I740" s="555"/>
      <c r="J740" s="916"/>
      <c r="K740" s="538"/>
    </row>
    <row r="741" spans="2:11" s="536" customFormat="1" ht="15" customHeight="1" x14ac:dyDescent="0.2">
      <c r="B741" s="600" t="s">
        <v>701</v>
      </c>
      <c r="C741" s="599">
        <v>40502</v>
      </c>
      <c r="D741" s="579" t="s">
        <v>2371</v>
      </c>
      <c r="E741" s="556" t="s">
        <v>631</v>
      </c>
      <c r="F741" s="579" t="s">
        <v>712</v>
      </c>
      <c r="G741" s="555" t="s">
        <v>246</v>
      </c>
      <c r="H741" s="555"/>
      <c r="I741" s="555"/>
      <c r="J741" s="916"/>
    </row>
    <row r="742" spans="2:11" s="536" customFormat="1" ht="15" customHeight="1" x14ac:dyDescent="0.3">
      <c r="B742" s="600" t="s">
        <v>2409</v>
      </c>
      <c r="C742" s="599">
        <v>45213</v>
      </c>
      <c r="D742" s="579" t="s">
        <v>2371</v>
      </c>
      <c r="E742" s="556" t="s">
        <v>1495</v>
      </c>
      <c r="F742" s="579" t="s">
        <v>2422</v>
      </c>
      <c r="G742" s="555" t="s">
        <v>579</v>
      </c>
      <c r="H742" s="555"/>
      <c r="I742" s="555"/>
      <c r="J742" s="916"/>
      <c r="K742" s="357"/>
    </row>
    <row r="743" spans="2:11" s="536" customFormat="1" ht="15" customHeight="1" x14ac:dyDescent="0.3">
      <c r="B743" s="600" t="s">
        <v>2409</v>
      </c>
      <c r="C743" s="599">
        <v>45374</v>
      </c>
      <c r="D743" s="579" t="s">
        <v>2371</v>
      </c>
      <c r="E743" s="556" t="s">
        <v>130</v>
      </c>
      <c r="F743" s="579" t="s">
        <v>1190</v>
      </c>
      <c r="G743" s="555" t="s">
        <v>579</v>
      </c>
      <c r="H743" s="555"/>
      <c r="I743" s="555"/>
      <c r="J743" s="916"/>
      <c r="K743" s="357"/>
    </row>
    <row r="744" spans="2:11" s="536" customFormat="1" ht="15" customHeight="1" x14ac:dyDescent="0.2">
      <c r="B744" s="600" t="s">
        <v>1589</v>
      </c>
      <c r="C744" s="599">
        <v>42694</v>
      </c>
      <c r="D744" s="579" t="s">
        <v>1456</v>
      </c>
      <c r="E744" s="556" t="s">
        <v>1610</v>
      </c>
      <c r="F744" s="579" t="s">
        <v>1632</v>
      </c>
      <c r="G744" s="555" t="s">
        <v>150</v>
      </c>
      <c r="H744" s="555"/>
      <c r="I744" s="555"/>
      <c r="J744" s="916"/>
    </row>
    <row r="745" spans="2:11" s="536" customFormat="1" ht="15" customHeight="1" x14ac:dyDescent="0.2">
      <c r="B745" s="600" t="s">
        <v>1406</v>
      </c>
      <c r="C745" s="599">
        <v>42399</v>
      </c>
      <c r="D745" s="579" t="s">
        <v>1456</v>
      </c>
      <c r="E745" s="556" t="s">
        <v>1447</v>
      </c>
      <c r="F745" s="579" t="s">
        <v>1448</v>
      </c>
      <c r="G745" s="555" t="s">
        <v>150</v>
      </c>
      <c r="H745" s="555"/>
      <c r="I745" s="555"/>
      <c r="J745" s="916"/>
    </row>
    <row r="746" spans="2:11" s="538" customFormat="1" ht="15" customHeight="1" x14ac:dyDescent="0.2">
      <c r="B746" s="600" t="s">
        <v>1406</v>
      </c>
      <c r="C746" s="599">
        <v>42434</v>
      </c>
      <c r="D746" s="579" t="s">
        <v>1456</v>
      </c>
      <c r="E746" s="556" t="s">
        <v>250</v>
      </c>
      <c r="F746" s="579" t="s">
        <v>1453</v>
      </c>
      <c r="G746" s="555" t="s">
        <v>1414</v>
      </c>
      <c r="H746" s="555"/>
      <c r="I746" s="555"/>
      <c r="J746" s="916"/>
      <c r="K746" s="536"/>
    </row>
    <row r="747" spans="2:11" s="538" customFormat="1" ht="15" customHeight="1" x14ac:dyDescent="0.3">
      <c r="B747" s="600" t="s">
        <v>2437</v>
      </c>
      <c r="C747" s="599">
        <v>45562</v>
      </c>
      <c r="D747" s="579" t="s">
        <v>1456</v>
      </c>
      <c r="E747" s="556" t="s">
        <v>2770</v>
      </c>
      <c r="F747" s="579" t="s">
        <v>2772</v>
      </c>
      <c r="G747" s="555" t="s">
        <v>796</v>
      </c>
      <c r="H747" s="555"/>
      <c r="I747" s="555" t="s">
        <v>2781</v>
      </c>
      <c r="J747" s="916"/>
      <c r="K747" s="357" t="s">
        <v>1685</v>
      </c>
    </row>
    <row r="748" spans="2:11" s="538" customFormat="1" ht="15" customHeight="1" x14ac:dyDescent="0.2">
      <c r="B748" s="600" t="s">
        <v>1662</v>
      </c>
      <c r="C748" s="599">
        <v>43043</v>
      </c>
      <c r="D748" s="579" t="s">
        <v>1679</v>
      </c>
      <c r="E748" s="556" t="s">
        <v>250</v>
      </c>
      <c r="F748" s="579" t="s">
        <v>1680</v>
      </c>
      <c r="G748" s="555" t="s">
        <v>1643</v>
      </c>
      <c r="H748" s="555"/>
      <c r="I748" s="555" t="s">
        <v>1681</v>
      </c>
      <c r="J748" s="916"/>
      <c r="K748" s="536"/>
    </row>
    <row r="749" spans="2:11" ht="15" customHeight="1" x14ac:dyDescent="0.3">
      <c r="B749" s="600" t="s">
        <v>580</v>
      </c>
      <c r="C749" s="599">
        <v>40111</v>
      </c>
      <c r="D749" s="579" t="s">
        <v>858</v>
      </c>
      <c r="E749" s="556" t="s">
        <v>544</v>
      </c>
      <c r="F749" s="579" t="s">
        <v>577</v>
      </c>
      <c r="G749" s="555" t="s">
        <v>568</v>
      </c>
      <c r="H749" s="555"/>
      <c r="I749" s="555"/>
      <c r="J749" s="916"/>
      <c r="K749" s="538"/>
    </row>
    <row r="750" spans="2:11" ht="15" customHeight="1" x14ac:dyDescent="0.3">
      <c r="B750" s="1174" t="s">
        <v>844</v>
      </c>
      <c r="C750" s="1175">
        <v>40971</v>
      </c>
      <c r="D750" s="1176" t="s">
        <v>858</v>
      </c>
      <c r="E750" s="559" t="s">
        <v>816</v>
      </c>
      <c r="F750" s="1176" t="s">
        <v>577</v>
      </c>
      <c r="G750" s="558" t="s">
        <v>794</v>
      </c>
      <c r="H750" s="558"/>
      <c r="I750" s="558"/>
      <c r="J750" s="1118"/>
      <c r="K750" s="538"/>
    </row>
    <row r="751" spans="2:11" ht="15" customHeight="1" x14ac:dyDescent="0.3">
      <c r="B751" s="401"/>
      <c r="F751" s="386"/>
      <c r="G751" s="400"/>
      <c r="H751" s="386"/>
      <c r="I751" s="358"/>
      <c r="J751" s="386"/>
    </row>
    <row r="752" spans="2:11" ht="15" customHeight="1" x14ac:dyDescent="0.3">
      <c r="B752" s="401"/>
      <c r="F752" s="386"/>
      <c r="G752" s="400"/>
      <c r="H752" s="386"/>
      <c r="I752" s="358"/>
      <c r="J752" s="386"/>
    </row>
    <row r="753" spans="2:11" ht="15" customHeight="1" x14ac:dyDescent="0.3">
      <c r="B753" s="1223" t="s">
        <v>76</v>
      </c>
      <c r="C753" s="279"/>
      <c r="D753" s="279"/>
      <c r="E753" s="298"/>
      <c r="F753" s="357"/>
      <c r="I753" s="357"/>
    </row>
    <row r="754" spans="2:11" s="519" customFormat="1" ht="15" customHeight="1" x14ac:dyDescent="0.2">
      <c r="B754" s="529"/>
    </row>
    <row r="755" spans="2:11" s="519" customFormat="1" ht="15" customHeight="1" x14ac:dyDescent="0.3">
      <c r="B755" s="1222" t="s">
        <v>1589</v>
      </c>
      <c r="C755" s="1180">
        <v>42742</v>
      </c>
      <c r="D755" s="1179" t="s">
        <v>1622</v>
      </c>
      <c r="E755" s="1155" t="s">
        <v>1617</v>
      </c>
      <c r="F755" s="1179" t="s">
        <v>1618</v>
      </c>
      <c r="G755" s="1154" t="s">
        <v>579</v>
      </c>
      <c r="H755" s="1104"/>
      <c r="I755" s="1104"/>
      <c r="J755" s="1148"/>
      <c r="K755" s="357"/>
    </row>
    <row r="756" spans="2:11" ht="15" customHeight="1" x14ac:dyDescent="0.3">
      <c r="B756" s="1045" t="s">
        <v>580</v>
      </c>
      <c r="C756" s="1046">
        <v>40230</v>
      </c>
      <c r="D756" s="1048" t="s">
        <v>576</v>
      </c>
      <c r="E756" s="1047" t="s">
        <v>257</v>
      </c>
      <c r="F756" s="1048" t="s">
        <v>567</v>
      </c>
      <c r="G756" s="924" t="s">
        <v>568</v>
      </c>
      <c r="H756" s="1139"/>
      <c r="I756" s="1139"/>
      <c r="J756" s="1172"/>
      <c r="K756" s="519"/>
    </row>
    <row r="757" spans="2:11" ht="15" customHeight="1" x14ac:dyDescent="0.3">
      <c r="B757" s="1074" t="s">
        <v>2187</v>
      </c>
      <c r="C757" s="1080">
        <v>44274</v>
      </c>
      <c r="D757" s="1082" t="s">
        <v>2210</v>
      </c>
      <c r="E757" s="1081" t="s">
        <v>2211</v>
      </c>
      <c r="F757" s="1082" t="s">
        <v>1190</v>
      </c>
      <c r="G757" s="1043" t="s">
        <v>579</v>
      </c>
      <c r="H757" s="1078"/>
      <c r="I757" s="1078" t="s">
        <v>2212</v>
      </c>
      <c r="J757" s="1083"/>
      <c r="K757" s="519"/>
    </row>
    <row r="758" spans="2:11" ht="15" customHeight="1" x14ac:dyDescent="0.3">
      <c r="B758" s="1074" t="s">
        <v>2409</v>
      </c>
      <c r="C758" s="1080">
        <v>45374</v>
      </c>
      <c r="D758" s="1082" t="s">
        <v>2432</v>
      </c>
      <c r="E758" s="1081" t="s">
        <v>2420</v>
      </c>
      <c r="F758" s="1082" t="s">
        <v>2421</v>
      </c>
      <c r="G758" s="1043" t="s">
        <v>796</v>
      </c>
      <c r="H758" s="1078"/>
      <c r="I758" s="1078"/>
      <c r="J758" s="1083"/>
    </row>
    <row r="759" spans="2:11" ht="15" customHeight="1" x14ac:dyDescent="0.3">
      <c r="B759" s="1074" t="s">
        <v>1079</v>
      </c>
      <c r="C759" s="1080">
        <v>41546</v>
      </c>
      <c r="D759" s="1082" t="s">
        <v>1090</v>
      </c>
      <c r="E759" s="1081" t="s">
        <v>1014</v>
      </c>
      <c r="F759" s="1082" t="s">
        <v>1016</v>
      </c>
      <c r="G759" s="1043" t="s">
        <v>796</v>
      </c>
      <c r="H759" s="1043"/>
      <c r="I759" s="1078"/>
      <c r="J759" s="1083"/>
    </row>
    <row r="760" spans="2:11" s="530" customFormat="1" ht="15" customHeight="1" x14ac:dyDescent="0.3">
      <c r="B760" s="1074" t="s">
        <v>1662</v>
      </c>
      <c r="C760" s="1080">
        <v>42742</v>
      </c>
      <c r="D760" s="1082" t="s">
        <v>1090</v>
      </c>
      <c r="E760" s="1081" t="s">
        <v>1493</v>
      </c>
      <c r="F760" s="1082" t="s">
        <v>241</v>
      </c>
      <c r="G760" s="1043" t="s">
        <v>1643</v>
      </c>
      <c r="H760" s="1043"/>
      <c r="I760" s="1078" t="s">
        <v>1682</v>
      </c>
      <c r="J760" s="1083"/>
      <c r="K760" s="357"/>
    </row>
    <row r="761" spans="2:11" s="530" customFormat="1" ht="15" customHeight="1" x14ac:dyDescent="0.3">
      <c r="B761" s="600" t="s">
        <v>178</v>
      </c>
      <c r="C761" s="599">
        <v>39103</v>
      </c>
      <c r="D761" s="579" t="s">
        <v>134</v>
      </c>
      <c r="E761" s="556" t="s">
        <v>28</v>
      </c>
      <c r="F761" s="579" t="s">
        <v>36</v>
      </c>
      <c r="G761" s="555" t="s">
        <v>41</v>
      </c>
      <c r="H761" s="918"/>
      <c r="I761" s="918"/>
      <c r="J761" s="919"/>
      <c r="K761" s="357"/>
    </row>
    <row r="762" spans="2:11" ht="15" customHeight="1" x14ac:dyDescent="0.3">
      <c r="B762" s="600" t="s">
        <v>844</v>
      </c>
      <c r="C762" s="599">
        <v>40811</v>
      </c>
      <c r="D762" s="579" t="s">
        <v>134</v>
      </c>
      <c r="E762" s="556" t="s">
        <v>780</v>
      </c>
      <c r="F762" s="579" t="s">
        <v>781</v>
      </c>
      <c r="G762" s="555" t="s">
        <v>796</v>
      </c>
      <c r="H762" s="918"/>
      <c r="I762" s="918"/>
      <c r="J762" s="919"/>
      <c r="K762" s="530"/>
    </row>
    <row r="763" spans="2:11" ht="15" customHeight="1" x14ac:dyDescent="0.3">
      <c r="B763" s="600" t="s">
        <v>2047</v>
      </c>
      <c r="C763" s="599">
        <v>43708</v>
      </c>
      <c r="D763" s="579" t="s">
        <v>134</v>
      </c>
      <c r="E763" s="556" t="s">
        <v>2069</v>
      </c>
      <c r="F763" s="579" t="s">
        <v>1268</v>
      </c>
      <c r="G763" s="555" t="s">
        <v>579</v>
      </c>
      <c r="H763" s="918"/>
      <c r="I763" s="918" t="s">
        <v>2070</v>
      </c>
      <c r="J763" s="919"/>
      <c r="K763" s="949"/>
    </row>
    <row r="764" spans="2:11" ht="15" customHeight="1" x14ac:dyDescent="0.3">
      <c r="B764" s="600" t="s">
        <v>2437</v>
      </c>
      <c r="C764" s="599">
        <v>45745</v>
      </c>
      <c r="D764" s="579" t="s">
        <v>134</v>
      </c>
      <c r="E764" s="556" t="s">
        <v>1039</v>
      </c>
      <c r="F764" s="579" t="s">
        <v>1680</v>
      </c>
      <c r="G764" s="555" t="s">
        <v>796</v>
      </c>
      <c r="H764" s="918"/>
      <c r="I764" s="918" t="s">
        <v>2782</v>
      </c>
      <c r="J764" s="919"/>
      <c r="K764" s="357" t="s">
        <v>1685</v>
      </c>
    </row>
    <row r="765" spans="2:11" ht="15" customHeight="1" x14ac:dyDescent="0.3">
      <c r="B765" s="600" t="s">
        <v>701</v>
      </c>
      <c r="C765" s="599">
        <v>40502</v>
      </c>
      <c r="D765" s="579" t="s">
        <v>176</v>
      </c>
      <c r="E765" s="556" t="s">
        <v>634</v>
      </c>
      <c r="F765" s="579" t="s">
        <v>40</v>
      </c>
      <c r="G765" s="555" t="s">
        <v>246</v>
      </c>
      <c r="H765" s="555"/>
      <c r="I765" s="555"/>
      <c r="J765" s="916"/>
    </row>
    <row r="766" spans="2:11" ht="15" customHeight="1" x14ac:dyDescent="0.3">
      <c r="B766" s="927" t="s">
        <v>701</v>
      </c>
      <c r="C766" s="928">
        <v>40502</v>
      </c>
      <c r="D766" s="929" t="s">
        <v>176</v>
      </c>
      <c r="E766" s="930" t="s">
        <v>671</v>
      </c>
      <c r="F766" s="929" t="s">
        <v>767</v>
      </c>
      <c r="G766" s="557" t="s">
        <v>246</v>
      </c>
      <c r="H766" s="918"/>
      <c r="I766" s="918"/>
      <c r="J766" s="919"/>
    </row>
    <row r="767" spans="2:11" ht="15" customHeight="1" x14ac:dyDescent="0.3">
      <c r="B767" s="927" t="s">
        <v>1406</v>
      </c>
      <c r="C767" s="928">
        <v>42309</v>
      </c>
      <c r="D767" s="929" t="s">
        <v>176</v>
      </c>
      <c r="E767" s="930" t="s">
        <v>1458</v>
      </c>
      <c r="F767" s="929" t="s">
        <v>903</v>
      </c>
      <c r="G767" s="557" t="s">
        <v>579</v>
      </c>
      <c r="H767" s="918"/>
      <c r="I767" s="918"/>
      <c r="J767" s="919"/>
    </row>
    <row r="768" spans="2:11" ht="15" customHeight="1" x14ac:dyDescent="0.3">
      <c r="B768" s="927" t="s">
        <v>1406</v>
      </c>
      <c r="C768" s="928">
        <v>42337</v>
      </c>
      <c r="D768" s="929" t="s">
        <v>176</v>
      </c>
      <c r="E768" s="930" t="s">
        <v>1480</v>
      </c>
      <c r="F768" s="929" t="s">
        <v>857</v>
      </c>
      <c r="G768" s="557" t="s">
        <v>579</v>
      </c>
      <c r="H768" s="918"/>
      <c r="I768" s="918"/>
      <c r="J768" s="919"/>
    </row>
    <row r="769" spans="2:12" ht="15" customHeight="1" x14ac:dyDescent="0.3">
      <c r="B769" s="927" t="s">
        <v>1406</v>
      </c>
      <c r="C769" s="928">
        <v>42442</v>
      </c>
      <c r="D769" s="929" t="s">
        <v>176</v>
      </c>
      <c r="E769" s="930" t="s">
        <v>1454</v>
      </c>
      <c r="F769" s="929" t="s">
        <v>903</v>
      </c>
      <c r="G769" s="557" t="s">
        <v>150</v>
      </c>
      <c r="H769" s="918"/>
      <c r="I769" s="918"/>
      <c r="J769" s="919"/>
    </row>
    <row r="770" spans="2:12" ht="15" customHeight="1" x14ac:dyDescent="0.3">
      <c r="B770" s="927" t="s">
        <v>2230</v>
      </c>
      <c r="C770" s="928">
        <v>44850</v>
      </c>
      <c r="D770" s="929" t="s">
        <v>968</v>
      </c>
      <c r="E770" s="930" t="s">
        <v>2326</v>
      </c>
      <c r="F770" s="929" t="s">
        <v>1235</v>
      </c>
      <c r="G770" s="557" t="s">
        <v>796</v>
      </c>
      <c r="H770" s="918"/>
      <c r="I770" s="918" t="s">
        <v>2333</v>
      </c>
      <c r="J770" s="919"/>
    </row>
    <row r="771" spans="2:12" ht="15" customHeight="1" x14ac:dyDescent="0.3">
      <c r="B771" s="927" t="s">
        <v>2230</v>
      </c>
      <c r="C771" s="928">
        <v>44863</v>
      </c>
      <c r="D771" s="929" t="s">
        <v>968</v>
      </c>
      <c r="E771" s="930" t="s">
        <v>1961</v>
      </c>
      <c r="F771" s="929" t="s">
        <v>33</v>
      </c>
      <c r="G771" s="557" t="s">
        <v>1593</v>
      </c>
      <c r="H771" s="918"/>
      <c r="I771" s="918" t="s">
        <v>2334</v>
      </c>
      <c r="J771" s="919"/>
    </row>
    <row r="772" spans="2:12" ht="15" customHeight="1" x14ac:dyDescent="0.3">
      <c r="B772" s="927" t="s">
        <v>1817</v>
      </c>
      <c r="C772" s="928">
        <v>43379</v>
      </c>
      <c r="D772" s="929" t="s">
        <v>968</v>
      </c>
      <c r="E772" s="930" t="s">
        <v>806</v>
      </c>
      <c r="F772" s="929" t="s">
        <v>508</v>
      </c>
      <c r="G772" s="557" t="s">
        <v>1593</v>
      </c>
      <c r="H772" s="918"/>
      <c r="I772" s="918" t="s">
        <v>1956</v>
      </c>
      <c r="J772" s="919"/>
    </row>
    <row r="773" spans="2:12" ht="15" customHeight="1" x14ac:dyDescent="0.3">
      <c r="B773" s="917" t="s">
        <v>884</v>
      </c>
      <c r="C773" s="920">
        <v>41307</v>
      </c>
      <c r="D773" s="921" t="s">
        <v>968</v>
      </c>
      <c r="E773" s="922" t="s">
        <v>928</v>
      </c>
      <c r="F773" s="921" t="s">
        <v>929</v>
      </c>
      <c r="G773" s="918" t="s">
        <v>796</v>
      </c>
      <c r="H773" s="918"/>
      <c r="I773" s="918"/>
      <c r="J773" s="919"/>
    </row>
    <row r="774" spans="2:12" ht="15" customHeight="1" x14ac:dyDescent="0.3">
      <c r="B774" s="917" t="s">
        <v>1146</v>
      </c>
      <c r="C774" s="920">
        <v>41972</v>
      </c>
      <c r="D774" s="921" t="s">
        <v>968</v>
      </c>
      <c r="E774" s="922" t="s">
        <v>1366</v>
      </c>
      <c r="F774" s="921" t="s">
        <v>1235</v>
      </c>
      <c r="G774" s="918" t="s">
        <v>150</v>
      </c>
      <c r="H774" s="918"/>
      <c r="I774" s="918"/>
      <c r="J774" s="919"/>
    </row>
    <row r="775" spans="2:12" ht="15" customHeight="1" x14ac:dyDescent="0.3">
      <c r="B775" s="1206" t="s">
        <v>1146</v>
      </c>
      <c r="C775" s="1207">
        <v>42049</v>
      </c>
      <c r="D775" s="1208" t="s">
        <v>968</v>
      </c>
      <c r="E775" s="1209" t="s">
        <v>1374</v>
      </c>
      <c r="F775" s="1208" t="s">
        <v>508</v>
      </c>
      <c r="G775" s="1210" t="s">
        <v>579</v>
      </c>
      <c r="H775" s="1210"/>
      <c r="I775" s="1210"/>
      <c r="J775" s="1236"/>
    </row>
    <row r="776" spans="2:12" ht="15" customHeight="1" x14ac:dyDescent="0.3">
      <c r="F776" s="386"/>
      <c r="G776" s="358"/>
      <c r="H776" s="358"/>
      <c r="I776" s="386"/>
      <c r="J776" s="358"/>
    </row>
    <row r="777" spans="2:12" ht="15" customHeight="1" x14ac:dyDescent="0.3">
      <c r="F777" s="386"/>
      <c r="G777" s="358"/>
      <c r="H777" s="358"/>
      <c r="I777" s="386"/>
      <c r="J777" s="358"/>
    </row>
    <row r="778" spans="2:12" ht="15" customHeight="1" x14ac:dyDescent="0.3">
      <c r="B778" s="585" t="s">
        <v>213</v>
      </c>
      <c r="F778" s="592"/>
      <c r="G778" s="593"/>
      <c r="H778" s="592"/>
      <c r="I778" s="594"/>
      <c r="J778" s="592"/>
      <c r="K778" s="595"/>
      <c r="L778" s="595"/>
    </row>
    <row r="779" spans="2:12" ht="15" customHeight="1" x14ac:dyDescent="0.3">
      <c r="B779" s="585"/>
      <c r="L779" s="595"/>
    </row>
    <row r="780" spans="2:12" ht="15" customHeight="1" x14ac:dyDescent="0.3">
      <c r="B780" s="1223" t="s">
        <v>125</v>
      </c>
      <c r="C780" s="279"/>
      <c r="D780" s="279"/>
      <c r="E780" s="298"/>
      <c r="F780" s="357"/>
      <c r="I780" s="357"/>
    </row>
    <row r="781" spans="2:12" ht="15" customHeight="1" x14ac:dyDescent="0.3">
      <c r="B781" s="401"/>
      <c r="F781" s="357"/>
      <c r="I781" s="357"/>
    </row>
    <row r="782" spans="2:12" ht="15" customHeight="1" x14ac:dyDescent="0.3">
      <c r="B782" s="1226" t="s">
        <v>1817</v>
      </c>
      <c r="C782" s="1181">
        <v>43470</v>
      </c>
      <c r="D782" s="758" t="s">
        <v>1931</v>
      </c>
      <c r="E782" s="915" t="s">
        <v>1047</v>
      </c>
      <c r="F782" s="758" t="s">
        <v>253</v>
      </c>
      <c r="G782" s="1120" t="s">
        <v>1147</v>
      </c>
      <c r="H782" s="1182"/>
      <c r="I782" s="1183" t="s">
        <v>1958</v>
      </c>
    </row>
    <row r="783" spans="2:12" ht="15" customHeight="1" x14ac:dyDescent="0.3">
      <c r="B783" s="1192" t="s">
        <v>1817</v>
      </c>
      <c r="C783" s="1193">
        <v>43512</v>
      </c>
      <c r="D783" s="1194" t="s">
        <v>575</v>
      </c>
      <c r="E783" s="1195" t="s">
        <v>1025</v>
      </c>
      <c r="F783" s="1194" t="s">
        <v>1922</v>
      </c>
      <c r="G783" s="1196" t="s">
        <v>579</v>
      </c>
      <c r="H783" s="1196"/>
      <c r="I783" s="1197" t="s">
        <v>1932</v>
      </c>
    </row>
    <row r="784" spans="2:12" ht="15" customHeight="1" x14ac:dyDescent="0.3">
      <c r="B784" s="1198" t="s">
        <v>2047</v>
      </c>
      <c r="C784" s="1199">
        <v>43785</v>
      </c>
      <c r="D784" s="1200" t="s">
        <v>575</v>
      </c>
      <c r="E784" s="1201" t="s">
        <v>1447</v>
      </c>
      <c r="F784" s="1200" t="s">
        <v>35</v>
      </c>
      <c r="G784" s="1202" t="s">
        <v>579</v>
      </c>
      <c r="H784" s="1202"/>
      <c r="I784" s="1203" t="s">
        <v>2063</v>
      </c>
    </row>
    <row r="785" spans="2:10" ht="15" customHeight="1" x14ac:dyDescent="0.3">
      <c r="B785" s="1237" t="s">
        <v>2230</v>
      </c>
      <c r="C785" s="1238">
        <v>44898</v>
      </c>
      <c r="D785" s="1239" t="s">
        <v>575</v>
      </c>
      <c r="E785" s="1240" t="s">
        <v>2337</v>
      </c>
      <c r="F785" s="1239" t="s">
        <v>2325</v>
      </c>
      <c r="G785" s="1241" t="s">
        <v>2297</v>
      </c>
      <c r="H785" s="1241"/>
      <c r="I785" s="1242" t="s">
        <v>2329</v>
      </c>
    </row>
    <row r="786" spans="2:10" ht="15" customHeight="1" x14ac:dyDescent="0.3">
      <c r="B786" s="712" t="s">
        <v>261</v>
      </c>
      <c r="C786" s="1170">
        <v>39901</v>
      </c>
      <c r="D786" s="1171" t="s">
        <v>256</v>
      </c>
      <c r="E786" s="1140" t="s">
        <v>240</v>
      </c>
      <c r="F786" s="1171" t="s">
        <v>241</v>
      </c>
      <c r="G786" s="1139" t="s">
        <v>255</v>
      </c>
      <c r="H786" s="924"/>
      <c r="I786" s="925"/>
    </row>
    <row r="787" spans="2:10" s="405" customFormat="1" ht="15" customHeight="1" x14ac:dyDescent="0.3">
      <c r="B787" s="600" t="s">
        <v>884</v>
      </c>
      <c r="C787" s="920">
        <v>41322</v>
      </c>
      <c r="D787" s="921" t="s">
        <v>966</v>
      </c>
      <c r="E787" s="922" t="s">
        <v>931</v>
      </c>
      <c r="F787" s="921" t="s">
        <v>933</v>
      </c>
      <c r="G787" s="918" t="s">
        <v>579</v>
      </c>
      <c r="H787" s="918"/>
      <c r="I787" s="919"/>
      <c r="J787" s="357"/>
    </row>
    <row r="788" spans="2:10" s="536" customFormat="1" ht="15" customHeight="1" x14ac:dyDescent="0.3">
      <c r="B788" s="600" t="s">
        <v>1079</v>
      </c>
      <c r="C788" s="920">
        <v>41692</v>
      </c>
      <c r="D788" s="921" t="s">
        <v>1088</v>
      </c>
      <c r="E788" s="922" t="s">
        <v>1053</v>
      </c>
      <c r="F788" s="921" t="s">
        <v>891</v>
      </c>
      <c r="G788" s="918" t="s">
        <v>579</v>
      </c>
      <c r="H788" s="918"/>
      <c r="I788" s="919"/>
      <c r="J788" s="357"/>
    </row>
    <row r="789" spans="2:10" s="536" customFormat="1" ht="15" customHeight="1" x14ac:dyDescent="0.2">
      <c r="B789" s="1079" t="s">
        <v>177</v>
      </c>
      <c r="C789" s="1075">
        <v>39523</v>
      </c>
      <c r="D789" s="1076" t="s">
        <v>171</v>
      </c>
      <c r="E789" s="1077" t="s">
        <v>168</v>
      </c>
      <c r="F789" s="1076" t="s">
        <v>169</v>
      </c>
      <c r="G789" s="1078" t="s">
        <v>41</v>
      </c>
      <c r="H789" s="1078"/>
      <c r="I789" s="1083"/>
      <c r="J789" s="405"/>
    </row>
    <row r="790" spans="2:10" s="536" customFormat="1" ht="15" customHeight="1" x14ac:dyDescent="0.2">
      <c r="B790" s="600" t="s">
        <v>701</v>
      </c>
      <c r="C790" s="599">
        <v>40502</v>
      </c>
      <c r="D790" s="579" t="s">
        <v>721</v>
      </c>
      <c r="E790" s="556" t="s">
        <v>631</v>
      </c>
      <c r="F790" s="579" t="s">
        <v>712</v>
      </c>
      <c r="G790" s="555" t="s">
        <v>246</v>
      </c>
      <c r="H790" s="555"/>
      <c r="I790" s="916"/>
    </row>
    <row r="791" spans="2:10" s="536" customFormat="1" ht="15" customHeight="1" x14ac:dyDescent="0.2">
      <c r="B791" s="600" t="s">
        <v>701</v>
      </c>
      <c r="C791" s="599">
        <v>40635</v>
      </c>
      <c r="D791" s="579" t="s">
        <v>171</v>
      </c>
      <c r="E791" s="556" t="s">
        <v>670</v>
      </c>
      <c r="F791" s="579" t="s">
        <v>768</v>
      </c>
      <c r="G791" s="555" t="s">
        <v>246</v>
      </c>
      <c r="H791" s="555"/>
      <c r="I791" s="916"/>
    </row>
    <row r="792" spans="2:10" s="536" customFormat="1" ht="15" customHeight="1" x14ac:dyDescent="0.2">
      <c r="B792" s="600" t="s">
        <v>1146</v>
      </c>
      <c r="C792" s="920">
        <v>41993</v>
      </c>
      <c r="D792" s="921" t="s">
        <v>721</v>
      </c>
      <c r="E792" s="922" t="s">
        <v>250</v>
      </c>
      <c r="F792" s="921" t="s">
        <v>1268</v>
      </c>
      <c r="G792" s="918" t="s">
        <v>579</v>
      </c>
      <c r="H792" s="918"/>
      <c r="I792" s="916"/>
    </row>
    <row r="793" spans="2:10" s="536" customFormat="1" ht="15" customHeight="1" x14ac:dyDescent="0.2">
      <c r="B793" s="600" t="s">
        <v>1146</v>
      </c>
      <c r="C793" s="920">
        <v>42049</v>
      </c>
      <c r="D793" s="921" t="s">
        <v>1376</v>
      </c>
      <c r="E793" s="922" t="s">
        <v>1370</v>
      </c>
      <c r="F793" s="921" t="s">
        <v>1328</v>
      </c>
      <c r="G793" s="918" t="s">
        <v>579</v>
      </c>
      <c r="H793" s="918"/>
      <c r="I793" s="916"/>
    </row>
    <row r="794" spans="2:10" s="405" customFormat="1" ht="15" customHeight="1" x14ac:dyDescent="0.2">
      <c r="B794" s="600" t="s">
        <v>2187</v>
      </c>
      <c r="C794" s="920">
        <v>44513</v>
      </c>
      <c r="D794" s="921" t="s">
        <v>721</v>
      </c>
      <c r="E794" s="922" t="s">
        <v>2191</v>
      </c>
      <c r="F794" s="921" t="s">
        <v>1328</v>
      </c>
      <c r="G794" s="918" t="s">
        <v>2174</v>
      </c>
      <c r="H794" s="918"/>
      <c r="I794" s="916" t="s">
        <v>2207</v>
      </c>
      <c r="J794" s="519"/>
    </row>
    <row r="795" spans="2:10" s="405" customFormat="1" ht="15" customHeight="1" x14ac:dyDescent="0.3">
      <c r="B795" s="600" t="s">
        <v>2409</v>
      </c>
      <c r="C795" s="920">
        <v>45395</v>
      </c>
      <c r="D795" s="921" t="s">
        <v>171</v>
      </c>
      <c r="E795" s="922" t="s">
        <v>2351</v>
      </c>
      <c r="F795" s="921" t="s">
        <v>2425</v>
      </c>
      <c r="G795" s="918" t="s">
        <v>1593</v>
      </c>
      <c r="H795" s="918"/>
      <c r="I795" s="916" t="s">
        <v>2449</v>
      </c>
      <c r="J795" s="357"/>
    </row>
    <row r="796" spans="2:10" s="405" customFormat="1" ht="15" customHeight="1" x14ac:dyDescent="0.3">
      <c r="B796" s="600" t="s">
        <v>1589</v>
      </c>
      <c r="C796" s="920">
        <v>42672</v>
      </c>
      <c r="D796" s="579" t="s">
        <v>1631</v>
      </c>
      <c r="E796" s="922" t="s">
        <v>1047</v>
      </c>
      <c r="F796" s="921" t="s">
        <v>922</v>
      </c>
      <c r="G796" s="918" t="s">
        <v>150</v>
      </c>
      <c r="H796" s="1205"/>
      <c r="I796" s="1145"/>
      <c r="J796" s="536"/>
    </row>
    <row r="797" spans="2:10" s="405" customFormat="1" ht="15" customHeight="1" x14ac:dyDescent="0.2">
      <c r="B797" s="600" t="s">
        <v>178</v>
      </c>
      <c r="C797" s="599">
        <v>39088</v>
      </c>
      <c r="D797" s="579" t="s">
        <v>132</v>
      </c>
      <c r="E797" s="556" t="s">
        <v>32</v>
      </c>
      <c r="F797" s="579" t="s">
        <v>35</v>
      </c>
      <c r="G797" s="555" t="s">
        <v>41</v>
      </c>
      <c r="H797" s="555"/>
      <c r="I797" s="916"/>
    </row>
    <row r="798" spans="2:10" s="405" customFormat="1" ht="15" customHeight="1" x14ac:dyDescent="0.2">
      <c r="B798" s="600" t="s">
        <v>178</v>
      </c>
      <c r="C798" s="599">
        <v>39172</v>
      </c>
      <c r="D798" s="579" t="s">
        <v>129</v>
      </c>
      <c r="E798" s="556" t="s">
        <v>130</v>
      </c>
      <c r="F798" s="579" t="s">
        <v>131</v>
      </c>
      <c r="G798" s="555" t="s">
        <v>44</v>
      </c>
      <c r="H798" s="555"/>
      <c r="I798" s="916"/>
    </row>
    <row r="799" spans="2:10" s="405" customFormat="1" ht="15" customHeight="1" x14ac:dyDescent="0.2">
      <c r="B799" s="600" t="s">
        <v>1406</v>
      </c>
      <c r="C799" s="599">
        <v>42294</v>
      </c>
      <c r="D799" s="579" t="s">
        <v>129</v>
      </c>
      <c r="E799" s="556" t="s">
        <v>28</v>
      </c>
      <c r="F799" s="579" t="s">
        <v>1449</v>
      </c>
      <c r="G799" s="555" t="s">
        <v>1414</v>
      </c>
      <c r="H799" s="555"/>
      <c r="I799" s="916"/>
    </row>
    <row r="800" spans="2:10" s="405" customFormat="1" ht="15" customHeight="1" x14ac:dyDescent="0.3">
      <c r="B800" s="600" t="s">
        <v>1662</v>
      </c>
      <c r="C800" s="599">
        <v>43065</v>
      </c>
      <c r="D800" s="579" t="s">
        <v>132</v>
      </c>
      <c r="E800" s="556" t="s">
        <v>1676</v>
      </c>
      <c r="F800" s="579" t="s">
        <v>888</v>
      </c>
      <c r="G800" s="555" t="s">
        <v>1674</v>
      </c>
      <c r="H800" s="555"/>
      <c r="I800" s="916" t="s">
        <v>1678</v>
      </c>
      <c r="J800" s="713"/>
    </row>
    <row r="801" spans="2:12" s="405" customFormat="1" ht="15" customHeight="1" x14ac:dyDescent="0.3">
      <c r="B801" s="600" t="s">
        <v>2437</v>
      </c>
      <c r="C801" s="599">
        <v>45562</v>
      </c>
      <c r="D801" s="579" t="s">
        <v>572</v>
      </c>
      <c r="E801" s="556" t="s">
        <v>2770</v>
      </c>
      <c r="F801" s="579" t="s">
        <v>2772</v>
      </c>
      <c r="G801" s="555" t="s">
        <v>796</v>
      </c>
      <c r="H801" s="555"/>
      <c r="I801" s="916" t="s">
        <v>2781</v>
      </c>
      <c r="J801" s="713" t="s">
        <v>1685</v>
      </c>
    </row>
    <row r="802" spans="2:12" s="405" customFormat="1" ht="15" customHeight="1" x14ac:dyDescent="0.3">
      <c r="B802" s="600" t="s">
        <v>2437</v>
      </c>
      <c r="C802" s="599">
        <v>45577</v>
      </c>
      <c r="D802" s="579" t="s">
        <v>572</v>
      </c>
      <c r="E802" s="556" t="s">
        <v>2771</v>
      </c>
      <c r="F802" s="579" t="s">
        <v>857</v>
      </c>
      <c r="G802" s="555" t="s">
        <v>2539</v>
      </c>
      <c r="H802" s="555"/>
      <c r="I802" s="916" t="s">
        <v>2790</v>
      </c>
      <c r="J802" s="713" t="s">
        <v>1685</v>
      </c>
    </row>
    <row r="803" spans="2:12" s="405" customFormat="1" ht="15" customHeight="1" x14ac:dyDescent="0.2">
      <c r="B803" s="600" t="s">
        <v>580</v>
      </c>
      <c r="C803" s="599">
        <v>40082</v>
      </c>
      <c r="D803" s="579" t="s">
        <v>572</v>
      </c>
      <c r="E803" s="556" t="s">
        <v>541</v>
      </c>
      <c r="F803" s="579" t="s">
        <v>569</v>
      </c>
      <c r="G803" s="555" t="s">
        <v>249</v>
      </c>
      <c r="H803" s="555"/>
      <c r="I803" s="916"/>
    </row>
    <row r="804" spans="2:12" s="405" customFormat="1" ht="15" customHeight="1" x14ac:dyDescent="0.2">
      <c r="B804" s="600" t="s">
        <v>580</v>
      </c>
      <c r="C804" s="599">
        <v>40244</v>
      </c>
      <c r="D804" s="579" t="s">
        <v>573</v>
      </c>
      <c r="E804" s="556" t="s">
        <v>552</v>
      </c>
      <c r="F804" s="579" t="s">
        <v>574</v>
      </c>
      <c r="G804" s="555" t="s">
        <v>558</v>
      </c>
      <c r="H804" s="555"/>
      <c r="I804" s="916"/>
    </row>
    <row r="805" spans="2:12" ht="15" customHeight="1" x14ac:dyDescent="0.3">
      <c r="B805" s="600" t="s">
        <v>844</v>
      </c>
      <c r="C805" s="599">
        <v>40838</v>
      </c>
      <c r="D805" s="579" t="s">
        <v>573</v>
      </c>
      <c r="E805" s="556" t="s">
        <v>816</v>
      </c>
      <c r="F805" s="579" t="s">
        <v>577</v>
      </c>
      <c r="G805" s="555" t="s">
        <v>794</v>
      </c>
      <c r="H805" s="555"/>
      <c r="I805" s="916"/>
      <c r="J805" s="405"/>
      <c r="K805" s="406"/>
      <c r="L805" s="406"/>
    </row>
    <row r="806" spans="2:12" ht="15" customHeight="1" x14ac:dyDescent="0.3">
      <c r="B806" s="1174" t="s">
        <v>844</v>
      </c>
      <c r="C806" s="1175">
        <v>40971</v>
      </c>
      <c r="D806" s="1176" t="s">
        <v>573</v>
      </c>
      <c r="E806" s="559" t="s">
        <v>787</v>
      </c>
      <c r="F806" s="1176" t="s">
        <v>574</v>
      </c>
      <c r="G806" s="558" t="s">
        <v>794</v>
      </c>
      <c r="H806" s="558"/>
      <c r="I806" s="1118"/>
      <c r="J806" s="405"/>
      <c r="K806" s="406"/>
      <c r="L806" s="406"/>
    </row>
    <row r="807" spans="2:12" ht="15" customHeight="1" x14ac:dyDescent="0.3">
      <c r="B807" s="401"/>
      <c r="F807" s="596"/>
      <c r="G807" s="597"/>
      <c r="H807" s="596"/>
      <c r="I807" s="598"/>
      <c r="J807" s="596"/>
      <c r="K807" s="406"/>
      <c r="L807" s="406"/>
    </row>
    <row r="808" spans="2:12" ht="15" customHeight="1" x14ac:dyDescent="0.3">
      <c r="B808" s="401"/>
      <c r="F808" s="596"/>
      <c r="G808" s="597"/>
      <c r="H808" s="596"/>
      <c r="I808" s="598"/>
      <c r="J808" s="596"/>
      <c r="K808" s="406"/>
      <c r="L808" s="406"/>
    </row>
    <row r="809" spans="2:12" ht="15" customHeight="1" x14ac:dyDescent="0.3">
      <c r="B809" s="1223" t="s">
        <v>16</v>
      </c>
      <c r="C809" s="279"/>
      <c r="D809" s="279"/>
      <c r="E809" s="298"/>
      <c r="F809" s="357"/>
      <c r="I809" s="357"/>
    </row>
    <row r="810" spans="2:12" ht="15" customHeight="1" x14ac:dyDescent="0.3">
      <c r="B810" s="401"/>
      <c r="F810" s="357"/>
      <c r="I810" s="357"/>
    </row>
    <row r="811" spans="2:12" s="519" customFormat="1" ht="15" customHeight="1" x14ac:dyDescent="0.3">
      <c r="B811" s="1222" t="s">
        <v>1589</v>
      </c>
      <c r="C811" s="1180">
        <v>42742</v>
      </c>
      <c r="D811" s="1179" t="s">
        <v>1621</v>
      </c>
      <c r="E811" s="1155" t="s">
        <v>1617</v>
      </c>
      <c r="F811" s="1179" t="s">
        <v>1618</v>
      </c>
      <c r="G811" s="1154" t="s">
        <v>579</v>
      </c>
      <c r="H811" s="1104"/>
      <c r="I811" s="1104"/>
      <c r="J811" s="1243"/>
      <c r="K811" s="357"/>
    </row>
    <row r="812" spans="2:12" s="519" customFormat="1" ht="15" customHeight="1" x14ac:dyDescent="0.3">
      <c r="B812" s="1045" t="s">
        <v>580</v>
      </c>
      <c r="C812" s="1046">
        <v>40230</v>
      </c>
      <c r="D812" s="1048" t="s">
        <v>575</v>
      </c>
      <c r="E812" s="1047" t="s">
        <v>257</v>
      </c>
      <c r="F812" s="1048" t="s">
        <v>567</v>
      </c>
      <c r="G812" s="924" t="s">
        <v>568</v>
      </c>
      <c r="H812" s="1139"/>
      <c r="I812" s="1139"/>
      <c r="J812" s="1244"/>
      <c r="K812" s="357"/>
    </row>
    <row r="813" spans="2:12" s="519" customFormat="1" ht="15" customHeight="1" x14ac:dyDescent="0.3">
      <c r="B813" s="1074" t="s">
        <v>2409</v>
      </c>
      <c r="C813" s="1080">
        <v>45374</v>
      </c>
      <c r="D813" s="1082" t="s">
        <v>2427</v>
      </c>
      <c r="E813" s="1081" t="s">
        <v>2420</v>
      </c>
      <c r="F813" s="1082" t="s">
        <v>2421</v>
      </c>
      <c r="G813" s="1043" t="s">
        <v>796</v>
      </c>
      <c r="H813" s="1078"/>
      <c r="I813" s="1078"/>
      <c r="J813" s="1246"/>
      <c r="K813" s="357"/>
    </row>
    <row r="814" spans="2:12" ht="15" customHeight="1" x14ac:dyDescent="0.3">
      <c r="B814" s="1074" t="s">
        <v>1079</v>
      </c>
      <c r="C814" s="1080">
        <v>41623</v>
      </c>
      <c r="D814" s="1076" t="s">
        <v>171</v>
      </c>
      <c r="E814" s="1081" t="s">
        <v>1036</v>
      </c>
      <c r="F814" s="1082" t="s">
        <v>1037</v>
      </c>
      <c r="G814" s="1043" t="s">
        <v>150</v>
      </c>
      <c r="H814" s="1078"/>
      <c r="I814" s="1078"/>
      <c r="J814" s="1244"/>
      <c r="K814" s="519"/>
    </row>
    <row r="815" spans="2:12" ht="15" customHeight="1" x14ac:dyDescent="0.3">
      <c r="B815" s="1074" t="s">
        <v>2187</v>
      </c>
      <c r="C815" s="1080">
        <v>44639</v>
      </c>
      <c r="D815" s="1076" t="s">
        <v>171</v>
      </c>
      <c r="E815" s="1081" t="s">
        <v>2201</v>
      </c>
      <c r="F815" s="1082" t="s">
        <v>768</v>
      </c>
      <c r="G815" s="1043" t="s">
        <v>579</v>
      </c>
      <c r="H815" s="1078"/>
      <c r="I815" s="1078" t="s">
        <v>2208</v>
      </c>
      <c r="J815" s="1244"/>
      <c r="K815" s="519"/>
    </row>
    <row r="816" spans="2:12" ht="15" customHeight="1" x14ac:dyDescent="0.3">
      <c r="B816" s="600" t="s">
        <v>177</v>
      </c>
      <c r="C816" s="599">
        <v>39397</v>
      </c>
      <c r="D816" s="579" t="s">
        <v>172</v>
      </c>
      <c r="E816" s="556" t="s">
        <v>173</v>
      </c>
      <c r="F816" s="579" t="s">
        <v>174</v>
      </c>
      <c r="G816" s="555" t="s">
        <v>175</v>
      </c>
      <c r="H816" s="555"/>
      <c r="I816" s="555"/>
      <c r="J816" s="1244"/>
    </row>
    <row r="817" spans="2:11" ht="15" customHeight="1" x14ac:dyDescent="0.3">
      <c r="B817" s="600" t="s">
        <v>844</v>
      </c>
      <c r="C817" s="599">
        <v>40873</v>
      </c>
      <c r="D817" s="579" t="s">
        <v>129</v>
      </c>
      <c r="E817" s="556" t="s">
        <v>596</v>
      </c>
      <c r="F817" s="579" t="s">
        <v>857</v>
      </c>
      <c r="G817" s="555" t="s">
        <v>794</v>
      </c>
      <c r="H817" s="555"/>
      <c r="I817" s="555"/>
      <c r="J817" s="1244"/>
    </row>
    <row r="818" spans="2:11" ht="15" customHeight="1" x14ac:dyDescent="0.3">
      <c r="B818" s="600" t="s">
        <v>844</v>
      </c>
      <c r="C818" s="599">
        <v>40943</v>
      </c>
      <c r="D818" s="579" t="s">
        <v>172</v>
      </c>
      <c r="E818" s="556" t="s">
        <v>811</v>
      </c>
      <c r="F818" s="579" t="s">
        <v>574</v>
      </c>
      <c r="G818" s="555" t="s">
        <v>794</v>
      </c>
      <c r="H818" s="555"/>
      <c r="I818" s="555"/>
      <c r="J818" s="1244"/>
    </row>
    <row r="819" spans="2:11" ht="15" customHeight="1" x14ac:dyDescent="0.3">
      <c r="B819" s="600" t="s">
        <v>884</v>
      </c>
      <c r="C819" s="920">
        <v>41307</v>
      </c>
      <c r="D819" s="579" t="s">
        <v>129</v>
      </c>
      <c r="E819" s="922" t="s">
        <v>928</v>
      </c>
      <c r="F819" s="921" t="s">
        <v>929</v>
      </c>
      <c r="G819" s="918" t="s">
        <v>796</v>
      </c>
      <c r="H819" s="555"/>
      <c r="I819" s="555"/>
      <c r="J819" s="1244"/>
    </row>
    <row r="820" spans="2:11" ht="15" customHeight="1" x14ac:dyDescent="0.3">
      <c r="B820" s="600" t="s">
        <v>1662</v>
      </c>
      <c r="C820" s="920">
        <v>43127</v>
      </c>
      <c r="D820" s="579" t="s">
        <v>132</v>
      </c>
      <c r="E820" s="922" t="s">
        <v>1493</v>
      </c>
      <c r="F820" s="921" t="s">
        <v>241</v>
      </c>
      <c r="G820" s="918" t="s">
        <v>1643</v>
      </c>
      <c r="H820" s="555"/>
      <c r="I820" s="555" t="s">
        <v>1675</v>
      </c>
      <c r="J820" s="1244"/>
    </row>
    <row r="821" spans="2:11" ht="15" customHeight="1" x14ac:dyDescent="0.3">
      <c r="B821" s="600" t="s">
        <v>2047</v>
      </c>
      <c r="C821" s="920">
        <v>43835</v>
      </c>
      <c r="D821" s="579" t="s">
        <v>129</v>
      </c>
      <c r="E821" s="922" t="s">
        <v>1441</v>
      </c>
      <c r="F821" s="921" t="s">
        <v>2059</v>
      </c>
      <c r="G821" s="918" t="s">
        <v>1674</v>
      </c>
      <c r="H821" s="555"/>
      <c r="I821" s="555" t="s">
        <v>2064</v>
      </c>
      <c r="J821" s="1244"/>
    </row>
    <row r="822" spans="2:11" ht="15" customHeight="1" x14ac:dyDescent="0.3">
      <c r="B822" s="600" t="s">
        <v>2230</v>
      </c>
      <c r="C822" s="920">
        <v>44934</v>
      </c>
      <c r="D822" s="579" t="s">
        <v>129</v>
      </c>
      <c r="E822" s="922" t="s">
        <v>1965</v>
      </c>
      <c r="F822" s="921" t="s">
        <v>2059</v>
      </c>
      <c r="G822" s="918" t="s">
        <v>242</v>
      </c>
      <c r="H822" s="555"/>
      <c r="I822" s="555" t="s">
        <v>2338</v>
      </c>
      <c r="J822" s="1246"/>
    </row>
    <row r="823" spans="2:11" ht="15" customHeight="1" x14ac:dyDescent="0.3">
      <c r="B823" s="600" t="s">
        <v>1406</v>
      </c>
      <c r="C823" s="920">
        <v>42294</v>
      </c>
      <c r="D823" s="579" t="s">
        <v>1455</v>
      </c>
      <c r="E823" s="922" t="s">
        <v>28</v>
      </c>
      <c r="F823" s="921" t="s">
        <v>1449</v>
      </c>
      <c r="G823" s="918" t="s">
        <v>1414</v>
      </c>
      <c r="H823" s="555"/>
      <c r="I823" s="555"/>
      <c r="J823" s="1244"/>
    </row>
    <row r="824" spans="2:11" ht="15" customHeight="1" x14ac:dyDescent="0.3">
      <c r="B824" s="600" t="s">
        <v>1146</v>
      </c>
      <c r="C824" s="920">
        <v>41916</v>
      </c>
      <c r="D824" s="579" t="s">
        <v>573</v>
      </c>
      <c r="E824" s="922" t="s">
        <v>1377</v>
      </c>
      <c r="F824" s="921" t="s">
        <v>888</v>
      </c>
      <c r="G824" s="918" t="s">
        <v>579</v>
      </c>
      <c r="H824" s="918"/>
      <c r="I824" s="555"/>
      <c r="J824" s="1244"/>
    </row>
    <row r="825" spans="2:11" ht="15" customHeight="1" x14ac:dyDescent="0.3">
      <c r="B825" s="600" t="s">
        <v>1146</v>
      </c>
      <c r="C825" s="920">
        <v>41972</v>
      </c>
      <c r="D825" s="579" t="s">
        <v>572</v>
      </c>
      <c r="E825" s="922" t="s">
        <v>1366</v>
      </c>
      <c r="F825" s="921" t="s">
        <v>1235</v>
      </c>
      <c r="G825" s="918" t="s">
        <v>150</v>
      </c>
      <c r="H825" s="918"/>
      <c r="I825" s="555"/>
      <c r="J825" s="1244"/>
    </row>
    <row r="826" spans="2:11" ht="15" customHeight="1" x14ac:dyDescent="0.3">
      <c r="B826" s="600" t="s">
        <v>1817</v>
      </c>
      <c r="C826" s="920">
        <v>43526</v>
      </c>
      <c r="D826" s="579" t="s">
        <v>572</v>
      </c>
      <c r="E826" s="922" t="s">
        <v>1918</v>
      </c>
      <c r="F826" s="921" t="s">
        <v>906</v>
      </c>
      <c r="G826" s="918" t="s">
        <v>1414</v>
      </c>
      <c r="H826" s="918"/>
      <c r="I826" s="555" t="s">
        <v>1933</v>
      </c>
      <c r="J826" s="1244"/>
    </row>
    <row r="827" spans="2:11" s="530" customFormat="1" ht="15" customHeight="1" x14ac:dyDescent="0.3">
      <c r="B827" s="600" t="s">
        <v>1817</v>
      </c>
      <c r="C827" s="920">
        <v>43552</v>
      </c>
      <c r="D827" s="579" t="s">
        <v>573</v>
      </c>
      <c r="E827" s="922" t="s">
        <v>1610</v>
      </c>
      <c r="F827" s="921" t="s">
        <v>506</v>
      </c>
      <c r="G827" s="918" t="s">
        <v>579</v>
      </c>
      <c r="H827" s="918"/>
      <c r="I827" s="555" t="s">
        <v>2369</v>
      </c>
      <c r="J827" s="1244"/>
      <c r="K827" s="357"/>
    </row>
    <row r="828" spans="2:11" s="530" customFormat="1" ht="15" customHeight="1" x14ac:dyDescent="0.3">
      <c r="B828" s="600" t="s">
        <v>2437</v>
      </c>
      <c r="C828" s="920">
        <v>45675</v>
      </c>
      <c r="D828" s="579" t="s">
        <v>572</v>
      </c>
      <c r="E828" s="922" t="s">
        <v>163</v>
      </c>
      <c r="F828" s="921" t="s">
        <v>713</v>
      </c>
      <c r="G828" s="918" t="s">
        <v>796</v>
      </c>
      <c r="H828" s="918"/>
      <c r="I828" s="555" t="s">
        <v>2791</v>
      </c>
      <c r="J828" s="1246" t="s">
        <v>1685</v>
      </c>
      <c r="K828" s="357"/>
    </row>
    <row r="829" spans="2:11" s="530" customFormat="1" ht="15" customHeight="1" x14ac:dyDescent="0.3">
      <c r="B829" s="600" t="s">
        <v>2437</v>
      </c>
      <c r="C829" s="920">
        <v>45703</v>
      </c>
      <c r="D829" s="579" t="s">
        <v>2778</v>
      </c>
      <c r="E829" s="922" t="s">
        <v>2206</v>
      </c>
      <c r="F829" s="921" t="s">
        <v>2766</v>
      </c>
      <c r="G829" s="918" t="s">
        <v>2765</v>
      </c>
      <c r="H829" s="918"/>
      <c r="I829" s="555" t="s">
        <v>2792</v>
      </c>
      <c r="J829" s="1246" t="s">
        <v>1685</v>
      </c>
      <c r="K829" s="357"/>
    </row>
    <row r="830" spans="2:11" s="530" customFormat="1" ht="15" customHeight="1" x14ac:dyDescent="0.3">
      <c r="B830" s="600" t="s">
        <v>2437</v>
      </c>
      <c r="C830" s="920">
        <v>45745</v>
      </c>
      <c r="D830" s="579" t="s">
        <v>572</v>
      </c>
      <c r="E830" s="922" t="s">
        <v>1039</v>
      </c>
      <c r="F830" s="921" t="s">
        <v>1680</v>
      </c>
      <c r="G830" s="918" t="s">
        <v>796</v>
      </c>
      <c r="H830" s="918"/>
      <c r="I830" s="555" t="s">
        <v>2782</v>
      </c>
      <c r="J830" s="1246" t="s">
        <v>1685</v>
      </c>
      <c r="K830" s="357"/>
    </row>
    <row r="831" spans="2:11" s="530" customFormat="1" ht="15" customHeight="1" x14ac:dyDescent="0.3">
      <c r="B831" s="600" t="s">
        <v>178</v>
      </c>
      <c r="C831" s="599">
        <v>38991</v>
      </c>
      <c r="D831" s="579" t="s">
        <v>5</v>
      </c>
      <c r="E831" s="556" t="s">
        <v>30</v>
      </c>
      <c r="F831" s="579" t="s">
        <v>39</v>
      </c>
      <c r="G831" s="555" t="s">
        <v>41</v>
      </c>
      <c r="H831" s="555"/>
      <c r="I831" s="918"/>
      <c r="J831" s="1245"/>
      <c r="K831" s="357"/>
    </row>
    <row r="832" spans="2:11" s="530" customFormat="1" ht="15" customHeight="1" x14ac:dyDescent="0.2">
      <c r="B832" s="600" t="s">
        <v>701</v>
      </c>
      <c r="C832" s="599">
        <v>40502</v>
      </c>
      <c r="D832" s="579" t="s">
        <v>722</v>
      </c>
      <c r="E832" s="556" t="s">
        <v>634</v>
      </c>
      <c r="F832" s="579" t="s">
        <v>40</v>
      </c>
      <c r="G832" s="555" t="s">
        <v>246</v>
      </c>
      <c r="H832" s="555"/>
      <c r="I832" s="555"/>
      <c r="J832" s="1244"/>
    </row>
    <row r="833" spans="2:11" s="530" customFormat="1" ht="15" customHeight="1" x14ac:dyDescent="0.2">
      <c r="B833" s="600" t="s">
        <v>701</v>
      </c>
      <c r="C833" s="599">
        <v>40552</v>
      </c>
      <c r="D833" s="579" t="s">
        <v>723</v>
      </c>
      <c r="E833" s="556" t="s">
        <v>648</v>
      </c>
      <c r="F833" s="579" t="s">
        <v>713</v>
      </c>
      <c r="G833" s="555" t="s">
        <v>731</v>
      </c>
      <c r="H833" s="555"/>
      <c r="I833" s="555"/>
      <c r="J833" s="1244"/>
    </row>
    <row r="834" spans="2:11" ht="15" customHeight="1" x14ac:dyDescent="0.3">
      <c r="B834" s="600" t="s">
        <v>701</v>
      </c>
      <c r="C834" s="599">
        <v>40552</v>
      </c>
      <c r="D834" s="579" t="s">
        <v>723</v>
      </c>
      <c r="E834" s="556" t="s">
        <v>644</v>
      </c>
      <c r="F834" s="579" t="s">
        <v>724</v>
      </c>
      <c r="G834" s="555" t="s">
        <v>731</v>
      </c>
      <c r="H834" s="555"/>
      <c r="I834" s="555"/>
      <c r="J834" s="1244"/>
      <c r="K834" s="530"/>
    </row>
    <row r="835" spans="2:11" ht="15" customHeight="1" x14ac:dyDescent="0.3">
      <c r="B835" s="1174" t="s">
        <v>701</v>
      </c>
      <c r="C835" s="1175">
        <v>40593</v>
      </c>
      <c r="D835" s="1176" t="s">
        <v>723</v>
      </c>
      <c r="E835" s="559" t="s">
        <v>659</v>
      </c>
      <c r="F835" s="1176" t="s">
        <v>715</v>
      </c>
      <c r="G835" s="558" t="s">
        <v>246</v>
      </c>
      <c r="H835" s="558"/>
      <c r="I835" s="558"/>
      <c r="J835" s="1244"/>
      <c r="K835" s="530"/>
    </row>
    <row r="836" spans="2:11" ht="15" customHeight="1" x14ac:dyDescent="0.3">
      <c r="F836" s="386"/>
      <c r="G836" s="358"/>
      <c r="H836" s="358"/>
      <c r="I836" s="386"/>
      <c r="J836" s="358"/>
    </row>
    <row r="837" spans="2:11" ht="15" customHeight="1" x14ac:dyDescent="0.3">
      <c r="F837" s="386"/>
      <c r="G837" s="358"/>
      <c r="H837" s="358"/>
      <c r="I837" s="386"/>
      <c r="J837" s="358"/>
    </row>
    <row r="838" spans="2:11" ht="15" customHeight="1" x14ac:dyDescent="0.3">
      <c r="F838" s="386"/>
      <c r="G838" s="358"/>
      <c r="H838" s="358"/>
      <c r="I838" s="386"/>
      <c r="J838" s="358"/>
    </row>
  </sheetData>
  <phoneticPr fontId="10" type="noConversion"/>
  <pageMargins left="0.25" right="0.25" top="0.75" bottom="0.75" header="0.3" footer="0.3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F16 F47 F56 F77 F100 F166 F148 F186 F204 F225 F246 F277 F283 F306 F338 F359 F375 F402 F438 F455 F487 F503 F520 F129 F414 B545 B566 B573 B603 D611:D612 D630:D631 D633:D634 B633 B653 B666 B681 B720 B738 B787 B819" twoDigitTextYear="1"/>
    <ignoredError sqref="H174 H193:H195 B765:D772 B774:D775 C773:D773 D831 B755:D757 D758 D732:D750 B759:D763" numberStoredAsText="1"/>
    <ignoredError sqref="B773" twoDigitTextYear="1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R285"/>
  <sheetViews>
    <sheetView topLeftCell="A168" zoomScale="145" zoomScaleNormal="145" workbookViewId="0">
      <selection activeCell="E193" sqref="E193"/>
    </sheetView>
  </sheetViews>
  <sheetFormatPr defaultColWidth="12.33203125" defaultRowHeight="14.4" x14ac:dyDescent="0.3"/>
  <cols>
    <col min="1" max="1" width="2.88671875" style="377" customWidth="1"/>
    <col min="2" max="2" width="12.33203125" style="1"/>
    <col min="3" max="3" width="24.5546875" style="1" customWidth="1"/>
    <col min="4" max="6" width="12.33203125" style="1"/>
    <col min="7" max="7" width="12.33203125" style="378"/>
    <col min="8" max="8" width="12.33203125" style="377"/>
    <col min="9" max="9" width="15.5546875" style="377" customWidth="1"/>
    <col min="10" max="10" width="15.5546875" style="377" bestFit="1" customWidth="1"/>
    <col min="11" max="18" width="12.33203125" style="377"/>
    <col min="19" max="16384" width="12.33203125" style="1"/>
  </cols>
  <sheetData>
    <row r="1" spans="2:9" x14ac:dyDescent="0.3">
      <c r="B1" s="377"/>
      <c r="C1" s="377"/>
      <c r="D1" s="377"/>
      <c r="E1" s="377"/>
      <c r="F1" s="377"/>
    </row>
    <row r="2" spans="2:9" ht="36.6" x14ac:dyDescent="0.85">
      <c r="B2" s="379" t="s">
        <v>0</v>
      </c>
      <c r="C2" s="377"/>
      <c r="D2" s="377"/>
      <c r="E2" s="380" t="s">
        <v>152</v>
      </c>
      <c r="F2" s="380"/>
    </row>
    <row r="3" spans="2:9" ht="15" customHeight="1" x14ac:dyDescent="0.4">
      <c r="B3" s="381"/>
      <c r="C3" s="377"/>
      <c r="D3" s="377"/>
      <c r="E3" s="377"/>
      <c r="F3" s="377"/>
    </row>
    <row r="4" spans="2:9" x14ac:dyDescent="0.3">
      <c r="B4" s="377"/>
      <c r="C4" s="377"/>
      <c r="D4" s="377"/>
      <c r="E4" s="377"/>
      <c r="F4" s="377"/>
    </row>
    <row r="5" spans="2:9" s="377" customFormat="1" ht="15.6" x14ac:dyDescent="0.3">
      <c r="B5" s="382" t="s">
        <v>153</v>
      </c>
      <c r="G5" s="378"/>
    </row>
    <row r="6" spans="2:9" ht="15" thickBot="1" x14ac:dyDescent="0.35">
      <c r="B6" s="392" t="s">
        <v>860</v>
      </c>
      <c r="C6" s="393">
        <f>SUM(D7:F8)</f>
        <v>21</v>
      </c>
      <c r="D6" s="24" t="s">
        <v>135</v>
      </c>
      <c r="E6" s="24" t="s">
        <v>136</v>
      </c>
      <c r="F6" s="24" t="s">
        <v>137</v>
      </c>
    </row>
    <row r="7" spans="2:9" x14ac:dyDescent="0.3">
      <c r="B7" s="22" t="s">
        <v>149</v>
      </c>
      <c r="C7" s="23"/>
      <c r="D7" s="198">
        <v>13</v>
      </c>
      <c r="E7" s="197">
        <v>2</v>
      </c>
      <c r="F7" s="197">
        <v>3</v>
      </c>
      <c r="G7" s="385"/>
      <c r="H7" s="386"/>
      <c r="I7" s="386"/>
    </row>
    <row r="8" spans="2:9" x14ac:dyDescent="0.3">
      <c r="B8" s="22" t="s">
        <v>150</v>
      </c>
      <c r="C8" s="19"/>
      <c r="D8" s="199">
        <v>1</v>
      </c>
      <c r="E8" s="196">
        <v>2</v>
      </c>
      <c r="F8" s="11" t="s">
        <v>107</v>
      </c>
    </row>
    <row r="9" spans="2:9" s="377" customFormat="1" x14ac:dyDescent="0.3">
      <c r="B9" s="383"/>
      <c r="G9" s="378"/>
    </row>
    <row r="10" spans="2:9" s="377" customFormat="1" x14ac:dyDescent="0.3">
      <c r="B10" s="383"/>
      <c r="G10" s="378"/>
    </row>
    <row r="11" spans="2:9" s="377" customFormat="1" ht="15.6" x14ac:dyDescent="0.3">
      <c r="B11" s="382" t="s">
        <v>154</v>
      </c>
      <c r="G11" s="378"/>
    </row>
    <row r="12" spans="2:9" ht="15" thickBot="1" x14ac:dyDescent="0.35">
      <c r="B12" s="392" t="s">
        <v>860</v>
      </c>
      <c r="C12" s="393">
        <f>SUM(D13:F16)</f>
        <v>18</v>
      </c>
      <c r="D12" s="24" t="s">
        <v>135</v>
      </c>
      <c r="E12" s="24" t="s">
        <v>136</v>
      </c>
      <c r="F12" s="24" t="s">
        <v>137</v>
      </c>
    </row>
    <row r="13" spans="2:9" x14ac:dyDescent="0.3">
      <c r="B13" s="22" t="s">
        <v>149</v>
      </c>
      <c r="C13" s="19"/>
      <c r="D13" s="198">
        <v>2</v>
      </c>
      <c r="E13" s="197">
        <v>1</v>
      </c>
      <c r="F13" s="197">
        <v>2</v>
      </c>
    </row>
    <row r="14" spans="2:9" x14ac:dyDescent="0.3">
      <c r="B14" s="22" t="s">
        <v>150</v>
      </c>
      <c r="C14" s="19"/>
      <c r="D14" s="199">
        <v>2</v>
      </c>
      <c r="E14" s="196">
        <v>7</v>
      </c>
      <c r="F14" s="11" t="s">
        <v>107</v>
      </c>
    </row>
    <row r="15" spans="2:9" x14ac:dyDescent="0.3">
      <c r="B15" s="22" t="s">
        <v>151</v>
      </c>
      <c r="C15" s="19"/>
      <c r="D15" s="199">
        <v>1</v>
      </c>
      <c r="E15" s="196">
        <v>2</v>
      </c>
      <c r="F15" s="11" t="s">
        <v>107</v>
      </c>
    </row>
    <row r="16" spans="2:9" x14ac:dyDescent="0.3">
      <c r="B16" s="89" t="s">
        <v>1643</v>
      </c>
      <c r="C16" s="19"/>
      <c r="D16" s="10" t="s">
        <v>107</v>
      </c>
      <c r="E16" s="196">
        <v>1</v>
      </c>
      <c r="F16" s="11" t="s">
        <v>107</v>
      </c>
    </row>
    <row r="17" spans="2:7" s="377" customFormat="1" x14ac:dyDescent="0.3">
      <c r="B17" s="384"/>
      <c r="G17" s="378"/>
    </row>
    <row r="18" spans="2:7" s="377" customFormat="1" x14ac:dyDescent="0.3">
      <c r="B18" s="384"/>
      <c r="G18" s="378"/>
    </row>
    <row r="19" spans="2:7" s="377" customFormat="1" ht="15.6" x14ac:dyDescent="0.3">
      <c r="B19" s="382" t="s">
        <v>271</v>
      </c>
      <c r="G19" s="378"/>
    </row>
    <row r="20" spans="2:7" ht="15" thickBot="1" x14ac:dyDescent="0.35">
      <c r="B20" s="392" t="s">
        <v>860</v>
      </c>
      <c r="C20" s="393">
        <f>SUM(D21:F25)</f>
        <v>18</v>
      </c>
      <c r="D20" s="24" t="s">
        <v>135</v>
      </c>
      <c r="E20" s="24" t="s">
        <v>136</v>
      </c>
      <c r="F20" s="24" t="s">
        <v>137</v>
      </c>
    </row>
    <row r="21" spans="2:7" x14ac:dyDescent="0.3">
      <c r="B21" s="22" t="s">
        <v>149</v>
      </c>
      <c r="C21" s="19"/>
      <c r="D21" s="198">
        <v>5</v>
      </c>
      <c r="E21" s="197">
        <v>2</v>
      </c>
      <c r="F21" s="9" t="s">
        <v>107</v>
      </c>
    </row>
    <row r="22" spans="2:7" x14ac:dyDescent="0.3">
      <c r="B22" s="22" t="s">
        <v>150</v>
      </c>
      <c r="C22" s="19"/>
      <c r="D22" s="199">
        <v>3</v>
      </c>
      <c r="E22" s="196">
        <v>1</v>
      </c>
      <c r="F22" s="11" t="s">
        <v>107</v>
      </c>
    </row>
    <row r="23" spans="2:7" x14ac:dyDescent="0.3">
      <c r="B23" s="22" t="s">
        <v>242</v>
      </c>
      <c r="C23" s="19"/>
      <c r="D23" s="199">
        <v>3</v>
      </c>
      <c r="E23" s="11" t="s">
        <v>107</v>
      </c>
      <c r="F23" s="11" t="s">
        <v>107</v>
      </c>
    </row>
    <row r="24" spans="2:7" x14ac:dyDescent="0.3">
      <c r="B24" s="22" t="s">
        <v>246</v>
      </c>
      <c r="C24" s="19"/>
      <c r="D24" s="199">
        <v>1</v>
      </c>
      <c r="E24" s="196">
        <v>1</v>
      </c>
      <c r="F24" s="11" t="s">
        <v>107</v>
      </c>
    </row>
    <row r="25" spans="2:7" x14ac:dyDescent="0.3">
      <c r="B25" s="22" t="s">
        <v>249</v>
      </c>
      <c r="C25" s="19"/>
      <c r="D25" s="199">
        <v>2</v>
      </c>
      <c r="E25" s="11" t="s">
        <v>107</v>
      </c>
      <c r="F25" s="11" t="s">
        <v>107</v>
      </c>
    </row>
    <row r="26" spans="2:7" s="377" customFormat="1" x14ac:dyDescent="0.3">
      <c r="G26" s="378"/>
    </row>
    <row r="27" spans="2:7" s="377" customFormat="1" x14ac:dyDescent="0.3">
      <c r="G27" s="378"/>
    </row>
    <row r="28" spans="2:7" s="377" customFormat="1" ht="15.6" x14ac:dyDescent="0.3">
      <c r="B28" s="382" t="s">
        <v>578</v>
      </c>
      <c r="G28" s="378"/>
    </row>
    <row r="29" spans="2:7" ht="15" thickBot="1" x14ac:dyDescent="0.35">
      <c r="B29" s="392" t="s">
        <v>860</v>
      </c>
      <c r="C29" s="393">
        <f>SUM(D30:F34)</f>
        <v>18</v>
      </c>
      <c r="D29" s="24" t="s">
        <v>135</v>
      </c>
      <c r="E29" s="24" t="s">
        <v>136</v>
      </c>
      <c r="F29" s="24" t="s">
        <v>137</v>
      </c>
    </row>
    <row r="30" spans="2:7" x14ac:dyDescent="0.3">
      <c r="B30" s="89" t="s">
        <v>579</v>
      </c>
      <c r="C30" s="19"/>
      <c r="D30" s="193">
        <v>3</v>
      </c>
      <c r="E30" s="194">
        <v>4</v>
      </c>
      <c r="F30" s="9" t="s">
        <v>107</v>
      </c>
    </row>
    <row r="31" spans="2:7" x14ac:dyDescent="0.3">
      <c r="B31" s="89" t="s">
        <v>794</v>
      </c>
      <c r="C31" s="19"/>
      <c r="D31" s="90" t="s">
        <v>107</v>
      </c>
      <c r="E31" s="76">
        <v>3</v>
      </c>
      <c r="F31" s="76">
        <v>1</v>
      </c>
    </row>
    <row r="32" spans="2:7" x14ac:dyDescent="0.3">
      <c r="B32" s="22" t="s">
        <v>242</v>
      </c>
      <c r="C32" s="19"/>
      <c r="D32" s="90" t="s">
        <v>107</v>
      </c>
      <c r="E32" s="76">
        <v>2</v>
      </c>
      <c r="F32" s="11" t="s">
        <v>107</v>
      </c>
    </row>
    <row r="33" spans="2:7" x14ac:dyDescent="0.3">
      <c r="B33" s="22" t="s">
        <v>249</v>
      </c>
      <c r="C33" s="19"/>
      <c r="D33" s="195">
        <v>2</v>
      </c>
      <c r="E33" s="11" t="s">
        <v>107</v>
      </c>
      <c r="F33" s="11" t="s">
        <v>107</v>
      </c>
    </row>
    <row r="34" spans="2:7" x14ac:dyDescent="0.3">
      <c r="B34" s="89" t="s">
        <v>568</v>
      </c>
      <c r="C34" s="19"/>
      <c r="D34" s="195">
        <v>1</v>
      </c>
      <c r="E34" s="76">
        <v>2</v>
      </c>
      <c r="F34" s="11" t="s">
        <v>107</v>
      </c>
    </row>
    <row r="35" spans="2:7" s="377" customFormat="1" x14ac:dyDescent="0.3">
      <c r="G35" s="378"/>
    </row>
    <row r="36" spans="2:7" s="377" customFormat="1" x14ac:dyDescent="0.3">
      <c r="G36" s="378"/>
    </row>
    <row r="37" spans="2:7" s="377" customFormat="1" ht="15.6" x14ac:dyDescent="0.3">
      <c r="B37" s="382" t="s">
        <v>738</v>
      </c>
      <c r="G37" s="378"/>
    </row>
    <row r="38" spans="2:7" ht="15" thickBot="1" x14ac:dyDescent="0.35">
      <c r="B38" s="392" t="s">
        <v>860</v>
      </c>
      <c r="C38" s="393">
        <f>SUM(D39:F43)</f>
        <v>18</v>
      </c>
      <c r="D38" s="24" t="s">
        <v>135</v>
      </c>
      <c r="E38" s="24" t="s">
        <v>136</v>
      </c>
      <c r="F38" s="24" t="s">
        <v>137</v>
      </c>
    </row>
    <row r="39" spans="2:7" x14ac:dyDescent="0.3">
      <c r="B39" s="89" t="s">
        <v>579</v>
      </c>
      <c r="C39" s="19"/>
      <c r="D39" s="193">
        <v>2</v>
      </c>
      <c r="E39" s="194">
        <v>1</v>
      </c>
      <c r="F39" s="197">
        <v>1</v>
      </c>
    </row>
    <row r="40" spans="2:7" x14ac:dyDescent="0.3">
      <c r="B40" s="22" t="s">
        <v>731</v>
      </c>
      <c r="C40" s="19"/>
      <c r="D40" s="195">
        <v>3</v>
      </c>
      <c r="E40" s="76" t="s">
        <v>107</v>
      </c>
      <c r="F40" s="196">
        <v>1</v>
      </c>
    </row>
    <row r="41" spans="2:7" x14ac:dyDescent="0.3">
      <c r="B41" s="89" t="s">
        <v>246</v>
      </c>
      <c r="C41" s="19"/>
      <c r="D41" s="195">
        <v>3</v>
      </c>
      <c r="E41" s="76">
        <v>2</v>
      </c>
      <c r="F41" s="196">
        <v>1</v>
      </c>
    </row>
    <row r="42" spans="2:7" x14ac:dyDescent="0.3">
      <c r="B42" s="89" t="s">
        <v>736</v>
      </c>
      <c r="C42" s="19"/>
      <c r="D42" s="195">
        <v>2</v>
      </c>
      <c r="E42" s="76" t="s">
        <v>107</v>
      </c>
      <c r="F42" s="196" t="s">
        <v>107</v>
      </c>
    </row>
    <row r="43" spans="2:7" x14ac:dyDescent="0.3">
      <c r="B43" s="89" t="s">
        <v>737</v>
      </c>
      <c r="C43" s="19"/>
      <c r="D43" s="195">
        <v>1</v>
      </c>
      <c r="E43" s="76">
        <v>1</v>
      </c>
      <c r="F43" s="196" t="s">
        <v>107</v>
      </c>
    </row>
    <row r="44" spans="2:7" s="377" customFormat="1" x14ac:dyDescent="0.3">
      <c r="G44" s="378"/>
    </row>
    <row r="45" spans="2:7" s="377" customFormat="1" x14ac:dyDescent="0.3">
      <c r="G45" s="378"/>
    </row>
    <row r="46" spans="2:7" s="377" customFormat="1" ht="15.6" x14ac:dyDescent="0.3">
      <c r="B46" s="382" t="s">
        <v>859</v>
      </c>
      <c r="G46" s="378"/>
    </row>
    <row r="47" spans="2:7" ht="15" thickBot="1" x14ac:dyDescent="0.35">
      <c r="B47" s="392" t="s">
        <v>860</v>
      </c>
      <c r="C47" s="394">
        <f>SUM(D48:F51)</f>
        <v>18</v>
      </c>
      <c r="D47" s="24" t="s">
        <v>135</v>
      </c>
      <c r="E47" s="24" t="s">
        <v>136</v>
      </c>
      <c r="F47" s="24" t="s">
        <v>137</v>
      </c>
    </row>
    <row r="48" spans="2:7" x14ac:dyDescent="0.3">
      <c r="B48" s="89" t="s">
        <v>579</v>
      </c>
      <c r="C48" s="19"/>
      <c r="D48" s="203">
        <v>2</v>
      </c>
      <c r="E48" s="204">
        <v>1</v>
      </c>
      <c r="F48" s="204">
        <v>2</v>
      </c>
    </row>
    <row r="49" spans="2:7" x14ac:dyDescent="0.3">
      <c r="B49" s="89" t="s">
        <v>242</v>
      </c>
      <c r="C49" s="19"/>
      <c r="D49" s="200">
        <v>1</v>
      </c>
      <c r="E49" s="201">
        <v>2</v>
      </c>
      <c r="F49" s="201" t="s">
        <v>107</v>
      </c>
    </row>
    <row r="50" spans="2:7" x14ac:dyDescent="0.3">
      <c r="B50" s="89" t="s">
        <v>794</v>
      </c>
      <c r="C50" s="19"/>
      <c r="D50" s="200">
        <v>4</v>
      </c>
      <c r="E50" s="201">
        <v>3</v>
      </c>
      <c r="F50" s="202">
        <v>1</v>
      </c>
    </row>
    <row r="51" spans="2:7" x14ac:dyDescent="0.3">
      <c r="B51" s="89" t="s">
        <v>568</v>
      </c>
      <c r="C51" s="19"/>
      <c r="D51" s="200" t="s">
        <v>107</v>
      </c>
      <c r="E51" s="201">
        <v>2</v>
      </c>
      <c r="F51" s="202" t="s">
        <v>107</v>
      </c>
    </row>
    <row r="52" spans="2:7" s="377" customFormat="1" x14ac:dyDescent="0.3">
      <c r="G52" s="378"/>
    </row>
    <row r="53" spans="2:7" s="377" customFormat="1" x14ac:dyDescent="0.3">
      <c r="G53" s="378"/>
    </row>
    <row r="54" spans="2:7" s="377" customFormat="1" ht="15.6" x14ac:dyDescent="0.3">
      <c r="B54" s="382" t="s">
        <v>883</v>
      </c>
      <c r="G54" s="378"/>
    </row>
    <row r="55" spans="2:7" ht="15" thickBot="1" x14ac:dyDescent="0.35">
      <c r="B55" s="392" t="s">
        <v>860</v>
      </c>
      <c r="C55" s="394">
        <f>SUM(D56:F57)</f>
        <v>18</v>
      </c>
      <c r="D55" s="24" t="s">
        <v>135</v>
      </c>
      <c r="E55" s="24" t="s">
        <v>136</v>
      </c>
      <c r="F55" s="24" t="s">
        <v>137</v>
      </c>
    </row>
    <row r="56" spans="2:7" x14ac:dyDescent="0.3">
      <c r="B56" s="89" t="s">
        <v>579</v>
      </c>
      <c r="C56" s="19"/>
      <c r="D56" s="203">
        <v>8</v>
      </c>
      <c r="E56" s="204">
        <v>3</v>
      </c>
      <c r="F56" s="204" t="s">
        <v>107</v>
      </c>
    </row>
    <row r="57" spans="2:7" x14ac:dyDescent="0.3">
      <c r="B57" s="89" t="s">
        <v>794</v>
      </c>
      <c r="C57" s="19"/>
      <c r="D57" s="200">
        <v>5</v>
      </c>
      <c r="E57" s="201">
        <v>1</v>
      </c>
      <c r="F57" s="201">
        <v>1</v>
      </c>
    </row>
    <row r="58" spans="2:7" s="377" customFormat="1" x14ac:dyDescent="0.3">
      <c r="B58" s="389"/>
      <c r="D58" s="390" t="s">
        <v>1092</v>
      </c>
      <c r="E58" s="391"/>
      <c r="F58" s="391"/>
      <c r="G58" s="378"/>
    </row>
    <row r="59" spans="2:7" s="377" customFormat="1" x14ac:dyDescent="0.3">
      <c r="G59" s="378"/>
    </row>
    <row r="60" spans="2:7" s="377" customFormat="1" x14ac:dyDescent="0.3">
      <c r="G60" s="378"/>
    </row>
    <row r="61" spans="2:7" s="377" customFormat="1" ht="15.6" x14ac:dyDescent="0.3">
      <c r="B61" s="382" t="s">
        <v>1091</v>
      </c>
      <c r="G61" s="378"/>
    </row>
    <row r="62" spans="2:7" ht="15" thickBot="1" x14ac:dyDescent="0.35">
      <c r="B62" s="392" t="s">
        <v>860</v>
      </c>
      <c r="C62" s="393">
        <f>SUM(D63:F67)</f>
        <v>18</v>
      </c>
      <c r="D62" s="24" t="s">
        <v>135</v>
      </c>
      <c r="E62" s="24" t="s">
        <v>136</v>
      </c>
      <c r="F62" s="24" t="s">
        <v>137</v>
      </c>
    </row>
    <row r="63" spans="2:7" x14ac:dyDescent="0.3">
      <c r="B63" s="89" t="s">
        <v>579</v>
      </c>
      <c r="C63" s="19"/>
      <c r="D63" s="193">
        <v>4</v>
      </c>
      <c r="E63" s="194">
        <v>1</v>
      </c>
      <c r="F63" s="197">
        <v>1</v>
      </c>
    </row>
    <row r="64" spans="2:7" x14ac:dyDescent="0.3">
      <c r="B64" s="89" t="s">
        <v>150</v>
      </c>
      <c r="C64" s="19"/>
      <c r="D64" s="195">
        <v>1</v>
      </c>
      <c r="E64" s="76">
        <v>3</v>
      </c>
      <c r="F64" s="76" t="s">
        <v>107</v>
      </c>
    </row>
    <row r="65" spans="2:7" ht="15.75" customHeight="1" x14ac:dyDescent="0.3">
      <c r="B65" s="89" t="s">
        <v>242</v>
      </c>
      <c r="C65" s="19"/>
      <c r="D65" s="195">
        <v>1</v>
      </c>
      <c r="E65" s="76">
        <v>1</v>
      </c>
      <c r="F65" s="76" t="s">
        <v>107</v>
      </c>
    </row>
    <row r="66" spans="2:7" x14ac:dyDescent="0.3">
      <c r="B66" s="89" t="s">
        <v>1027</v>
      </c>
      <c r="C66" s="19"/>
      <c r="D66" s="195">
        <v>2</v>
      </c>
      <c r="E66" s="76">
        <v>2</v>
      </c>
      <c r="F66" s="76" t="s">
        <v>107</v>
      </c>
    </row>
    <row r="67" spans="2:7" x14ac:dyDescent="0.3">
      <c r="B67" s="89" t="s">
        <v>151</v>
      </c>
      <c r="C67" s="19"/>
      <c r="D67" s="195">
        <v>1</v>
      </c>
      <c r="E67" s="76">
        <v>1</v>
      </c>
      <c r="F67" s="76" t="s">
        <v>107</v>
      </c>
    </row>
    <row r="68" spans="2:7" s="377" customFormat="1" x14ac:dyDescent="0.3">
      <c r="D68" s="378"/>
      <c r="E68" s="378"/>
      <c r="G68" s="378"/>
    </row>
    <row r="69" spans="2:7" s="377" customFormat="1" x14ac:dyDescent="0.3">
      <c r="D69" s="378"/>
      <c r="E69" s="378"/>
      <c r="G69" s="378"/>
    </row>
    <row r="70" spans="2:7" s="377" customFormat="1" ht="15.6" x14ac:dyDescent="0.3">
      <c r="B70" s="382" t="s">
        <v>1378</v>
      </c>
      <c r="G70" s="378"/>
    </row>
    <row r="71" spans="2:7" ht="15" thickBot="1" x14ac:dyDescent="0.35">
      <c r="B71" s="392" t="s">
        <v>860</v>
      </c>
      <c r="C71" s="393">
        <f>SUM(D72:F76)</f>
        <v>18</v>
      </c>
      <c r="D71" s="24" t="s">
        <v>135</v>
      </c>
      <c r="E71" s="24" t="s">
        <v>136</v>
      </c>
      <c r="F71" s="24" t="s">
        <v>137</v>
      </c>
    </row>
    <row r="72" spans="2:7" x14ac:dyDescent="0.3">
      <c r="B72" s="89" t="s">
        <v>579</v>
      </c>
      <c r="C72" s="19"/>
      <c r="D72" s="193">
        <v>5</v>
      </c>
      <c r="E72" s="194">
        <v>2</v>
      </c>
      <c r="F72" s="194">
        <v>1</v>
      </c>
    </row>
    <row r="73" spans="2:7" x14ac:dyDescent="0.3">
      <c r="B73" s="89" t="s">
        <v>150</v>
      </c>
      <c r="C73" s="19"/>
      <c r="D73" s="195">
        <v>3</v>
      </c>
      <c r="E73" s="76">
        <v>1</v>
      </c>
      <c r="F73" s="76" t="s">
        <v>107</v>
      </c>
    </row>
    <row r="74" spans="2:7" x14ac:dyDescent="0.3">
      <c r="B74" s="89" t="s">
        <v>242</v>
      </c>
      <c r="C74" s="19"/>
      <c r="D74" s="195" t="s">
        <v>107</v>
      </c>
      <c r="E74" s="76" t="s">
        <v>107</v>
      </c>
      <c r="F74" s="76" t="s">
        <v>107</v>
      </c>
    </row>
    <row r="75" spans="2:7" x14ac:dyDescent="0.3">
      <c r="B75" s="89" t="s">
        <v>1027</v>
      </c>
      <c r="C75" s="19"/>
      <c r="D75" s="195">
        <v>2</v>
      </c>
      <c r="E75" s="76">
        <v>2</v>
      </c>
      <c r="F75" s="76" t="s">
        <v>107</v>
      </c>
    </row>
    <row r="76" spans="2:7" x14ac:dyDescent="0.3">
      <c r="B76" s="89" t="s">
        <v>1343</v>
      </c>
      <c r="C76" s="19"/>
      <c r="D76" s="195">
        <v>1</v>
      </c>
      <c r="E76" s="76" t="s">
        <v>107</v>
      </c>
      <c r="F76" s="76">
        <v>1</v>
      </c>
    </row>
    <row r="77" spans="2:7" s="377" customFormat="1" x14ac:dyDescent="0.3">
      <c r="D77" s="378"/>
      <c r="E77" s="378"/>
      <c r="G77" s="378"/>
    </row>
    <row r="78" spans="2:7" s="377" customFormat="1" x14ac:dyDescent="0.3">
      <c r="D78" s="378"/>
      <c r="E78" s="378"/>
      <c r="G78" s="378"/>
    </row>
    <row r="79" spans="2:7" s="377" customFormat="1" ht="15.6" x14ac:dyDescent="0.3">
      <c r="B79" s="382" t="s">
        <v>1413</v>
      </c>
      <c r="G79" s="378"/>
    </row>
    <row r="80" spans="2:7" ht="15" thickBot="1" x14ac:dyDescent="0.35">
      <c r="B80" s="392" t="s">
        <v>860</v>
      </c>
      <c r="C80" s="393">
        <f>SUM(D81:F83)</f>
        <v>20</v>
      </c>
      <c r="D80" s="24" t="s">
        <v>135</v>
      </c>
      <c r="E80" s="24" t="s">
        <v>136</v>
      </c>
      <c r="F80" s="24" t="s">
        <v>137</v>
      </c>
    </row>
    <row r="81" spans="2:7" x14ac:dyDescent="0.3">
      <c r="B81" s="89" t="s">
        <v>579</v>
      </c>
      <c r="C81" s="19"/>
      <c r="D81" s="193">
        <v>2</v>
      </c>
      <c r="E81" s="194">
        <v>5</v>
      </c>
      <c r="F81" s="194">
        <v>4</v>
      </c>
    </row>
    <row r="82" spans="2:7" x14ac:dyDescent="0.3">
      <c r="B82" s="89" t="s">
        <v>150</v>
      </c>
      <c r="C82" s="19"/>
      <c r="D82" s="195">
        <v>1</v>
      </c>
      <c r="E82" s="76">
        <v>3</v>
      </c>
      <c r="F82" s="76">
        <v>1</v>
      </c>
    </row>
    <row r="83" spans="2:7" x14ac:dyDescent="0.3">
      <c r="B83" s="89" t="s">
        <v>1414</v>
      </c>
      <c r="C83" s="19"/>
      <c r="D83" s="195">
        <v>4</v>
      </c>
      <c r="E83" s="76" t="s">
        <v>107</v>
      </c>
      <c r="F83" s="76" t="s">
        <v>107</v>
      </c>
    </row>
    <row r="84" spans="2:7" s="377" customFormat="1" x14ac:dyDescent="0.3">
      <c r="D84" s="378"/>
      <c r="E84" s="378"/>
      <c r="G84" s="378"/>
    </row>
    <row r="85" spans="2:7" s="377" customFormat="1" x14ac:dyDescent="0.3">
      <c r="D85" s="378"/>
      <c r="E85" s="378"/>
      <c r="G85" s="378"/>
    </row>
    <row r="86" spans="2:7" s="377" customFormat="1" ht="15.6" x14ac:dyDescent="0.3">
      <c r="B86" s="382" t="s">
        <v>1592</v>
      </c>
      <c r="G86" s="378"/>
    </row>
    <row r="87" spans="2:7" s="377" customFormat="1" ht="15" thickBot="1" x14ac:dyDescent="0.35">
      <c r="B87" s="392" t="s">
        <v>860</v>
      </c>
      <c r="C87" s="393">
        <v>16</v>
      </c>
      <c r="D87" s="24" t="s">
        <v>135</v>
      </c>
      <c r="E87" s="24" t="s">
        <v>136</v>
      </c>
      <c r="F87" s="24" t="s">
        <v>137</v>
      </c>
      <c r="G87" s="378"/>
    </row>
    <row r="88" spans="2:7" s="377" customFormat="1" x14ac:dyDescent="0.3">
      <c r="B88" s="89" t="s">
        <v>579</v>
      </c>
      <c r="C88" s="19"/>
      <c r="D88" s="193" t="s">
        <v>107</v>
      </c>
      <c r="E88" s="194">
        <v>3</v>
      </c>
      <c r="F88" s="194">
        <v>1</v>
      </c>
      <c r="G88" s="378"/>
    </row>
    <row r="89" spans="2:7" s="377" customFormat="1" x14ac:dyDescent="0.3">
      <c r="B89" s="89" t="s">
        <v>150</v>
      </c>
      <c r="C89" s="19"/>
      <c r="D89" s="195">
        <v>5</v>
      </c>
      <c r="E89" s="76">
        <v>4</v>
      </c>
      <c r="F89" s="76">
        <v>1</v>
      </c>
      <c r="G89" s="378"/>
    </row>
    <row r="90" spans="2:7" s="377" customFormat="1" x14ac:dyDescent="0.3">
      <c r="B90" s="89" t="s">
        <v>1593</v>
      </c>
      <c r="C90" s="19"/>
      <c r="D90" s="195">
        <v>1</v>
      </c>
      <c r="E90" s="76">
        <v>1</v>
      </c>
      <c r="F90" s="76" t="s">
        <v>107</v>
      </c>
      <c r="G90" s="378"/>
    </row>
    <row r="91" spans="2:7" s="377" customFormat="1" x14ac:dyDescent="0.3">
      <c r="D91" s="378"/>
      <c r="E91" s="378"/>
      <c r="G91" s="378"/>
    </row>
    <row r="92" spans="2:7" s="377" customFormat="1" x14ac:dyDescent="0.3">
      <c r="D92" s="378"/>
      <c r="E92" s="378"/>
      <c r="G92" s="378"/>
    </row>
    <row r="93" spans="2:7" s="377" customFormat="1" ht="15.6" x14ac:dyDescent="0.3">
      <c r="B93" s="382" t="s">
        <v>1683</v>
      </c>
      <c r="G93" s="378"/>
    </row>
    <row r="94" spans="2:7" s="377" customFormat="1" ht="15" thickBot="1" x14ac:dyDescent="0.35">
      <c r="B94" s="392" t="s">
        <v>860</v>
      </c>
      <c r="C94" s="393">
        <f>SUM(D95:F99)</f>
        <v>17</v>
      </c>
      <c r="D94" s="24" t="s">
        <v>135</v>
      </c>
      <c r="E94" s="24" t="s">
        <v>136</v>
      </c>
      <c r="F94" s="24" t="s">
        <v>137</v>
      </c>
      <c r="G94" s="378"/>
    </row>
    <row r="95" spans="2:7" s="377" customFormat="1" x14ac:dyDescent="0.3">
      <c r="B95" s="89" t="s">
        <v>579</v>
      </c>
      <c r="C95" s="19"/>
      <c r="D95" s="193"/>
      <c r="E95" s="194">
        <v>4</v>
      </c>
      <c r="F95" s="194"/>
      <c r="G95" s="378"/>
    </row>
    <row r="96" spans="2:7" s="377" customFormat="1" x14ac:dyDescent="0.3">
      <c r="B96" s="89" t="s">
        <v>150</v>
      </c>
      <c r="C96" s="19"/>
      <c r="D96" s="195">
        <v>2</v>
      </c>
      <c r="E96" s="76">
        <v>3</v>
      </c>
      <c r="F96" s="76" t="s">
        <v>107</v>
      </c>
      <c r="G96" s="378"/>
    </row>
    <row r="97" spans="2:7" s="377" customFormat="1" x14ac:dyDescent="0.3">
      <c r="B97" s="89" t="s">
        <v>1643</v>
      </c>
      <c r="C97" s="19"/>
      <c r="D97" s="195">
        <v>1</v>
      </c>
      <c r="E97" s="76">
        <v>2</v>
      </c>
      <c r="F97" s="76">
        <v>1</v>
      </c>
      <c r="G97" s="378"/>
    </row>
    <row r="98" spans="2:7" s="377" customFormat="1" x14ac:dyDescent="0.3">
      <c r="B98" s="89" t="s">
        <v>1414</v>
      </c>
      <c r="C98" s="19"/>
      <c r="D98" s="195">
        <v>2</v>
      </c>
      <c r="E98" s="76"/>
      <c r="F98" s="76" t="s">
        <v>107</v>
      </c>
      <c r="G98" s="378"/>
    </row>
    <row r="99" spans="2:7" s="377" customFormat="1" x14ac:dyDescent="0.3">
      <c r="B99" s="89" t="s">
        <v>1674</v>
      </c>
      <c r="C99" s="19"/>
      <c r="D99" s="195">
        <v>1</v>
      </c>
      <c r="E99" s="76">
        <v>1</v>
      </c>
      <c r="F99" s="76"/>
      <c r="G99" s="378"/>
    </row>
    <row r="100" spans="2:7" s="377" customFormat="1" x14ac:dyDescent="0.3">
      <c r="D100" s="378"/>
      <c r="E100" s="378"/>
      <c r="G100" s="378"/>
    </row>
    <row r="101" spans="2:7" s="377" customFormat="1" x14ac:dyDescent="0.3">
      <c r="D101" s="378"/>
      <c r="E101" s="378"/>
      <c r="G101" s="378"/>
    </row>
    <row r="102" spans="2:7" s="377" customFormat="1" ht="15.6" x14ac:dyDescent="0.3">
      <c r="B102" s="382" t="s">
        <v>1942</v>
      </c>
      <c r="G102" s="378"/>
    </row>
    <row r="103" spans="2:7" s="377" customFormat="1" ht="15" thickBot="1" x14ac:dyDescent="0.35">
      <c r="B103" s="392" t="s">
        <v>860</v>
      </c>
      <c r="C103" s="393">
        <f>SUM(D104:F109)</f>
        <v>24</v>
      </c>
      <c r="D103" s="24" t="s">
        <v>135</v>
      </c>
      <c r="E103" s="24" t="s">
        <v>136</v>
      </c>
      <c r="F103" s="24" t="s">
        <v>137</v>
      </c>
      <c r="G103" s="378"/>
    </row>
    <row r="104" spans="2:7" s="377" customFormat="1" x14ac:dyDescent="0.3">
      <c r="B104" s="89" t="s">
        <v>579</v>
      </c>
      <c r="C104" s="19"/>
      <c r="D104" s="193">
        <v>5</v>
      </c>
      <c r="E104" s="194">
        <v>1</v>
      </c>
      <c r="F104" s="194" t="s">
        <v>107</v>
      </c>
      <c r="G104" s="378"/>
    </row>
    <row r="105" spans="2:7" s="377" customFormat="1" x14ac:dyDescent="0.3">
      <c r="B105" s="89" t="s">
        <v>150</v>
      </c>
      <c r="C105" s="19"/>
      <c r="D105" s="195">
        <v>3</v>
      </c>
      <c r="E105" s="76">
        <v>1</v>
      </c>
      <c r="F105" s="76" t="s">
        <v>107</v>
      </c>
      <c r="G105" s="378"/>
    </row>
    <row r="106" spans="2:7" s="377" customFormat="1" x14ac:dyDescent="0.3">
      <c r="B106" s="89" t="s">
        <v>1027</v>
      </c>
      <c r="C106" s="19"/>
      <c r="D106" s="195">
        <v>5</v>
      </c>
      <c r="E106" s="76">
        <v>1</v>
      </c>
      <c r="F106" s="76" t="s">
        <v>107</v>
      </c>
      <c r="G106" s="378"/>
    </row>
    <row r="107" spans="2:7" s="377" customFormat="1" x14ac:dyDescent="0.3">
      <c r="B107" s="89" t="s">
        <v>1414</v>
      </c>
      <c r="C107" s="19"/>
      <c r="D107" s="195">
        <v>2</v>
      </c>
      <c r="E107" s="76">
        <v>0</v>
      </c>
      <c r="F107" s="76" t="s">
        <v>107</v>
      </c>
      <c r="G107" s="378"/>
    </row>
    <row r="108" spans="2:7" s="377" customFormat="1" x14ac:dyDescent="0.3">
      <c r="B108" s="89" t="s">
        <v>1593</v>
      </c>
      <c r="C108" s="19"/>
      <c r="D108" s="195">
        <v>3</v>
      </c>
      <c r="E108" s="76">
        <v>1</v>
      </c>
      <c r="F108" s="76" t="s">
        <v>107</v>
      </c>
      <c r="G108" s="378"/>
    </row>
    <row r="109" spans="2:7" s="377" customFormat="1" x14ac:dyDescent="0.3">
      <c r="B109" s="89" t="s">
        <v>1906</v>
      </c>
      <c r="C109" s="19"/>
      <c r="D109" s="195">
        <v>1</v>
      </c>
      <c r="E109" s="76">
        <v>1</v>
      </c>
      <c r="F109" s="76" t="s">
        <v>107</v>
      </c>
      <c r="G109" s="378"/>
    </row>
    <row r="110" spans="2:7" s="377" customFormat="1" x14ac:dyDescent="0.3">
      <c r="D110" s="378"/>
      <c r="E110" s="378"/>
      <c r="G110" s="378"/>
    </row>
    <row r="111" spans="2:7" s="377" customFormat="1" x14ac:dyDescent="0.3">
      <c r="D111" s="378"/>
      <c r="E111" s="378"/>
      <c r="G111" s="378"/>
    </row>
    <row r="112" spans="2:7" s="377" customFormat="1" ht="15.6" x14ac:dyDescent="0.3">
      <c r="B112" s="382" t="s">
        <v>2089</v>
      </c>
      <c r="G112" s="378"/>
    </row>
    <row r="113" spans="2:7" s="377" customFormat="1" ht="15" thickBot="1" x14ac:dyDescent="0.35">
      <c r="B113" s="392" t="s">
        <v>860</v>
      </c>
      <c r="C113" s="393">
        <f>SUM(D114:F119)</f>
        <v>19</v>
      </c>
      <c r="D113" s="24" t="s">
        <v>135</v>
      </c>
      <c r="E113" s="24" t="s">
        <v>136</v>
      </c>
      <c r="F113" s="24" t="s">
        <v>137</v>
      </c>
      <c r="G113" s="378"/>
    </row>
    <row r="114" spans="2:7" s="377" customFormat="1" x14ac:dyDescent="0.3">
      <c r="B114" s="89" t="s">
        <v>579</v>
      </c>
      <c r="C114" s="19"/>
      <c r="D114" s="193">
        <v>6</v>
      </c>
      <c r="E114" s="194">
        <v>3</v>
      </c>
      <c r="F114" s="194" t="s">
        <v>107</v>
      </c>
      <c r="G114" s="378"/>
    </row>
    <row r="115" spans="2:7" s="377" customFormat="1" x14ac:dyDescent="0.3">
      <c r="B115" s="89" t="s">
        <v>150</v>
      </c>
      <c r="C115" s="19"/>
      <c r="D115" s="195">
        <v>2</v>
      </c>
      <c r="E115" s="76">
        <v>0</v>
      </c>
      <c r="F115" s="76" t="s">
        <v>107</v>
      </c>
      <c r="G115" s="378"/>
    </row>
    <row r="116" spans="2:7" s="377" customFormat="1" x14ac:dyDescent="0.3">
      <c r="B116" s="89" t="s">
        <v>242</v>
      </c>
      <c r="C116" s="19"/>
      <c r="D116" s="195">
        <v>2</v>
      </c>
      <c r="E116" s="76">
        <v>0</v>
      </c>
      <c r="F116" s="76" t="s">
        <v>107</v>
      </c>
      <c r="G116" s="378"/>
    </row>
    <row r="117" spans="2:7" s="377" customFormat="1" x14ac:dyDescent="0.3">
      <c r="B117" s="89" t="s">
        <v>1414</v>
      </c>
      <c r="C117" s="19"/>
      <c r="D117" s="195">
        <v>2</v>
      </c>
      <c r="E117" s="76">
        <v>0</v>
      </c>
      <c r="F117" s="76" t="s">
        <v>107</v>
      </c>
      <c r="G117" s="378"/>
    </row>
    <row r="118" spans="2:7" s="377" customFormat="1" x14ac:dyDescent="0.3">
      <c r="B118" s="89" t="s">
        <v>151</v>
      </c>
      <c r="C118" s="19"/>
      <c r="D118" s="195">
        <v>0</v>
      </c>
      <c r="E118" s="76">
        <v>2</v>
      </c>
      <c r="F118" s="76" t="s">
        <v>107</v>
      </c>
      <c r="G118" s="378"/>
    </row>
    <row r="119" spans="2:7" s="377" customFormat="1" x14ac:dyDescent="0.3">
      <c r="B119" s="89" t="s">
        <v>1643</v>
      </c>
      <c r="C119" s="19"/>
      <c r="D119" s="195">
        <v>1</v>
      </c>
      <c r="E119" s="76">
        <v>1</v>
      </c>
      <c r="F119" s="76" t="s">
        <v>107</v>
      </c>
      <c r="G119" s="378"/>
    </row>
    <row r="120" spans="2:7" s="377" customFormat="1" x14ac:dyDescent="0.3">
      <c r="D120" s="378"/>
      <c r="E120" s="378"/>
      <c r="G120" s="378"/>
    </row>
    <row r="121" spans="2:7" s="377" customFormat="1" x14ac:dyDescent="0.3">
      <c r="D121" s="378"/>
      <c r="E121" s="378"/>
      <c r="G121" s="378"/>
    </row>
    <row r="122" spans="2:7" s="377" customFormat="1" ht="15.6" x14ac:dyDescent="0.3">
      <c r="B122" s="382" t="s">
        <v>2222</v>
      </c>
      <c r="G122" s="378"/>
    </row>
    <row r="123" spans="2:7" s="377" customFormat="1" ht="15" thickBot="1" x14ac:dyDescent="0.35">
      <c r="B123" s="392" t="s">
        <v>860</v>
      </c>
      <c r="C123" s="393">
        <f>SUM(D124:F124)</f>
        <v>2</v>
      </c>
      <c r="D123" s="24" t="s">
        <v>135</v>
      </c>
      <c r="E123" s="24" t="s">
        <v>136</v>
      </c>
      <c r="F123" s="24" t="s">
        <v>137</v>
      </c>
      <c r="G123" s="378"/>
    </row>
    <row r="124" spans="2:7" s="377" customFormat="1" x14ac:dyDescent="0.3">
      <c r="B124" s="89" t="s">
        <v>2118</v>
      </c>
      <c r="C124" s="19"/>
      <c r="D124" s="193">
        <v>0</v>
      </c>
      <c r="E124" s="194">
        <v>2</v>
      </c>
      <c r="F124" s="194" t="s">
        <v>107</v>
      </c>
      <c r="G124" s="378"/>
    </row>
    <row r="125" spans="2:7" s="377" customFormat="1" x14ac:dyDescent="0.3">
      <c r="D125" s="378"/>
      <c r="E125" s="378"/>
      <c r="G125" s="378"/>
    </row>
    <row r="126" spans="2:7" s="377" customFormat="1" x14ac:dyDescent="0.3">
      <c r="D126" s="378"/>
      <c r="E126" s="378"/>
      <c r="G126" s="378"/>
    </row>
    <row r="127" spans="2:7" s="377" customFormat="1" ht="15.6" x14ac:dyDescent="0.3">
      <c r="B127" s="382" t="s">
        <v>2223</v>
      </c>
      <c r="G127" s="378"/>
    </row>
    <row r="128" spans="2:7" s="377" customFormat="1" ht="15" thickBot="1" x14ac:dyDescent="0.35">
      <c r="B128" s="392" t="s">
        <v>860</v>
      </c>
      <c r="C128" s="393">
        <f>SUM(D129:F133)</f>
        <v>19</v>
      </c>
      <c r="D128" s="24" t="s">
        <v>135</v>
      </c>
      <c r="E128" s="24" t="s">
        <v>136</v>
      </c>
      <c r="F128" s="24" t="s">
        <v>137</v>
      </c>
      <c r="G128" s="378"/>
    </row>
    <row r="129" spans="2:7" s="377" customFormat="1" x14ac:dyDescent="0.3">
      <c r="B129" s="89" t="s">
        <v>579</v>
      </c>
      <c r="C129" s="19"/>
      <c r="D129" s="193">
        <v>2</v>
      </c>
      <c r="E129" s="194">
        <v>2</v>
      </c>
      <c r="F129" s="194">
        <v>0</v>
      </c>
      <c r="G129" s="378"/>
    </row>
    <row r="130" spans="2:7" s="377" customFormat="1" x14ac:dyDescent="0.3">
      <c r="B130" s="89" t="s">
        <v>150</v>
      </c>
      <c r="C130" s="19"/>
      <c r="D130" s="195">
        <v>2</v>
      </c>
      <c r="E130" s="76">
        <v>4</v>
      </c>
      <c r="F130" s="76">
        <v>2</v>
      </c>
      <c r="G130" s="378"/>
    </row>
    <row r="131" spans="2:7" s="377" customFormat="1" x14ac:dyDescent="0.3">
      <c r="B131" s="89" t="s">
        <v>242</v>
      </c>
      <c r="C131" s="19"/>
      <c r="D131" s="195">
        <v>0</v>
      </c>
      <c r="E131" s="76">
        <v>1</v>
      </c>
      <c r="F131" s="76">
        <v>0</v>
      </c>
      <c r="G131" s="378"/>
    </row>
    <row r="132" spans="2:7" s="377" customFormat="1" x14ac:dyDescent="0.3">
      <c r="B132" s="89" t="s">
        <v>2173</v>
      </c>
      <c r="C132" s="19"/>
      <c r="D132" s="195">
        <v>0</v>
      </c>
      <c r="E132" s="76">
        <v>3</v>
      </c>
      <c r="F132" s="76">
        <v>1</v>
      </c>
      <c r="G132" s="378"/>
    </row>
    <row r="133" spans="2:7" s="377" customFormat="1" x14ac:dyDescent="0.3">
      <c r="B133" s="89" t="s">
        <v>2174</v>
      </c>
      <c r="C133" s="19"/>
      <c r="D133" s="195">
        <v>1</v>
      </c>
      <c r="E133" s="76">
        <v>1</v>
      </c>
      <c r="F133" s="76">
        <v>0</v>
      </c>
      <c r="G133" s="378"/>
    </row>
    <row r="134" spans="2:7" s="377" customFormat="1" x14ac:dyDescent="0.3">
      <c r="D134" s="378"/>
      <c r="E134" s="378"/>
      <c r="G134" s="378"/>
    </row>
    <row r="135" spans="2:7" s="377" customFormat="1" x14ac:dyDescent="0.3">
      <c r="D135" s="378"/>
      <c r="E135" s="378"/>
      <c r="G135" s="378"/>
    </row>
    <row r="136" spans="2:7" s="377" customFormat="1" ht="15.6" x14ac:dyDescent="0.3">
      <c r="B136" s="382" t="s">
        <v>2340</v>
      </c>
      <c r="G136" s="378"/>
    </row>
    <row r="137" spans="2:7" s="377" customFormat="1" ht="15" thickBot="1" x14ac:dyDescent="0.35">
      <c r="B137" s="392" t="s">
        <v>860</v>
      </c>
      <c r="C137" s="393">
        <f>SUM(D138:F142)</f>
        <v>24</v>
      </c>
      <c r="D137" s="24" t="s">
        <v>135</v>
      </c>
      <c r="E137" s="24" t="s">
        <v>136</v>
      </c>
      <c r="F137" s="24" t="s">
        <v>137</v>
      </c>
      <c r="G137" s="378"/>
    </row>
    <row r="138" spans="2:7" s="377" customFormat="1" x14ac:dyDescent="0.3">
      <c r="B138" s="89" t="s">
        <v>579</v>
      </c>
      <c r="C138" s="19"/>
      <c r="D138" s="193">
        <v>4</v>
      </c>
      <c r="E138" s="194">
        <v>3</v>
      </c>
      <c r="F138" s="194">
        <v>1</v>
      </c>
      <c r="G138" s="378"/>
    </row>
    <row r="139" spans="2:7" s="377" customFormat="1" x14ac:dyDescent="0.3">
      <c r="B139" s="89" t="s">
        <v>1593</v>
      </c>
      <c r="C139" s="19"/>
      <c r="D139" s="195">
        <v>2</v>
      </c>
      <c r="E139" s="76">
        <v>2</v>
      </c>
      <c r="F139" s="76">
        <v>0</v>
      </c>
      <c r="G139" s="378"/>
    </row>
    <row r="140" spans="2:7" s="377" customFormat="1" x14ac:dyDescent="0.3">
      <c r="B140" s="89" t="s">
        <v>731</v>
      </c>
      <c r="C140" s="19"/>
      <c r="D140" s="195">
        <v>1</v>
      </c>
      <c r="E140" s="76">
        <v>1</v>
      </c>
      <c r="F140" s="76">
        <v>0</v>
      </c>
      <c r="G140" s="378"/>
    </row>
    <row r="141" spans="2:7" s="377" customFormat="1" x14ac:dyDescent="0.3">
      <c r="B141" s="89" t="s">
        <v>2341</v>
      </c>
      <c r="C141" s="19"/>
      <c r="D141" s="195">
        <v>2</v>
      </c>
      <c r="E141" s="76">
        <v>2</v>
      </c>
      <c r="F141" s="76">
        <v>0</v>
      </c>
      <c r="G141" s="378"/>
    </row>
    <row r="142" spans="2:7" s="377" customFormat="1" x14ac:dyDescent="0.3">
      <c r="B142" s="89" t="s">
        <v>242</v>
      </c>
      <c r="C142" s="19"/>
      <c r="D142" s="195">
        <v>1</v>
      </c>
      <c r="E142" s="76">
        <v>4</v>
      </c>
      <c r="F142" s="76">
        <v>1</v>
      </c>
      <c r="G142" s="378"/>
    </row>
    <row r="143" spans="2:7" s="377" customFormat="1" x14ac:dyDescent="0.3">
      <c r="D143" s="378"/>
      <c r="E143" s="378"/>
      <c r="G143" s="378"/>
    </row>
    <row r="144" spans="2:7" s="377" customFormat="1" x14ac:dyDescent="0.3">
      <c r="D144" s="378"/>
      <c r="E144" s="378"/>
      <c r="G144" s="378"/>
    </row>
    <row r="145" spans="2:7" s="377" customFormat="1" ht="15.6" x14ac:dyDescent="0.3">
      <c r="B145" s="382" t="s">
        <v>2440</v>
      </c>
      <c r="G145" s="378"/>
    </row>
    <row r="146" spans="2:7" s="377" customFormat="1" ht="15" thickBot="1" x14ac:dyDescent="0.35">
      <c r="B146" s="392" t="s">
        <v>860</v>
      </c>
      <c r="C146" s="393">
        <f>SUM(D147:F152)</f>
        <v>24</v>
      </c>
      <c r="D146" s="24" t="s">
        <v>135</v>
      </c>
      <c r="E146" s="24" t="s">
        <v>136</v>
      </c>
      <c r="F146" s="24" t="s">
        <v>137</v>
      </c>
      <c r="G146" s="378"/>
    </row>
    <row r="147" spans="2:7" s="377" customFormat="1" x14ac:dyDescent="0.3">
      <c r="B147" s="89" t="s">
        <v>579</v>
      </c>
      <c r="C147" s="19"/>
      <c r="D147" s="193">
        <v>8</v>
      </c>
      <c r="E147" s="194">
        <v>2</v>
      </c>
      <c r="F147" s="194">
        <v>4</v>
      </c>
      <c r="G147" s="378"/>
    </row>
    <row r="148" spans="2:7" s="377" customFormat="1" x14ac:dyDescent="0.3">
      <c r="B148" s="89" t="s">
        <v>1593</v>
      </c>
      <c r="C148" s="19"/>
      <c r="D148" s="195">
        <v>1</v>
      </c>
      <c r="E148" s="76">
        <v>0</v>
      </c>
      <c r="F148" s="76">
        <v>0</v>
      </c>
      <c r="G148" s="378"/>
    </row>
    <row r="149" spans="2:7" s="377" customFormat="1" x14ac:dyDescent="0.3">
      <c r="B149" s="89" t="s">
        <v>731</v>
      </c>
      <c r="C149" s="19"/>
      <c r="D149" s="195">
        <v>3</v>
      </c>
      <c r="E149" s="76">
        <v>0</v>
      </c>
      <c r="F149" s="76">
        <v>1</v>
      </c>
      <c r="G149" s="378"/>
    </row>
    <row r="150" spans="2:7" s="377" customFormat="1" x14ac:dyDescent="0.3">
      <c r="B150" s="89" t="s">
        <v>2377</v>
      </c>
      <c r="C150" s="19"/>
      <c r="D150" s="195">
        <v>2</v>
      </c>
      <c r="E150" s="76">
        <v>0</v>
      </c>
      <c r="F150" s="76">
        <v>0</v>
      </c>
      <c r="G150" s="378"/>
    </row>
    <row r="151" spans="2:7" s="377" customFormat="1" x14ac:dyDescent="0.3">
      <c r="B151" s="89" t="s">
        <v>2401</v>
      </c>
      <c r="C151" s="19"/>
      <c r="D151" s="195">
        <v>2</v>
      </c>
      <c r="E151" s="76">
        <v>0</v>
      </c>
      <c r="F151" s="76">
        <v>0</v>
      </c>
      <c r="G151" s="378"/>
    </row>
    <row r="152" spans="2:7" s="377" customFormat="1" x14ac:dyDescent="0.3">
      <c r="B152" s="89" t="s">
        <v>1027</v>
      </c>
      <c r="C152" s="19"/>
      <c r="D152" s="195">
        <v>1</v>
      </c>
      <c r="E152" s="76">
        <v>0</v>
      </c>
      <c r="F152" s="76">
        <v>0</v>
      </c>
      <c r="G152" s="378"/>
    </row>
    <row r="153" spans="2:7" s="377" customFormat="1" x14ac:dyDescent="0.3">
      <c r="D153" s="378"/>
      <c r="E153" s="378"/>
      <c r="G153" s="378"/>
    </row>
    <row r="154" spans="2:7" s="377" customFormat="1" x14ac:dyDescent="0.3">
      <c r="D154" s="378"/>
      <c r="E154" s="378"/>
      <c r="G154" s="378"/>
    </row>
    <row r="155" spans="2:7" s="377" customFormat="1" ht="15.6" x14ac:dyDescent="0.3">
      <c r="B155" s="382" t="s">
        <v>2793</v>
      </c>
      <c r="G155" s="378"/>
    </row>
    <row r="156" spans="2:7" s="377" customFormat="1" ht="15" thickBot="1" x14ac:dyDescent="0.35">
      <c r="B156" s="392" t="s">
        <v>860</v>
      </c>
      <c r="C156" s="393">
        <f>SUM(D157:F162)</f>
        <v>22</v>
      </c>
      <c r="D156" s="24" t="s">
        <v>135</v>
      </c>
      <c r="E156" s="24" t="s">
        <v>136</v>
      </c>
      <c r="F156" s="24" t="s">
        <v>137</v>
      </c>
      <c r="G156" s="378"/>
    </row>
    <row r="157" spans="2:7" s="377" customFormat="1" x14ac:dyDescent="0.3">
      <c r="B157" s="89" t="s">
        <v>579</v>
      </c>
      <c r="C157" s="19"/>
      <c r="D157" s="193">
        <v>7</v>
      </c>
      <c r="E157" s="194">
        <v>5</v>
      </c>
      <c r="F157" s="194">
        <v>1</v>
      </c>
      <c r="G157" s="378"/>
    </row>
    <row r="158" spans="2:7" s="377" customFormat="1" x14ac:dyDescent="0.3">
      <c r="B158" s="89" t="s">
        <v>1343</v>
      </c>
      <c r="C158" s="19"/>
      <c r="D158" s="195">
        <v>0</v>
      </c>
      <c r="E158" s="76">
        <v>2</v>
      </c>
      <c r="F158" s="76">
        <v>0</v>
      </c>
      <c r="G158" s="378"/>
    </row>
    <row r="159" spans="2:7" s="377" customFormat="1" x14ac:dyDescent="0.3">
      <c r="B159" s="89" t="s">
        <v>2539</v>
      </c>
      <c r="C159" s="19"/>
      <c r="D159" s="195">
        <v>1</v>
      </c>
      <c r="E159" s="76">
        <v>1</v>
      </c>
      <c r="F159" s="76">
        <v>0</v>
      </c>
      <c r="G159" s="378"/>
    </row>
    <row r="160" spans="2:7" s="377" customFormat="1" x14ac:dyDescent="0.3">
      <c r="B160" s="376" t="s">
        <v>1414</v>
      </c>
      <c r="C160" s="19"/>
      <c r="D160" s="195">
        <v>0</v>
      </c>
      <c r="E160" s="76">
        <v>2</v>
      </c>
      <c r="F160" s="76">
        <v>0</v>
      </c>
      <c r="G160" s="378"/>
    </row>
    <row r="161" spans="2:10" s="377" customFormat="1" x14ac:dyDescent="0.3">
      <c r="B161" s="376" t="s">
        <v>2174</v>
      </c>
      <c r="C161" s="19"/>
      <c r="D161" s="195">
        <v>0</v>
      </c>
      <c r="E161" s="76">
        <v>1</v>
      </c>
      <c r="F161" s="76">
        <v>0</v>
      </c>
      <c r="G161" s="378"/>
    </row>
    <row r="162" spans="2:10" s="377" customFormat="1" x14ac:dyDescent="0.3">
      <c r="B162" s="376" t="s">
        <v>2173</v>
      </c>
      <c r="C162" s="19"/>
      <c r="D162" s="195">
        <v>1</v>
      </c>
      <c r="E162" s="76">
        <v>1</v>
      </c>
      <c r="F162" s="76">
        <v>0</v>
      </c>
      <c r="G162" s="378"/>
    </row>
    <row r="163" spans="2:10" s="377" customFormat="1" x14ac:dyDescent="0.3">
      <c r="D163" s="378"/>
      <c r="E163" s="378"/>
      <c r="G163" s="378"/>
    </row>
    <row r="164" spans="2:10" s="377" customFormat="1" x14ac:dyDescent="0.3">
      <c r="D164" s="378"/>
      <c r="E164" s="378"/>
      <c r="G164" s="378"/>
    </row>
    <row r="165" spans="2:10" s="377" customFormat="1" x14ac:dyDescent="0.3">
      <c r="D165" s="378"/>
      <c r="E165" s="378"/>
      <c r="G165" s="378"/>
    </row>
    <row r="166" spans="2:10" s="377" customFormat="1" ht="15.6" x14ac:dyDescent="0.3">
      <c r="C166" s="382" t="s">
        <v>2794</v>
      </c>
      <c r="H166" s="378"/>
    </row>
    <row r="167" spans="2:10" ht="15" thickBot="1" x14ac:dyDescent="0.35">
      <c r="B167" s="377"/>
      <c r="C167" s="392" t="s">
        <v>860</v>
      </c>
      <c r="D167" s="395"/>
      <c r="E167" s="1068" t="s">
        <v>135</v>
      </c>
      <c r="F167" s="1068" t="s">
        <v>136</v>
      </c>
      <c r="G167" s="1068" t="s">
        <v>137</v>
      </c>
      <c r="H167" s="396" t="s">
        <v>861</v>
      </c>
      <c r="I167" s="1068" t="s">
        <v>2224</v>
      </c>
      <c r="J167" s="1068" t="s">
        <v>2225</v>
      </c>
    </row>
    <row r="168" spans="2:10" x14ac:dyDescent="0.3">
      <c r="B168" s="377"/>
      <c r="C168" s="22" t="s">
        <v>149</v>
      </c>
      <c r="D168" s="684"/>
      <c r="E168" s="76">
        <f t="shared" ref="E168:G178" si="0">SUMIFS(D:D,$B:$B,$C168)</f>
        <v>20</v>
      </c>
      <c r="F168" s="76">
        <f t="shared" si="0"/>
        <v>5</v>
      </c>
      <c r="G168" s="76">
        <f t="shared" si="0"/>
        <v>5</v>
      </c>
      <c r="H168" s="1069">
        <f>SUM(E168:G168)</f>
        <v>30</v>
      </c>
      <c r="I168" s="1070">
        <f>E168/H168</f>
        <v>0.66666666666666663</v>
      </c>
      <c r="J168" s="1070">
        <f t="shared" ref="J168:J176" si="1">H168/$H$191</f>
        <v>8.6206896551724144E-2</v>
      </c>
    </row>
    <row r="169" spans="2:10" x14ac:dyDescent="0.3">
      <c r="B169" s="377"/>
      <c r="C169" s="89" t="s">
        <v>579</v>
      </c>
      <c r="D169" s="684"/>
      <c r="E169" s="76">
        <f t="shared" si="0"/>
        <v>58</v>
      </c>
      <c r="F169" s="76">
        <f t="shared" si="0"/>
        <v>40</v>
      </c>
      <c r="G169" s="76">
        <f t="shared" si="0"/>
        <v>16</v>
      </c>
      <c r="H169" s="1071">
        <f t="shared" ref="H169:H176" si="2">SUM(E169:G169)</f>
        <v>114</v>
      </c>
      <c r="I169" s="1070">
        <f t="shared" ref="I169:I190" si="3">E169/H169</f>
        <v>0.50877192982456143</v>
      </c>
      <c r="J169" s="1070">
        <f t="shared" si="1"/>
        <v>0.32758620689655171</v>
      </c>
    </row>
    <row r="170" spans="2:10" x14ac:dyDescent="0.3">
      <c r="B170" s="377"/>
      <c r="C170" s="89" t="s">
        <v>242</v>
      </c>
      <c r="D170" s="684"/>
      <c r="E170" s="76">
        <f t="shared" si="0"/>
        <v>8</v>
      </c>
      <c r="F170" s="76">
        <f t="shared" si="0"/>
        <v>10</v>
      </c>
      <c r="G170" s="76">
        <f t="shared" si="0"/>
        <v>1</v>
      </c>
      <c r="H170" s="1071">
        <f t="shared" si="2"/>
        <v>19</v>
      </c>
      <c r="I170" s="1070">
        <f t="shared" si="3"/>
        <v>0.42105263157894735</v>
      </c>
      <c r="J170" s="1070">
        <f t="shared" si="1"/>
        <v>5.459770114942529E-2</v>
      </c>
    </row>
    <row r="171" spans="2:10" x14ac:dyDescent="0.3">
      <c r="B171" s="377"/>
      <c r="C171" s="89" t="s">
        <v>568</v>
      </c>
      <c r="D171" s="684"/>
      <c r="E171" s="76">
        <f t="shared" si="0"/>
        <v>1</v>
      </c>
      <c r="F171" s="76">
        <f t="shared" si="0"/>
        <v>4</v>
      </c>
      <c r="G171" s="76">
        <f t="shared" si="0"/>
        <v>0</v>
      </c>
      <c r="H171" s="1071">
        <f t="shared" si="2"/>
        <v>5</v>
      </c>
      <c r="I171" s="1070">
        <f t="shared" si="3"/>
        <v>0.2</v>
      </c>
      <c r="J171" s="1070">
        <f t="shared" si="1"/>
        <v>1.4367816091954023E-2</v>
      </c>
    </row>
    <row r="172" spans="2:10" x14ac:dyDescent="0.3">
      <c r="B172" s="377"/>
      <c r="C172" s="89" t="s">
        <v>737</v>
      </c>
      <c r="D172" s="684"/>
      <c r="E172" s="76">
        <f t="shared" si="0"/>
        <v>1</v>
      </c>
      <c r="F172" s="76">
        <f t="shared" si="0"/>
        <v>1</v>
      </c>
      <c r="G172" s="76">
        <f t="shared" si="0"/>
        <v>0</v>
      </c>
      <c r="H172" s="1071">
        <f t="shared" si="2"/>
        <v>2</v>
      </c>
      <c r="I172" s="1070">
        <f t="shared" si="3"/>
        <v>0.5</v>
      </c>
      <c r="J172" s="1070">
        <f t="shared" si="1"/>
        <v>5.7471264367816091E-3</v>
      </c>
    </row>
    <row r="173" spans="2:10" x14ac:dyDescent="0.3">
      <c r="B173" s="377"/>
      <c r="C173" s="22" t="s">
        <v>151</v>
      </c>
      <c r="D173" s="684"/>
      <c r="E173" s="76">
        <f t="shared" si="0"/>
        <v>3</v>
      </c>
      <c r="F173" s="76">
        <f t="shared" si="0"/>
        <v>6</v>
      </c>
      <c r="G173" s="76">
        <f t="shared" si="0"/>
        <v>0</v>
      </c>
      <c r="H173" s="1071">
        <f t="shared" si="2"/>
        <v>9</v>
      </c>
      <c r="I173" s="1070">
        <f t="shared" si="3"/>
        <v>0.33333333333333331</v>
      </c>
      <c r="J173" s="1070">
        <f t="shared" si="1"/>
        <v>2.5862068965517241E-2</v>
      </c>
    </row>
    <row r="174" spans="2:10" x14ac:dyDescent="0.3">
      <c r="B174" s="377"/>
      <c r="C174" s="89" t="s">
        <v>1643</v>
      </c>
      <c r="D174" s="684"/>
      <c r="E174" s="76">
        <f t="shared" si="0"/>
        <v>2</v>
      </c>
      <c r="F174" s="76">
        <f t="shared" si="0"/>
        <v>4</v>
      </c>
      <c r="G174" s="76">
        <f t="shared" si="0"/>
        <v>1</v>
      </c>
      <c r="H174" s="1071">
        <f t="shared" si="2"/>
        <v>7</v>
      </c>
      <c r="I174" s="1070">
        <f t="shared" si="3"/>
        <v>0.2857142857142857</v>
      </c>
      <c r="J174" s="1070">
        <f t="shared" si="1"/>
        <v>2.0114942528735632E-2</v>
      </c>
    </row>
    <row r="175" spans="2:10" x14ac:dyDescent="0.3">
      <c r="B175" s="377"/>
      <c r="C175" s="22" t="s">
        <v>249</v>
      </c>
      <c r="D175" s="684"/>
      <c r="E175" s="76">
        <f t="shared" si="0"/>
        <v>4</v>
      </c>
      <c r="F175" s="76">
        <f t="shared" si="0"/>
        <v>0</v>
      </c>
      <c r="G175" s="76">
        <f t="shared" si="0"/>
        <v>0</v>
      </c>
      <c r="H175" s="1071">
        <f t="shared" si="2"/>
        <v>4</v>
      </c>
      <c r="I175" s="1070">
        <f t="shared" si="3"/>
        <v>1</v>
      </c>
      <c r="J175" s="1070">
        <f t="shared" si="1"/>
        <v>1.1494252873563218E-2</v>
      </c>
    </row>
    <row r="176" spans="2:10" x14ac:dyDescent="0.3">
      <c r="B176" s="377"/>
      <c r="C176" s="22" t="s">
        <v>246</v>
      </c>
      <c r="D176" s="684"/>
      <c r="E176" s="76">
        <f t="shared" si="0"/>
        <v>4</v>
      </c>
      <c r="F176" s="76">
        <f t="shared" si="0"/>
        <v>3</v>
      </c>
      <c r="G176" s="76">
        <f t="shared" si="0"/>
        <v>1</v>
      </c>
      <c r="H176" s="1071">
        <f t="shared" si="2"/>
        <v>8</v>
      </c>
      <c r="I176" s="1070">
        <f t="shared" si="3"/>
        <v>0.5</v>
      </c>
      <c r="J176" s="1070">
        <f t="shared" si="1"/>
        <v>2.2988505747126436E-2</v>
      </c>
    </row>
    <row r="177" spans="2:10" x14ac:dyDescent="0.3">
      <c r="B177" s="377"/>
      <c r="C177" s="1098" t="s">
        <v>150</v>
      </c>
      <c r="D177" s="1099"/>
      <c r="E177" s="1100">
        <f t="shared" si="0"/>
        <v>25</v>
      </c>
      <c r="F177" s="1100">
        <f t="shared" si="0"/>
        <v>29</v>
      </c>
      <c r="G177" s="1100">
        <f t="shared" si="0"/>
        <v>4</v>
      </c>
      <c r="H177" s="1101"/>
      <c r="I177" s="1102"/>
      <c r="J177" s="1102"/>
    </row>
    <row r="178" spans="2:10" x14ac:dyDescent="0.3">
      <c r="B178" s="377"/>
      <c r="C178" s="1098" t="s">
        <v>794</v>
      </c>
      <c r="D178" s="1099"/>
      <c r="E178" s="1100">
        <f t="shared" si="0"/>
        <v>9</v>
      </c>
      <c r="F178" s="1100">
        <f t="shared" si="0"/>
        <v>7</v>
      </c>
      <c r="G178" s="1100">
        <f t="shared" si="0"/>
        <v>3</v>
      </c>
      <c r="H178" s="1101"/>
      <c r="I178" s="1102"/>
      <c r="J178" s="1102"/>
    </row>
    <row r="179" spans="2:10" x14ac:dyDescent="0.3">
      <c r="B179" s="377"/>
      <c r="C179" s="89" t="s">
        <v>2342</v>
      </c>
      <c r="D179" s="684"/>
      <c r="E179" s="201">
        <f>E178+E177</f>
        <v>34</v>
      </c>
      <c r="F179" s="201">
        <f>F178+F177</f>
        <v>36</v>
      </c>
      <c r="G179" s="201">
        <f>G178+G177</f>
        <v>7</v>
      </c>
      <c r="H179" s="1071">
        <f t="shared" ref="H179" si="4">SUM(E179:G179)</f>
        <v>77</v>
      </c>
      <c r="I179" s="1070">
        <f t="shared" ref="I179" si="5">E179/H179</f>
        <v>0.44155844155844154</v>
      </c>
      <c r="J179" s="1070">
        <f t="shared" ref="J179:J188" si="6">H179/$H$191</f>
        <v>0.22126436781609196</v>
      </c>
    </row>
    <row r="180" spans="2:10" x14ac:dyDescent="0.3">
      <c r="B180" s="377"/>
      <c r="C180" s="22" t="s">
        <v>731</v>
      </c>
      <c r="D180" s="684"/>
      <c r="E180" s="76">
        <f t="shared" ref="E180:G190" si="7">SUMIFS(D:D,$B:$B,$C180)</f>
        <v>7</v>
      </c>
      <c r="F180" s="76">
        <f t="shared" si="7"/>
        <v>1</v>
      </c>
      <c r="G180" s="76">
        <f t="shared" si="7"/>
        <v>2</v>
      </c>
      <c r="H180" s="1071">
        <f t="shared" ref="H180:H190" si="8">SUM(E180:G180)</f>
        <v>10</v>
      </c>
      <c r="I180" s="1070">
        <f t="shared" si="3"/>
        <v>0.7</v>
      </c>
      <c r="J180" s="1070">
        <f t="shared" si="6"/>
        <v>2.8735632183908046E-2</v>
      </c>
    </row>
    <row r="181" spans="2:10" x14ac:dyDescent="0.3">
      <c r="B181" s="377"/>
      <c r="C181" s="89" t="s">
        <v>736</v>
      </c>
      <c r="D181" s="684"/>
      <c r="E181" s="76">
        <f t="shared" si="7"/>
        <v>2</v>
      </c>
      <c r="F181" s="76">
        <f t="shared" si="7"/>
        <v>0</v>
      </c>
      <c r="G181" s="76">
        <f t="shared" si="7"/>
        <v>0</v>
      </c>
      <c r="H181" s="1071">
        <f t="shared" si="8"/>
        <v>2</v>
      </c>
      <c r="I181" s="1070">
        <f t="shared" si="3"/>
        <v>1</v>
      </c>
      <c r="J181" s="1070">
        <f t="shared" si="6"/>
        <v>5.7471264367816091E-3</v>
      </c>
    </row>
    <row r="182" spans="2:10" x14ac:dyDescent="0.3">
      <c r="B182" s="377"/>
      <c r="C182" s="89" t="s">
        <v>1027</v>
      </c>
      <c r="D182" s="684"/>
      <c r="E182" s="76">
        <f t="shared" si="7"/>
        <v>10</v>
      </c>
      <c r="F182" s="76">
        <f t="shared" si="7"/>
        <v>5</v>
      </c>
      <c r="G182" s="76">
        <f t="shared" si="7"/>
        <v>0</v>
      </c>
      <c r="H182" s="1071">
        <f t="shared" si="8"/>
        <v>15</v>
      </c>
      <c r="I182" s="1070">
        <f t="shared" si="3"/>
        <v>0.66666666666666663</v>
      </c>
      <c r="J182" s="1070">
        <f t="shared" si="6"/>
        <v>4.3103448275862072E-2</v>
      </c>
    </row>
    <row r="183" spans="2:10" x14ac:dyDescent="0.3">
      <c r="B183" s="377"/>
      <c r="C183" s="89" t="s">
        <v>1343</v>
      </c>
      <c r="D183" s="684"/>
      <c r="E183" s="76">
        <f t="shared" si="7"/>
        <v>1</v>
      </c>
      <c r="F183" s="76">
        <f t="shared" si="7"/>
        <v>4</v>
      </c>
      <c r="G183" s="76">
        <f t="shared" si="7"/>
        <v>1</v>
      </c>
      <c r="H183" s="1071">
        <f t="shared" si="8"/>
        <v>6</v>
      </c>
      <c r="I183" s="1070">
        <f t="shared" si="3"/>
        <v>0.16666666666666666</v>
      </c>
      <c r="J183" s="1070">
        <f t="shared" si="6"/>
        <v>1.7241379310344827E-2</v>
      </c>
    </row>
    <row r="184" spans="2:10" x14ac:dyDescent="0.3">
      <c r="B184" s="377"/>
      <c r="C184" s="376" t="s">
        <v>1414</v>
      </c>
      <c r="D184" s="684"/>
      <c r="E184" s="76">
        <f t="shared" si="7"/>
        <v>10</v>
      </c>
      <c r="F184" s="76">
        <f t="shared" si="7"/>
        <v>2</v>
      </c>
      <c r="G184" s="76">
        <f t="shared" si="7"/>
        <v>0</v>
      </c>
      <c r="H184" s="1071">
        <f t="shared" si="8"/>
        <v>12</v>
      </c>
      <c r="I184" s="1070">
        <f t="shared" si="3"/>
        <v>0.83333333333333337</v>
      </c>
      <c r="J184" s="1070">
        <f t="shared" si="6"/>
        <v>3.4482758620689655E-2</v>
      </c>
    </row>
    <row r="185" spans="2:10" x14ac:dyDescent="0.3">
      <c r="B185" s="377"/>
      <c r="C185" s="376" t="s">
        <v>1593</v>
      </c>
      <c r="D185" s="684"/>
      <c r="E185" s="76">
        <f t="shared" si="7"/>
        <v>7</v>
      </c>
      <c r="F185" s="76">
        <f t="shared" si="7"/>
        <v>4</v>
      </c>
      <c r="G185" s="76">
        <f t="shared" si="7"/>
        <v>0</v>
      </c>
      <c r="H185" s="1071">
        <f t="shared" si="8"/>
        <v>11</v>
      </c>
      <c r="I185" s="1070">
        <f t="shared" si="3"/>
        <v>0.63636363636363635</v>
      </c>
      <c r="J185" s="1070">
        <f t="shared" si="6"/>
        <v>3.1609195402298854E-2</v>
      </c>
    </row>
    <row r="186" spans="2:10" x14ac:dyDescent="0.3">
      <c r="B186" s="377"/>
      <c r="C186" s="89" t="s">
        <v>1906</v>
      </c>
      <c r="D186" s="684"/>
      <c r="E186" s="76">
        <f t="shared" si="7"/>
        <v>1</v>
      </c>
      <c r="F186" s="76">
        <f t="shared" si="7"/>
        <v>1</v>
      </c>
      <c r="G186" s="76">
        <f t="shared" si="7"/>
        <v>0</v>
      </c>
      <c r="H186" s="1071">
        <f t="shared" si="8"/>
        <v>2</v>
      </c>
      <c r="I186" s="1070">
        <f t="shared" si="3"/>
        <v>0.5</v>
      </c>
      <c r="J186" s="1070">
        <f t="shared" si="6"/>
        <v>5.7471264367816091E-3</v>
      </c>
    </row>
    <row r="187" spans="2:10" x14ac:dyDescent="0.3">
      <c r="B187" s="377"/>
      <c r="C187" s="376" t="s">
        <v>2173</v>
      </c>
      <c r="D187" s="684"/>
      <c r="E187" s="76">
        <f t="shared" si="7"/>
        <v>1</v>
      </c>
      <c r="F187" s="76">
        <f t="shared" si="7"/>
        <v>4</v>
      </c>
      <c r="G187" s="76">
        <f t="shared" si="7"/>
        <v>1</v>
      </c>
      <c r="H187" s="1071">
        <f t="shared" si="8"/>
        <v>6</v>
      </c>
      <c r="I187" s="1070">
        <f t="shared" si="3"/>
        <v>0.16666666666666666</v>
      </c>
      <c r="J187" s="1070">
        <f t="shared" si="6"/>
        <v>1.7241379310344827E-2</v>
      </c>
    </row>
    <row r="188" spans="2:10" s="377" customFormat="1" x14ac:dyDescent="0.3">
      <c r="C188" s="376" t="s">
        <v>2174</v>
      </c>
      <c r="D188" s="684"/>
      <c r="E188" s="76">
        <f t="shared" si="7"/>
        <v>1</v>
      </c>
      <c r="F188" s="76">
        <f t="shared" si="7"/>
        <v>2</v>
      </c>
      <c r="G188" s="76">
        <f t="shared" si="7"/>
        <v>0</v>
      </c>
      <c r="H188" s="1071">
        <f t="shared" si="8"/>
        <v>3</v>
      </c>
      <c r="I188" s="1070">
        <f t="shared" si="3"/>
        <v>0.33333333333333331</v>
      </c>
      <c r="J188" s="1070">
        <f t="shared" si="6"/>
        <v>8.6206896551724137E-3</v>
      </c>
    </row>
    <row r="189" spans="2:10" s="377" customFormat="1" x14ac:dyDescent="0.3">
      <c r="C189" s="376" t="s">
        <v>2341</v>
      </c>
      <c r="D189" s="684"/>
      <c r="E189" s="76">
        <f t="shared" si="7"/>
        <v>2</v>
      </c>
      <c r="F189" s="76">
        <f t="shared" si="7"/>
        <v>2</v>
      </c>
      <c r="G189" s="76">
        <f t="shared" si="7"/>
        <v>0</v>
      </c>
      <c r="H189" s="1071">
        <f t="shared" si="8"/>
        <v>4</v>
      </c>
      <c r="I189" s="1070">
        <f t="shared" si="3"/>
        <v>0.5</v>
      </c>
      <c r="J189" s="1070">
        <f t="shared" ref="J189:J190" si="9">H189/$H$191</f>
        <v>1.1494252873563218E-2</v>
      </c>
    </row>
    <row r="190" spans="2:10" s="377" customFormat="1" x14ac:dyDescent="0.3">
      <c r="C190" s="89" t="s">
        <v>2539</v>
      </c>
      <c r="D190" s="684"/>
      <c r="E190" s="76">
        <f t="shared" si="7"/>
        <v>1</v>
      </c>
      <c r="F190" s="76">
        <f t="shared" si="7"/>
        <v>1</v>
      </c>
      <c r="G190" s="76">
        <f t="shared" si="7"/>
        <v>0</v>
      </c>
      <c r="H190" s="1071">
        <f t="shared" si="8"/>
        <v>2</v>
      </c>
      <c r="I190" s="1070">
        <f t="shared" si="3"/>
        <v>0.5</v>
      </c>
      <c r="J190" s="1070">
        <f t="shared" si="9"/>
        <v>5.7471264367816091E-3</v>
      </c>
    </row>
    <row r="191" spans="2:10" s="377" customFormat="1" x14ac:dyDescent="0.3">
      <c r="H191" s="388">
        <f>SUM(H168:H190)</f>
        <v>348</v>
      </c>
    </row>
    <row r="192" spans="2:10" s="377" customFormat="1" x14ac:dyDescent="0.3">
      <c r="G192" s="378"/>
    </row>
    <row r="193" spans="7:8" s="377" customFormat="1" x14ac:dyDescent="0.3">
      <c r="G193" s="378"/>
      <c r="H193" s="386">
        <f>SUM(C:C)</f>
        <v>352</v>
      </c>
    </row>
    <row r="194" spans="7:8" s="377" customFormat="1" x14ac:dyDescent="0.3">
      <c r="G194" s="378"/>
    </row>
    <row r="195" spans="7:8" s="377" customFormat="1" x14ac:dyDescent="0.3">
      <c r="G195" s="378"/>
    </row>
    <row r="196" spans="7:8" s="377" customFormat="1" x14ac:dyDescent="0.3">
      <c r="G196" s="378"/>
    </row>
    <row r="197" spans="7:8" s="377" customFormat="1" x14ac:dyDescent="0.3">
      <c r="G197" s="378"/>
    </row>
    <row r="198" spans="7:8" s="377" customFormat="1" x14ac:dyDescent="0.3">
      <c r="G198" s="378"/>
    </row>
    <row r="199" spans="7:8" s="377" customFormat="1" x14ac:dyDescent="0.3">
      <c r="G199" s="378"/>
    </row>
    <row r="200" spans="7:8" s="377" customFormat="1" x14ac:dyDescent="0.3">
      <c r="G200" s="378"/>
    </row>
    <row r="201" spans="7:8" s="377" customFormat="1" x14ac:dyDescent="0.3">
      <c r="G201" s="378"/>
    </row>
    <row r="202" spans="7:8" s="377" customFormat="1" x14ac:dyDescent="0.3">
      <c r="G202" s="378"/>
    </row>
    <row r="203" spans="7:8" s="377" customFormat="1" x14ac:dyDescent="0.3">
      <c r="G203" s="378"/>
    </row>
    <row r="204" spans="7:8" s="377" customFormat="1" x14ac:dyDescent="0.3">
      <c r="G204" s="378"/>
    </row>
    <row r="205" spans="7:8" s="377" customFormat="1" x14ac:dyDescent="0.3">
      <c r="G205" s="378"/>
    </row>
    <row r="206" spans="7:8" s="377" customFormat="1" x14ac:dyDescent="0.3">
      <c r="G206" s="378"/>
    </row>
    <row r="207" spans="7:8" s="377" customFormat="1" x14ac:dyDescent="0.3">
      <c r="G207" s="378"/>
    </row>
    <row r="208" spans="7:8" s="377" customFormat="1" x14ac:dyDescent="0.3">
      <c r="G208" s="378"/>
    </row>
    <row r="209" spans="7:7" s="377" customFormat="1" x14ac:dyDescent="0.3">
      <c r="G209" s="378"/>
    </row>
    <row r="210" spans="7:7" s="377" customFormat="1" x14ac:dyDescent="0.3">
      <c r="G210" s="378"/>
    </row>
    <row r="211" spans="7:7" s="377" customFormat="1" x14ac:dyDescent="0.3">
      <c r="G211" s="378"/>
    </row>
    <row r="212" spans="7:7" s="377" customFormat="1" x14ac:dyDescent="0.3">
      <c r="G212" s="378"/>
    </row>
    <row r="213" spans="7:7" s="377" customFormat="1" x14ac:dyDescent="0.3">
      <c r="G213" s="378"/>
    </row>
    <row r="214" spans="7:7" s="377" customFormat="1" x14ac:dyDescent="0.3">
      <c r="G214" s="378"/>
    </row>
    <row r="215" spans="7:7" s="377" customFormat="1" x14ac:dyDescent="0.3">
      <c r="G215" s="378"/>
    </row>
    <row r="216" spans="7:7" s="377" customFormat="1" x14ac:dyDescent="0.3">
      <c r="G216" s="378"/>
    </row>
    <row r="217" spans="7:7" s="377" customFormat="1" x14ac:dyDescent="0.3">
      <c r="G217" s="378"/>
    </row>
    <row r="218" spans="7:7" s="377" customFormat="1" x14ac:dyDescent="0.3">
      <c r="G218" s="378"/>
    </row>
    <row r="219" spans="7:7" s="377" customFormat="1" x14ac:dyDescent="0.3">
      <c r="G219" s="378"/>
    </row>
    <row r="220" spans="7:7" s="377" customFormat="1" x14ac:dyDescent="0.3">
      <c r="G220" s="378"/>
    </row>
    <row r="221" spans="7:7" s="377" customFormat="1" x14ac:dyDescent="0.3">
      <c r="G221" s="378"/>
    </row>
    <row r="222" spans="7:7" s="377" customFormat="1" x14ac:dyDescent="0.3">
      <c r="G222" s="378"/>
    </row>
    <row r="223" spans="7:7" s="377" customFormat="1" x14ac:dyDescent="0.3">
      <c r="G223" s="378"/>
    </row>
    <row r="224" spans="7:7" s="377" customFormat="1" x14ac:dyDescent="0.3">
      <c r="G224" s="378"/>
    </row>
    <row r="225" spans="7:7" s="377" customFormat="1" x14ac:dyDescent="0.3">
      <c r="G225" s="378"/>
    </row>
    <row r="226" spans="7:7" s="377" customFormat="1" x14ac:dyDescent="0.3">
      <c r="G226" s="378"/>
    </row>
    <row r="227" spans="7:7" s="377" customFormat="1" x14ac:dyDescent="0.3">
      <c r="G227" s="378"/>
    </row>
    <row r="228" spans="7:7" s="377" customFormat="1" x14ac:dyDescent="0.3">
      <c r="G228" s="378"/>
    </row>
    <row r="229" spans="7:7" s="377" customFormat="1" x14ac:dyDescent="0.3">
      <c r="G229" s="378"/>
    </row>
    <row r="230" spans="7:7" s="377" customFormat="1" x14ac:dyDescent="0.3">
      <c r="G230" s="378"/>
    </row>
    <row r="231" spans="7:7" s="377" customFormat="1" x14ac:dyDescent="0.3">
      <c r="G231" s="378"/>
    </row>
    <row r="232" spans="7:7" s="377" customFormat="1" x14ac:dyDescent="0.3">
      <c r="G232" s="378"/>
    </row>
    <row r="233" spans="7:7" s="377" customFormat="1" x14ac:dyDescent="0.3">
      <c r="G233" s="378"/>
    </row>
    <row r="234" spans="7:7" s="377" customFormat="1" x14ac:dyDescent="0.3">
      <c r="G234" s="378"/>
    </row>
    <row r="235" spans="7:7" s="377" customFormat="1" x14ac:dyDescent="0.3">
      <c r="G235" s="378"/>
    </row>
    <row r="236" spans="7:7" s="377" customFormat="1" x14ac:dyDescent="0.3">
      <c r="G236" s="378"/>
    </row>
    <row r="237" spans="7:7" s="377" customFormat="1" x14ac:dyDescent="0.3">
      <c r="G237" s="378"/>
    </row>
    <row r="238" spans="7:7" s="377" customFormat="1" x14ac:dyDescent="0.3">
      <c r="G238" s="378"/>
    </row>
    <row r="239" spans="7:7" s="377" customFormat="1" x14ac:dyDescent="0.3">
      <c r="G239" s="378"/>
    </row>
    <row r="240" spans="7:7" s="377" customFormat="1" x14ac:dyDescent="0.3">
      <c r="G240" s="378"/>
    </row>
    <row r="241" spans="7:7" s="377" customFormat="1" x14ac:dyDescent="0.3">
      <c r="G241" s="378"/>
    </row>
    <row r="242" spans="7:7" s="377" customFormat="1" x14ac:dyDescent="0.3">
      <c r="G242" s="378"/>
    </row>
    <row r="243" spans="7:7" s="377" customFormat="1" x14ac:dyDescent="0.3">
      <c r="G243" s="378"/>
    </row>
    <row r="244" spans="7:7" s="377" customFormat="1" x14ac:dyDescent="0.3">
      <c r="G244" s="378"/>
    </row>
    <row r="245" spans="7:7" s="377" customFormat="1" x14ac:dyDescent="0.3">
      <c r="G245" s="378"/>
    </row>
    <row r="246" spans="7:7" s="377" customFormat="1" x14ac:dyDescent="0.3">
      <c r="G246" s="378"/>
    </row>
    <row r="247" spans="7:7" s="377" customFormat="1" x14ac:dyDescent="0.3">
      <c r="G247" s="378"/>
    </row>
    <row r="248" spans="7:7" s="377" customFormat="1" x14ac:dyDescent="0.3">
      <c r="G248" s="378"/>
    </row>
    <row r="249" spans="7:7" s="377" customFormat="1" x14ac:dyDescent="0.3">
      <c r="G249" s="378"/>
    </row>
    <row r="250" spans="7:7" s="377" customFormat="1" x14ac:dyDescent="0.3">
      <c r="G250" s="378"/>
    </row>
    <row r="251" spans="7:7" s="377" customFormat="1" x14ac:dyDescent="0.3">
      <c r="G251" s="378"/>
    </row>
    <row r="252" spans="7:7" s="377" customFormat="1" x14ac:dyDescent="0.3">
      <c r="G252" s="378"/>
    </row>
    <row r="253" spans="7:7" s="377" customFormat="1" x14ac:dyDescent="0.3">
      <c r="G253" s="378"/>
    </row>
    <row r="254" spans="7:7" s="377" customFormat="1" x14ac:dyDescent="0.3">
      <c r="G254" s="378"/>
    </row>
    <row r="255" spans="7:7" s="377" customFormat="1" x14ac:dyDescent="0.3">
      <c r="G255" s="378"/>
    </row>
    <row r="256" spans="7:7" s="377" customFormat="1" x14ac:dyDescent="0.3">
      <c r="G256" s="378"/>
    </row>
    <row r="257" spans="7:7" s="377" customFormat="1" x14ac:dyDescent="0.3">
      <c r="G257" s="378"/>
    </row>
    <row r="258" spans="7:7" s="377" customFormat="1" x14ac:dyDescent="0.3">
      <c r="G258" s="378"/>
    </row>
    <row r="259" spans="7:7" s="377" customFormat="1" x14ac:dyDescent="0.3">
      <c r="G259" s="378"/>
    </row>
    <row r="260" spans="7:7" s="377" customFormat="1" x14ac:dyDescent="0.3">
      <c r="G260" s="378"/>
    </row>
    <row r="261" spans="7:7" s="377" customFormat="1" x14ac:dyDescent="0.3">
      <c r="G261" s="378"/>
    </row>
    <row r="262" spans="7:7" s="377" customFormat="1" x14ac:dyDescent="0.3">
      <c r="G262" s="378"/>
    </row>
    <row r="263" spans="7:7" s="377" customFormat="1" x14ac:dyDescent="0.3">
      <c r="G263" s="378"/>
    </row>
    <row r="264" spans="7:7" s="377" customFormat="1" x14ac:dyDescent="0.3">
      <c r="G264" s="378"/>
    </row>
    <row r="265" spans="7:7" s="377" customFormat="1" x14ac:dyDescent="0.3">
      <c r="G265" s="378"/>
    </row>
    <row r="266" spans="7:7" s="377" customFormat="1" x14ac:dyDescent="0.3">
      <c r="G266" s="378"/>
    </row>
    <row r="267" spans="7:7" s="377" customFormat="1" x14ac:dyDescent="0.3">
      <c r="G267" s="378"/>
    </row>
    <row r="268" spans="7:7" s="377" customFormat="1" x14ac:dyDescent="0.3">
      <c r="G268" s="378"/>
    </row>
    <row r="269" spans="7:7" s="377" customFormat="1" x14ac:dyDescent="0.3">
      <c r="G269" s="378"/>
    </row>
    <row r="270" spans="7:7" s="377" customFormat="1" x14ac:dyDescent="0.3">
      <c r="G270" s="378"/>
    </row>
    <row r="271" spans="7:7" s="377" customFormat="1" x14ac:dyDescent="0.3">
      <c r="G271" s="378"/>
    </row>
    <row r="272" spans="7:7" s="377" customFormat="1" x14ac:dyDescent="0.3">
      <c r="G272" s="378"/>
    </row>
    <row r="273" spans="7:7" s="377" customFormat="1" x14ac:dyDescent="0.3">
      <c r="G273" s="378"/>
    </row>
    <row r="274" spans="7:7" s="377" customFormat="1" x14ac:dyDescent="0.3">
      <c r="G274" s="378"/>
    </row>
    <row r="275" spans="7:7" s="377" customFormat="1" x14ac:dyDescent="0.3">
      <c r="G275" s="378"/>
    </row>
    <row r="276" spans="7:7" s="377" customFormat="1" x14ac:dyDescent="0.3">
      <c r="G276" s="378"/>
    </row>
    <row r="277" spans="7:7" s="377" customFormat="1" x14ac:dyDescent="0.3">
      <c r="G277" s="378"/>
    </row>
    <row r="278" spans="7:7" s="377" customFormat="1" x14ac:dyDescent="0.3">
      <c r="G278" s="378"/>
    </row>
    <row r="279" spans="7:7" s="377" customFormat="1" x14ac:dyDescent="0.3">
      <c r="G279" s="378"/>
    </row>
    <row r="280" spans="7:7" s="377" customFormat="1" x14ac:dyDescent="0.3">
      <c r="G280" s="378"/>
    </row>
    <row r="281" spans="7:7" s="377" customFormat="1" x14ac:dyDescent="0.3">
      <c r="G281" s="378"/>
    </row>
    <row r="282" spans="7:7" s="377" customFormat="1" x14ac:dyDescent="0.3">
      <c r="G282" s="378"/>
    </row>
    <row r="283" spans="7:7" s="377" customFormat="1" x14ac:dyDescent="0.3">
      <c r="G283" s="378"/>
    </row>
    <row r="284" spans="7:7" s="377" customFormat="1" x14ac:dyDescent="0.3">
      <c r="G284" s="378"/>
    </row>
    <row r="285" spans="7:7" s="377" customFormat="1" x14ac:dyDescent="0.3">
      <c r="G285" s="378"/>
    </row>
  </sheetData>
  <phoneticPr fontId="10" type="noConversion"/>
  <pageMargins left="0.70866141732283472" right="0.70866141732283472" top="0.74803149606299213" bottom="0.74803149606299213" header="0.31496062992125984" footer="0.31496062992125984"/>
  <pageSetup paperSize="9" orientation="portrait" r:id="rId1"/>
  <header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44" max="16383" man="1"/>
  </rowBreaks>
  <ignoredErrors>
    <ignoredError sqref="E179:G179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T352"/>
  <sheetViews>
    <sheetView topLeftCell="A2" zoomScale="145" zoomScaleNormal="145" workbookViewId="0">
      <selection activeCell="J165" sqref="J165:L165"/>
    </sheetView>
  </sheetViews>
  <sheetFormatPr defaultColWidth="12.33203125" defaultRowHeight="14.4" x14ac:dyDescent="0.3"/>
  <cols>
    <col min="1" max="1" width="2.88671875" style="357" customWidth="1"/>
    <col min="5" max="5" width="7.33203125" style="357" customWidth="1"/>
    <col min="9" max="9" width="7.5546875" style="357" customWidth="1"/>
    <col min="13" max="20" width="12.33203125" style="357"/>
  </cols>
  <sheetData>
    <row r="1" spans="2:17" s="357" customFormat="1" x14ac:dyDescent="0.3"/>
    <row r="2" spans="2:17" s="377" customFormat="1" ht="36.6" x14ac:dyDescent="0.85">
      <c r="B2" s="379" t="s">
        <v>0</v>
      </c>
      <c r="E2" s="381" t="s">
        <v>2</v>
      </c>
    </row>
    <row r="3" spans="2:17" s="377" customFormat="1" ht="21" x14ac:dyDescent="0.4">
      <c r="B3" s="381" t="s">
        <v>180</v>
      </c>
      <c r="G3" s="377" t="s">
        <v>1105</v>
      </c>
    </row>
    <row r="4" spans="2:17" s="377" customFormat="1" ht="6.75" customHeight="1" x14ac:dyDescent="0.3"/>
    <row r="5" spans="2:17" s="377" customFormat="1" ht="15.6" x14ac:dyDescent="0.3">
      <c r="B5" s="382" t="s">
        <v>46</v>
      </c>
    </row>
    <row r="6" spans="2:17" s="377" customFormat="1" ht="11.25" customHeight="1" thickBot="1" x14ac:dyDescent="0.35"/>
    <row r="7" spans="2:17" x14ac:dyDescent="0.3">
      <c r="B7" s="25" t="s">
        <v>3</v>
      </c>
      <c r="C7" s="20"/>
      <c r="D7" s="259" t="s">
        <v>2437</v>
      </c>
      <c r="F7" s="25" t="s">
        <v>8</v>
      </c>
      <c r="G7" s="21"/>
      <c r="H7" s="258" t="s">
        <v>2437</v>
      </c>
      <c r="J7" s="25" t="s">
        <v>97</v>
      </c>
      <c r="K7" s="21"/>
      <c r="L7" s="258" t="s">
        <v>2437</v>
      </c>
      <c r="O7" s="25" t="s">
        <v>65</v>
      </c>
      <c r="P7" s="21"/>
      <c r="Q7" s="966" t="s">
        <v>178</v>
      </c>
    </row>
    <row r="8" spans="2:17" x14ac:dyDescent="0.3">
      <c r="B8" s="484" t="s">
        <v>50</v>
      </c>
      <c r="C8" s="485"/>
      <c r="D8" s="493">
        <f>112+13+16+20+16+16+21+19+2+19+22+24+21</f>
        <v>321</v>
      </c>
      <c r="F8" s="484" t="s">
        <v>185</v>
      </c>
      <c r="G8" s="485"/>
      <c r="H8" s="496" t="s">
        <v>2090</v>
      </c>
      <c r="J8" s="484" t="s">
        <v>185</v>
      </c>
      <c r="K8" s="485"/>
      <c r="L8" s="493">
        <f>94+2+2+4+6+12+21+2+4</f>
        <v>147</v>
      </c>
      <c r="O8" s="484" t="s">
        <v>47</v>
      </c>
      <c r="P8" s="485"/>
      <c r="Q8" s="493">
        <v>153</v>
      </c>
    </row>
    <row r="9" spans="2:17" x14ac:dyDescent="0.3">
      <c r="B9" s="487" t="s">
        <v>185</v>
      </c>
      <c r="C9" s="488"/>
      <c r="D9" s="494">
        <f>97+15+18+20+16+16+24+19+2+19</f>
        <v>246</v>
      </c>
      <c r="F9" s="487" t="s">
        <v>1944</v>
      </c>
      <c r="G9" s="488"/>
      <c r="H9" s="497" t="s">
        <v>2247</v>
      </c>
      <c r="J9" s="484" t="s">
        <v>673</v>
      </c>
      <c r="K9" s="485"/>
      <c r="L9" s="493">
        <v>114</v>
      </c>
      <c r="O9" s="487" t="s">
        <v>48</v>
      </c>
      <c r="P9" s="488"/>
      <c r="Q9" s="494">
        <v>120</v>
      </c>
    </row>
    <row r="10" spans="2:17" x14ac:dyDescent="0.3">
      <c r="B10" s="487" t="s">
        <v>53</v>
      </c>
      <c r="C10" s="488"/>
      <c r="D10" s="494">
        <f>109+8+18+20+16+16+22+19+13</f>
        <v>241</v>
      </c>
      <c r="F10" s="487" t="s">
        <v>1075</v>
      </c>
      <c r="G10" s="357"/>
      <c r="H10" s="497" t="s">
        <v>1596</v>
      </c>
      <c r="J10" s="487" t="s">
        <v>278</v>
      </c>
      <c r="K10" s="488"/>
      <c r="L10" s="494">
        <v>78</v>
      </c>
      <c r="O10" s="487" t="s">
        <v>56</v>
      </c>
      <c r="P10" s="488"/>
      <c r="Q10" s="494">
        <v>111</v>
      </c>
    </row>
    <row r="11" spans="2:17" x14ac:dyDescent="0.3">
      <c r="B11" s="487" t="s">
        <v>1379</v>
      </c>
      <c r="C11" s="488"/>
      <c r="D11" s="494">
        <f>14+20+16+16+24+14+2+19+20+21+21</f>
        <v>187</v>
      </c>
      <c r="F11" s="487" t="s">
        <v>50</v>
      </c>
      <c r="G11" s="488"/>
      <c r="H11" s="497" t="s">
        <v>1596</v>
      </c>
      <c r="J11" s="487" t="s">
        <v>1075</v>
      </c>
      <c r="K11" s="488"/>
      <c r="L11" s="494">
        <f>0+12+33+4+11+6+8</f>
        <v>74</v>
      </c>
      <c r="O11" s="487" t="s">
        <v>50</v>
      </c>
      <c r="P11" s="488"/>
      <c r="Q11" s="494">
        <v>98</v>
      </c>
    </row>
    <row r="12" spans="2:17" x14ac:dyDescent="0.3">
      <c r="B12" s="487" t="s">
        <v>47</v>
      </c>
      <c r="C12" s="488"/>
      <c r="D12" s="494">
        <f>87+6+16+20+16+16+19+6</f>
        <v>186</v>
      </c>
      <c r="F12" s="487" t="s">
        <v>1459</v>
      </c>
      <c r="G12" s="488"/>
      <c r="H12" s="497" t="s">
        <v>104</v>
      </c>
      <c r="J12" s="689" t="s">
        <v>1124</v>
      </c>
      <c r="K12" s="690"/>
      <c r="L12" s="691">
        <f>26+8+8+2+27</f>
        <v>71</v>
      </c>
      <c r="O12" s="487" t="s">
        <v>51</v>
      </c>
      <c r="P12" s="488"/>
      <c r="Q12" s="494">
        <v>91</v>
      </c>
    </row>
    <row r="13" spans="2:17" x14ac:dyDescent="0.3">
      <c r="B13" s="487" t="s">
        <v>1075</v>
      </c>
      <c r="C13" s="488"/>
      <c r="D13" s="494">
        <f>0+17+18+20+16+16+24+19+6+2+7+14</f>
        <v>159</v>
      </c>
      <c r="F13" s="487" t="s">
        <v>2444</v>
      </c>
      <c r="G13" s="488"/>
      <c r="H13" s="497" t="s">
        <v>104</v>
      </c>
      <c r="J13" s="487" t="s">
        <v>53</v>
      </c>
      <c r="K13" s="488"/>
      <c r="L13" s="494">
        <f>32+2+4+2+2+2+2+4</f>
        <v>50</v>
      </c>
      <c r="O13" s="487" t="s">
        <v>55</v>
      </c>
      <c r="P13" s="488"/>
      <c r="Q13" s="494">
        <v>82</v>
      </c>
    </row>
    <row r="14" spans="2:17" x14ac:dyDescent="0.3">
      <c r="B14" s="487" t="s">
        <v>1459</v>
      </c>
      <c r="C14" s="488"/>
      <c r="D14" s="494">
        <f>0+20+16+16+18+6+2+15+24+21+18</f>
        <v>156</v>
      </c>
      <c r="F14" s="487" t="s">
        <v>2184</v>
      </c>
      <c r="G14" s="488"/>
      <c r="H14" s="497" t="s">
        <v>2811</v>
      </c>
      <c r="J14" s="487" t="s">
        <v>50</v>
      </c>
      <c r="K14" s="488"/>
      <c r="L14" s="494">
        <f>20+6+2+2+2+2+2+2+6+4+2</f>
        <v>50</v>
      </c>
      <c r="O14" s="487" t="s">
        <v>58</v>
      </c>
      <c r="P14" s="488"/>
      <c r="Q14" s="494">
        <v>74</v>
      </c>
    </row>
    <row r="15" spans="2:17" x14ac:dyDescent="0.3">
      <c r="B15" s="487" t="s">
        <v>1124</v>
      </c>
      <c r="C15" s="488"/>
      <c r="D15" s="494">
        <f>0+18+20+16+16+24+14+2+19</f>
        <v>129</v>
      </c>
      <c r="F15" s="487" t="s">
        <v>47</v>
      </c>
      <c r="G15" s="488"/>
      <c r="H15" s="497" t="s">
        <v>1439</v>
      </c>
      <c r="J15" s="689" t="s">
        <v>1591</v>
      </c>
      <c r="K15" s="690"/>
      <c r="L15" s="691">
        <f>12+2+4+2+8+4+6+2</f>
        <v>40</v>
      </c>
      <c r="O15" s="487" t="s">
        <v>53</v>
      </c>
      <c r="P15" s="488"/>
      <c r="Q15" s="494">
        <v>70</v>
      </c>
    </row>
    <row r="16" spans="2:17" x14ac:dyDescent="0.3">
      <c r="B16" s="487" t="s">
        <v>48</v>
      </c>
      <c r="C16" s="488"/>
      <c r="D16" s="494">
        <f>100+21+6</f>
        <v>127</v>
      </c>
      <c r="F16" s="487" t="s">
        <v>1591</v>
      </c>
      <c r="G16" s="488"/>
      <c r="H16" s="494" t="s">
        <v>105</v>
      </c>
      <c r="J16" s="487" t="s">
        <v>47</v>
      </c>
      <c r="K16" s="488"/>
      <c r="L16" s="494">
        <f>23+4+4+4</f>
        <v>35</v>
      </c>
      <c r="O16" s="487" t="s">
        <v>49</v>
      </c>
      <c r="P16" s="488"/>
      <c r="Q16" s="494">
        <v>55</v>
      </c>
    </row>
    <row r="17" spans="2:17" x14ac:dyDescent="0.3">
      <c r="B17" s="487" t="s">
        <v>1076</v>
      </c>
      <c r="C17" s="488"/>
      <c r="D17" s="494">
        <f>0+10+17+20+16+16+22+17+2</f>
        <v>120</v>
      </c>
      <c r="F17" s="487" t="s">
        <v>181</v>
      </c>
      <c r="G17" s="488"/>
      <c r="H17" s="494" t="s">
        <v>105</v>
      </c>
      <c r="J17" s="487" t="s">
        <v>2443</v>
      </c>
      <c r="K17" s="488"/>
      <c r="L17" s="494">
        <f>26+4</f>
        <v>30</v>
      </c>
      <c r="O17" s="487" t="s">
        <v>54</v>
      </c>
      <c r="P17" s="488"/>
      <c r="Q17" s="494">
        <v>40</v>
      </c>
    </row>
    <row r="18" spans="2:17" x14ac:dyDescent="0.3">
      <c r="B18" s="487" t="s">
        <v>680</v>
      </c>
      <c r="C18" s="488"/>
      <c r="D18" s="494">
        <f>14+11+15+20+16+16+21+6</f>
        <v>119</v>
      </c>
      <c r="F18" s="487" t="s">
        <v>52</v>
      </c>
      <c r="G18" s="488"/>
      <c r="H18" s="497" t="s">
        <v>105</v>
      </c>
      <c r="J18" s="487" t="s">
        <v>60</v>
      </c>
      <c r="K18" s="488"/>
      <c r="L18" s="494">
        <v>27</v>
      </c>
      <c r="O18" s="487" t="s">
        <v>61</v>
      </c>
      <c r="P18" s="488"/>
      <c r="Q18" s="494">
        <v>40</v>
      </c>
    </row>
    <row r="19" spans="2:17" x14ac:dyDescent="0.3">
      <c r="B19" s="487" t="s">
        <v>1591</v>
      </c>
      <c r="C19" s="488"/>
      <c r="D19" s="494">
        <f>16+16+17+2+2+15+22+17+5</f>
        <v>112</v>
      </c>
      <c r="F19" s="472" t="s">
        <v>2148</v>
      </c>
      <c r="H19" s="497" t="s">
        <v>105</v>
      </c>
      <c r="J19" s="487" t="s">
        <v>2282</v>
      </c>
      <c r="K19" s="488"/>
      <c r="L19" s="494">
        <f>6+8+10</f>
        <v>24</v>
      </c>
      <c r="O19" s="487" t="s">
        <v>52</v>
      </c>
      <c r="P19" s="488"/>
      <c r="Q19" s="494">
        <v>38</v>
      </c>
    </row>
    <row r="20" spans="2:17" ht="15" thickBot="1" x14ac:dyDescent="0.35">
      <c r="B20" s="487" t="s">
        <v>942</v>
      </c>
      <c r="C20" s="488"/>
      <c r="D20" s="494">
        <f>15+8+15+20+16+16</f>
        <v>90</v>
      </c>
      <c r="F20" s="490" t="s">
        <v>55</v>
      </c>
      <c r="G20" s="491"/>
      <c r="H20" s="498" t="s">
        <v>105</v>
      </c>
      <c r="J20" s="487" t="s">
        <v>52</v>
      </c>
      <c r="K20" s="488"/>
      <c r="L20" s="494">
        <v>22</v>
      </c>
      <c r="O20" s="487" t="s">
        <v>60</v>
      </c>
      <c r="P20" s="488"/>
      <c r="Q20" s="494">
        <v>27</v>
      </c>
    </row>
    <row r="21" spans="2:17" x14ac:dyDescent="0.3">
      <c r="B21" s="487" t="s">
        <v>54</v>
      </c>
      <c r="C21" s="488"/>
      <c r="D21" s="494">
        <f>77+2+3</f>
        <v>82</v>
      </c>
      <c r="F21" s="357"/>
      <c r="G21" s="357"/>
      <c r="H21" s="357"/>
      <c r="J21" s="487" t="s">
        <v>49</v>
      </c>
      <c r="K21" s="488"/>
      <c r="L21" s="494">
        <v>20</v>
      </c>
      <c r="O21" s="487" t="s">
        <v>57</v>
      </c>
      <c r="P21" s="488"/>
      <c r="Q21" s="494">
        <v>26</v>
      </c>
    </row>
    <row r="22" spans="2:17" x14ac:dyDescent="0.3">
      <c r="B22" s="487" t="s">
        <v>1660</v>
      </c>
      <c r="C22" s="488"/>
      <c r="D22" s="494">
        <f>16+24+19+2+19</f>
        <v>80</v>
      </c>
      <c r="F22" s="357"/>
      <c r="G22" s="357"/>
      <c r="H22" s="357"/>
      <c r="J22" s="487" t="s">
        <v>1076</v>
      </c>
      <c r="K22" s="488"/>
      <c r="L22" s="494">
        <f>0+2+2+4+6+2+4</f>
        <v>20</v>
      </c>
      <c r="O22" s="487" t="s">
        <v>62</v>
      </c>
      <c r="P22" s="488"/>
      <c r="Q22" s="494">
        <v>18</v>
      </c>
    </row>
    <row r="23" spans="2:17" x14ac:dyDescent="0.3">
      <c r="B23" s="487" t="s">
        <v>52</v>
      </c>
      <c r="C23" s="488"/>
      <c r="D23" s="494">
        <v>80</v>
      </c>
      <c r="F23" s="357"/>
      <c r="G23" s="357"/>
      <c r="H23" s="357"/>
      <c r="J23" s="487" t="s">
        <v>2283</v>
      </c>
      <c r="K23" s="488"/>
      <c r="L23" s="494">
        <f>4+4+10</f>
        <v>18</v>
      </c>
      <c r="O23" s="487" t="s">
        <v>59</v>
      </c>
      <c r="P23" s="488"/>
      <c r="Q23" s="494">
        <v>13</v>
      </c>
    </row>
    <row r="24" spans="2:17" x14ac:dyDescent="0.3">
      <c r="B24" s="487" t="s">
        <v>55</v>
      </c>
      <c r="C24" s="488"/>
      <c r="D24" s="494">
        <f>43+9+15+6+6</f>
        <v>79</v>
      </c>
      <c r="F24" s="357"/>
      <c r="G24" s="357"/>
      <c r="H24" s="357"/>
      <c r="J24" s="487" t="s">
        <v>1459</v>
      </c>
      <c r="K24" s="488"/>
      <c r="L24" s="494">
        <f>2+2+2+2+6+4</f>
        <v>18</v>
      </c>
      <c r="O24" s="487" t="s">
        <v>63</v>
      </c>
      <c r="P24" s="488"/>
      <c r="Q24" s="494">
        <v>10</v>
      </c>
    </row>
    <row r="25" spans="2:17" ht="15" thickBot="1" x14ac:dyDescent="0.35">
      <c r="B25" s="487" t="s">
        <v>181</v>
      </c>
      <c r="C25" s="488"/>
      <c r="D25" s="494">
        <v>79</v>
      </c>
      <c r="F25" s="357"/>
      <c r="G25" s="357"/>
      <c r="H25" s="357"/>
      <c r="J25" s="487" t="s">
        <v>2148</v>
      </c>
      <c r="K25" s="488"/>
      <c r="L25" s="494">
        <f>4+6+8</f>
        <v>18</v>
      </c>
      <c r="O25" s="490" t="s">
        <v>64</v>
      </c>
      <c r="P25" s="491"/>
      <c r="Q25" s="495">
        <v>4</v>
      </c>
    </row>
    <row r="26" spans="2:17" x14ac:dyDescent="0.3">
      <c r="B26" s="487" t="s">
        <v>1597</v>
      </c>
      <c r="C26" s="488"/>
      <c r="D26" s="494">
        <f>16+18+23+22</f>
        <v>79</v>
      </c>
      <c r="F26" s="29" t="s">
        <v>2091</v>
      </c>
      <c r="G26" s="21" t="s">
        <v>2092</v>
      </c>
      <c r="H26" s="258" t="s">
        <v>2437</v>
      </c>
      <c r="J26" s="487" t="s">
        <v>530</v>
      </c>
      <c r="K26" s="488"/>
      <c r="L26" s="494">
        <f>16+2</f>
        <v>18</v>
      </c>
    </row>
    <row r="27" spans="2:17" x14ac:dyDescent="0.3">
      <c r="B27" s="487" t="s">
        <v>2180</v>
      </c>
      <c r="C27" s="488"/>
      <c r="D27" s="494">
        <f>17+18+22+20</f>
        <v>77</v>
      </c>
      <c r="F27" s="499" t="s">
        <v>1944</v>
      </c>
      <c r="G27" s="485"/>
      <c r="H27" s="493">
        <v>1</v>
      </c>
      <c r="J27" s="487" t="s">
        <v>680</v>
      </c>
      <c r="K27" s="488"/>
      <c r="L27" s="494">
        <f>2+2+2+4+2+4</f>
        <v>16</v>
      </c>
    </row>
    <row r="28" spans="2:17" x14ac:dyDescent="0.3">
      <c r="B28" s="487" t="s">
        <v>279</v>
      </c>
      <c r="C28" s="488"/>
      <c r="D28" s="494">
        <f>71+4</f>
        <v>75</v>
      </c>
      <c r="F28" s="487" t="s">
        <v>2801</v>
      </c>
      <c r="G28" s="488"/>
      <c r="H28" s="494">
        <v>1</v>
      </c>
      <c r="J28" s="487" t="s">
        <v>55</v>
      </c>
      <c r="K28" s="488"/>
      <c r="L28" s="494">
        <f>4+12</f>
        <v>16</v>
      </c>
    </row>
    <row r="29" spans="2:17" ht="15" thickBot="1" x14ac:dyDescent="0.35">
      <c r="B29" s="487" t="s">
        <v>530</v>
      </c>
      <c r="C29" s="488"/>
      <c r="D29" s="494">
        <f>46+10+18</f>
        <v>74</v>
      </c>
      <c r="F29" s="490" t="s">
        <v>1379</v>
      </c>
      <c r="G29" s="491"/>
      <c r="H29" s="495">
        <v>1</v>
      </c>
      <c r="J29" s="487" t="s">
        <v>2444</v>
      </c>
      <c r="K29" s="488"/>
      <c r="L29" s="494">
        <f>8+8</f>
        <v>16</v>
      </c>
    </row>
    <row r="30" spans="2:17" x14ac:dyDescent="0.3">
      <c r="B30" s="487" t="s">
        <v>2148</v>
      </c>
      <c r="C30" s="488"/>
      <c r="D30" s="494">
        <f>2+19+14+16+21</f>
        <v>72</v>
      </c>
      <c r="F30" s="357"/>
      <c r="G30" s="357"/>
      <c r="H30" s="357"/>
      <c r="J30" s="487" t="s">
        <v>2180</v>
      </c>
      <c r="K30" s="488"/>
      <c r="L30" s="494">
        <f>4+4+2+6</f>
        <v>16</v>
      </c>
    </row>
    <row r="31" spans="2:17" x14ac:dyDescent="0.3">
      <c r="B31" s="487" t="s">
        <v>278</v>
      </c>
      <c r="C31" s="488"/>
      <c r="D31" s="494">
        <v>69</v>
      </c>
      <c r="F31" s="357"/>
      <c r="G31" s="357"/>
      <c r="H31" s="357"/>
      <c r="J31" s="487" t="s">
        <v>48</v>
      </c>
      <c r="K31" s="488"/>
      <c r="L31" s="494">
        <f>12+2</f>
        <v>14</v>
      </c>
    </row>
    <row r="32" spans="2:17" x14ac:dyDescent="0.3">
      <c r="B32" s="487" t="s">
        <v>2281</v>
      </c>
      <c r="C32" s="488"/>
      <c r="D32" s="494">
        <f>22+24+22</f>
        <v>68</v>
      </c>
      <c r="F32" s="357"/>
      <c r="G32" s="357"/>
      <c r="H32" s="357"/>
      <c r="J32" s="487" t="s">
        <v>1379</v>
      </c>
      <c r="K32" s="488"/>
      <c r="L32" s="494">
        <f>2+4+4+4</f>
        <v>14</v>
      </c>
    </row>
    <row r="33" spans="2:12" x14ac:dyDescent="0.3">
      <c r="B33" s="487" t="s">
        <v>1077</v>
      </c>
      <c r="C33" s="488"/>
      <c r="D33" s="494">
        <f>0+13+16+20+16+2</f>
        <v>67</v>
      </c>
      <c r="F33" s="357"/>
      <c r="G33" s="357"/>
      <c r="H33" s="357"/>
      <c r="J33" s="487" t="s">
        <v>1077</v>
      </c>
      <c r="K33" s="488"/>
      <c r="L33" s="494">
        <f>0+8+4</f>
        <v>12</v>
      </c>
    </row>
    <row r="34" spans="2:12" x14ac:dyDescent="0.3">
      <c r="B34" s="487" t="s">
        <v>2184</v>
      </c>
      <c r="C34" s="488"/>
      <c r="D34" s="494">
        <f>22+22+22</f>
        <v>66</v>
      </c>
      <c r="F34" s="357"/>
      <c r="G34" s="357"/>
      <c r="H34" s="357"/>
      <c r="J34" s="487" t="s">
        <v>51</v>
      </c>
      <c r="K34" s="488"/>
      <c r="L34" s="494">
        <v>12</v>
      </c>
    </row>
    <row r="35" spans="2:12" ht="15" thickBot="1" x14ac:dyDescent="0.35">
      <c r="B35" s="487" t="s">
        <v>2282</v>
      </c>
      <c r="C35" s="488"/>
      <c r="D35" s="494">
        <f>20+24+22</f>
        <v>66</v>
      </c>
      <c r="F35" s="357"/>
      <c r="G35" s="357"/>
      <c r="H35" s="357"/>
      <c r="J35" s="487" t="s">
        <v>2280</v>
      </c>
      <c r="K35" s="488"/>
      <c r="L35" s="494">
        <f>2+2+4</f>
        <v>8</v>
      </c>
    </row>
    <row r="36" spans="2:12" x14ac:dyDescent="0.3">
      <c r="B36" s="487" t="s">
        <v>2280</v>
      </c>
      <c r="C36" s="488"/>
      <c r="D36" s="494">
        <f>20+24+22</f>
        <v>66</v>
      </c>
      <c r="F36" s="25" t="s">
        <v>101</v>
      </c>
      <c r="G36" s="21"/>
      <c r="H36" s="258" t="s">
        <v>2437</v>
      </c>
      <c r="J36" s="487" t="s">
        <v>2801</v>
      </c>
      <c r="K36" s="488"/>
      <c r="L36" s="494">
        <f>0+8</f>
        <v>8</v>
      </c>
    </row>
    <row r="37" spans="2:12" x14ac:dyDescent="0.3">
      <c r="B37" s="487" t="s">
        <v>2149</v>
      </c>
      <c r="C37" s="488"/>
      <c r="D37" s="494">
        <f>2+7+18+19+17</f>
        <v>63</v>
      </c>
      <c r="F37" s="499" t="s">
        <v>185</v>
      </c>
      <c r="G37" s="485"/>
      <c r="H37" s="493">
        <f>2+1+1</f>
        <v>4</v>
      </c>
      <c r="J37" s="487" t="s">
        <v>675</v>
      </c>
      <c r="K37" s="488"/>
      <c r="L37" s="494">
        <v>8</v>
      </c>
    </row>
    <row r="38" spans="2:12" x14ac:dyDescent="0.3">
      <c r="B38" s="487" t="s">
        <v>946</v>
      </c>
      <c r="C38" s="488"/>
      <c r="D38" s="494">
        <f>0+18+18+20</f>
        <v>56</v>
      </c>
      <c r="F38" s="487" t="s">
        <v>50</v>
      </c>
      <c r="G38" s="488"/>
      <c r="H38" s="494">
        <f>1+1+1</f>
        <v>3</v>
      </c>
      <c r="J38" s="487" t="s">
        <v>2279</v>
      </c>
      <c r="K38" s="488"/>
      <c r="L38" s="494">
        <v>6</v>
      </c>
    </row>
    <row r="39" spans="2:12" x14ac:dyDescent="0.3">
      <c r="B39" s="487" t="s">
        <v>2283</v>
      </c>
      <c r="C39" s="488"/>
      <c r="D39" s="494">
        <f>10+24+21</f>
        <v>55</v>
      </c>
      <c r="F39" s="487" t="s">
        <v>55</v>
      </c>
      <c r="G39" s="488"/>
      <c r="H39" s="494">
        <v>2</v>
      </c>
      <c r="J39" s="487" t="s">
        <v>58</v>
      </c>
      <c r="K39" s="488"/>
      <c r="L39" s="494">
        <v>6</v>
      </c>
    </row>
    <row r="40" spans="2:12" x14ac:dyDescent="0.3">
      <c r="B40" s="487" t="s">
        <v>1164</v>
      </c>
      <c r="C40" s="488"/>
      <c r="D40" s="494">
        <f>0+14+20+16</f>
        <v>50</v>
      </c>
      <c r="F40" s="487" t="s">
        <v>1379</v>
      </c>
      <c r="G40" s="488"/>
      <c r="H40" s="494">
        <f>1+1</f>
        <v>2</v>
      </c>
      <c r="J40" s="487" t="s">
        <v>279</v>
      </c>
      <c r="K40" s="488"/>
      <c r="L40" s="494">
        <v>6</v>
      </c>
    </row>
    <row r="41" spans="2:12" x14ac:dyDescent="0.3">
      <c r="B41" s="487" t="s">
        <v>59</v>
      </c>
      <c r="C41" s="488"/>
      <c r="D41" s="494">
        <f>34+5+10</f>
        <v>49</v>
      </c>
      <c r="F41" s="487" t="s">
        <v>2444</v>
      </c>
      <c r="G41" s="488"/>
      <c r="H41" s="494">
        <f>1</f>
        <v>1</v>
      </c>
      <c r="J41" s="487" t="s">
        <v>677</v>
      </c>
      <c r="K41" s="488"/>
      <c r="L41" s="494">
        <v>6</v>
      </c>
    </row>
    <row r="42" spans="2:12" x14ac:dyDescent="0.3">
      <c r="B42" s="487" t="s">
        <v>56</v>
      </c>
      <c r="C42" s="488"/>
      <c r="D42" s="494">
        <f>32+9+8</f>
        <v>49</v>
      </c>
      <c r="F42" s="487" t="s">
        <v>2148</v>
      </c>
      <c r="G42" s="488"/>
      <c r="H42" s="494">
        <v>1</v>
      </c>
      <c r="J42" s="487" t="s">
        <v>942</v>
      </c>
      <c r="K42" s="488"/>
      <c r="L42" s="494">
        <f>0+2+2+2</f>
        <v>6</v>
      </c>
    </row>
    <row r="43" spans="2:12" x14ac:dyDescent="0.3">
      <c r="B43" s="487" t="s">
        <v>675</v>
      </c>
      <c r="C43" s="488"/>
      <c r="D43" s="494">
        <v>49</v>
      </c>
      <c r="F43" s="487" t="s">
        <v>1076</v>
      </c>
      <c r="G43" s="488"/>
      <c r="H43" s="494">
        <v>1</v>
      </c>
      <c r="J43" s="487" t="s">
        <v>1944</v>
      </c>
      <c r="K43" s="488"/>
      <c r="L43" s="494">
        <f>0+6</f>
        <v>6</v>
      </c>
    </row>
    <row r="44" spans="2:12" x14ac:dyDescent="0.3">
      <c r="B44" s="487" t="s">
        <v>673</v>
      </c>
      <c r="C44" s="488"/>
      <c r="D44" s="494">
        <v>47</v>
      </c>
      <c r="F44" s="487" t="s">
        <v>182</v>
      </c>
      <c r="G44" s="488"/>
      <c r="H44" s="494">
        <v>1</v>
      </c>
      <c r="J44" s="487" t="s">
        <v>2184</v>
      </c>
      <c r="K44" s="488"/>
      <c r="L44" s="494">
        <f>2+2+2</f>
        <v>6</v>
      </c>
    </row>
    <row r="45" spans="2:12" x14ac:dyDescent="0.3">
      <c r="B45" s="487" t="s">
        <v>1944</v>
      </c>
      <c r="C45" s="488"/>
      <c r="D45" s="494">
        <f>0+18+18+2+5</f>
        <v>43</v>
      </c>
      <c r="F45" s="487" t="s">
        <v>2180</v>
      </c>
      <c r="G45" s="488"/>
      <c r="H45" s="494">
        <f>1</f>
        <v>1</v>
      </c>
      <c r="J45" s="487" t="s">
        <v>2042</v>
      </c>
      <c r="K45" s="488"/>
      <c r="L45" s="494">
        <v>5</v>
      </c>
    </row>
    <row r="46" spans="2:12" x14ac:dyDescent="0.3">
      <c r="B46" s="487" t="s">
        <v>2443</v>
      </c>
      <c r="C46" s="488"/>
      <c r="D46" s="494">
        <f>23+19</f>
        <v>42</v>
      </c>
      <c r="F46" s="487" t="s">
        <v>673</v>
      </c>
      <c r="G46" s="488"/>
      <c r="H46" s="494">
        <v>1</v>
      </c>
      <c r="J46" s="487" t="s">
        <v>56</v>
      </c>
      <c r="K46" s="488"/>
      <c r="L46" s="494">
        <v>4</v>
      </c>
    </row>
    <row r="47" spans="2:12" x14ac:dyDescent="0.3">
      <c r="B47" s="487" t="s">
        <v>2444</v>
      </c>
      <c r="C47" s="488"/>
      <c r="D47" s="494">
        <f>22+19</f>
        <v>41</v>
      </c>
      <c r="F47" s="487" t="s">
        <v>675</v>
      </c>
      <c r="G47" s="488"/>
      <c r="H47" s="494">
        <v>1</v>
      </c>
      <c r="J47" s="487" t="s">
        <v>59</v>
      </c>
      <c r="K47" s="488"/>
      <c r="L47" s="494">
        <v>4</v>
      </c>
    </row>
    <row r="48" spans="2:12" x14ac:dyDescent="0.3">
      <c r="B48" s="487" t="s">
        <v>677</v>
      </c>
      <c r="C48" s="488"/>
      <c r="D48" s="494">
        <v>39</v>
      </c>
      <c r="F48" s="487" t="s">
        <v>181</v>
      </c>
      <c r="G48" s="488"/>
      <c r="H48" s="494">
        <v>1</v>
      </c>
      <c r="J48" s="487" t="s">
        <v>182</v>
      </c>
      <c r="K48" s="488"/>
      <c r="L48" s="494">
        <v>4</v>
      </c>
    </row>
    <row r="49" spans="2:12" ht="15" thickBot="1" x14ac:dyDescent="0.35">
      <c r="B49" s="487" t="s">
        <v>60</v>
      </c>
      <c r="C49" s="488"/>
      <c r="D49" s="494">
        <v>36</v>
      </c>
      <c r="F49" s="490" t="s">
        <v>2183</v>
      </c>
      <c r="G49" s="491"/>
      <c r="H49" s="495">
        <f>1</f>
        <v>1</v>
      </c>
      <c r="J49" s="487" t="s">
        <v>62</v>
      </c>
      <c r="K49" s="488"/>
      <c r="L49" s="494">
        <v>4</v>
      </c>
    </row>
    <row r="50" spans="2:12" x14ac:dyDescent="0.3">
      <c r="B50" s="487" t="s">
        <v>49</v>
      </c>
      <c r="C50" s="488"/>
      <c r="D50" s="494">
        <v>34</v>
      </c>
      <c r="F50" s="357"/>
      <c r="G50" s="357"/>
      <c r="H50" s="357"/>
      <c r="J50" s="487" t="s">
        <v>2281</v>
      </c>
      <c r="K50" s="488"/>
      <c r="L50" s="494">
        <v>2</v>
      </c>
    </row>
    <row r="51" spans="2:12" x14ac:dyDescent="0.3">
      <c r="B51" s="487" t="s">
        <v>57</v>
      </c>
      <c r="C51" s="488"/>
      <c r="D51" s="494">
        <f>23+6</f>
        <v>29</v>
      </c>
      <c r="F51" s="357"/>
      <c r="G51" s="357"/>
      <c r="H51" s="357"/>
      <c r="J51" s="487" t="s">
        <v>2441</v>
      </c>
      <c r="K51" s="488"/>
      <c r="L51" s="494">
        <v>2</v>
      </c>
    </row>
    <row r="52" spans="2:12" x14ac:dyDescent="0.3">
      <c r="B52" s="487" t="s">
        <v>58</v>
      </c>
      <c r="C52" s="488"/>
      <c r="D52" s="494">
        <v>28</v>
      </c>
      <c r="F52" s="357"/>
      <c r="G52" s="357"/>
      <c r="H52" s="357"/>
      <c r="J52" s="487" t="s">
        <v>63</v>
      </c>
      <c r="K52" s="488"/>
      <c r="L52" s="494">
        <v>2</v>
      </c>
    </row>
    <row r="53" spans="2:12" x14ac:dyDescent="0.3">
      <c r="B53" s="487" t="s">
        <v>51</v>
      </c>
      <c r="C53" s="488"/>
      <c r="D53" s="494">
        <v>28</v>
      </c>
      <c r="F53" s="357"/>
      <c r="G53" s="357"/>
      <c r="H53" s="357"/>
      <c r="J53" s="487" t="s">
        <v>186</v>
      </c>
      <c r="K53" s="488"/>
      <c r="L53" s="494">
        <v>2</v>
      </c>
    </row>
    <row r="54" spans="2:12" x14ac:dyDescent="0.3">
      <c r="B54" s="487" t="s">
        <v>2441</v>
      </c>
      <c r="C54" s="488"/>
      <c r="D54" s="494">
        <f>24+4</f>
        <v>28</v>
      </c>
      <c r="F54" s="357"/>
      <c r="G54" s="357"/>
      <c r="H54" s="357"/>
      <c r="J54" s="487" t="s">
        <v>945</v>
      </c>
      <c r="K54" s="488"/>
      <c r="L54" s="494">
        <v>2</v>
      </c>
    </row>
    <row r="55" spans="2:12" x14ac:dyDescent="0.3">
      <c r="B55" s="487" t="s">
        <v>182</v>
      </c>
      <c r="C55" s="488"/>
      <c r="D55" s="494">
        <v>26</v>
      </c>
      <c r="F55" s="357"/>
      <c r="G55" s="357"/>
      <c r="H55" s="357"/>
      <c r="J55" s="487" t="s">
        <v>1660</v>
      </c>
      <c r="K55" s="488"/>
      <c r="L55" s="494">
        <f>0+2</f>
        <v>2</v>
      </c>
    </row>
    <row r="56" spans="2:12" x14ac:dyDescent="0.3">
      <c r="B56" s="487" t="s">
        <v>1172</v>
      </c>
      <c r="C56" s="488"/>
      <c r="D56" s="494">
        <f>16+10</f>
        <v>26</v>
      </c>
      <c r="F56" s="357"/>
      <c r="G56" s="357"/>
      <c r="H56" s="357"/>
      <c r="J56" s="487" t="s">
        <v>181</v>
      </c>
      <c r="K56" s="488"/>
      <c r="L56" s="494">
        <v>2</v>
      </c>
    </row>
    <row r="57" spans="2:12" x14ac:dyDescent="0.3">
      <c r="B57" s="487" t="s">
        <v>2041</v>
      </c>
      <c r="C57" s="488"/>
      <c r="D57" s="494">
        <f>0+17+8</f>
        <v>25</v>
      </c>
      <c r="F57" s="357"/>
      <c r="G57" s="357"/>
      <c r="H57" s="357"/>
      <c r="J57" s="487" t="s">
        <v>1172</v>
      </c>
      <c r="K57" s="488"/>
      <c r="L57" s="494">
        <v>2</v>
      </c>
    </row>
    <row r="58" spans="2:12" x14ac:dyDescent="0.3">
      <c r="B58" s="487" t="s">
        <v>2279</v>
      </c>
      <c r="C58" s="488"/>
      <c r="D58" s="494">
        <f>22</f>
        <v>22</v>
      </c>
      <c r="F58" s="357"/>
      <c r="G58" s="357"/>
      <c r="H58" s="357"/>
      <c r="J58" s="487" t="s">
        <v>2146</v>
      </c>
      <c r="K58" s="488"/>
      <c r="L58" s="494">
        <v>2</v>
      </c>
    </row>
    <row r="59" spans="2:12" x14ac:dyDescent="0.3">
      <c r="B59" s="487" t="s">
        <v>2801</v>
      </c>
      <c r="C59" s="488"/>
      <c r="D59" s="494">
        <f>0+19</f>
        <v>19</v>
      </c>
      <c r="F59" s="357"/>
      <c r="G59" s="357"/>
      <c r="H59" s="357"/>
      <c r="J59" s="487" t="s">
        <v>2149</v>
      </c>
      <c r="K59" s="488"/>
      <c r="L59" s="494">
        <v>2</v>
      </c>
    </row>
    <row r="60" spans="2:12" x14ac:dyDescent="0.3">
      <c r="B60" s="487" t="s">
        <v>1659</v>
      </c>
      <c r="C60" s="488"/>
      <c r="D60" s="494">
        <v>16</v>
      </c>
      <c r="F60" s="357"/>
      <c r="G60" s="357"/>
      <c r="H60" s="357"/>
      <c r="J60" s="487" t="s">
        <v>2182</v>
      </c>
      <c r="K60" s="488"/>
      <c r="L60" s="494">
        <v>2</v>
      </c>
    </row>
    <row r="61" spans="2:12" ht="15" thickBot="1" x14ac:dyDescent="0.35">
      <c r="B61" s="487" t="s">
        <v>2800</v>
      </c>
      <c r="C61" s="488"/>
      <c r="D61" s="494">
        <f>0+14</f>
        <v>14</v>
      </c>
      <c r="F61" s="357"/>
      <c r="G61" s="357"/>
      <c r="H61" s="357"/>
      <c r="J61" s="490" t="s">
        <v>2041</v>
      </c>
      <c r="K61" s="491"/>
      <c r="L61" s="495">
        <v>2</v>
      </c>
    </row>
    <row r="62" spans="2:12" x14ac:dyDescent="0.3">
      <c r="B62" s="487" t="s">
        <v>62</v>
      </c>
      <c r="C62" s="488"/>
      <c r="D62" s="494">
        <v>13</v>
      </c>
      <c r="F62" s="357"/>
      <c r="G62" s="357"/>
      <c r="H62" s="357"/>
      <c r="J62" s="357"/>
      <c r="K62" s="357"/>
      <c r="L62" s="357"/>
    </row>
    <row r="63" spans="2:12" x14ac:dyDescent="0.3">
      <c r="B63" s="487" t="s">
        <v>186</v>
      </c>
      <c r="C63" s="488"/>
      <c r="D63" s="494">
        <v>13</v>
      </c>
      <c r="F63" s="357"/>
      <c r="G63" s="357"/>
      <c r="H63" s="357"/>
      <c r="J63" s="357"/>
      <c r="K63" s="357"/>
      <c r="L63" s="357"/>
    </row>
    <row r="64" spans="2:12" x14ac:dyDescent="0.3">
      <c r="B64" s="487" t="s">
        <v>2812</v>
      </c>
      <c r="C64" s="488"/>
      <c r="D64" s="494">
        <f>0+13</f>
        <v>13</v>
      </c>
      <c r="F64" s="357"/>
      <c r="G64" s="357"/>
      <c r="H64" s="357"/>
      <c r="J64" s="357"/>
      <c r="K64" s="357"/>
      <c r="L64" s="357"/>
    </row>
    <row r="65" spans="2:12" x14ac:dyDescent="0.3">
      <c r="B65" s="487" t="s">
        <v>2181</v>
      </c>
      <c r="C65" s="488"/>
      <c r="D65" s="494">
        <f>10+3</f>
        <v>13</v>
      </c>
      <c r="F65" s="357"/>
      <c r="G65" s="357"/>
      <c r="H65" s="357"/>
      <c r="J65" s="357"/>
      <c r="K65" s="357"/>
      <c r="L65" s="357"/>
    </row>
    <row r="66" spans="2:12" x14ac:dyDescent="0.3">
      <c r="B66" s="487" t="s">
        <v>945</v>
      </c>
      <c r="C66" s="488"/>
      <c r="D66" s="494">
        <v>10</v>
      </c>
      <c r="F66" s="357"/>
      <c r="G66" s="357"/>
      <c r="H66" s="357"/>
      <c r="J66" s="357"/>
      <c r="K66" s="357"/>
      <c r="L66" s="357"/>
    </row>
    <row r="67" spans="2:12" x14ac:dyDescent="0.3">
      <c r="B67" s="487" t="s">
        <v>61</v>
      </c>
      <c r="C67" s="488"/>
      <c r="D67" s="494">
        <v>10</v>
      </c>
      <c r="F67" s="357"/>
      <c r="G67" s="357"/>
      <c r="H67" s="357"/>
      <c r="J67" s="357"/>
      <c r="K67" s="357"/>
      <c r="L67" s="357"/>
    </row>
    <row r="68" spans="2:12" x14ac:dyDescent="0.3">
      <c r="B68" s="487" t="s">
        <v>2042</v>
      </c>
      <c r="C68" s="488"/>
      <c r="D68" s="494">
        <f>0+9</f>
        <v>9</v>
      </c>
      <c r="F68" s="357"/>
      <c r="G68" s="357"/>
      <c r="H68" s="357"/>
      <c r="J68" s="357"/>
      <c r="K68" s="357"/>
      <c r="L68" s="357"/>
    </row>
    <row r="69" spans="2:12" x14ac:dyDescent="0.3">
      <c r="B69" s="487" t="s">
        <v>949</v>
      </c>
      <c r="C69" s="488"/>
      <c r="D69" s="494">
        <f>7+2</f>
        <v>9</v>
      </c>
      <c r="F69" s="357"/>
      <c r="G69" s="357"/>
      <c r="H69" s="357"/>
      <c r="J69" s="357"/>
      <c r="K69" s="357"/>
      <c r="L69" s="357"/>
    </row>
    <row r="70" spans="2:12" x14ac:dyDescent="0.3">
      <c r="B70" s="487" t="s">
        <v>2813</v>
      </c>
      <c r="C70" s="488"/>
      <c r="D70" s="494">
        <f>0+6</f>
        <v>6</v>
      </c>
      <c r="F70" s="357"/>
      <c r="G70" s="357"/>
      <c r="H70" s="357"/>
      <c r="J70" s="357"/>
      <c r="K70" s="357"/>
      <c r="L70" s="357"/>
    </row>
    <row r="71" spans="2:12" x14ac:dyDescent="0.3">
      <c r="B71" s="487" t="s">
        <v>2182</v>
      </c>
      <c r="C71" s="488"/>
      <c r="D71" s="494">
        <f>6</f>
        <v>6</v>
      </c>
      <c r="F71" s="357"/>
      <c r="G71" s="357"/>
      <c r="H71" s="357"/>
      <c r="J71" s="357"/>
      <c r="K71" s="357"/>
      <c r="L71" s="357"/>
    </row>
    <row r="72" spans="2:12" x14ac:dyDescent="0.3">
      <c r="B72" s="487" t="s">
        <v>63</v>
      </c>
      <c r="C72" s="488"/>
      <c r="D72" s="494">
        <v>5</v>
      </c>
      <c r="F72" s="357"/>
      <c r="G72" s="357"/>
      <c r="H72" s="357"/>
      <c r="J72" s="357"/>
      <c r="K72" s="357"/>
      <c r="L72" s="357"/>
    </row>
    <row r="73" spans="2:12" x14ac:dyDescent="0.3">
      <c r="B73" s="487" t="s">
        <v>2184</v>
      </c>
      <c r="C73" s="488"/>
      <c r="D73" s="494">
        <f>4</f>
        <v>4</v>
      </c>
      <c r="F73" s="357"/>
      <c r="G73" s="357"/>
      <c r="K73" s="357"/>
      <c r="L73" s="357"/>
    </row>
    <row r="74" spans="2:12" x14ac:dyDescent="0.3">
      <c r="B74" s="487" t="s">
        <v>2183</v>
      </c>
      <c r="C74" s="488"/>
      <c r="D74" s="494">
        <f>4</f>
        <v>4</v>
      </c>
      <c r="F74" s="357"/>
      <c r="G74" s="357"/>
      <c r="H74" s="357"/>
      <c r="J74" s="357"/>
      <c r="K74" s="357"/>
      <c r="L74" s="357"/>
    </row>
    <row r="75" spans="2:12" x14ac:dyDescent="0.3">
      <c r="B75" s="487" t="s">
        <v>818</v>
      </c>
      <c r="C75" s="488"/>
      <c r="D75" s="494">
        <v>4</v>
      </c>
      <c r="F75" s="357"/>
      <c r="G75" s="357"/>
      <c r="H75" s="357"/>
      <c r="J75" s="357"/>
      <c r="K75" s="357"/>
      <c r="L75" s="357"/>
    </row>
    <row r="76" spans="2:12" x14ac:dyDescent="0.3">
      <c r="B76" s="487" t="s">
        <v>187</v>
      </c>
      <c r="C76" s="488"/>
      <c r="D76" s="494">
        <v>3</v>
      </c>
      <c r="F76" s="357"/>
      <c r="G76" s="357"/>
      <c r="H76" s="357"/>
      <c r="J76" s="357"/>
      <c r="K76" s="357"/>
      <c r="L76" s="357"/>
    </row>
    <row r="77" spans="2:12" x14ac:dyDescent="0.3">
      <c r="B77" s="689" t="s">
        <v>2146</v>
      </c>
      <c r="C77" s="690"/>
      <c r="D77" s="691">
        <f>2</f>
        <v>2</v>
      </c>
      <c r="F77" s="357"/>
      <c r="G77" s="357"/>
      <c r="H77" s="357"/>
      <c r="J77" s="357"/>
      <c r="K77" s="357"/>
      <c r="L77" s="357"/>
    </row>
    <row r="78" spans="2:12" x14ac:dyDescent="0.3">
      <c r="B78" s="689" t="s">
        <v>64</v>
      </c>
      <c r="C78" s="690"/>
      <c r="D78" s="691">
        <v>2</v>
      </c>
      <c r="F78" s="357"/>
      <c r="G78" s="357"/>
      <c r="H78" s="357"/>
      <c r="J78" s="357"/>
      <c r="K78" s="357"/>
      <c r="L78" s="357"/>
    </row>
    <row r="79" spans="2:12" ht="15" thickBot="1" x14ac:dyDescent="0.35">
      <c r="B79" s="490" t="s">
        <v>2814</v>
      </c>
      <c r="C79" s="491"/>
      <c r="D79" s="495">
        <v>1</v>
      </c>
      <c r="F79" s="357"/>
      <c r="G79" s="357"/>
      <c r="H79" s="357"/>
      <c r="J79" s="357"/>
      <c r="K79" s="357"/>
      <c r="L79" s="357"/>
    </row>
    <row r="80" spans="2:12" x14ac:dyDescent="0.3">
      <c r="B80" s="357"/>
      <c r="C80" s="357"/>
      <c r="D80" s="357"/>
      <c r="F80" s="357"/>
      <c r="G80" s="357"/>
      <c r="H80" s="357"/>
      <c r="J80" s="357"/>
      <c r="K80" s="357"/>
      <c r="L80" s="357"/>
    </row>
    <row r="81" spans="2:12" x14ac:dyDescent="0.3">
      <c r="B81" s="357"/>
      <c r="C81" s="357"/>
      <c r="D81" s="357"/>
      <c r="F81" s="357"/>
      <c r="G81" s="357"/>
      <c r="H81" s="357"/>
      <c r="J81" s="357"/>
      <c r="K81" s="357"/>
      <c r="L81" s="357"/>
    </row>
    <row r="82" spans="2:12" x14ac:dyDescent="0.3">
      <c r="B82" s="357"/>
      <c r="C82" s="357"/>
      <c r="D82" s="357"/>
      <c r="F82" s="357"/>
      <c r="G82" s="357"/>
      <c r="H82" s="357"/>
      <c r="J82" s="357"/>
      <c r="K82" s="357"/>
      <c r="L82" s="357"/>
    </row>
    <row r="83" spans="2:12" x14ac:dyDescent="0.3">
      <c r="B83" s="357"/>
      <c r="C83" s="357"/>
      <c r="D83" s="357"/>
      <c r="F83" s="357"/>
      <c r="G83" s="357"/>
      <c r="H83" s="357"/>
      <c r="J83" s="357"/>
      <c r="K83" s="357"/>
      <c r="L83" s="357"/>
    </row>
    <row r="84" spans="2:12" x14ac:dyDescent="0.3">
      <c r="B84" s="357"/>
      <c r="C84" s="357"/>
      <c r="D84" s="357"/>
      <c r="F84" s="357"/>
      <c r="G84" s="357"/>
      <c r="H84" s="357"/>
      <c r="J84" s="357"/>
      <c r="K84" s="357"/>
      <c r="L84" s="357"/>
    </row>
    <row r="85" spans="2:12" x14ac:dyDescent="0.3">
      <c r="B85" s="357"/>
      <c r="C85" s="357"/>
      <c r="D85" s="357"/>
      <c r="F85" s="357"/>
      <c r="G85" s="357"/>
      <c r="H85" s="357"/>
      <c r="J85" s="357"/>
      <c r="K85" s="357"/>
      <c r="L85" s="357"/>
    </row>
    <row r="86" spans="2:12" x14ac:dyDescent="0.3">
      <c r="B86" s="357"/>
      <c r="C86" s="357"/>
      <c r="D86" s="357"/>
      <c r="F86" s="357"/>
      <c r="G86" s="357"/>
      <c r="H86" s="357"/>
      <c r="J86" s="357"/>
      <c r="K86" s="357"/>
      <c r="L86" s="357"/>
    </row>
    <row r="87" spans="2:12" x14ac:dyDescent="0.3">
      <c r="B87" s="357"/>
      <c r="C87" s="357"/>
      <c r="D87" s="357"/>
      <c r="F87" s="357"/>
      <c r="G87" s="357"/>
      <c r="H87" s="357"/>
      <c r="J87" s="357"/>
      <c r="K87" s="357"/>
      <c r="L87" s="357"/>
    </row>
    <row r="88" spans="2:12" x14ac:dyDescent="0.3">
      <c r="B88" s="357"/>
      <c r="C88" s="357"/>
      <c r="D88" s="357"/>
      <c r="F88" s="357"/>
      <c r="G88" s="357"/>
      <c r="H88" s="357"/>
      <c r="J88" s="357"/>
      <c r="K88" s="357"/>
      <c r="L88" s="357"/>
    </row>
    <row r="89" spans="2:12" x14ac:dyDescent="0.3">
      <c r="B89" s="357"/>
      <c r="C89" s="357"/>
      <c r="D89" s="357"/>
      <c r="F89" s="357"/>
      <c r="G89" s="357"/>
      <c r="H89" s="357"/>
      <c r="J89" s="357"/>
      <c r="K89" s="357"/>
      <c r="L89" s="357"/>
    </row>
    <row r="90" spans="2:12" x14ac:dyDescent="0.3">
      <c r="B90" s="357"/>
      <c r="C90" s="357"/>
      <c r="D90" s="357"/>
      <c r="F90" s="357"/>
      <c r="G90" s="357"/>
      <c r="H90" s="483"/>
      <c r="J90" s="357"/>
      <c r="K90" s="357"/>
      <c r="L90" s="357"/>
    </row>
    <row r="91" spans="2:12" x14ac:dyDescent="0.3">
      <c r="B91" s="357"/>
      <c r="C91" s="357"/>
      <c r="D91" s="357"/>
      <c r="F91" s="357"/>
      <c r="G91" s="357"/>
      <c r="H91" s="357"/>
      <c r="J91" s="357"/>
      <c r="K91" s="357"/>
      <c r="L91" s="357"/>
    </row>
    <row r="92" spans="2:12" ht="15" thickBot="1" x14ac:dyDescent="0.35">
      <c r="B92" s="357"/>
      <c r="C92" s="357"/>
      <c r="D92" s="357"/>
      <c r="F92" s="357"/>
      <c r="G92" s="357"/>
      <c r="H92" s="357"/>
      <c r="J92" s="357"/>
      <c r="K92" s="357"/>
      <c r="L92" s="357"/>
    </row>
    <row r="93" spans="2:12" x14ac:dyDescent="0.3">
      <c r="B93" s="25" t="s">
        <v>184</v>
      </c>
      <c r="C93" s="21"/>
      <c r="D93" s="258" t="s">
        <v>2437</v>
      </c>
      <c r="F93" s="25" t="s">
        <v>183</v>
      </c>
      <c r="G93" s="21"/>
      <c r="H93" s="258" t="s">
        <v>2437</v>
      </c>
      <c r="J93" s="25" t="s">
        <v>14</v>
      </c>
      <c r="K93" s="21"/>
      <c r="L93" s="258" t="s">
        <v>2437</v>
      </c>
    </row>
    <row r="94" spans="2:12" x14ac:dyDescent="0.3">
      <c r="B94" s="487" t="s">
        <v>1075</v>
      </c>
      <c r="C94" s="488"/>
      <c r="D94" s="494">
        <f>0+1+1+1</f>
        <v>3</v>
      </c>
      <c r="F94" s="499" t="s">
        <v>100</v>
      </c>
      <c r="G94" s="485"/>
      <c r="H94" s="500" t="s">
        <v>986</v>
      </c>
      <c r="J94" s="484" t="s">
        <v>946</v>
      </c>
      <c r="K94" s="485"/>
      <c r="L94" s="493">
        <f>1+1+2</f>
        <v>4</v>
      </c>
    </row>
    <row r="95" spans="2:12" x14ac:dyDescent="0.3">
      <c r="B95" s="484" t="s">
        <v>48</v>
      </c>
      <c r="C95" s="485"/>
      <c r="D95" s="493">
        <v>2</v>
      </c>
      <c r="F95" s="487" t="s">
        <v>1660</v>
      </c>
      <c r="G95" s="488"/>
      <c r="H95" s="501" t="s">
        <v>2248</v>
      </c>
      <c r="J95" s="689" t="s">
        <v>2281</v>
      </c>
      <c r="K95" s="690"/>
      <c r="L95" s="691">
        <f>1+3</f>
        <v>4</v>
      </c>
    </row>
    <row r="96" spans="2:12" x14ac:dyDescent="0.3">
      <c r="B96" s="484" t="s">
        <v>2279</v>
      </c>
      <c r="C96" s="485"/>
      <c r="D96" s="493">
        <v>1</v>
      </c>
      <c r="F96" s="487" t="s">
        <v>946</v>
      </c>
      <c r="G96" s="488"/>
      <c r="H96" s="501" t="s">
        <v>770</v>
      </c>
      <c r="J96" s="689" t="s">
        <v>100</v>
      </c>
      <c r="K96" s="690"/>
      <c r="L96" s="692">
        <v>3</v>
      </c>
    </row>
    <row r="97" spans="2:12" ht="15" thickBot="1" x14ac:dyDescent="0.35">
      <c r="B97" s="487" t="s">
        <v>185</v>
      </c>
      <c r="C97" s="488"/>
      <c r="D97" s="494">
        <v>1</v>
      </c>
      <c r="F97" s="487" t="s">
        <v>2281</v>
      </c>
      <c r="G97" s="488"/>
      <c r="H97" s="501" t="s">
        <v>2529</v>
      </c>
      <c r="J97" s="490" t="s">
        <v>1660</v>
      </c>
      <c r="K97" s="491"/>
      <c r="L97" s="502">
        <v>1</v>
      </c>
    </row>
    <row r="98" spans="2:12" x14ac:dyDescent="0.3">
      <c r="B98" s="487" t="s">
        <v>673</v>
      </c>
      <c r="C98" s="488"/>
      <c r="D98" s="494">
        <v>1</v>
      </c>
      <c r="F98" s="487" t="s">
        <v>57</v>
      </c>
      <c r="G98" s="488"/>
      <c r="H98" s="501" t="s">
        <v>128</v>
      </c>
      <c r="J98" s="357"/>
      <c r="K98" s="357"/>
      <c r="L98" s="357"/>
    </row>
    <row r="99" spans="2:12" x14ac:dyDescent="0.3">
      <c r="B99" s="487" t="s">
        <v>1124</v>
      </c>
      <c r="C99" s="488"/>
      <c r="D99" s="494">
        <f>0+1</f>
        <v>1</v>
      </c>
      <c r="F99" s="689" t="s">
        <v>1597</v>
      </c>
      <c r="G99" s="690"/>
      <c r="H99" s="692" t="s">
        <v>2365</v>
      </c>
      <c r="J99" s="357"/>
      <c r="K99" s="357"/>
      <c r="L99" s="357"/>
    </row>
    <row r="100" spans="2:12" ht="15" thickBot="1" x14ac:dyDescent="0.35">
      <c r="B100" s="689" t="s">
        <v>47</v>
      </c>
      <c r="C100" s="690"/>
      <c r="D100" s="691">
        <v>1</v>
      </c>
      <c r="F100" s="490" t="s">
        <v>275</v>
      </c>
      <c r="G100" s="491"/>
      <c r="H100" s="502" t="s">
        <v>128</v>
      </c>
      <c r="J100" s="357"/>
      <c r="K100" s="357"/>
      <c r="L100" s="357"/>
    </row>
    <row r="101" spans="2:12" x14ac:dyDescent="0.3">
      <c r="B101" s="689" t="s">
        <v>1944</v>
      </c>
      <c r="C101" s="690"/>
      <c r="D101" s="691">
        <v>1</v>
      </c>
      <c r="F101" s="357"/>
      <c r="G101" s="357"/>
      <c r="H101" s="377"/>
      <c r="J101" s="357"/>
      <c r="K101" s="357"/>
      <c r="L101" s="357"/>
    </row>
    <row r="102" spans="2:12" x14ac:dyDescent="0.3">
      <c r="B102" s="689" t="s">
        <v>1379</v>
      </c>
      <c r="C102" s="690"/>
      <c r="D102" s="691">
        <f>1</f>
        <v>1</v>
      </c>
      <c r="F102" s="357"/>
      <c r="G102" s="357"/>
      <c r="H102" s="377"/>
      <c r="J102" s="357"/>
      <c r="K102" s="357"/>
      <c r="L102" s="357"/>
    </row>
    <row r="103" spans="2:12" x14ac:dyDescent="0.3">
      <c r="B103" s="689" t="s">
        <v>2444</v>
      </c>
      <c r="C103" s="690"/>
      <c r="D103" s="691">
        <v>1</v>
      </c>
      <c r="F103" s="357"/>
      <c r="G103" s="357"/>
      <c r="H103" s="377"/>
      <c r="J103" s="357"/>
      <c r="K103" s="357"/>
      <c r="L103" s="357"/>
    </row>
    <row r="104" spans="2:12" x14ac:dyDescent="0.3">
      <c r="B104" s="689" t="s">
        <v>1591</v>
      </c>
      <c r="C104" s="690"/>
      <c r="D104" s="691">
        <f>0+1</f>
        <v>1</v>
      </c>
      <c r="F104" s="357"/>
      <c r="G104" s="357"/>
      <c r="H104" s="377"/>
      <c r="J104" s="357"/>
      <c r="K104" s="357"/>
      <c r="L104" s="357"/>
    </row>
    <row r="105" spans="2:12" x14ac:dyDescent="0.3">
      <c r="B105" s="689" t="s">
        <v>50</v>
      </c>
      <c r="C105" s="690"/>
      <c r="D105" s="691">
        <v>1</v>
      </c>
      <c r="F105" s="357"/>
      <c r="G105" s="357"/>
      <c r="H105" s="377"/>
      <c r="J105" s="357"/>
      <c r="K105" s="357"/>
      <c r="L105" s="357"/>
    </row>
    <row r="106" spans="2:12" x14ac:dyDescent="0.3">
      <c r="B106" s="689" t="s">
        <v>2441</v>
      </c>
      <c r="C106" s="690"/>
      <c r="D106" s="691">
        <f>1</f>
        <v>1</v>
      </c>
      <c r="F106" s="357"/>
      <c r="G106" s="357"/>
      <c r="H106" s="377"/>
      <c r="J106" s="357"/>
      <c r="K106" s="357"/>
      <c r="L106" s="357"/>
    </row>
    <row r="107" spans="2:12" ht="15" thickBot="1" x14ac:dyDescent="0.35">
      <c r="B107" s="490" t="s">
        <v>1172</v>
      </c>
      <c r="C107" s="491"/>
      <c r="D107" s="495">
        <v>1</v>
      </c>
      <c r="F107" s="357"/>
      <c r="G107" s="357"/>
      <c r="H107" s="377"/>
      <c r="J107" s="357"/>
      <c r="K107" s="357"/>
      <c r="L107" s="357"/>
    </row>
    <row r="108" spans="2:12" x14ac:dyDescent="0.3">
      <c r="B108" s="357"/>
      <c r="C108" s="357"/>
      <c r="D108" s="357"/>
      <c r="F108" s="357"/>
      <c r="G108" s="357"/>
      <c r="H108" s="377"/>
      <c r="J108" s="357"/>
      <c r="K108" s="357"/>
      <c r="L108" s="357"/>
    </row>
    <row r="109" spans="2:12" ht="15" thickBot="1" x14ac:dyDescent="0.35">
      <c r="B109" s="357"/>
      <c r="C109" s="357"/>
      <c r="D109" s="357"/>
      <c r="F109" s="357"/>
      <c r="G109" s="357"/>
      <c r="H109" s="357"/>
      <c r="J109" s="357"/>
      <c r="K109" s="357"/>
      <c r="L109" s="357"/>
    </row>
    <row r="110" spans="2:12" x14ac:dyDescent="0.3">
      <c r="B110" s="25" t="s">
        <v>94</v>
      </c>
      <c r="C110" s="21"/>
      <c r="D110" s="258" t="s">
        <v>2437</v>
      </c>
      <c r="F110" s="25" t="s">
        <v>95</v>
      </c>
      <c r="G110" s="21"/>
      <c r="H110" s="258" t="s">
        <v>2437</v>
      </c>
      <c r="J110" s="25" t="s">
        <v>96</v>
      </c>
      <c r="K110" s="21"/>
      <c r="L110" s="258" t="s">
        <v>2437</v>
      </c>
    </row>
    <row r="111" spans="2:12" x14ac:dyDescent="0.3">
      <c r="B111" s="484" t="s">
        <v>185</v>
      </c>
      <c r="C111" s="485"/>
      <c r="D111" s="493">
        <f>192+37+45+13+13+16+50+7+45+1+38</f>
        <v>457</v>
      </c>
      <c r="F111" s="484" t="s">
        <v>50</v>
      </c>
      <c r="G111" s="485"/>
      <c r="H111" s="493">
        <f>81+16+13+11+9+12+17+2+23+1+11+20+27+14</f>
        <v>257</v>
      </c>
      <c r="J111" s="484" t="s">
        <v>185</v>
      </c>
      <c r="K111" s="485"/>
      <c r="L111" s="493">
        <f>120+21+20+7+9+9+37+3+33+27</f>
        <v>286</v>
      </c>
    </row>
    <row r="112" spans="2:12" x14ac:dyDescent="0.3">
      <c r="B112" s="487" t="s">
        <v>50</v>
      </c>
      <c r="C112" s="488"/>
      <c r="D112" s="494">
        <f>128+19+21+25+13+20+29+4+27+2+17+34+37+18</f>
        <v>394</v>
      </c>
      <c r="F112" s="487" t="s">
        <v>185</v>
      </c>
      <c r="G112" s="488"/>
      <c r="H112" s="494">
        <f>72+16+25+6+4+7+13+4+12+1+11</f>
        <v>171</v>
      </c>
      <c r="J112" s="487" t="s">
        <v>50</v>
      </c>
      <c r="K112" s="488"/>
      <c r="L112" s="494">
        <f>47+3+8+14+4+8+12+2+4+1+6+14+10+4</f>
        <v>137</v>
      </c>
    </row>
    <row r="113" spans="2:20" x14ac:dyDescent="0.3">
      <c r="B113" s="487" t="s">
        <v>1075</v>
      </c>
      <c r="C113" s="488"/>
      <c r="D113" s="494">
        <f>0+33+18+31+24+16+40+7+28+2+5</f>
        <v>204</v>
      </c>
      <c r="F113" s="487" t="s">
        <v>1075</v>
      </c>
      <c r="G113" s="488"/>
      <c r="H113" s="494">
        <f>0+18+11+19+16+7+25+1+13+3</f>
        <v>113</v>
      </c>
      <c r="J113" s="487" t="s">
        <v>1075</v>
      </c>
      <c r="K113" s="488"/>
      <c r="L113" s="494">
        <f>0+15+7+12+8+9+15+6+15+2+2</f>
        <v>91</v>
      </c>
    </row>
    <row r="114" spans="2:20" x14ac:dyDescent="0.3">
      <c r="B114" s="487" t="s">
        <v>1379</v>
      </c>
      <c r="C114" s="488"/>
      <c r="D114" s="494">
        <f>8+8+14+1+33+6+1+12+19+30+15</f>
        <v>147</v>
      </c>
      <c r="F114" s="487" t="s">
        <v>47</v>
      </c>
      <c r="G114" s="488"/>
      <c r="H114" s="494">
        <f>43+1+6+8+7+5+4+3</f>
        <v>77</v>
      </c>
      <c r="J114" s="487" t="s">
        <v>1379</v>
      </c>
      <c r="K114" s="488"/>
      <c r="L114" s="494">
        <f>3+4+6+1+15+3+6+10+18+10</f>
        <v>76</v>
      </c>
    </row>
    <row r="115" spans="2:20" x14ac:dyDescent="0.3">
      <c r="B115" s="487" t="s">
        <v>1124</v>
      </c>
      <c r="C115" s="488"/>
      <c r="D115" s="494">
        <f>16+21+12+8+34+20+13</f>
        <v>124</v>
      </c>
      <c r="F115" s="487" t="s">
        <v>1379</v>
      </c>
      <c r="G115" s="488"/>
      <c r="H115" s="494">
        <f>5+4+8+18+3+1+6+9+12+5</f>
        <v>71</v>
      </c>
      <c r="J115" s="487" t="s">
        <v>1124</v>
      </c>
      <c r="K115" s="488"/>
      <c r="L115" s="494">
        <f>11+15+9+4+19+6+6</f>
        <v>70</v>
      </c>
    </row>
    <row r="116" spans="2:20" x14ac:dyDescent="0.3">
      <c r="B116" s="487" t="s">
        <v>47</v>
      </c>
      <c r="C116" s="488"/>
      <c r="D116" s="494">
        <f>67+1+7+10+9+8+6+5</f>
        <v>113</v>
      </c>
      <c r="F116" s="487" t="s">
        <v>1459</v>
      </c>
      <c r="G116" s="488"/>
      <c r="H116" s="494">
        <f>12+7+7+10+2+5+17+6+4</f>
        <v>70</v>
      </c>
      <c r="J116" s="487" t="s">
        <v>53</v>
      </c>
      <c r="K116" s="488"/>
      <c r="L116" s="494">
        <f>22+3+2+1+1+4+7+3</f>
        <v>43</v>
      </c>
    </row>
    <row r="117" spans="2:20" x14ac:dyDescent="0.3">
      <c r="B117" s="487" t="s">
        <v>53</v>
      </c>
      <c r="C117" s="488"/>
      <c r="D117" s="494">
        <f>54+4+4+4+3+7+13+5+5</f>
        <v>99</v>
      </c>
      <c r="F117" s="487" t="s">
        <v>56</v>
      </c>
      <c r="G117" s="488"/>
      <c r="H117" s="494">
        <v>60</v>
      </c>
      <c r="J117" s="487" t="s">
        <v>2180</v>
      </c>
      <c r="K117" s="488"/>
      <c r="L117" s="494">
        <f>10+15+13+5</f>
        <v>43</v>
      </c>
      <c r="S117" s="358"/>
      <c r="T117" s="358"/>
    </row>
    <row r="118" spans="2:20" x14ac:dyDescent="0.3">
      <c r="B118" s="487" t="s">
        <v>1459</v>
      </c>
      <c r="C118" s="488"/>
      <c r="D118" s="494">
        <f>16+8+9+12+3+9+26+9+4</f>
        <v>96</v>
      </c>
      <c r="F118" s="487" t="s">
        <v>53</v>
      </c>
      <c r="G118" s="488"/>
      <c r="H118" s="494">
        <f>32+1+2+3+2+3+6+2+5</f>
        <v>56</v>
      </c>
      <c r="J118" s="487" t="s">
        <v>680</v>
      </c>
      <c r="K118" s="488"/>
      <c r="L118" s="494">
        <f>4+9+8+4+5+8+3+1</f>
        <v>42</v>
      </c>
      <c r="Q118" s="358"/>
      <c r="R118" s="358"/>
      <c r="S118" s="358"/>
      <c r="T118" s="358"/>
    </row>
    <row r="119" spans="2:20" x14ac:dyDescent="0.3">
      <c r="B119" s="487" t="s">
        <v>2180</v>
      </c>
      <c r="C119" s="488"/>
      <c r="D119" s="494">
        <f>22+23+22+12</f>
        <v>79</v>
      </c>
      <c r="F119" s="487" t="s">
        <v>1124</v>
      </c>
      <c r="G119" s="488"/>
      <c r="H119" s="494">
        <f>5+6+3+4+15+14+7</f>
        <v>54</v>
      </c>
      <c r="J119" s="487" t="s">
        <v>47</v>
      </c>
      <c r="K119" s="488"/>
      <c r="L119" s="494">
        <f>25+0+1+2+2+3+2+2</f>
        <v>37</v>
      </c>
      <c r="R119" s="358"/>
      <c r="S119" s="358"/>
      <c r="T119" s="358"/>
    </row>
    <row r="120" spans="2:20" x14ac:dyDescent="0.3">
      <c r="B120" s="487" t="s">
        <v>56</v>
      </c>
      <c r="C120" s="488"/>
      <c r="D120" s="494">
        <f>65+9</f>
        <v>74</v>
      </c>
      <c r="F120" s="487" t="s">
        <v>2444</v>
      </c>
      <c r="G120" s="488"/>
      <c r="H120" s="494">
        <f>23+16</f>
        <v>39</v>
      </c>
      <c r="J120" s="487" t="s">
        <v>2184</v>
      </c>
      <c r="K120" s="488"/>
      <c r="L120" s="494">
        <f>2+7+18+10</f>
        <v>37</v>
      </c>
      <c r="R120" s="358"/>
      <c r="S120" s="358"/>
      <c r="T120" s="358"/>
    </row>
    <row r="121" spans="2:20" x14ac:dyDescent="0.3">
      <c r="B121" s="487" t="s">
        <v>2184</v>
      </c>
      <c r="C121" s="488"/>
      <c r="D121" s="494">
        <f>2+23+26+18</f>
        <v>69</v>
      </c>
      <c r="F121" s="487" t="s">
        <v>1076</v>
      </c>
      <c r="G121" s="488"/>
      <c r="H121" s="494">
        <f>0+2+5+3+2+7+12+1+6</f>
        <v>38</v>
      </c>
      <c r="J121" s="487" t="s">
        <v>48</v>
      </c>
      <c r="K121" s="488"/>
      <c r="L121" s="494">
        <f>28+4</f>
        <v>32</v>
      </c>
      <c r="S121" s="358"/>
      <c r="T121" s="358"/>
    </row>
    <row r="122" spans="2:20" x14ac:dyDescent="0.3">
      <c r="B122" s="487" t="s">
        <v>1076</v>
      </c>
      <c r="C122" s="488"/>
      <c r="D122" s="494">
        <f>0+5+6+5+9+12+18+2+10</f>
        <v>67</v>
      </c>
      <c r="F122" s="487" t="s">
        <v>673</v>
      </c>
      <c r="G122" s="488"/>
      <c r="H122" s="494">
        <v>37</v>
      </c>
      <c r="J122" s="487" t="s">
        <v>675</v>
      </c>
      <c r="K122" s="488"/>
      <c r="L122" s="494">
        <v>30</v>
      </c>
      <c r="R122" s="358"/>
      <c r="S122" s="358"/>
      <c r="T122" s="358"/>
    </row>
    <row r="123" spans="2:20" x14ac:dyDescent="0.3">
      <c r="B123" s="487" t="s">
        <v>48</v>
      </c>
      <c r="C123" s="488"/>
      <c r="D123" s="494">
        <f>54+6</f>
        <v>60</v>
      </c>
      <c r="F123" s="487" t="s">
        <v>2148</v>
      </c>
      <c r="G123" s="488"/>
      <c r="H123" s="494">
        <f>9+5+16+6</f>
        <v>36</v>
      </c>
      <c r="J123" s="487" t="s">
        <v>1076</v>
      </c>
      <c r="K123" s="488"/>
      <c r="L123" s="494">
        <f>0+3+1+2+7+5+6+1+4</f>
        <v>29</v>
      </c>
      <c r="R123" s="358"/>
      <c r="S123" s="358"/>
      <c r="T123" s="358"/>
    </row>
    <row r="124" spans="2:20" x14ac:dyDescent="0.3">
      <c r="B124" s="487" t="s">
        <v>2148</v>
      </c>
      <c r="C124" s="488"/>
      <c r="D124" s="494">
        <f>1+14+10+21+13</f>
        <v>59</v>
      </c>
      <c r="F124" s="487" t="s">
        <v>2180</v>
      </c>
      <c r="G124" s="488"/>
      <c r="H124" s="494">
        <f>12+8+9+7</f>
        <v>36</v>
      </c>
      <c r="J124" s="487" t="s">
        <v>51</v>
      </c>
      <c r="K124" s="488"/>
      <c r="L124" s="494">
        <v>28</v>
      </c>
      <c r="S124" s="358"/>
      <c r="T124" s="358"/>
    </row>
    <row r="125" spans="2:20" x14ac:dyDescent="0.3">
      <c r="B125" s="487" t="s">
        <v>279</v>
      </c>
      <c r="C125" s="488"/>
      <c r="D125" s="494">
        <f>52+2</f>
        <v>54</v>
      </c>
      <c r="F125" s="487" t="s">
        <v>279</v>
      </c>
      <c r="G125" s="488"/>
      <c r="H125" s="494">
        <f>34+1</f>
        <v>35</v>
      </c>
      <c r="J125" s="487" t="s">
        <v>1459</v>
      </c>
      <c r="K125" s="488"/>
      <c r="L125" s="494">
        <f>4+1+2+2+1+4+9+3</f>
        <v>26</v>
      </c>
      <c r="R125" s="358"/>
      <c r="S125" s="358"/>
      <c r="T125" s="358"/>
    </row>
    <row r="126" spans="2:20" x14ac:dyDescent="0.3">
      <c r="B126" s="487" t="s">
        <v>680</v>
      </c>
      <c r="C126" s="488"/>
      <c r="D126" s="494">
        <f>4+12+12+7+5+8+4+1</f>
        <v>53</v>
      </c>
      <c r="F126" s="487" t="s">
        <v>1944</v>
      </c>
      <c r="G126" s="488"/>
      <c r="H126" s="494">
        <f>0+8+5+19+1</f>
        <v>33</v>
      </c>
      <c r="J126" s="487" t="s">
        <v>55</v>
      </c>
      <c r="K126" s="488"/>
      <c r="L126" s="494">
        <f>20+2+2+1</f>
        <v>25</v>
      </c>
      <c r="R126" s="358"/>
      <c r="S126" s="358"/>
      <c r="T126" s="358"/>
    </row>
    <row r="127" spans="2:20" x14ac:dyDescent="0.3">
      <c r="B127" s="487" t="s">
        <v>675</v>
      </c>
      <c r="C127" s="488"/>
      <c r="D127" s="494">
        <v>52</v>
      </c>
      <c r="F127" s="487" t="s">
        <v>181</v>
      </c>
      <c r="G127" s="488"/>
      <c r="H127" s="494">
        <v>32</v>
      </c>
      <c r="J127" s="487" t="s">
        <v>530</v>
      </c>
      <c r="K127" s="488"/>
      <c r="L127" s="494">
        <f>16+5+2</f>
        <v>23</v>
      </c>
      <c r="R127" s="358"/>
      <c r="S127" s="358"/>
      <c r="T127" s="358"/>
    </row>
    <row r="128" spans="2:20" x14ac:dyDescent="0.3">
      <c r="B128" s="487" t="s">
        <v>2444</v>
      </c>
      <c r="C128" s="488"/>
      <c r="D128" s="494">
        <f>30+21</f>
        <v>51</v>
      </c>
      <c r="F128" s="487" t="s">
        <v>2184</v>
      </c>
      <c r="G128" s="488"/>
      <c r="H128" s="494">
        <f>16+8+8</f>
        <v>32</v>
      </c>
      <c r="J128" s="487" t="s">
        <v>2148</v>
      </c>
      <c r="K128" s="488"/>
      <c r="L128" s="494">
        <f>1+5+5+5+7</f>
        <v>23</v>
      </c>
      <c r="Q128" s="358"/>
      <c r="R128" s="358"/>
      <c r="S128" s="358"/>
      <c r="T128" s="358"/>
    </row>
    <row r="129" spans="2:20" x14ac:dyDescent="0.3">
      <c r="B129" s="487" t="s">
        <v>55</v>
      </c>
      <c r="C129" s="488"/>
      <c r="D129" s="494">
        <f>43+3+3+1</f>
        <v>50</v>
      </c>
      <c r="F129" s="487" t="s">
        <v>1077</v>
      </c>
      <c r="G129" s="488"/>
      <c r="H129" s="494">
        <f>0+10+6+10+2+1</f>
        <v>29</v>
      </c>
      <c r="J129" s="487" t="s">
        <v>2443</v>
      </c>
      <c r="K129" s="488"/>
      <c r="L129" s="494">
        <f>11+11</f>
        <v>22</v>
      </c>
      <c r="S129" s="358"/>
      <c r="T129" s="358"/>
    </row>
    <row r="130" spans="2:20" x14ac:dyDescent="0.3">
      <c r="B130" s="487" t="s">
        <v>51</v>
      </c>
      <c r="C130" s="488"/>
      <c r="D130" s="494">
        <v>48</v>
      </c>
      <c r="F130" s="487" t="s">
        <v>48</v>
      </c>
      <c r="G130" s="488"/>
      <c r="H130" s="494">
        <f>26+2</f>
        <v>28</v>
      </c>
      <c r="J130" s="487" t="s">
        <v>279</v>
      </c>
      <c r="K130" s="488"/>
      <c r="L130" s="494">
        <f>18+1</f>
        <v>19</v>
      </c>
      <c r="S130" s="358"/>
      <c r="T130" s="358"/>
    </row>
    <row r="131" spans="2:20" x14ac:dyDescent="0.3">
      <c r="B131" s="487" t="s">
        <v>181</v>
      </c>
      <c r="C131" s="488"/>
      <c r="D131" s="494">
        <v>47</v>
      </c>
      <c r="F131" s="487" t="s">
        <v>1591</v>
      </c>
      <c r="G131" s="488"/>
      <c r="H131" s="494">
        <f>3+7+7+7+2+1</f>
        <v>27</v>
      </c>
      <c r="J131" s="487" t="s">
        <v>278</v>
      </c>
      <c r="K131" s="488"/>
      <c r="L131" s="494">
        <v>18</v>
      </c>
      <c r="R131" s="358"/>
      <c r="S131" s="358"/>
      <c r="T131" s="358"/>
    </row>
    <row r="132" spans="2:20" x14ac:dyDescent="0.3">
      <c r="B132" s="487" t="s">
        <v>1944</v>
      </c>
      <c r="C132" s="488"/>
      <c r="D132" s="494">
        <f>12+5+26+3</f>
        <v>46</v>
      </c>
      <c r="F132" s="487" t="s">
        <v>55</v>
      </c>
      <c r="G132" s="488"/>
      <c r="H132" s="494">
        <f>23+1+1</f>
        <v>25</v>
      </c>
      <c r="J132" s="487" t="s">
        <v>1591</v>
      </c>
      <c r="K132" s="488"/>
      <c r="L132" s="494">
        <f>3+3+3+2+1+5+1</f>
        <v>18</v>
      </c>
      <c r="S132" s="358"/>
      <c r="T132" s="358"/>
    </row>
    <row r="133" spans="2:20" x14ac:dyDescent="0.3">
      <c r="B133" s="487" t="s">
        <v>673</v>
      </c>
      <c r="C133" s="488"/>
      <c r="D133" s="494">
        <v>46</v>
      </c>
      <c r="F133" s="487" t="s">
        <v>942</v>
      </c>
      <c r="G133" s="488"/>
      <c r="H133" s="494">
        <f>8+9+1+2+2+2</f>
        <v>24</v>
      </c>
      <c r="J133" s="487" t="s">
        <v>2280</v>
      </c>
      <c r="K133" s="488"/>
      <c r="L133" s="494">
        <f>10+5+3</f>
        <v>18</v>
      </c>
      <c r="S133" s="358"/>
      <c r="T133" s="358"/>
    </row>
    <row r="134" spans="2:20" x14ac:dyDescent="0.3">
      <c r="B134" s="487" t="s">
        <v>1591</v>
      </c>
      <c r="C134" s="488"/>
      <c r="D134" s="494">
        <f>6+10+10+2+8+7+2</f>
        <v>45</v>
      </c>
      <c r="F134" s="487" t="s">
        <v>675</v>
      </c>
      <c r="G134" s="488"/>
      <c r="H134" s="494">
        <v>22</v>
      </c>
      <c r="J134" s="487" t="s">
        <v>2149</v>
      </c>
      <c r="K134" s="488"/>
      <c r="L134" s="494">
        <f>1+10+5+1</f>
        <v>17</v>
      </c>
      <c r="S134" s="358"/>
      <c r="T134" s="358"/>
    </row>
    <row r="135" spans="2:20" x14ac:dyDescent="0.3">
      <c r="B135" s="487" t="s">
        <v>1077</v>
      </c>
      <c r="C135" s="488"/>
      <c r="D135" s="494">
        <f>0+14+10+13+3+1</f>
        <v>41</v>
      </c>
      <c r="F135" s="487" t="s">
        <v>51</v>
      </c>
      <c r="G135" s="488"/>
      <c r="H135" s="494">
        <v>20</v>
      </c>
      <c r="J135" s="487" t="s">
        <v>942</v>
      </c>
      <c r="K135" s="488"/>
      <c r="L135" s="494">
        <f>2+3+3+4+2+2</f>
        <v>16</v>
      </c>
      <c r="R135" s="358"/>
      <c r="S135" s="358"/>
      <c r="T135" s="358"/>
    </row>
    <row r="136" spans="2:20" x14ac:dyDescent="0.3">
      <c r="B136" s="487" t="s">
        <v>942</v>
      </c>
      <c r="C136" s="488"/>
      <c r="D136" s="494">
        <f>10+12+4+6+4+4</f>
        <v>40</v>
      </c>
      <c r="F136" s="487" t="s">
        <v>677</v>
      </c>
      <c r="G136" s="488"/>
      <c r="H136" s="494">
        <v>17</v>
      </c>
      <c r="J136" s="487" t="s">
        <v>54</v>
      </c>
      <c r="K136" s="488"/>
      <c r="L136" s="494">
        <f>15+0+1</f>
        <v>16</v>
      </c>
    </row>
    <row r="137" spans="2:20" x14ac:dyDescent="0.3">
      <c r="B137" s="487" t="s">
        <v>278</v>
      </c>
      <c r="C137" s="488"/>
      <c r="D137" s="494">
        <v>34</v>
      </c>
      <c r="F137" s="487" t="s">
        <v>278</v>
      </c>
      <c r="G137" s="488"/>
      <c r="H137" s="494">
        <v>16</v>
      </c>
      <c r="J137" s="487" t="s">
        <v>182</v>
      </c>
      <c r="K137" s="488"/>
      <c r="L137" s="494">
        <v>15</v>
      </c>
    </row>
    <row r="138" spans="2:20" x14ac:dyDescent="0.3">
      <c r="B138" s="487" t="s">
        <v>530</v>
      </c>
      <c r="C138" s="488"/>
      <c r="D138" s="494">
        <f>23+7+4</f>
        <v>34</v>
      </c>
      <c r="F138" s="487" t="s">
        <v>54</v>
      </c>
      <c r="G138" s="488"/>
      <c r="H138" s="494">
        <f>13+0</f>
        <v>13</v>
      </c>
      <c r="J138" s="487" t="s">
        <v>181</v>
      </c>
      <c r="K138" s="488"/>
      <c r="L138" s="494">
        <v>15</v>
      </c>
    </row>
    <row r="139" spans="2:20" x14ac:dyDescent="0.3">
      <c r="B139" s="487" t="s">
        <v>2443</v>
      </c>
      <c r="C139" s="488"/>
      <c r="D139" s="494">
        <f>18+14</f>
        <v>32</v>
      </c>
      <c r="F139" s="487" t="s">
        <v>2800</v>
      </c>
      <c r="G139" s="488"/>
      <c r="H139" s="494">
        <f>0+13</f>
        <v>13</v>
      </c>
      <c r="J139" s="487" t="s">
        <v>59</v>
      </c>
      <c r="K139" s="488"/>
      <c r="L139" s="494">
        <f>11+2+1</f>
        <v>14</v>
      </c>
    </row>
    <row r="140" spans="2:20" x14ac:dyDescent="0.3">
      <c r="B140" s="487" t="s">
        <v>677</v>
      </c>
      <c r="C140" s="488"/>
      <c r="D140" s="494">
        <v>30</v>
      </c>
      <c r="F140" s="487" t="s">
        <v>58</v>
      </c>
      <c r="G140" s="488"/>
      <c r="H140" s="494">
        <v>12</v>
      </c>
      <c r="J140" s="487" t="s">
        <v>56</v>
      </c>
      <c r="K140" s="488"/>
      <c r="L140" s="494">
        <v>14</v>
      </c>
    </row>
    <row r="141" spans="2:20" x14ac:dyDescent="0.3">
      <c r="B141" s="487" t="s">
        <v>54</v>
      </c>
      <c r="C141" s="488"/>
      <c r="D141" s="494">
        <f>28+1</f>
        <v>29</v>
      </c>
      <c r="F141" s="487" t="s">
        <v>2149</v>
      </c>
      <c r="G141" s="488"/>
      <c r="H141" s="494">
        <f>3+6+3</f>
        <v>12</v>
      </c>
      <c r="J141" s="487" t="s">
        <v>677</v>
      </c>
      <c r="K141" s="488"/>
      <c r="L141" s="494">
        <v>13</v>
      </c>
    </row>
    <row r="142" spans="2:20" x14ac:dyDescent="0.3">
      <c r="B142" s="487" t="s">
        <v>2149</v>
      </c>
      <c r="C142" s="488"/>
      <c r="D142" s="494">
        <f>1+13+11+4</f>
        <v>29</v>
      </c>
      <c r="F142" s="487" t="s">
        <v>182</v>
      </c>
      <c r="G142" s="488"/>
      <c r="H142" s="494">
        <v>11</v>
      </c>
      <c r="J142" s="487" t="s">
        <v>1944</v>
      </c>
      <c r="K142" s="488"/>
      <c r="L142" s="494">
        <f>0+4+7+2</f>
        <v>13</v>
      </c>
    </row>
    <row r="143" spans="2:20" x14ac:dyDescent="0.3">
      <c r="B143" s="487" t="s">
        <v>182</v>
      </c>
      <c r="C143" s="488"/>
      <c r="D143" s="494">
        <v>26</v>
      </c>
      <c r="F143" s="487" t="s">
        <v>60</v>
      </c>
      <c r="G143" s="488"/>
      <c r="H143" s="494">
        <v>11</v>
      </c>
      <c r="J143" s="487" t="s">
        <v>2283</v>
      </c>
      <c r="K143" s="488"/>
      <c r="L143" s="494">
        <f>4+9</f>
        <v>13</v>
      </c>
    </row>
    <row r="144" spans="2:20" x14ac:dyDescent="0.3">
      <c r="B144" s="487" t="s">
        <v>2280</v>
      </c>
      <c r="C144" s="488"/>
      <c r="D144" s="494">
        <f>11+6+4</f>
        <v>21</v>
      </c>
      <c r="F144" s="487" t="s">
        <v>2279</v>
      </c>
      <c r="G144" s="488"/>
      <c r="H144" s="494">
        <f>11</f>
        <v>11</v>
      </c>
      <c r="J144" s="487" t="s">
        <v>1077</v>
      </c>
      <c r="K144" s="488"/>
      <c r="L144" s="494">
        <f>0+4+4+3+1</f>
        <v>12</v>
      </c>
    </row>
    <row r="145" spans="2:12" x14ac:dyDescent="0.3">
      <c r="B145" s="487" t="s">
        <v>2283</v>
      </c>
      <c r="C145" s="488"/>
      <c r="D145" s="494">
        <f>1+9+11</f>
        <v>21</v>
      </c>
      <c r="F145" s="487" t="s">
        <v>52</v>
      </c>
      <c r="G145" s="488"/>
      <c r="H145" s="494">
        <v>11</v>
      </c>
      <c r="J145" s="487" t="s">
        <v>2444</v>
      </c>
      <c r="K145" s="488"/>
      <c r="L145" s="494">
        <f>7+5</f>
        <v>12</v>
      </c>
    </row>
    <row r="146" spans="2:12" x14ac:dyDescent="0.3">
      <c r="B146" s="487" t="s">
        <v>60</v>
      </c>
      <c r="C146" s="488"/>
      <c r="D146" s="494">
        <v>21</v>
      </c>
      <c r="F146" s="487" t="s">
        <v>530</v>
      </c>
      <c r="G146" s="488"/>
      <c r="H146" s="494">
        <f>7+2+2</f>
        <v>11</v>
      </c>
      <c r="J146" s="487" t="s">
        <v>1172</v>
      </c>
      <c r="K146" s="488"/>
      <c r="L146" s="494">
        <f>0+5+6</f>
        <v>11</v>
      </c>
    </row>
    <row r="147" spans="2:12" x14ac:dyDescent="0.3">
      <c r="B147" s="487" t="s">
        <v>52</v>
      </c>
      <c r="C147" s="488"/>
      <c r="D147" s="494">
        <v>20</v>
      </c>
      <c r="F147" s="487" t="s">
        <v>680</v>
      </c>
      <c r="G147" s="488"/>
      <c r="H147" s="494">
        <f>0+3+4+3+1</f>
        <v>11</v>
      </c>
      <c r="J147" s="487" t="s">
        <v>60</v>
      </c>
      <c r="K147" s="488"/>
      <c r="L147" s="494">
        <v>10</v>
      </c>
    </row>
    <row r="148" spans="2:12" x14ac:dyDescent="0.3">
      <c r="B148" s="487" t="s">
        <v>58</v>
      </c>
      <c r="C148" s="488"/>
      <c r="D148" s="494">
        <v>19</v>
      </c>
      <c r="F148" s="487" t="s">
        <v>2282</v>
      </c>
      <c r="G148" s="488"/>
      <c r="H148" s="494">
        <f>4+5+1</f>
        <v>10</v>
      </c>
      <c r="J148" s="487" t="s">
        <v>1164</v>
      </c>
      <c r="K148" s="488"/>
      <c r="L148" s="494">
        <f>3+5+2</f>
        <v>10</v>
      </c>
    </row>
    <row r="149" spans="2:12" x14ac:dyDescent="0.3">
      <c r="B149" s="487" t="s">
        <v>2279</v>
      </c>
      <c r="C149" s="488"/>
      <c r="D149" s="494">
        <f>18</f>
        <v>18</v>
      </c>
      <c r="F149" s="487" t="s">
        <v>2443</v>
      </c>
      <c r="G149" s="488"/>
      <c r="H149" s="494">
        <f>7+3</f>
        <v>10</v>
      </c>
      <c r="J149" s="487" t="s">
        <v>52</v>
      </c>
      <c r="K149" s="488"/>
      <c r="L149" s="494">
        <v>9</v>
      </c>
    </row>
    <row r="150" spans="2:12" x14ac:dyDescent="0.3">
      <c r="B150" s="487" t="s">
        <v>59</v>
      </c>
      <c r="C150" s="488"/>
      <c r="D150" s="494">
        <f>13+3+1</f>
        <v>17</v>
      </c>
      <c r="F150" s="487" t="s">
        <v>2283</v>
      </c>
      <c r="G150" s="488"/>
      <c r="H150" s="494">
        <f>1+5+2</f>
        <v>8</v>
      </c>
      <c r="J150" s="487" t="s">
        <v>673</v>
      </c>
      <c r="K150" s="488"/>
      <c r="L150" s="494">
        <v>9</v>
      </c>
    </row>
    <row r="151" spans="2:12" x14ac:dyDescent="0.3">
      <c r="B151" s="487" t="s">
        <v>1164</v>
      </c>
      <c r="C151" s="488"/>
      <c r="D151" s="494">
        <f>7+5+5</f>
        <v>17</v>
      </c>
      <c r="F151" s="487" t="s">
        <v>1164</v>
      </c>
      <c r="G151" s="488"/>
      <c r="H151" s="494">
        <f>4+3</f>
        <v>7</v>
      </c>
      <c r="J151" s="487" t="s">
        <v>2281</v>
      </c>
      <c r="K151" s="488"/>
      <c r="L151" s="494">
        <f>7+2</f>
        <v>9</v>
      </c>
    </row>
    <row r="152" spans="2:12" x14ac:dyDescent="0.3">
      <c r="B152" s="487" t="s">
        <v>1172</v>
      </c>
      <c r="C152" s="488"/>
      <c r="D152" s="494">
        <f>9+7</f>
        <v>16</v>
      </c>
      <c r="F152" s="487" t="s">
        <v>2812</v>
      </c>
      <c r="G152" s="488"/>
      <c r="H152" s="494">
        <f>0+5</f>
        <v>5</v>
      </c>
      <c r="J152" s="487" t="s">
        <v>58</v>
      </c>
      <c r="K152" s="488"/>
      <c r="L152" s="494">
        <v>7</v>
      </c>
    </row>
    <row r="153" spans="2:12" x14ac:dyDescent="0.3">
      <c r="B153" s="487" t="s">
        <v>2800</v>
      </c>
      <c r="C153" s="488"/>
      <c r="D153" s="494">
        <f>0+15</f>
        <v>15</v>
      </c>
      <c r="F153" s="487" t="s">
        <v>1172</v>
      </c>
      <c r="G153" s="488"/>
      <c r="H153" s="494">
        <f>0+4+1</f>
        <v>5</v>
      </c>
      <c r="J153" s="487" t="s">
        <v>2279</v>
      </c>
      <c r="K153" s="488"/>
      <c r="L153" s="494">
        <f>7</f>
        <v>7</v>
      </c>
    </row>
    <row r="154" spans="2:12" x14ac:dyDescent="0.3">
      <c r="B154" s="487" t="s">
        <v>2282</v>
      </c>
      <c r="C154" s="488"/>
      <c r="D154" s="494">
        <f>5+8+2</f>
        <v>15</v>
      </c>
      <c r="F154" s="487" t="s">
        <v>945</v>
      </c>
      <c r="G154" s="488"/>
      <c r="H154" s="494">
        <v>5</v>
      </c>
      <c r="J154" s="487" t="s">
        <v>49</v>
      </c>
      <c r="K154" s="488"/>
      <c r="L154" s="494">
        <v>6</v>
      </c>
    </row>
    <row r="155" spans="2:12" x14ac:dyDescent="0.3">
      <c r="B155" s="487" t="s">
        <v>2281</v>
      </c>
      <c r="C155" s="488"/>
      <c r="D155" s="494">
        <f>9+2</f>
        <v>11</v>
      </c>
      <c r="F155" s="487" t="s">
        <v>1659</v>
      </c>
      <c r="G155" s="488"/>
      <c r="H155" s="494">
        <f>5</f>
        <v>5</v>
      </c>
      <c r="J155" s="487" t="s">
        <v>2801</v>
      </c>
      <c r="K155" s="488"/>
      <c r="L155" s="494">
        <v>5</v>
      </c>
    </row>
    <row r="156" spans="2:12" x14ac:dyDescent="0.3">
      <c r="B156" s="487" t="s">
        <v>49</v>
      </c>
      <c r="C156" s="488"/>
      <c r="D156" s="494">
        <v>10</v>
      </c>
      <c r="F156" s="487" t="s">
        <v>2441</v>
      </c>
      <c r="G156" s="488"/>
      <c r="H156" s="494">
        <f>4</f>
        <v>4</v>
      </c>
      <c r="J156" s="487" t="s">
        <v>61</v>
      </c>
      <c r="K156" s="488"/>
      <c r="L156" s="494">
        <v>5</v>
      </c>
    </row>
    <row r="157" spans="2:12" x14ac:dyDescent="0.3">
      <c r="B157" s="487" t="s">
        <v>1659</v>
      </c>
      <c r="C157" s="488"/>
      <c r="D157" s="494">
        <f>0+9</f>
        <v>9</v>
      </c>
      <c r="F157" s="487" t="s">
        <v>949</v>
      </c>
      <c r="G157" s="488"/>
      <c r="H157" s="494">
        <f>4+0</f>
        <v>4</v>
      </c>
      <c r="J157" s="487" t="s">
        <v>2282</v>
      </c>
      <c r="K157" s="488"/>
      <c r="L157" s="494">
        <f>1+3+1</f>
        <v>5</v>
      </c>
    </row>
    <row r="158" spans="2:12" x14ac:dyDescent="0.3">
      <c r="B158" s="487" t="s">
        <v>945</v>
      </c>
      <c r="C158" s="488"/>
      <c r="D158" s="494">
        <v>8</v>
      </c>
      <c r="F158" s="487" t="s">
        <v>49</v>
      </c>
      <c r="G158" s="488"/>
      <c r="H158" s="494">
        <v>4</v>
      </c>
      <c r="J158" s="487" t="s">
        <v>1659</v>
      </c>
      <c r="K158" s="488"/>
      <c r="L158" s="494">
        <f>4</f>
        <v>4</v>
      </c>
    </row>
    <row r="159" spans="2:12" x14ac:dyDescent="0.3">
      <c r="B159" s="487" t="s">
        <v>2801</v>
      </c>
      <c r="C159" s="488"/>
      <c r="D159" s="494">
        <v>7</v>
      </c>
      <c r="F159" s="487" t="s">
        <v>2182</v>
      </c>
      <c r="G159" s="488"/>
      <c r="H159" s="494">
        <v>4</v>
      </c>
      <c r="J159" s="487" t="s">
        <v>186</v>
      </c>
      <c r="K159" s="488"/>
      <c r="L159" s="494">
        <v>4</v>
      </c>
    </row>
    <row r="160" spans="2:12" x14ac:dyDescent="0.3">
      <c r="B160" s="487" t="s">
        <v>2441</v>
      </c>
      <c r="C160" s="488"/>
      <c r="D160" s="494">
        <v>7</v>
      </c>
      <c r="F160" s="487" t="s">
        <v>2181</v>
      </c>
      <c r="G160" s="488"/>
      <c r="H160" s="494">
        <f>3+1</f>
        <v>4</v>
      </c>
      <c r="J160" s="487" t="s">
        <v>57</v>
      </c>
      <c r="K160" s="488"/>
      <c r="L160" s="494">
        <v>4</v>
      </c>
    </row>
    <row r="161" spans="2:12" x14ac:dyDescent="0.3">
      <c r="B161" s="487" t="s">
        <v>2812</v>
      </c>
      <c r="C161" s="488"/>
      <c r="D161" s="494">
        <f>0+7</f>
        <v>7</v>
      </c>
      <c r="F161" s="487" t="s">
        <v>2280</v>
      </c>
      <c r="G161" s="488"/>
      <c r="H161" s="494">
        <f>1+1+1</f>
        <v>3</v>
      </c>
      <c r="J161" s="487" t="s">
        <v>2441</v>
      </c>
      <c r="K161" s="488"/>
      <c r="L161" s="494">
        <f>3</f>
        <v>3</v>
      </c>
    </row>
    <row r="162" spans="2:12" x14ac:dyDescent="0.3">
      <c r="B162" s="487" t="s">
        <v>2181</v>
      </c>
      <c r="C162" s="488"/>
      <c r="D162" s="494">
        <f>6+1</f>
        <v>7</v>
      </c>
      <c r="F162" s="487" t="s">
        <v>2813</v>
      </c>
      <c r="G162" s="488"/>
      <c r="H162" s="494">
        <v>3</v>
      </c>
      <c r="J162" s="487" t="s">
        <v>2041</v>
      </c>
      <c r="K162" s="488"/>
      <c r="L162" s="494">
        <f>0+1+2</f>
        <v>3</v>
      </c>
    </row>
    <row r="163" spans="2:12" x14ac:dyDescent="0.3">
      <c r="B163" s="487" t="s">
        <v>2041</v>
      </c>
      <c r="C163" s="488"/>
      <c r="D163" s="494">
        <f>0+4+2</f>
        <v>6</v>
      </c>
      <c r="F163" s="487" t="s">
        <v>2041</v>
      </c>
      <c r="G163" s="488"/>
      <c r="H163" s="494">
        <f>0+3</f>
        <v>3</v>
      </c>
      <c r="J163" s="487" t="s">
        <v>945</v>
      </c>
      <c r="K163" s="488"/>
      <c r="L163" s="494">
        <v>3</v>
      </c>
    </row>
    <row r="164" spans="2:12" x14ac:dyDescent="0.3">
      <c r="B164" s="487" t="s">
        <v>949</v>
      </c>
      <c r="C164" s="488"/>
      <c r="D164" s="494">
        <v>6</v>
      </c>
      <c r="F164" s="487" t="s">
        <v>62</v>
      </c>
      <c r="G164" s="488"/>
      <c r="H164" s="494">
        <v>3</v>
      </c>
      <c r="J164" s="487" t="s">
        <v>2181</v>
      </c>
      <c r="K164" s="488"/>
      <c r="L164" s="494">
        <f>3</f>
        <v>3</v>
      </c>
    </row>
    <row r="165" spans="2:12" x14ac:dyDescent="0.3">
      <c r="B165" s="487" t="s">
        <v>61</v>
      </c>
      <c r="C165" s="488"/>
      <c r="D165" s="494">
        <v>6</v>
      </c>
      <c r="F165" s="487" t="s">
        <v>59</v>
      </c>
      <c r="G165" s="488"/>
      <c r="H165" s="494">
        <f>2+1</f>
        <v>3</v>
      </c>
      <c r="J165" s="487" t="s">
        <v>2813</v>
      </c>
      <c r="K165" s="488"/>
      <c r="L165" s="494">
        <v>3</v>
      </c>
    </row>
    <row r="166" spans="2:12" x14ac:dyDescent="0.3">
      <c r="B166" s="487" t="s">
        <v>186</v>
      </c>
      <c r="C166" s="488"/>
      <c r="D166" s="494">
        <v>6</v>
      </c>
      <c r="F166" s="487" t="s">
        <v>186</v>
      </c>
      <c r="G166" s="488"/>
      <c r="H166" s="494">
        <v>2</v>
      </c>
      <c r="J166" s="487" t="s">
        <v>2800</v>
      </c>
      <c r="K166" s="488"/>
      <c r="L166" s="494">
        <f>0+2</f>
        <v>2</v>
      </c>
    </row>
    <row r="167" spans="2:12" x14ac:dyDescent="0.3">
      <c r="B167" s="487" t="s">
        <v>57</v>
      </c>
      <c r="C167" s="488"/>
      <c r="D167" s="494">
        <v>6</v>
      </c>
      <c r="F167" s="487" t="s">
        <v>57</v>
      </c>
      <c r="G167" s="488"/>
      <c r="H167" s="494">
        <v>2</v>
      </c>
      <c r="J167" s="487" t="s">
        <v>2812</v>
      </c>
      <c r="K167" s="488"/>
      <c r="L167" s="494">
        <f>0+2</f>
        <v>2</v>
      </c>
    </row>
    <row r="168" spans="2:12" x14ac:dyDescent="0.3">
      <c r="B168" s="487" t="s">
        <v>62</v>
      </c>
      <c r="C168" s="488"/>
      <c r="D168" s="494">
        <v>5</v>
      </c>
      <c r="F168" s="487" t="s">
        <v>2146</v>
      </c>
      <c r="G168" s="488"/>
      <c r="H168" s="494">
        <v>2</v>
      </c>
      <c r="J168" s="487" t="s">
        <v>949</v>
      </c>
      <c r="K168" s="488"/>
      <c r="L168" s="494">
        <f>2+0</f>
        <v>2</v>
      </c>
    </row>
    <row r="169" spans="2:12" x14ac:dyDescent="0.3">
      <c r="B169" s="487" t="s">
        <v>2182</v>
      </c>
      <c r="C169" s="488"/>
      <c r="D169" s="494">
        <f>4</f>
        <v>4</v>
      </c>
      <c r="F169" s="487" t="s">
        <v>2183</v>
      </c>
      <c r="G169" s="488"/>
      <c r="H169" s="494">
        <v>2</v>
      </c>
      <c r="J169" s="487" t="s">
        <v>63</v>
      </c>
      <c r="K169" s="488"/>
      <c r="L169" s="494">
        <v>2</v>
      </c>
    </row>
    <row r="170" spans="2:12" x14ac:dyDescent="0.3">
      <c r="B170" s="487" t="s">
        <v>2813</v>
      </c>
      <c r="C170" s="488"/>
      <c r="D170" s="494">
        <v>3</v>
      </c>
      <c r="F170" s="487" t="s">
        <v>2281</v>
      </c>
      <c r="G170" s="488"/>
      <c r="H170" s="494">
        <f>2</f>
        <v>2</v>
      </c>
      <c r="J170" s="487" t="s">
        <v>62</v>
      </c>
      <c r="K170" s="488"/>
      <c r="L170" s="494">
        <v>2</v>
      </c>
    </row>
    <row r="171" spans="2:12" x14ac:dyDescent="0.3">
      <c r="B171" s="487" t="s">
        <v>2146</v>
      </c>
      <c r="C171" s="488"/>
      <c r="D171" s="494">
        <v>3</v>
      </c>
      <c r="F171" s="487" t="s">
        <v>2801</v>
      </c>
      <c r="G171" s="488"/>
      <c r="H171" s="494">
        <v>2</v>
      </c>
      <c r="J171" s="487" t="s">
        <v>946</v>
      </c>
      <c r="K171" s="488"/>
      <c r="L171" s="494">
        <v>2</v>
      </c>
    </row>
    <row r="172" spans="2:12" x14ac:dyDescent="0.3">
      <c r="B172" s="487" t="s">
        <v>63</v>
      </c>
      <c r="C172" s="488"/>
      <c r="D172" s="494">
        <v>3</v>
      </c>
      <c r="F172" s="487" t="s">
        <v>2042</v>
      </c>
      <c r="G172" s="488"/>
      <c r="H172" s="494">
        <f>0+1</f>
        <v>1</v>
      </c>
      <c r="J172" s="487" t="s">
        <v>2146</v>
      </c>
      <c r="K172" s="488"/>
      <c r="L172" s="494">
        <v>1</v>
      </c>
    </row>
    <row r="173" spans="2:12" ht="15" thickBot="1" x14ac:dyDescent="0.35">
      <c r="B173" s="487" t="s">
        <v>2042</v>
      </c>
      <c r="C173" s="488"/>
      <c r="D173" s="494">
        <f>0+1+1</f>
        <v>2</v>
      </c>
      <c r="F173" s="487" t="s">
        <v>61</v>
      </c>
      <c r="G173" s="488"/>
      <c r="H173" s="494">
        <v>1</v>
      </c>
      <c r="J173" s="490" t="s">
        <v>2042</v>
      </c>
      <c r="K173" s="491"/>
      <c r="L173" s="495">
        <v>1</v>
      </c>
    </row>
    <row r="174" spans="2:12" ht="15" thickBot="1" x14ac:dyDescent="0.35">
      <c r="B174" s="487" t="s">
        <v>946</v>
      </c>
      <c r="C174" s="488"/>
      <c r="D174" s="494">
        <v>2</v>
      </c>
      <c r="F174" s="490" t="s">
        <v>63</v>
      </c>
      <c r="G174" s="491"/>
      <c r="H174" s="495">
        <v>1</v>
      </c>
      <c r="J174" s="357"/>
      <c r="K174" s="357"/>
      <c r="L174" s="357"/>
    </row>
    <row r="175" spans="2:12" ht="15" thickBot="1" x14ac:dyDescent="0.35">
      <c r="B175" s="490" t="s">
        <v>2183</v>
      </c>
      <c r="C175" s="491"/>
      <c r="D175" s="495">
        <v>2</v>
      </c>
      <c r="F175" s="357"/>
      <c r="G175" s="357"/>
      <c r="H175" s="357"/>
      <c r="J175" s="357"/>
      <c r="K175" s="357"/>
      <c r="L175" s="357"/>
    </row>
    <row r="176" spans="2:12" x14ac:dyDescent="0.3">
      <c r="B176" s="357"/>
      <c r="C176" s="357"/>
      <c r="D176" s="357"/>
      <c r="F176" s="357"/>
      <c r="G176" s="357"/>
      <c r="H176" s="358"/>
      <c r="J176" s="357"/>
      <c r="K176" s="357"/>
      <c r="L176" s="357"/>
    </row>
    <row r="177" spans="2:12" x14ac:dyDescent="0.3">
      <c r="B177" s="357"/>
      <c r="C177" s="357"/>
      <c r="D177" s="357"/>
      <c r="F177" s="357"/>
      <c r="G177" s="357"/>
      <c r="H177" s="357"/>
      <c r="J177" s="357"/>
      <c r="K177" s="357"/>
      <c r="L177" s="357"/>
    </row>
    <row r="178" spans="2:12" x14ac:dyDescent="0.3">
      <c r="B178" s="357"/>
      <c r="C178" s="357"/>
      <c r="D178" s="357"/>
      <c r="F178" s="357"/>
      <c r="G178" s="357"/>
      <c r="H178" s="357"/>
      <c r="J178" s="357"/>
      <c r="K178" s="357"/>
      <c r="L178" s="357"/>
    </row>
    <row r="179" spans="2:12" x14ac:dyDescent="0.3">
      <c r="B179" s="357"/>
      <c r="C179" s="357"/>
      <c r="D179" s="357"/>
      <c r="F179" s="357"/>
      <c r="G179" s="357"/>
      <c r="H179" s="357"/>
      <c r="J179" s="357"/>
      <c r="K179" s="357"/>
      <c r="L179" s="358"/>
    </row>
    <row r="180" spans="2:12" x14ac:dyDescent="0.3">
      <c r="B180" s="357"/>
      <c r="C180" s="357"/>
      <c r="D180" s="357"/>
      <c r="F180" s="357"/>
      <c r="G180" s="357"/>
      <c r="H180" s="357"/>
      <c r="J180" s="357"/>
      <c r="K180" s="357"/>
      <c r="L180" s="358"/>
    </row>
    <row r="181" spans="2:12" ht="15" thickBot="1" x14ac:dyDescent="0.35">
      <c r="B181" s="357"/>
      <c r="C181" s="357"/>
      <c r="D181" s="357"/>
      <c r="F181" s="357"/>
      <c r="G181" s="357"/>
      <c r="H181" s="357"/>
      <c r="J181" s="357"/>
      <c r="K181" s="357"/>
      <c r="L181" s="357"/>
    </row>
    <row r="182" spans="2:12" x14ac:dyDescent="0.3">
      <c r="B182" s="29" t="s">
        <v>2249</v>
      </c>
      <c r="C182" s="21"/>
      <c r="D182" s="258" t="s">
        <v>2437</v>
      </c>
      <c r="F182" s="25" t="s">
        <v>99</v>
      </c>
      <c r="G182" s="21"/>
      <c r="H182" s="258" t="s">
        <v>2437</v>
      </c>
      <c r="J182" s="25" t="s">
        <v>103</v>
      </c>
      <c r="K182" s="21"/>
      <c r="L182" s="258" t="s">
        <v>2437</v>
      </c>
    </row>
    <row r="183" spans="2:12" x14ac:dyDescent="0.3">
      <c r="B183" s="487" t="s">
        <v>50</v>
      </c>
      <c r="C183" s="488"/>
      <c r="D183" s="494">
        <f>7+1+4+2+2+4+2+3+3+1</f>
        <v>29</v>
      </c>
      <c r="F183" s="487" t="s">
        <v>50</v>
      </c>
      <c r="G183" s="488"/>
      <c r="H183" s="494">
        <f>4+1+2+1+1+1+2+1+4+1</f>
        <v>18</v>
      </c>
      <c r="J183" s="484" t="s">
        <v>50</v>
      </c>
      <c r="K183" s="485"/>
      <c r="L183" s="493">
        <f>1+1</f>
        <v>2</v>
      </c>
    </row>
    <row r="184" spans="2:12" x14ac:dyDescent="0.3">
      <c r="B184" s="484" t="s">
        <v>56</v>
      </c>
      <c r="C184" s="485"/>
      <c r="D184" s="493">
        <v>12</v>
      </c>
      <c r="F184" s="484" t="s">
        <v>185</v>
      </c>
      <c r="G184" s="485"/>
      <c r="H184" s="493">
        <f>5+1+3+2+1</f>
        <v>12</v>
      </c>
      <c r="J184" s="487" t="s">
        <v>185</v>
      </c>
      <c r="K184" s="488"/>
      <c r="L184" s="494">
        <f>1+1</f>
        <v>2</v>
      </c>
    </row>
    <row r="185" spans="2:12" x14ac:dyDescent="0.3">
      <c r="B185" s="487" t="s">
        <v>185</v>
      </c>
      <c r="C185" s="488"/>
      <c r="D185" s="494">
        <f>6+1+2+3</f>
        <v>12</v>
      </c>
      <c r="F185" s="487" t="s">
        <v>1075</v>
      </c>
      <c r="G185" s="488"/>
      <c r="H185" s="494">
        <f>0+2+1+2+1+1+3+1</f>
        <v>11</v>
      </c>
      <c r="J185" s="487" t="s">
        <v>2148</v>
      </c>
      <c r="K185" s="488"/>
      <c r="L185" s="494">
        <f>1</f>
        <v>1</v>
      </c>
    </row>
    <row r="186" spans="2:12" x14ac:dyDescent="0.3">
      <c r="B186" s="487" t="s">
        <v>1075</v>
      </c>
      <c r="C186" s="488"/>
      <c r="D186" s="494">
        <f>0+4+2+2+2</f>
        <v>10</v>
      </c>
      <c r="F186" s="487" t="s">
        <v>56</v>
      </c>
      <c r="G186" s="488"/>
      <c r="H186" s="494">
        <v>7</v>
      </c>
      <c r="J186" s="487" t="s">
        <v>2180</v>
      </c>
      <c r="K186" s="488"/>
      <c r="L186" s="494">
        <f>1</f>
        <v>1</v>
      </c>
    </row>
    <row r="187" spans="2:12" x14ac:dyDescent="0.3">
      <c r="B187" s="487" t="s">
        <v>48</v>
      </c>
      <c r="C187" s="488"/>
      <c r="D187" s="494">
        <v>8</v>
      </c>
      <c r="F187" s="487" t="s">
        <v>673</v>
      </c>
      <c r="G187" s="488"/>
      <c r="H187" s="494">
        <v>3</v>
      </c>
      <c r="J187" s="487" t="s">
        <v>2444</v>
      </c>
      <c r="K187" s="488"/>
      <c r="L187" s="494">
        <f>0+1</f>
        <v>1</v>
      </c>
    </row>
    <row r="188" spans="2:12" x14ac:dyDescent="0.3">
      <c r="B188" s="487" t="s">
        <v>1076</v>
      </c>
      <c r="C188" s="488"/>
      <c r="D188" s="494">
        <f>0+2+2+1+1+2</f>
        <v>8</v>
      </c>
      <c r="F188" s="487" t="s">
        <v>677</v>
      </c>
      <c r="G188" s="488"/>
      <c r="H188" s="494">
        <v>3</v>
      </c>
      <c r="J188" s="487" t="s">
        <v>2443</v>
      </c>
      <c r="K188" s="488"/>
      <c r="L188" s="494">
        <f>0+1</f>
        <v>1</v>
      </c>
    </row>
    <row r="189" spans="2:12" x14ac:dyDescent="0.3">
      <c r="B189" s="487" t="s">
        <v>1124</v>
      </c>
      <c r="C189" s="488"/>
      <c r="D189" s="494">
        <f>2+4+1+1</f>
        <v>8</v>
      </c>
      <c r="F189" s="689" t="s">
        <v>1379</v>
      </c>
      <c r="G189" s="690"/>
      <c r="H189" s="691">
        <f>1+1+1</f>
        <v>3</v>
      </c>
      <c r="J189" s="487" t="s">
        <v>55</v>
      </c>
      <c r="K189" s="488"/>
      <c r="L189" s="494">
        <v>1</v>
      </c>
    </row>
    <row r="190" spans="2:12" x14ac:dyDescent="0.3">
      <c r="B190" s="487" t="s">
        <v>1944</v>
      </c>
      <c r="C190" s="488"/>
      <c r="D190" s="494">
        <f>1+1+5</f>
        <v>7</v>
      </c>
      <c r="F190" s="487" t="s">
        <v>2444</v>
      </c>
      <c r="G190" s="488"/>
      <c r="H190" s="494">
        <f>1+2</f>
        <v>3</v>
      </c>
      <c r="J190" s="487" t="s">
        <v>53</v>
      </c>
      <c r="K190" s="488"/>
      <c r="L190" s="494">
        <v>1</v>
      </c>
    </row>
    <row r="191" spans="2:12" x14ac:dyDescent="0.3">
      <c r="B191" s="487" t="s">
        <v>47</v>
      </c>
      <c r="C191" s="488"/>
      <c r="D191" s="494">
        <f>5+1+1</f>
        <v>7</v>
      </c>
      <c r="F191" s="487" t="s">
        <v>1944</v>
      </c>
      <c r="G191" s="488"/>
      <c r="H191" s="494">
        <f>0+2</f>
        <v>2</v>
      </c>
      <c r="J191" s="487" t="s">
        <v>60</v>
      </c>
      <c r="K191" s="488"/>
      <c r="L191" s="494">
        <v>1</v>
      </c>
    </row>
    <row r="192" spans="2:12" x14ac:dyDescent="0.3">
      <c r="B192" s="487" t="s">
        <v>53</v>
      </c>
      <c r="C192" s="488"/>
      <c r="D192" s="494">
        <f>3+1+1+1</f>
        <v>6</v>
      </c>
      <c r="F192" s="487" t="s">
        <v>51</v>
      </c>
      <c r="G192" s="488"/>
      <c r="H192" s="494">
        <v>2</v>
      </c>
      <c r="J192" s="487" t="s">
        <v>675</v>
      </c>
      <c r="K192" s="488"/>
      <c r="L192" s="494">
        <v>1</v>
      </c>
    </row>
    <row r="193" spans="2:12" x14ac:dyDescent="0.3">
      <c r="B193" s="487" t="s">
        <v>1459</v>
      </c>
      <c r="C193" s="488"/>
      <c r="D193" s="494">
        <f>2+1+1+1+1</f>
        <v>6</v>
      </c>
      <c r="F193" s="487" t="s">
        <v>55</v>
      </c>
      <c r="G193" s="488"/>
      <c r="H193" s="494">
        <v>2</v>
      </c>
      <c r="J193" s="487" t="s">
        <v>52</v>
      </c>
      <c r="K193" s="488"/>
      <c r="L193" s="494">
        <v>1</v>
      </c>
    </row>
    <row r="194" spans="2:12" x14ac:dyDescent="0.3">
      <c r="B194" s="487" t="s">
        <v>1591</v>
      </c>
      <c r="C194" s="488"/>
      <c r="D194" s="494">
        <f>2+3+1</f>
        <v>6</v>
      </c>
      <c r="F194" s="487" t="s">
        <v>181</v>
      </c>
      <c r="G194" s="488"/>
      <c r="H194" s="494">
        <v>2</v>
      </c>
      <c r="J194" s="487" t="s">
        <v>677</v>
      </c>
      <c r="K194" s="488"/>
      <c r="L194" s="494">
        <v>1</v>
      </c>
    </row>
    <row r="195" spans="2:12" x14ac:dyDescent="0.3">
      <c r="B195" s="487" t="s">
        <v>1379</v>
      </c>
      <c r="C195" s="488"/>
      <c r="D195" s="494">
        <f>1+1+1+2</f>
        <v>5</v>
      </c>
      <c r="F195" s="487" t="s">
        <v>675</v>
      </c>
      <c r="G195" s="488"/>
      <c r="H195" s="494">
        <v>2</v>
      </c>
      <c r="J195" s="487" t="s">
        <v>58</v>
      </c>
      <c r="K195" s="488"/>
      <c r="L195" s="494">
        <v>1</v>
      </c>
    </row>
    <row r="196" spans="2:12" x14ac:dyDescent="0.3">
      <c r="B196" s="487" t="s">
        <v>2444</v>
      </c>
      <c r="C196" s="488"/>
      <c r="D196" s="494">
        <f>3+2</f>
        <v>5</v>
      </c>
      <c r="F196" s="487" t="s">
        <v>1077</v>
      </c>
      <c r="G196" s="488"/>
      <c r="H196" s="494">
        <f>0+1+1</f>
        <v>2</v>
      </c>
      <c r="J196" s="487" t="s">
        <v>1075</v>
      </c>
      <c r="K196" s="488"/>
      <c r="L196" s="494">
        <v>1</v>
      </c>
    </row>
    <row r="197" spans="2:12" ht="15" thickBot="1" x14ac:dyDescent="0.35">
      <c r="B197" s="487" t="s">
        <v>278</v>
      </c>
      <c r="C197" s="488"/>
      <c r="D197" s="494">
        <v>4</v>
      </c>
      <c r="F197" s="487" t="s">
        <v>1459</v>
      </c>
      <c r="G197" s="488"/>
      <c r="H197" s="494">
        <f>1+1</f>
        <v>2</v>
      </c>
      <c r="J197" s="490" t="s">
        <v>47</v>
      </c>
      <c r="K197" s="491"/>
      <c r="L197" s="495">
        <v>1</v>
      </c>
    </row>
    <row r="198" spans="2:12" x14ac:dyDescent="0.3">
      <c r="B198" s="487" t="s">
        <v>673</v>
      </c>
      <c r="C198" s="488"/>
      <c r="D198" s="494">
        <v>4</v>
      </c>
      <c r="F198" s="487" t="s">
        <v>2180</v>
      </c>
      <c r="G198" s="488"/>
      <c r="H198" s="494">
        <f>1+1</f>
        <v>2</v>
      </c>
      <c r="J198" s="357"/>
      <c r="K198" s="357"/>
      <c r="L198" s="357"/>
    </row>
    <row r="199" spans="2:12" x14ac:dyDescent="0.3">
      <c r="B199" s="487" t="s">
        <v>2184</v>
      </c>
      <c r="C199" s="488"/>
      <c r="D199" s="494">
        <f>2+1</f>
        <v>3</v>
      </c>
      <c r="F199" s="487" t="s">
        <v>2148</v>
      </c>
      <c r="G199" s="488"/>
      <c r="H199" s="494">
        <f>2</f>
        <v>2</v>
      </c>
      <c r="J199" s="357"/>
      <c r="K199" s="357"/>
      <c r="L199" s="357"/>
    </row>
    <row r="200" spans="2:12" x14ac:dyDescent="0.3">
      <c r="B200" s="487" t="s">
        <v>181</v>
      </c>
      <c r="C200" s="488"/>
      <c r="D200" s="494">
        <v>3</v>
      </c>
      <c r="F200" s="487" t="s">
        <v>2800</v>
      </c>
      <c r="G200" s="488"/>
      <c r="H200" s="494">
        <f>0+2</f>
        <v>2</v>
      </c>
      <c r="J200" s="357"/>
      <c r="K200" s="357"/>
      <c r="L200" s="357"/>
    </row>
    <row r="201" spans="2:12" x14ac:dyDescent="0.3">
      <c r="B201" s="487" t="s">
        <v>1077</v>
      </c>
      <c r="C201" s="488"/>
      <c r="D201" s="494">
        <f>0+1+1+1</f>
        <v>3</v>
      </c>
      <c r="F201" s="487" t="s">
        <v>2279</v>
      </c>
      <c r="G201" s="488"/>
      <c r="H201" s="494">
        <f>1</f>
        <v>1</v>
      </c>
      <c r="J201" s="357"/>
      <c r="K201" s="357"/>
      <c r="L201" s="357"/>
    </row>
    <row r="202" spans="2:12" x14ac:dyDescent="0.3">
      <c r="B202" s="487" t="s">
        <v>2180</v>
      </c>
      <c r="C202" s="488"/>
      <c r="D202" s="494">
        <f>1+2</f>
        <v>3</v>
      </c>
      <c r="F202" s="487" t="s">
        <v>1591</v>
      </c>
      <c r="G202" s="488"/>
      <c r="H202" s="494">
        <f>1</f>
        <v>1</v>
      </c>
      <c r="J202" s="357"/>
      <c r="K202" s="357"/>
      <c r="L202" s="357"/>
    </row>
    <row r="203" spans="2:12" x14ac:dyDescent="0.3">
      <c r="B203" s="487" t="s">
        <v>2279</v>
      </c>
      <c r="C203" s="488"/>
      <c r="D203" s="494">
        <f>2</f>
        <v>2</v>
      </c>
      <c r="F203" s="487" t="s">
        <v>1076</v>
      </c>
      <c r="G203" s="488"/>
      <c r="H203" s="494">
        <f>0+1</f>
        <v>1</v>
      </c>
      <c r="J203" s="357"/>
      <c r="K203" s="357"/>
      <c r="L203" s="357"/>
    </row>
    <row r="204" spans="2:12" x14ac:dyDescent="0.3">
      <c r="B204" s="487" t="s">
        <v>2441</v>
      </c>
      <c r="C204" s="488"/>
      <c r="D204" s="494">
        <v>2</v>
      </c>
      <c r="F204" s="487" t="s">
        <v>182</v>
      </c>
      <c r="G204" s="488"/>
      <c r="H204" s="494">
        <v>1</v>
      </c>
      <c r="J204" s="357"/>
      <c r="K204" s="357"/>
      <c r="L204" s="357"/>
    </row>
    <row r="205" spans="2:12" x14ac:dyDescent="0.3">
      <c r="B205" s="487" t="s">
        <v>279</v>
      </c>
      <c r="C205" s="488"/>
      <c r="D205" s="494">
        <v>2</v>
      </c>
      <c r="F205" s="487" t="s">
        <v>945</v>
      </c>
      <c r="G205" s="488"/>
      <c r="H205" s="494">
        <v>1</v>
      </c>
      <c r="J205" s="357"/>
      <c r="K205" s="357"/>
      <c r="L205" s="357"/>
    </row>
    <row r="206" spans="2:12" x14ac:dyDescent="0.3">
      <c r="B206" s="487" t="s">
        <v>2149</v>
      </c>
      <c r="C206" s="488"/>
      <c r="D206" s="494">
        <f>2</f>
        <v>2</v>
      </c>
      <c r="F206" s="487" t="s">
        <v>2184</v>
      </c>
      <c r="G206" s="488"/>
      <c r="H206" s="494">
        <f>1</f>
        <v>1</v>
      </c>
      <c r="J206" s="357"/>
      <c r="K206" s="357"/>
      <c r="L206" s="357"/>
    </row>
    <row r="207" spans="2:12" x14ac:dyDescent="0.3">
      <c r="B207" s="487" t="s">
        <v>677</v>
      </c>
      <c r="C207" s="488"/>
      <c r="D207" s="494">
        <v>2</v>
      </c>
      <c r="F207" s="487" t="s">
        <v>942</v>
      </c>
      <c r="G207" s="488"/>
      <c r="H207" s="494">
        <v>1</v>
      </c>
      <c r="J207" s="357"/>
      <c r="K207" s="357"/>
      <c r="L207" s="357"/>
    </row>
    <row r="208" spans="2:12" x14ac:dyDescent="0.3">
      <c r="B208" s="487" t="s">
        <v>2283</v>
      </c>
      <c r="C208" s="488"/>
      <c r="D208" s="494">
        <f>2</f>
        <v>2</v>
      </c>
      <c r="F208" s="487" t="s">
        <v>1124</v>
      </c>
      <c r="G208" s="488"/>
      <c r="H208" s="494">
        <v>1</v>
      </c>
      <c r="J208" s="357"/>
      <c r="K208" s="357"/>
      <c r="L208" s="357"/>
    </row>
    <row r="209" spans="2:12" x14ac:dyDescent="0.3">
      <c r="B209" s="487" t="s">
        <v>55</v>
      </c>
      <c r="C209" s="488"/>
      <c r="D209" s="494">
        <v>2</v>
      </c>
      <c r="F209" s="487" t="s">
        <v>53</v>
      </c>
      <c r="G209" s="488"/>
      <c r="H209" s="494">
        <v>1</v>
      </c>
      <c r="J209" s="357"/>
      <c r="K209" s="357"/>
      <c r="L209" s="357"/>
    </row>
    <row r="210" spans="2:12" x14ac:dyDescent="0.3">
      <c r="B210" s="487" t="s">
        <v>675</v>
      </c>
      <c r="C210" s="488"/>
      <c r="D210" s="494">
        <v>2</v>
      </c>
      <c r="F210" s="487" t="s">
        <v>47</v>
      </c>
      <c r="G210" s="488"/>
      <c r="H210" s="494">
        <v>1</v>
      </c>
      <c r="J210" s="357"/>
      <c r="K210" s="357"/>
      <c r="L210" s="357"/>
    </row>
    <row r="211" spans="2:12" ht="15" thickBot="1" x14ac:dyDescent="0.35">
      <c r="B211" s="487" t="s">
        <v>942</v>
      </c>
      <c r="C211" s="488"/>
      <c r="D211" s="494">
        <f>1+1</f>
        <v>2</v>
      </c>
      <c r="F211" s="490" t="s">
        <v>1164</v>
      </c>
      <c r="G211" s="491"/>
      <c r="H211" s="495">
        <v>1</v>
      </c>
      <c r="J211" s="357"/>
      <c r="K211" s="357"/>
      <c r="L211" s="357"/>
    </row>
    <row r="212" spans="2:12" x14ac:dyDescent="0.3">
      <c r="B212" s="487" t="s">
        <v>54</v>
      </c>
      <c r="C212" s="488"/>
      <c r="D212" s="494">
        <v>2</v>
      </c>
      <c r="F212" s="357"/>
      <c r="G212" s="357"/>
      <c r="H212" s="357"/>
      <c r="J212" s="357"/>
      <c r="K212" s="357"/>
      <c r="L212" s="357"/>
    </row>
    <row r="213" spans="2:12" x14ac:dyDescent="0.3">
      <c r="B213" s="487" t="s">
        <v>2180</v>
      </c>
      <c r="C213" s="488"/>
      <c r="D213" s="494">
        <f>1+1</f>
        <v>2</v>
      </c>
      <c r="F213" s="357"/>
      <c r="G213" s="357"/>
      <c r="H213" s="357"/>
      <c r="J213" s="357"/>
      <c r="K213" s="357"/>
      <c r="L213" s="357"/>
    </row>
    <row r="214" spans="2:12" x14ac:dyDescent="0.3">
      <c r="B214" s="487" t="s">
        <v>2148</v>
      </c>
      <c r="C214" s="488"/>
      <c r="D214" s="494">
        <f>1</f>
        <v>1</v>
      </c>
      <c r="F214" s="357"/>
      <c r="G214" s="357"/>
      <c r="H214" s="357"/>
      <c r="J214" s="357"/>
      <c r="K214" s="357"/>
      <c r="L214" s="357"/>
    </row>
    <row r="215" spans="2:12" x14ac:dyDescent="0.3">
      <c r="B215" s="487" t="s">
        <v>2812</v>
      </c>
      <c r="C215" s="488"/>
      <c r="D215" s="494">
        <v>1</v>
      </c>
      <c r="F215" s="357"/>
      <c r="G215" s="357"/>
      <c r="H215" s="357"/>
      <c r="J215" s="357"/>
      <c r="K215" s="357"/>
      <c r="L215" s="357"/>
    </row>
    <row r="216" spans="2:12" x14ac:dyDescent="0.3">
      <c r="B216" s="487" t="s">
        <v>680</v>
      </c>
      <c r="C216" s="488"/>
      <c r="D216" s="494">
        <v>1</v>
      </c>
      <c r="F216" s="357"/>
      <c r="G216" s="357"/>
      <c r="H216" s="357"/>
      <c r="J216" s="357"/>
      <c r="K216" s="357"/>
      <c r="L216" s="357"/>
    </row>
    <row r="217" spans="2:12" x14ac:dyDescent="0.3">
      <c r="B217" s="487" t="s">
        <v>1164</v>
      </c>
      <c r="C217" s="488"/>
      <c r="D217" s="494">
        <v>1</v>
      </c>
      <c r="F217" s="357"/>
      <c r="G217" s="357"/>
      <c r="H217" s="357"/>
      <c r="J217" s="357"/>
      <c r="K217" s="357"/>
      <c r="L217" s="357"/>
    </row>
    <row r="218" spans="2:12" x14ac:dyDescent="0.3">
      <c r="B218" s="487" t="s">
        <v>58</v>
      </c>
      <c r="C218" s="488"/>
      <c r="D218" s="494">
        <v>1</v>
      </c>
      <c r="F218" s="357"/>
      <c r="G218" s="357"/>
      <c r="H218" s="357"/>
      <c r="J218" s="357"/>
      <c r="K218" s="357"/>
      <c r="L218" s="357"/>
    </row>
    <row r="219" spans="2:12" x14ac:dyDescent="0.3">
      <c r="B219" s="487" t="s">
        <v>2281</v>
      </c>
      <c r="C219" s="488"/>
      <c r="D219" s="494">
        <f>1</f>
        <v>1</v>
      </c>
      <c r="F219" s="357"/>
      <c r="G219" s="357"/>
      <c r="H219" s="357"/>
      <c r="J219" s="357"/>
      <c r="K219" s="357"/>
      <c r="L219" s="357"/>
    </row>
    <row r="220" spans="2:12" x14ac:dyDescent="0.3">
      <c r="B220" s="487" t="s">
        <v>60</v>
      </c>
      <c r="C220" s="488"/>
      <c r="D220" s="494">
        <v>1</v>
      </c>
      <c r="F220" s="357"/>
      <c r="G220" s="357"/>
      <c r="H220" s="357"/>
      <c r="J220" s="357"/>
      <c r="K220" s="357"/>
      <c r="L220" s="357"/>
    </row>
    <row r="221" spans="2:12" x14ac:dyDescent="0.3">
      <c r="B221" s="487" t="s">
        <v>182</v>
      </c>
      <c r="C221" s="488"/>
      <c r="D221" s="494">
        <v>1</v>
      </c>
      <c r="F221" s="357"/>
      <c r="G221" s="357"/>
      <c r="H221" s="357"/>
      <c r="J221" s="357"/>
      <c r="K221" s="357"/>
      <c r="L221" s="357"/>
    </row>
    <row r="222" spans="2:12" ht="15" thickBot="1" x14ac:dyDescent="0.35">
      <c r="B222" s="490" t="s">
        <v>51</v>
      </c>
      <c r="C222" s="491"/>
      <c r="D222" s="495">
        <v>1</v>
      </c>
      <c r="F222" s="357"/>
      <c r="G222" s="357"/>
      <c r="H222" s="357"/>
      <c r="J222" s="357"/>
      <c r="K222" s="357"/>
      <c r="L222" s="357"/>
    </row>
    <row r="223" spans="2:12" x14ac:dyDescent="0.3">
      <c r="B223" s="357"/>
      <c r="C223" s="357"/>
      <c r="D223" s="358"/>
      <c r="F223" s="357"/>
      <c r="G223" s="357"/>
      <c r="H223" s="357"/>
      <c r="J223" s="357"/>
      <c r="K223" s="357"/>
      <c r="L223" s="357"/>
    </row>
    <row r="224" spans="2:12" x14ac:dyDescent="0.3">
      <c r="B224" s="357"/>
      <c r="C224" s="357"/>
      <c r="D224" s="357"/>
      <c r="F224" s="357"/>
      <c r="G224" s="357"/>
      <c r="H224" s="357"/>
      <c r="J224" s="357"/>
      <c r="K224" s="357"/>
      <c r="L224" s="357"/>
    </row>
    <row r="225" spans="2:12" ht="15.75" customHeight="1" thickBot="1" x14ac:dyDescent="0.35">
      <c r="B225" s="357"/>
      <c r="C225" s="357"/>
      <c r="D225" s="357"/>
      <c r="F225" s="357"/>
      <c r="G225" s="357"/>
      <c r="H225" s="357"/>
      <c r="J225" s="357"/>
      <c r="K225" s="357"/>
      <c r="L225" s="357"/>
    </row>
    <row r="226" spans="2:12" x14ac:dyDescent="0.3">
      <c r="B226" s="25" t="s">
        <v>102</v>
      </c>
      <c r="C226" s="21"/>
      <c r="D226" s="258" t="s">
        <v>2437</v>
      </c>
      <c r="F226" s="29" t="s">
        <v>210</v>
      </c>
      <c r="G226" s="21"/>
      <c r="H226" s="115" t="s">
        <v>261</v>
      </c>
      <c r="J226" s="29" t="s">
        <v>882</v>
      </c>
      <c r="K226" s="21"/>
      <c r="L226" s="258" t="s">
        <v>2437</v>
      </c>
    </row>
    <row r="227" spans="2:12" x14ac:dyDescent="0.3">
      <c r="B227" s="484" t="s">
        <v>50</v>
      </c>
      <c r="C227" s="485"/>
      <c r="D227" s="493">
        <f>11+2+1+2+4+4+4+2</f>
        <v>30</v>
      </c>
      <c r="F227" s="484" t="s">
        <v>100</v>
      </c>
      <c r="G227" s="485"/>
      <c r="H227" s="503" t="s">
        <v>513</v>
      </c>
      <c r="J227" s="484" t="s">
        <v>50</v>
      </c>
      <c r="K227" s="485"/>
      <c r="L227" s="493">
        <f>0+1+1+1</f>
        <v>3</v>
      </c>
    </row>
    <row r="228" spans="2:12" x14ac:dyDescent="0.3">
      <c r="B228" s="487" t="s">
        <v>1075</v>
      </c>
      <c r="C228" s="488"/>
      <c r="D228" s="494">
        <f>0+3+1+4+1+3+1</f>
        <v>13</v>
      </c>
      <c r="F228" s="487" t="s">
        <v>279</v>
      </c>
      <c r="G228" s="488"/>
      <c r="H228" s="504" t="s">
        <v>514</v>
      </c>
      <c r="J228" s="487" t="s">
        <v>2148</v>
      </c>
      <c r="K228" s="488"/>
      <c r="L228" s="494">
        <f>1</f>
        <v>1</v>
      </c>
    </row>
    <row r="229" spans="2:12" x14ac:dyDescent="0.3">
      <c r="B229" s="487" t="s">
        <v>185</v>
      </c>
      <c r="C229" s="488"/>
      <c r="D229" s="494">
        <f>3+3+1+1</f>
        <v>8</v>
      </c>
      <c r="F229" s="487" t="s">
        <v>52</v>
      </c>
      <c r="G229" s="488"/>
      <c r="H229" s="504" t="s">
        <v>514</v>
      </c>
      <c r="J229" s="487" t="s">
        <v>675</v>
      </c>
      <c r="K229" s="488"/>
      <c r="L229" s="494">
        <v>1</v>
      </c>
    </row>
    <row r="230" spans="2:12" x14ac:dyDescent="0.3">
      <c r="B230" s="487" t="s">
        <v>47</v>
      </c>
      <c r="C230" s="488"/>
      <c r="D230" s="494">
        <f>5+1</f>
        <v>6</v>
      </c>
      <c r="F230" s="487" t="s">
        <v>275</v>
      </c>
      <c r="G230" s="488"/>
      <c r="H230" s="504" t="s">
        <v>514</v>
      </c>
      <c r="J230" s="487" t="s">
        <v>185</v>
      </c>
      <c r="K230" s="488"/>
      <c r="L230" s="494">
        <v>1</v>
      </c>
    </row>
    <row r="231" spans="2:12" ht="15" thickBot="1" x14ac:dyDescent="0.35">
      <c r="B231" s="487" t="s">
        <v>56</v>
      </c>
      <c r="C231" s="488"/>
      <c r="D231" s="494">
        <v>6</v>
      </c>
      <c r="F231" s="487" t="s">
        <v>57</v>
      </c>
      <c r="G231" s="488"/>
      <c r="H231" s="505" t="s">
        <v>515</v>
      </c>
      <c r="J231" s="490" t="s">
        <v>673</v>
      </c>
      <c r="K231" s="491"/>
      <c r="L231" s="495">
        <v>1</v>
      </c>
    </row>
    <row r="232" spans="2:12" ht="15" thickBot="1" x14ac:dyDescent="0.35">
      <c r="B232" s="487" t="s">
        <v>1379</v>
      </c>
      <c r="C232" s="488"/>
      <c r="D232" s="494">
        <f>0+1+1+2</f>
        <v>4</v>
      </c>
      <c r="F232" s="490" t="s">
        <v>211</v>
      </c>
      <c r="G232" s="491"/>
      <c r="H232" s="506" t="s">
        <v>11</v>
      </c>
      <c r="J232" s="357"/>
      <c r="K232" s="357"/>
      <c r="L232" s="357"/>
    </row>
    <row r="233" spans="2:12" ht="15" thickBot="1" x14ac:dyDescent="0.35">
      <c r="B233" s="487" t="s">
        <v>279</v>
      </c>
      <c r="C233" s="488"/>
      <c r="D233" s="494">
        <v>4</v>
      </c>
      <c r="F233" s="357"/>
      <c r="G233" s="357"/>
      <c r="H233" s="357"/>
      <c r="J233" s="357"/>
      <c r="K233" s="357"/>
      <c r="L233" s="357"/>
    </row>
    <row r="234" spans="2:12" x14ac:dyDescent="0.3">
      <c r="B234" s="487" t="s">
        <v>53</v>
      </c>
      <c r="C234" s="488"/>
      <c r="D234" s="494">
        <f>1+1+1+1</f>
        <v>4</v>
      </c>
      <c r="F234" s="29" t="s">
        <v>210</v>
      </c>
      <c r="G234" s="21" t="s">
        <v>2501</v>
      </c>
      <c r="H234" s="115" t="s">
        <v>2230</v>
      </c>
      <c r="J234" s="357"/>
      <c r="K234" s="357"/>
      <c r="L234" s="357"/>
    </row>
    <row r="235" spans="2:12" x14ac:dyDescent="0.3">
      <c r="B235" s="487" t="s">
        <v>1591</v>
      </c>
      <c r="C235" s="488"/>
      <c r="D235" s="494">
        <f>1+1+1+1</f>
        <v>4</v>
      </c>
      <c r="F235" s="484" t="s">
        <v>2281</v>
      </c>
      <c r="G235" s="485"/>
      <c r="H235" s="503" t="s">
        <v>2358</v>
      </c>
      <c r="J235" s="357"/>
      <c r="K235" s="357"/>
      <c r="L235" s="357"/>
    </row>
    <row r="236" spans="2:12" x14ac:dyDescent="0.3">
      <c r="B236" s="487" t="s">
        <v>1124</v>
      </c>
      <c r="C236" s="488"/>
      <c r="D236" s="494">
        <f>1+1+1</f>
        <v>3</v>
      </c>
      <c r="F236" s="1167" t="s">
        <v>1597</v>
      </c>
      <c r="G236" s="1168"/>
      <c r="H236" s="1169" t="s">
        <v>2359</v>
      </c>
      <c r="J236" s="357"/>
      <c r="K236" s="357"/>
      <c r="L236" s="357"/>
    </row>
    <row r="237" spans="2:12" x14ac:dyDescent="0.3">
      <c r="B237" s="487" t="s">
        <v>942</v>
      </c>
      <c r="C237" s="488"/>
      <c r="D237" s="494">
        <f>2+1</f>
        <v>3</v>
      </c>
      <c r="F237" s="357"/>
      <c r="G237" s="357"/>
      <c r="H237" s="357"/>
      <c r="J237" s="357"/>
      <c r="K237" s="357"/>
      <c r="L237" s="357"/>
    </row>
    <row r="238" spans="2:12" x14ac:dyDescent="0.3">
      <c r="B238" s="487" t="s">
        <v>51</v>
      </c>
      <c r="C238" s="488"/>
      <c r="D238" s="494">
        <v>3</v>
      </c>
      <c r="F238" s="357"/>
      <c r="G238" s="357"/>
      <c r="H238" s="357"/>
      <c r="J238" s="357"/>
      <c r="K238" s="357"/>
      <c r="L238" s="357"/>
    </row>
    <row r="239" spans="2:12" x14ac:dyDescent="0.3">
      <c r="B239" s="487" t="s">
        <v>1459</v>
      </c>
      <c r="C239" s="488"/>
      <c r="D239" s="494">
        <f>1+1</f>
        <v>2</v>
      </c>
      <c r="F239" s="357"/>
      <c r="G239" s="357"/>
      <c r="H239" s="357"/>
      <c r="J239" s="357"/>
      <c r="K239" s="357"/>
      <c r="L239" s="357"/>
    </row>
    <row r="240" spans="2:12" x14ac:dyDescent="0.3">
      <c r="B240" s="487" t="s">
        <v>48</v>
      </c>
      <c r="C240" s="488"/>
      <c r="D240" s="494">
        <v>2</v>
      </c>
      <c r="F240" s="357"/>
      <c r="G240" s="357"/>
      <c r="H240" s="357"/>
      <c r="J240" s="357"/>
      <c r="K240" s="357"/>
      <c r="L240" s="357"/>
    </row>
    <row r="241" spans="2:12" x14ac:dyDescent="0.3">
      <c r="B241" s="487" t="s">
        <v>55</v>
      </c>
      <c r="C241" s="488"/>
      <c r="D241" s="494">
        <v>2</v>
      </c>
      <c r="F241" s="357"/>
      <c r="G241" s="357"/>
      <c r="H241" s="357"/>
      <c r="J241" s="357"/>
      <c r="K241" s="357"/>
      <c r="L241" s="357"/>
    </row>
    <row r="242" spans="2:12" x14ac:dyDescent="0.3">
      <c r="B242" s="487" t="s">
        <v>182</v>
      </c>
      <c r="C242" s="488"/>
      <c r="D242" s="494">
        <v>2</v>
      </c>
      <c r="F242" s="357"/>
      <c r="G242" s="357"/>
      <c r="H242" s="357"/>
      <c r="J242" s="357"/>
      <c r="K242" s="357"/>
      <c r="L242" s="357"/>
    </row>
    <row r="243" spans="2:12" x14ac:dyDescent="0.3">
      <c r="B243" s="487" t="s">
        <v>1076</v>
      </c>
      <c r="C243" s="488"/>
      <c r="D243" s="494">
        <f>1+1</f>
        <v>2</v>
      </c>
      <c r="F243" s="357"/>
      <c r="G243" s="357"/>
      <c r="H243" s="357"/>
      <c r="J243" s="357"/>
      <c r="K243" s="357"/>
      <c r="L243" s="357"/>
    </row>
    <row r="244" spans="2:12" x14ac:dyDescent="0.3">
      <c r="B244" s="487" t="s">
        <v>1944</v>
      </c>
      <c r="C244" s="488"/>
      <c r="D244" s="494">
        <f>1+1</f>
        <v>2</v>
      </c>
      <c r="F244" s="357"/>
      <c r="G244" s="357"/>
      <c r="H244" s="357"/>
      <c r="J244" s="357"/>
      <c r="K244" s="357"/>
      <c r="L244" s="357"/>
    </row>
    <row r="245" spans="2:12" x14ac:dyDescent="0.3">
      <c r="B245" s="487" t="s">
        <v>2444</v>
      </c>
      <c r="C245" s="488"/>
      <c r="D245" s="494">
        <f>0+1</f>
        <v>1</v>
      </c>
      <c r="F245" s="357"/>
      <c r="G245" s="357"/>
      <c r="H245" s="357"/>
      <c r="J245" s="357"/>
      <c r="K245" s="357"/>
      <c r="L245" s="357"/>
    </row>
    <row r="246" spans="2:12" x14ac:dyDescent="0.3">
      <c r="B246" s="487" t="s">
        <v>2184</v>
      </c>
      <c r="C246" s="488"/>
      <c r="D246" s="494">
        <f>1</f>
        <v>1</v>
      </c>
      <c r="F246" s="357"/>
      <c r="G246" s="357"/>
      <c r="H246" s="357"/>
      <c r="J246" s="357"/>
      <c r="K246" s="357"/>
      <c r="L246" s="357"/>
    </row>
    <row r="247" spans="2:12" x14ac:dyDescent="0.3">
      <c r="B247" s="487" t="s">
        <v>2279</v>
      </c>
      <c r="C247" s="488"/>
      <c r="D247" s="494">
        <f>1</f>
        <v>1</v>
      </c>
      <c r="F247" s="357"/>
      <c r="G247" s="357"/>
      <c r="H247" s="357"/>
      <c r="J247" s="357"/>
      <c r="K247" s="357"/>
      <c r="L247" s="357"/>
    </row>
    <row r="248" spans="2:12" x14ac:dyDescent="0.3">
      <c r="B248" s="487" t="s">
        <v>2149</v>
      </c>
      <c r="C248" s="488"/>
      <c r="D248" s="494">
        <f>1</f>
        <v>1</v>
      </c>
      <c r="F248" s="357"/>
      <c r="G248" s="357"/>
      <c r="H248" s="357"/>
      <c r="J248" s="357"/>
      <c r="K248" s="357"/>
      <c r="L248" s="357"/>
    </row>
    <row r="249" spans="2:12" x14ac:dyDescent="0.3">
      <c r="B249" s="487" t="s">
        <v>949</v>
      </c>
      <c r="C249" s="488"/>
      <c r="D249" s="494">
        <v>1</v>
      </c>
      <c r="F249" s="357"/>
      <c r="G249" s="357"/>
      <c r="H249" s="357"/>
      <c r="J249" s="357"/>
      <c r="K249" s="357"/>
      <c r="L249" s="357"/>
    </row>
    <row r="250" spans="2:12" x14ac:dyDescent="0.3">
      <c r="B250" s="487" t="s">
        <v>181</v>
      </c>
      <c r="C250" s="488"/>
      <c r="D250" s="494">
        <v>1</v>
      </c>
      <c r="F250" s="357"/>
      <c r="G250" s="357"/>
      <c r="H250" s="357"/>
      <c r="J250" s="357"/>
      <c r="K250" s="357"/>
      <c r="L250" s="357"/>
    </row>
    <row r="251" spans="2:12" x14ac:dyDescent="0.3">
      <c r="B251" s="487" t="s">
        <v>60</v>
      </c>
      <c r="C251" s="488"/>
      <c r="D251" s="494">
        <v>1</v>
      </c>
      <c r="F251" s="357"/>
      <c r="G251" s="357"/>
      <c r="H251" s="357"/>
      <c r="J251" s="357"/>
      <c r="K251" s="357"/>
      <c r="L251" s="357"/>
    </row>
    <row r="252" spans="2:12" x14ac:dyDescent="0.3">
      <c r="B252" s="487" t="s">
        <v>278</v>
      </c>
      <c r="C252" s="488"/>
      <c r="D252" s="494">
        <v>1</v>
      </c>
      <c r="F252" s="357"/>
      <c r="G252" s="357"/>
      <c r="H252" s="357"/>
      <c r="J252" s="357"/>
      <c r="K252" s="357"/>
      <c r="L252" s="357"/>
    </row>
    <row r="253" spans="2:12" x14ac:dyDescent="0.3">
      <c r="B253" s="487" t="s">
        <v>54</v>
      </c>
      <c r="C253" s="488"/>
      <c r="D253" s="494">
        <v>1</v>
      </c>
      <c r="F253" s="357"/>
      <c r="G253" s="357"/>
      <c r="H253" s="357"/>
      <c r="J253" s="357"/>
      <c r="K253" s="357"/>
      <c r="L253" s="357"/>
    </row>
    <row r="254" spans="2:12" x14ac:dyDescent="0.3">
      <c r="B254" s="487" t="s">
        <v>58</v>
      </c>
      <c r="C254" s="488"/>
      <c r="D254" s="494">
        <v>1</v>
      </c>
      <c r="F254" s="357"/>
      <c r="G254" s="357"/>
      <c r="H254" s="357"/>
      <c r="J254" s="357"/>
      <c r="K254" s="357"/>
      <c r="L254" s="357"/>
    </row>
    <row r="255" spans="2:12" x14ac:dyDescent="0.3">
      <c r="B255" s="487" t="s">
        <v>673</v>
      </c>
      <c r="C255" s="488"/>
      <c r="D255" s="494">
        <v>1</v>
      </c>
      <c r="F255" s="357"/>
      <c r="G255" s="357"/>
      <c r="H255" s="357"/>
      <c r="J255" s="357"/>
      <c r="K255" s="357"/>
      <c r="L255" s="357"/>
    </row>
    <row r="256" spans="2:12" x14ac:dyDescent="0.3">
      <c r="B256" s="487" t="s">
        <v>62</v>
      </c>
      <c r="C256" s="488"/>
      <c r="D256" s="494">
        <v>1</v>
      </c>
      <c r="F256" s="357"/>
      <c r="G256" s="357"/>
      <c r="H256" s="357"/>
      <c r="J256" s="357"/>
      <c r="K256" s="357"/>
      <c r="L256" s="357"/>
    </row>
    <row r="257" spans="2:12" x14ac:dyDescent="0.3">
      <c r="B257" s="487" t="s">
        <v>1077</v>
      </c>
      <c r="C257" s="488"/>
      <c r="D257" s="494">
        <f>0+1</f>
        <v>1</v>
      </c>
      <c r="F257" s="357"/>
      <c r="G257" s="357"/>
      <c r="H257" s="357"/>
      <c r="J257" s="357"/>
      <c r="K257" s="357"/>
      <c r="L257" s="357"/>
    </row>
    <row r="258" spans="2:12" s="357" customFormat="1" ht="15" thickBot="1" x14ac:dyDescent="0.35">
      <c r="B258" s="490" t="s">
        <v>2183</v>
      </c>
      <c r="C258" s="491"/>
      <c r="D258" s="495">
        <v>1</v>
      </c>
    </row>
    <row r="259" spans="2:12" s="357" customFormat="1" x14ac:dyDescent="0.3"/>
    <row r="260" spans="2:12" s="357" customFormat="1" x14ac:dyDescent="0.3"/>
    <row r="261" spans="2:12" s="357" customFormat="1" x14ac:dyDescent="0.3"/>
    <row r="262" spans="2:12" s="357" customFormat="1" ht="15" thickBot="1" x14ac:dyDescent="0.35"/>
    <row r="263" spans="2:12" x14ac:dyDescent="0.3">
      <c r="B263" s="28" t="s">
        <v>106</v>
      </c>
      <c r="C263" s="21"/>
      <c r="D263" s="115" t="s">
        <v>261</v>
      </c>
      <c r="F263" s="28" t="s">
        <v>107</v>
      </c>
      <c r="G263" s="21"/>
      <c r="H263" s="115" t="s">
        <v>261</v>
      </c>
      <c r="J263" s="17" t="s">
        <v>108</v>
      </c>
      <c r="K263" s="21"/>
      <c r="L263" s="115" t="s">
        <v>261</v>
      </c>
    </row>
    <row r="264" spans="2:12" x14ac:dyDescent="0.3">
      <c r="B264" s="484" t="s">
        <v>50</v>
      </c>
      <c r="C264" s="485"/>
      <c r="D264" s="486">
        <v>120</v>
      </c>
      <c r="F264" s="484" t="s">
        <v>185</v>
      </c>
      <c r="G264" s="485"/>
      <c r="H264" s="486">
        <v>69</v>
      </c>
      <c r="J264" s="484" t="s">
        <v>50</v>
      </c>
      <c r="K264" s="485"/>
      <c r="L264" s="507" t="s">
        <v>280</v>
      </c>
    </row>
    <row r="265" spans="2:12" x14ac:dyDescent="0.3">
      <c r="B265" s="487" t="s">
        <v>185</v>
      </c>
      <c r="C265" s="488"/>
      <c r="D265" s="489">
        <v>116</v>
      </c>
      <c r="F265" s="487" t="s">
        <v>48</v>
      </c>
      <c r="G265" s="488"/>
      <c r="H265" s="489">
        <v>66</v>
      </c>
      <c r="J265" s="487" t="s">
        <v>185</v>
      </c>
      <c r="K265" s="488"/>
      <c r="L265" s="508" t="s">
        <v>282</v>
      </c>
    </row>
    <row r="266" spans="2:12" x14ac:dyDescent="0.3">
      <c r="B266" s="487" t="s">
        <v>48</v>
      </c>
      <c r="C266" s="488"/>
      <c r="D266" s="489">
        <v>102</v>
      </c>
      <c r="F266" s="487" t="s">
        <v>53</v>
      </c>
      <c r="G266" s="488"/>
      <c r="H266" s="489">
        <v>59</v>
      </c>
      <c r="J266" s="487" t="s">
        <v>48</v>
      </c>
      <c r="K266" s="488"/>
      <c r="L266" s="508" t="s">
        <v>288</v>
      </c>
    </row>
    <row r="267" spans="2:12" x14ac:dyDescent="0.3">
      <c r="B267" s="487" t="s">
        <v>47</v>
      </c>
      <c r="C267" s="488"/>
      <c r="D267" s="489">
        <v>97</v>
      </c>
      <c r="F267" s="487" t="s">
        <v>50</v>
      </c>
      <c r="G267" s="488"/>
      <c r="H267" s="489">
        <v>58</v>
      </c>
      <c r="J267" s="487" t="s">
        <v>47</v>
      </c>
      <c r="K267" s="488"/>
      <c r="L267" s="508" t="s">
        <v>281</v>
      </c>
    </row>
    <row r="268" spans="2:12" x14ac:dyDescent="0.3">
      <c r="B268" s="487" t="s">
        <v>182</v>
      </c>
      <c r="C268" s="488"/>
      <c r="D268" s="489">
        <v>77</v>
      </c>
      <c r="F268" s="487" t="s">
        <v>47</v>
      </c>
      <c r="G268" s="488"/>
      <c r="H268" s="489">
        <v>57</v>
      </c>
      <c r="J268" s="487" t="s">
        <v>56</v>
      </c>
      <c r="K268" s="488"/>
      <c r="L268" s="508" t="s">
        <v>285</v>
      </c>
    </row>
    <row r="269" spans="2:12" x14ac:dyDescent="0.3">
      <c r="B269" s="487" t="s">
        <v>60</v>
      </c>
      <c r="C269" s="488"/>
      <c r="D269" s="489">
        <v>76</v>
      </c>
      <c r="F269" s="487" t="s">
        <v>51</v>
      </c>
      <c r="G269" s="488"/>
      <c r="H269" s="489">
        <v>53</v>
      </c>
      <c r="J269" s="487" t="s">
        <v>182</v>
      </c>
      <c r="K269" s="488"/>
      <c r="L269" s="508" t="s">
        <v>283</v>
      </c>
    </row>
    <row r="270" spans="2:12" x14ac:dyDescent="0.3">
      <c r="B270" s="487" t="s">
        <v>56</v>
      </c>
      <c r="C270" s="488"/>
      <c r="D270" s="489">
        <v>76</v>
      </c>
      <c r="F270" s="487" t="s">
        <v>49</v>
      </c>
      <c r="G270" s="488"/>
      <c r="H270" s="489">
        <v>53</v>
      </c>
      <c r="J270" s="487" t="s">
        <v>60</v>
      </c>
      <c r="K270" s="488"/>
      <c r="L270" s="508" t="s">
        <v>286</v>
      </c>
    </row>
    <row r="271" spans="2:12" x14ac:dyDescent="0.3">
      <c r="B271" s="487" t="s">
        <v>53</v>
      </c>
      <c r="C271" s="488"/>
      <c r="D271" s="489">
        <v>71</v>
      </c>
      <c r="F271" s="487" t="s">
        <v>54</v>
      </c>
      <c r="G271" s="488"/>
      <c r="H271" s="489">
        <v>46</v>
      </c>
      <c r="J271" s="487" t="s">
        <v>55</v>
      </c>
      <c r="K271" s="488"/>
      <c r="L271" s="508" t="s">
        <v>287</v>
      </c>
    </row>
    <row r="272" spans="2:12" x14ac:dyDescent="0.3">
      <c r="B272" s="487" t="s">
        <v>49</v>
      </c>
      <c r="C272" s="488"/>
      <c r="D272" s="489">
        <v>70</v>
      </c>
      <c r="F272" s="487" t="s">
        <v>60</v>
      </c>
      <c r="G272" s="488"/>
      <c r="H272" s="489">
        <v>44</v>
      </c>
      <c r="J272" s="487" t="s">
        <v>181</v>
      </c>
      <c r="K272" s="488"/>
      <c r="L272" s="508" t="s">
        <v>188</v>
      </c>
    </row>
    <row r="273" spans="2:12" x14ac:dyDescent="0.3">
      <c r="B273" s="487" t="s">
        <v>51</v>
      </c>
      <c r="C273" s="488"/>
      <c r="D273" s="489">
        <v>62</v>
      </c>
      <c r="F273" s="487" t="s">
        <v>182</v>
      </c>
      <c r="G273" s="488"/>
      <c r="H273" s="489">
        <v>43</v>
      </c>
      <c r="J273" s="487" t="s">
        <v>279</v>
      </c>
      <c r="K273" s="488"/>
      <c r="L273" s="508" t="s">
        <v>284</v>
      </c>
    </row>
    <row r="274" spans="2:12" x14ac:dyDescent="0.3">
      <c r="B274" s="487" t="s">
        <v>54</v>
      </c>
      <c r="C274" s="488"/>
      <c r="D274" s="489">
        <v>61</v>
      </c>
      <c r="F274" s="487" t="s">
        <v>52</v>
      </c>
      <c r="G274" s="488"/>
      <c r="H274" s="489">
        <v>39</v>
      </c>
      <c r="J274" s="487" t="s">
        <v>49</v>
      </c>
      <c r="K274" s="488"/>
      <c r="L274" s="509" t="s">
        <v>192</v>
      </c>
    </row>
    <row r="275" spans="2:12" x14ac:dyDescent="0.3">
      <c r="B275" s="487" t="s">
        <v>181</v>
      </c>
      <c r="C275" s="488"/>
      <c r="D275" s="489">
        <v>58</v>
      </c>
      <c r="F275" s="487" t="s">
        <v>56</v>
      </c>
      <c r="G275" s="488"/>
      <c r="H275" s="489">
        <v>38</v>
      </c>
      <c r="J275" s="487" t="s">
        <v>54</v>
      </c>
      <c r="K275" s="488"/>
      <c r="L275" s="508" t="s">
        <v>289</v>
      </c>
    </row>
    <row r="276" spans="2:12" x14ac:dyDescent="0.3">
      <c r="B276" s="487" t="s">
        <v>55</v>
      </c>
      <c r="C276" s="488"/>
      <c r="D276" s="489">
        <v>56</v>
      </c>
      <c r="F276" s="487" t="s">
        <v>58</v>
      </c>
      <c r="G276" s="488"/>
      <c r="H276" s="489">
        <v>37</v>
      </c>
      <c r="J276" s="487" t="s">
        <v>53</v>
      </c>
      <c r="K276" s="488"/>
      <c r="L276" s="508" t="s">
        <v>23</v>
      </c>
    </row>
    <row r="277" spans="2:12" x14ac:dyDescent="0.3">
      <c r="B277" s="487" t="s">
        <v>57</v>
      </c>
      <c r="C277" s="488"/>
      <c r="D277" s="489">
        <v>46</v>
      </c>
      <c r="F277" s="487" t="s">
        <v>57</v>
      </c>
      <c r="G277" s="488"/>
      <c r="H277" s="489">
        <v>35</v>
      </c>
      <c r="J277" s="487" t="s">
        <v>57</v>
      </c>
      <c r="K277" s="488"/>
      <c r="L277" s="508" t="s">
        <v>9</v>
      </c>
    </row>
    <row r="278" spans="2:12" x14ac:dyDescent="0.3">
      <c r="B278" s="487" t="s">
        <v>58</v>
      </c>
      <c r="C278" s="488"/>
      <c r="D278" s="489">
        <v>43</v>
      </c>
      <c r="F278" s="487" t="s">
        <v>181</v>
      </c>
      <c r="G278" s="488"/>
      <c r="H278" s="489">
        <v>31</v>
      </c>
      <c r="J278" s="487" t="s">
        <v>278</v>
      </c>
      <c r="K278" s="488"/>
      <c r="L278" s="508" t="s">
        <v>133</v>
      </c>
    </row>
    <row r="279" spans="2:12" x14ac:dyDescent="0.3">
      <c r="B279" s="487" t="s">
        <v>52</v>
      </c>
      <c r="C279" s="488"/>
      <c r="D279" s="489">
        <v>40</v>
      </c>
      <c r="F279" s="487" t="s">
        <v>55</v>
      </c>
      <c r="G279" s="488"/>
      <c r="H279" s="489">
        <v>28</v>
      </c>
      <c r="J279" s="487" t="s">
        <v>51</v>
      </c>
      <c r="K279" s="488"/>
      <c r="L279" s="508" t="s">
        <v>170</v>
      </c>
    </row>
    <row r="280" spans="2:12" x14ac:dyDescent="0.3">
      <c r="B280" s="487" t="s">
        <v>279</v>
      </c>
      <c r="C280" s="488"/>
      <c r="D280" s="489">
        <v>38</v>
      </c>
      <c r="F280" s="487" t="s">
        <v>62</v>
      </c>
      <c r="G280" s="488"/>
      <c r="H280" s="489">
        <v>23</v>
      </c>
      <c r="J280" s="487" t="s">
        <v>61</v>
      </c>
      <c r="K280" s="488"/>
      <c r="L280" s="508" t="s">
        <v>13</v>
      </c>
    </row>
    <row r="281" spans="2:12" x14ac:dyDescent="0.3">
      <c r="B281" s="487" t="s">
        <v>278</v>
      </c>
      <c r="C281" s="488"/>
      <c r="D281" s="489">
        <v>25</v>
      </c>
      <c r="F281" s="487" t="s">
        <v>186</v>
      </c>
      <c r="G281" s="488"/>
      <c r="H281" s="489">
        <v>16</v>
      </c>
      <c r="J281" s="487" t="s">
        <v>58</v>
      </c>
      <c r="K281" s="488"/>
      <c r="L281" s="508" t="s">
        <v>189</v>
      </c>
    </row>
    <row r="282" spans="2:12" x14ac:dyDescent="0.3">
      <c r="B282" s="487" t="s">
        <v>62</v>
      </c>
      <c r="C282" s="488"/>
      <c r="D282" s="489">
        <v>21</v>
      </c>
      <c r="F282" s="487" t="s">
        <v>278</v>
      </c>
      <c r="G282" s="488"/>
      <c r="H282" s="489">
        <v>15</v>
      </c>
      <c r="J282" s="487" t="s">
        <v>59</v>
      </c>
      <c r="K282" s="488"/>
      <c r="L282" s="508" t="s">
        <v>189</v>
      </c>
    </row>
    <row r="283" spans="2:12" x14ac:dyDescent="0.3">
      <c r="B283" s="487" t="s">
        <v>186</v>
      </c>
      <c r="C283" s="488"/>
      <c r="D283" s="489">
        <v>20</v>
      </c>
      <c r="F283" s="487" t="s">
        <v>279</v>
      </c>
      <c r="G283" s="488"/>
      <c r="H283" s="489">
        <v>14</v>
      </c>
      <c r="J283" s="487" t="s">
        <v>63</v>
      </c>
      <c r="K283" s="488"/>
      <c r="L283" s="508" t="s">
        <v>190</v>
      </c>
    </row>
    <row r="284" spans="2:12" x14ac:dyDescent="0.3">
      <c r="B284" s="487" t="s">
        <v>61</v>
      </c>
      <c r="C284" s="488"/>
      <c r="D284" s="489">
        <v>17</v>
      </c>
      <c r="F284" s="487" t="s">
        <v>61</v>
      </c>
      <c r="G284" s="488"/>
      <c r="H284" s="489">
        <v>10</v>
      </c>
      <c r="J284" s="487" t="s">
        <v>186</v>
      </c>
      <c r="K284" s="488"/>
      <c r="L284" s="508" t="s">
        <v>6</v>
      </c>
    </row>
    <row r="285" spans="2:12" x14ac:dyDescent="0.3">
      <c r="B285" s="487" t="s">
        <v>59</v>
      </c>
      <c r="C285" s="488"/>
      <c r="D285" s="489">
        <v>16</v>
      </c>
      <c r="F285" s="487" t="s">
        <v>59</v>
      </c>
      <c r="G285" s="488"/>
      <c r="H285" s="489">
        <v>10</v>
      </c>
      <c r="J285" s="487" t="s">
        <v>52</v>
      </c>
      <c r="K285" s="488"/>
      <c r="L285" s="508" t="s">
        <v>12</v>
      </c>
    </row>
    <row r="286" spans="2:12" x14ac:dyDescent="0.3">
      <c r="B286" s="487" t="s">
        <v>63</v>
      </c>
      <c r="C286" s="488"/>
      <c r="D286" s="489">
        <v>8</v>
      </c>
      <c r="F286" s="487" t="s">
        <v>187</v>
      </c>
      <c r="G286" s="488"/>
      <c r="H286" s="489">
        <v>8</v>
      </c>
      <c r="J286" s="487" t="s">
        <v>64</v>
      </c>
      <c r="K286" s="488"/>
      <c r="L286" s="510">
        <v>-1</v>
      </c>
    </row>
    <row r="287" spans="2:12" ht="15" thickBot="1" x14ac:dyDescent="0.35">
      <c r="B287" s="490" t="s">
        <v>187</v>
      </c>
      <c r="C287" s="491"/>
      <c r="D287" s="492">
        <v>3</v>
      </c>
      <c r="F287" s="487" t="s">
        <v>63</v>
      </c>
      <c r="G287" s="488"/>
      <c r="H287" s="489">
        <v>3</v>
      </c>
      <c r="J287" s="487" t="s">
        <v>62</v>
      </c>
      <c r="K287" s="488"/>
      <c r="L287" s="508" t="s">
        <v>191</v>
      </c>
    </row>
    <row r="288" spans="2:12" ht="15" thickBot="1" x14ac:dyDescent="0.35">
      <c r="B288" s="357"/>
      <c r="C288" s="357"/>
      <c r="D288" s="357"/>
      <c r="F288" s="490" t="s">
        <v>64</v>
      </c>
      <c r="G288" s="491"/>
      <c r="H288" s="492">
        <v>1</v>
      </c>
      <c r="J288" s="490" t="s">
        <v>187</v>
      </c>
      <c r="K288" s="491"/>
      <c r="L288" s="511" t="s">
        <v>176</v>
      </c>
    </row>
    <row r="289" s="357" customFormat="1" x14ac:dyDescent="0.3"/>
    <row r="290" s="357" customFormat="1" x14ac:dyDescent="0.3"/>
    <row r="291" s="357" customFormat="1" x14ac:dyDescent="0.3"/>
    <row r="292" s="357" customFormat="1" x14ac:dyDescent="0.3"/>
    <row r="293" s="357" customFormat="1" x14ac:dyDescent="0.3"/>
    <row r="294" s="357" customFormat="1" x14ac:dyDescent="0.3"/>
    <row r="295" s="357" customFormat="1" x14ac:dyDescent="0.3"/>
    <row r="296" s="357" customFormat="1" x14ac:dyDescent="0.3"/>
    <row r="297" s="357" customFormat="1" x14ac:dyDescent="0.3"/>
    <row r="298" s="357" customFormat="1" x14ac:dyDescent="0.3"/>
    <row r="299" s="357" customFormat="1" x14ac:dyDescent="0.3"/>
    <row r="300" s="357" customFormat="1" x14ac:dyDescent="0.3"/>
    <row r="301" s="357" customFormat="1" x14ac:dyDescent="0.3"/>
    <row r="302" s="357" customFormat="1" x14ac:dyDescent="0.3"/>
    <row r="303" s="357" customFormat="1" x14ac:dyDescent="0.3"/>
    <row r="304" s="357" customFormat="1" x14ac:dyDescent="0.3"/>
    <row r="305" s="357" customFormat="1" x14ac:dyDescent="0.3"/>
    <row r="306" s="357" customFormat="1" x14ac:dyDescent="0.3"/>
    <row r="307" s="357" customFormat="1" x14ac:dyDescent="0.3"/>
    <row r="308" s="357" customFormat="1" x14ac:dyDescent="0.3"/>
    <row r="309" s="357" customFormat="1" x14ac:dyDescent="0.3"/>
    <row r="310" s="357" customFormat="1" x14ac:dyDescent="0.3"/>
    <row r="311" s="357" customFormat="1" x14ac:dyDescent="0.3"/>
    <row r="312" s="357" customFormat="1" x14ac:dyDescent="0.3"/>
    <row r="313" s="357" customFormat="1" x14ac:dyDescent="0.3"/>
    <row r="314" s="357" customFormat="1" x14ac:dyDescent="0.3"/>
    <row r="315" s="357" customFormat="1" x14ac:dyDescent="0.3"/>
    <row r="316" s="357" customFormat="1" x14ac:dyDescent="0.3"/>
    <row r="317" s="357" customFormat="1" x14ac:dyDescent="0.3"/>
    <row r="318" s="357" customFormat="1" x14ac:dyDescent="0.3"/>
    <row r="319" s="357" customFormat="1" x14ac:dyDescent="0.3"/>
    <row r="320" s="357" customFormat="1" x14ac:dyDescent="0.3"/>
    <row r="321" s="357" customFormat="1" x14ac:dyDescent="0.3"/>
    <row r="322" s="357" customFormat="1" x14ac:dyDescent="0.3"/>
    <row r="323" s="357" customFormat="1" x14ac:dyDescent="0.3"/>
    <row r="324" s="357" customFormat="1" x14ac:dyDescent="0.3"/>
    <row r="325" s="357" customFormat="1" x14ac:dyDescent="0.3"/>
    <row r="326" s="357" customFormat="1" x14ac:dyDescent="0.3"/>
    <row r="327" s="357" customFormat="1" x14ac:dyDescent="0.3"/>
    <row r="328" s="357" customFormat="1" x14ac:dyDescent="0.3"/>
    <row r="329" s="357" customFormat="1" x14ac:dyDescent="0.3"/>
    <row r="330" s="357" customFormat="1" x14ac:dyDescent="0.3"/>
    <row r="331" s="357" customFormat="1" x14ac:dyDescent="0.3"/>
    <row r="332" s="357" customFormat="1" x14ac:dyDescent="0.3"/>
    <row r="333" s="357" customFormat="1" x14ac:dyDescent="0.3"/>
    <row r="334" s="357" customFormat="1" x14ac:dyDescent="0.3"/>
    <row r="335" s="357" customFormat="1" x14ac:dyDescent="0.3"/>
    <row r="336" s="357" customFormat="1" x14ac:dyDescent="0.3"/>
    <row r="337" s="357" customFormat="1" x14ac:dyDescent="0.3"/>
    <row r="338" s="357" customFormat="1" x14ac:dyDescent="0.3"/>
    <row r="339" s="357" customFormat="1" x14ac:dyDescent="0.3"/>
    <row r="340" s="357" customFormat="1" x14ac:dyDescent="0.3"/>
    <row r="341" s="357" customFormat="1" x14ac:dyDescent="0.3"/>
    <row r="342" s="357" customFormat="1" x14ac:dyDescent="0.3"/>
    <row r="343" s="357" customFormat="1" x14ac:dyDescent="0.3"/>
    <row r="344" s="357" customFormat="1" x14ac:dyDescent="0.3"/>
    <row r="345" s="357" customFormat="1" x14ac:dyDescent="0.3"/>
    <row r="346" s="357" customFormat="1" x14ac:dyDescent="0.3"/>
    <row r="347" s="357" customFormat="1" x14ac:dyDescent="0.3"/>
    <row r="348" s="357" customFormat="1" x14ac:dyDescent="0.3"/>
    <row r="349" s="357" customFormat="1" x14ac:dyDescent="0.3"/>
    <row r="350" s="357" customFormat="1" x14ac:dyDescent="0.3"/>
    <row r="351" s="357" customFormat="1" x14ac:dyDescent="0.3"/>
    <row r="352" s="357" customFormat="1" x14ac:dyDescent="0.3"/>
  </sheetData>
  <phoneticPr fontId="10" type="noConversion"/>
  <pageMargins left="0.19685039370078741" right="0.19685039370078741" top="0.74803149606299213" bottom="0.74803149606299213" header="0" footer="0"/>
  <pageSetup paperSize="9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H232" numberStoredAsText="1"/>
    <ignoredError sqref="H231 H227" twoDigitTextYear="1"/>
    <ignoredError sqref="D104" formula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V637"/>
  <sheetViews>
    <sheetView zoomScaleNormal="100" workbookViewId="0">
      <selection activeCell="J565" sqref="J565"/>
    </sheetView>
  </sheetViews>
  <sheetFormatPr defaultColWidth="12.33203125" defaultRowHeight="14.4" x14ac:dyDescent="0.3"/>
  <cols>
    <col min="1" max="1" width="2.88671875" style="357" customWidth="1"/>
    <col min="2" max="2" width="12.33203125" style="5"/>
    <col min="3" max="3" width="15.109375" customWidth="1"/>
    <col min="4" max="4" width="15.33203125" customWidth="1"/>
    <col min="5" max="5" width="17.33203125" customWidth="1"/>
    <col min="6" max="6" width="14.5546875" customWidth="1"/>
    <col min="7" max="7" width="8.109375" customWidth="1"/>
    <col min="8" max="8" width="10" customWidth="1"/>
    <col min="11" max="11" width="22.88671875" customWidth="1"/>
    <col min="12" max="12" width="22.6640625" customWidth="1"/>
    <col min="13" max="13" width="5.6640625" style="1" customWidth="1"/>
    <col min="14" max="14" width="28.88671875" customWidth="1"/>
    <col min="15" max="15" width="4" customWidth="1"/>
    <col min="16" max="16" width="6.5546875" style="357" customWidth="1"/>
    <col min="17" max="22" width="12.33203125" style="357"/>
  </cols>
  <sheetData>
    <row r="1" spans="1:22" s="357" customFormat="1" x14ac:dyDescent="0.3">
      <c r="B1" s="401"/>
      <c r="M1" s="377"/>
    </row>
    <row r="2" spans="1:22" s="377" customFormat="1" ht="36.6" x14ac:dyDescent="0.85">
      <c r="B2" s="379" t="s">
        <v>0</v>
      </c>
      <c r="G2" s="381" t="s">
        <v>15</v>
      </c>
      <c r="H2" s="381"/>
    </row>
    <row r="3" spans="1:22" s="357" customFormat="1" x14ac:dyDescent="0.3">
      <c r="F3" s="377"/>
      <c r="M3" s="377"/>
    </row>
    <row r="4" spans="1:22" s="1" customFormat="1" x14ac:dyDescent="0.3">
      <c r="A4" s="377"/>
      <c r="B4" s="512" t="s">
        <v>19</v>
      </c>
      <c r="C4" s="311" t="s">
        <v>141</v>
      </c>
      <c r="D4" s="311"/>
      <c r="E4" s="515">
        <v>38991</v>
      </c>
      <c r="F4" s="425" t="s">
        <v>20</v>
      </c>
      <c r="G4" s="513"/>
      <c r="H4" s="513"/>
      <c r="I4" s="514" t="s">
        <v>31</v>
      </c>
      <c r="J4" s="425" t="s">
        <v>147</v>
      </c>
      <c r="K4" s="311" t="s">
        <v>41</v>
      </c>
      <c r="L4" s="311"/>
      <c r="M4" s="311" t="s">
        <v>42</v>
      </c>
      <c r="N4" s="333"/>
      <c r="P4" s="357"/>
      <c r="Q4" s="377"/>
      <c r="R4" s="377"/>
      <c r="S4" s="377"/>
      <c r="T4" s="377"/>
      <c r="U4" s="377"/>
      <c r="V4" s="377"/>
    </row>
    <row r="5" spans="1:22" s="377" customFormat="1" ht="3.75" customHeight="1" x14ac:dyDescent="0.3">
      <c r="B5" s="525"/>
      <c r="C5" s="357"/>
      <c r="D5" s="357"/>
      <c r="E5" s="526"/>
      <c r="F5" s="386"/>
      <c r="I5" s="469"/>
      <c r="J5" s="386"/>
      <c r="K5" s="357"/>
      <c r="L5" s="357"/>
      <c r="M5" s="357"/>
      <c r="N5" s="357"/>
      <c r="P5" s="357"/>
    </row>
    <row r="6" spans="1:22" s="1" customFormat="1" x14ac:dyDescent="0.3">
      <c r="A6" s="377"/>
      <c r="B6" s="436" t="s">
        <v>17</v>
      </c>
      <c r="C6" s="311" t="s">
        <v>141</v>
      </c>
      <c r="D6" s="311"/>
      <c r="E6" s="515">
        <v>39088</v>
      </c>
      <c r="F6" s="425" t="s">
        <v>21</v>
      </c>
      <c r="G6" s="513"/>
      <c r="H6" s="513"/>
      <c r="I6" s="514" t="s">
        <v>32</v>
      </c>
      <c r="J6" s="425" t="s">
        <v>35</v>
      </c>
      <c r="K6" s="311" t="s">
        <v>41</v>
      </c>
      <c r="L6" s="311"/>
      <c r="M6" s="311" t="s">
        <v>43</v>
      </c>
      <c r="N6" s="333"/>
      <c r="P6" s="357"/>
      <c r="Q6" s="377"/>
      <c r="R6" s="377"/>
      <c r="S6" s="377"/>
      <c r="T6" s="377"/>
      <c r="U6" s="377"/>
      <c r="V6" s="377"/>
    </row>
    <row r="7" spans="1:22" s="377" customFormat="1" ht="3.75" customHeight="1" x14ac:dyDescent="0.3">
      <c r="B7" s="401"/>
      <c r="C7" s="357"/>
      <c r="D7" s="357"/>
      <c r="E7" s="526"/>
      <c r="F7" s="386"/>
      <c r="I7" s="469"/>
      <c r="J7" s="386"/>
      <c r="K7" s="357"/>
      <c r="L7" s="357"/>
      <c r="M7" s="357"/>
      <c r="N7" s="357"/>
      <c r="P7" s="357"/>
    </row>
    <row r="8" spans="1:22" s="1" customFormat="1" x14ac:dyDescent="0.3">
      <c r="A8" s="377"/>
      <c r="B8" s="436" t="s">
        <v>18</v>
      </c>
      <c r="C8" s="311" t="s">
        <v>141</v>
      </c>
      <c r="D8" s="311"/>
      <c r="E8" s="515">
        <v>39158</v>
      </c>
      <c r="F8" s="425" t="s">
        <v>22</v>
      </c>
      <c r="G8" s="513"/>
      <c r="H8" s="513"/>
      <c r="I8" s="514" t="s">
        <v>29</v>
      </c>
      <c r="J8" s="425" t="s">
        <v>40</v>
      </c>
      <c r="K8" s="311" t="s">
        <v>41</v>
      </c>
      <c r="L8" s="311"/>
      <c r="M8" s="311" t="s">
        <v>144</v>
      </c>
      <c r="N8" s="333"/>
      <c r="P8" s="357"/>
      <c r="Q8" s="377"/>
      <c r="R8" s="377"/>
      <c r="S8" s="377"/>
      <c r="T8" s="377"/>
      <c r="U8" s="377"/>
      <c r="V8" s="377"/>
    </row>
    <row r="9" spans="1:22" s="377" customFormat="1" ht="3.75" customHeight="1" x14ac:dyDescent="0.3">
      <c r="B9" s="401"/>
      <c r="C9" s="357"/>
      <c r="D9" s="357"/>
      <c r="E9" s="526"/>
      <c r="F9" s="386"/>
      <c r="I9" s="469"/>
      <c r="J9" s="386"/>
      <c r="K9" s="357"/>
      <c r="L9" s="357"/>
      <c r="M9" s="357"/>
      <c r="N9" s="357"/>
      <c r="P9" s="357"/>
    </row>
    <row r="10" spans="1:22" s="1" customFormat="1" x14ac:dyDescent="0.3">
      <c r="A10" s="377"/>
      <c r="B10" s="436" t="s">
        <v>140</v>
      </c>
      <c r="C10" s="311" t="s">
        <v>142</v>
      </c>
      <c r="D10" s="311"/>
      <c r="E10" s="847" t="s">
        <v>179</v>
      </c>
      <c r="F10" s="425" t="s">
        <v>143</v>
      </c>
      <c r="G10" s="513"/>
      <c r="H10" s="513"/>
      <c r="I10" s="514" t="s">
        <v>231</v>
      </c>
      <c r="J10" s="425" t="s">
        <v>146</v>
      </c>
      <c r="K10" s="311" t="s">
        <v>44</v>
      </c>
      <c r="L10" s="311"/>
      <c r="M10" s="311" t="s">
        <v>145</v>
      </c>
      <c r="N10" s="333"/>
      <c r="P10" s="357"/>
      <c r="Q10" s="377"/>
      <c r="R10" s="377"/>
      <c r="S10" s="377"/>
      <c r="T10" s="377"/>
      <c r="U10" s="377"/>
      <c r="V10" s="377"/>
    </row>
    <row r="11" spans="1:22" s="377" customFormat="1" ht="3.75" customHeight="1" x14ac:dyDescent="0.3">
      <c r="B11" s="401"/>
      <c r="C11" s="357"/>
      <c r="D11" s="357"/>
      <c r="E11" s="386"/>
      <c r="F11" s="386"/>
      <c r="I11" s="469"/>
      <c r="J11" s="386"/>
      <c r="K11" s="357"/>
      <c r="L11" s="357"/>
      <c r="M11" s="357"/>
      <c r="N11" s="357"/>
      <c r="P11" s="357"/>
    </row>
    <row r="12" spans="1:22" s="1" customFormat="1" x14ac:dyDescent="0.3">
      <c r="A12" s="377"/>
      <c r="B12" s="436" t="s">
        <v>290</v>
      </c>
      <c r="C12" s="311" t="s">
        <v>291</v>
      </c>
      <c r="D12" s="311"/>
      <c r="E12" s="515">
        <v>39753</v>
      </c>
      <c r="F12" s="425" t="s">
        <v>292</v>
      </c>
      <c r="G12" s="425"/>
      <c r="H12" s="425"/>
      <c r="I12" s="514" t="s">
        <v>248</v>
      </c>
      <c r="J12" s="516" t="s">
        <v>592</v>
      </c>
      <c r="K12" s="311" t="s">
        <v>249</v>
      </c>
      <c r="L12" s="311"/>
      <c r="M12" s="311" t="s">
        <v>293</v>
      </c>
      <c r="N12" s="333"/>
      <c r="P12" s="357"/>
      <c r="Q12" s="377"/>
      <c r="R12" s="377"/>
      <c r="S12" s="377"/>
      <c r="T12" s="377"/>
      <c r="U12" s="377"/>
      <c r="V12" s="377"/>
    </row>
    <row r="13" spans="1:22" s="377" customFormat="1" ht="3.75" customHeight="1" x14ac:dyDescent="0.3">
      <c r="B13" s="401"/>
      <c r="C13" s="357"/>
      <c r="D13" s="357"/>
      <c r="E13" s="526"/>
      <c r="F13" s="386"/>
      <c r="G13" s="386"/>
      <c r="H13" s="386"/>
      <c r="I13" s="469"/>
      <c r="J13" s="387"/>
      <c r="K13" s="357"/>
      <c r="L13" s="357"/>
      <c r="M13" s="357"/>
      <c r="N13" s="357"/>
      <c r="P13" s="357"/>
    </row>
    <row r="14" spans="1:22" s="1" customFormat="1" x14ac:dyDescent="0.3">
      <c r="A14" s="377"/>
      <c r="B14" s="436" t="s">
        <v>294</v>
      </c>
      <c r="C14" s="311" t="s">
        <v>291</v>
      </c>
      <c r="D14" s="311"/>
      <c r="E14" s="515">
        <v>39851</v>
      </c>
      <c r="F14" s="425" t="s">
        <v>295</v>
      </c>
      <c r="G14" s="425"/>
      <c r="H14" s="425"/>
      <c r="I14" s="514" t="s">
        <v>238</v>
      </c>
      <c r="J14" s="516" t="s">
        <v>593</v>
      </c>
      <c r="K14" s="311" t="s">
        <v>41</v>
      </c>
      <c r="L14" s="311"/>
      <c r="M14" s="311" t="s">
        <v>296</v>
      </c>
      <c r="N14" s="333"/>
      <c r="P14" s="357"/>
      <c r="Q14" s="377"/>
      <c r="R14" s="377"/>
      <c r="S14" s="377"/>
      <c r="T14" s="377"/>
      <c r="U14" s="377"/>
      <c r="V14" s="377"/>
    </row>
    <row r="15" spans="1:22" s="377" customFormat="1" ht="3.75" customHeight="1" x14ac:dyDescent="0.3">
      <c r="C15" s="357"/>
      <c r="D15" s="357"/>
      <c r="E15" s="526"/>
      <c r="F15" s="386"/>
      <c r="G15" s="386"/>
      <c r="H15" s="386"/>
      <c r="I15" s="469"/>
      <c r="J15" s="387"/>
      <c r="K15" s="357"/>
      <c r="L15" s="357"/>
      <c r="M15" s="357"/>
      <c r="N15" s="357"/>
      <c r="P15" s="357"/>
    </row>
    <row r="16" spans="1:22" s="1" customFormat="1" x14ac:dyDescent="0.3">
      <c r="A16" s="377"/>
      <c r="B16" s="423" t="s">
        <v>588</v>
      </c>
      <c r="C16" s="311" t="s">
        <v>590</v>
      </c>
      <c r="D16" s="311"/>
      <c r="E16" s="515">
        <v>40082</v>
      </c>
      <c r="F16" s="425" t="s">
        <v>591</v>
      </c>
      <c r="G16" s="425"/>
      <c r="H16" s="425"/>
      <c r="I16" s="514" t="s">
        <v>541</v>
      </c>
      <c r="J16" s="516" t="s">
        <v>594</v>
      </c>
      <c r="K16" s="311" t="s">
        <v>249</v>
      </c>
      <c r="L16" s="311"/>
      <c r="M16" s="311" t="s">
        <v>243</v>
      </c>
      <c r="N16" s="333"/>
      <c r="P16" s="357"/>
      <c r="Q16" s="377"/>
      <c r="R16" s="377"/>
      <c r="S16" s="377"/>
      <c r="T16" s="377"/>
      <c r="U16" s="377"/>
      <c r="V16" s="377"/>
    </row>
    <row r="17" spans="2:16" s="377" customFormat="1" ht="3.75" customHeight="1" x14ac:dyDescent="0.3">
      <c r="B17" s="401"/>
      <c r="C17" s="357"/>
      <c r="D17" s="357"/>
      <c r="E17" s="526"/>
      <c r="F17" s="386"/>
      <c r="G17" s="386"/>
      <c r="H17" s="386"/>
      <c r="I17" s="469"/>
      <c r="J17" s="387"/>
      <c r="K17" s="357"/>
      <c r="L17" s="357"/>
      <c r="M17" s="357"/>
      <c r="N17" s="357"/>
      <c r="P17" s="357"/>
    </row>
    <row r="18" spans="2:16" x14ac:dyDescent="0.3">
      <c r="B18" s="517" t="s">
        <v>589</v>
      </c>
      <c r="C18" s="311" t="s">
        <v>590</v>
      </c>
      <c r="D18" s="311"/>
      <c r="E18" s="515">
        <v>40257</v>
      </c>
      <c r="F18" s="425" t="s">
        <v>595</v>
      </c>
      <c r="G18" s="311"/>
      <c r="H18" s="311"/>
      <c r="I18" s="514" t="s">
        <v>596</v>
      </c>
      <c r="J18" s="516" t="s">
        <v>597</v>
      </c>
      <c r="K18" s="311" t="s">
        <v>558</v>
      </c>
      <c r="L18" s="513"/>
      <c r="M18" s="311" t="s">
        <v>598</v>
      </c>
      <c r="N18" s="333"/>
    </row>
    <row r="19" spans="2:16" s="357" customFormat="1" ht="3.75" customHeight="1" x14ac:dyDescent="0.3">
      <c r="F19" s="377"/>
      <c r="L19" s="377"/>
    </row>
    <row r="20" spans="2:16" x14ac:dyDescent="0.3">
      <c r="B20" s="517" t="s">
        <v>749</v>
      </c>
      <c r="C20" s="311" t="s">
        <v>750</v>
      </c>
      <c r="D20" s="311"/>
      <c r="E20" s="515">
        <v>40552</v>
      </c>
      <c r="F20" s="425" t="s">
        <v>751</v>
      </c>
      <c r="G20" s="311"/>
      <c r="H20" s="311"/>
      <c r="I20" s="514" t="s">
        <v>752</v>
      </c>
      <c r="J20" s="516" t="s">
        <v>753</v>
      </c>
      <c r="K20" s="311" t="s">
        <v>731</v>
      </c>
      <c r="L20" s="513"/>
      <c r="M20" s="311" t="s">
        <v>296</v>
      </c>
      <c r="N20" s="333"/>
    </row>
    <row r="21" spans="2:16" s="357" customFormat="1" ht="3.75" customHeight="1" x14ac:dyDescent="0.3">
      <c r="B21" s="527"/>
      <c r="E21" s="526"/>
      <c r="F21" s="386"/>
      <c r="I21" s="469"/>
      <c r="J21" s="387"/>
      <c r="L21" s="377"/>
    </row>
    <row r="22" spans="2:16" x14ac:dyDescent="0.3">
      <c r="B22" s="423" t="s">
        <v>865</v>
      </c>
      <c r="C22" s="311" t="s">
        <v>866</v>
      </c>
      <c r="D22" s="311"/>
      <c r="E22" s="515">
        <v>40811</v>
      </c>
      <c r="F22" s="425" t="s">
        <v>867</v>
      </c>
      <c r="G22" s="311"/>
      <c r="H22" s="311"/>
      <c r="I22" s="514" t="s">
        <v>777</v>
      </c>
      <c r="J22" s="516" t="s">
        <v>869</v>
      </c>
      <c r="K22" s="311" t="s">
        <v>796</v>
      </c>
      <c r="L22" s="513"/>
      <c r="M22" s="311" t="s">
        <v>868</v>
      </c>
      <c r="N22" s="333"/>
    </row>
    <row r="23" spans="2:16" s="357" customFormat="1" ht="3.75" customHeight="1" x14ac:dyDescent="0.3">
      <c r="B23" s="399"/>
      <c r="E23" s="526"/>
      <c r="F23" s="386"/>
      <c r="I23" s="469"/>
      <c r="J23" s="387"/>
      <c r="L23" s="377"/>
    </row>
    <row r="24" spans="2:16" ht="15" customHeight="1" x14ac:dyDescent="0.3">
      <c r="B24" s="423" t="s">
        <v>870</v>
      </c>
      <c r="C24" s="311" t="s">
        <v>866</v>
      </c>
      <c r="D24" s="311"/>
      <c r="E24" s="515">
        <v>40943</v>
      </c>
      <c r="F24" s="425" t="s">
        <v>871</v>
      </c>
      <c r="G24" s="311"/>
      <c r="H24" s="311"/>
      <c r="I24" s="514" t="s">
        <v>811</v>
      </c>
      <c r="J24" s="516" t="s">
        <v>872</v>
      </c>
      <c r="K24" s="311" t="s">
        <v>794</v>
      </c>
      <c r="L24" s="513"/>
      <c r="M24" s="311" t="s">
        <v>873</v>
      </c>
      <c r="N24" s="333"/>
    </row>
    <row r="25" spans="2:16" s="357" customFormat="1" ht="3.75" customHeight="1" x14ac:dyDescent="0.3">
      <c r="B25" s="399"/>
      <c r="E25" s="526"/>
      <c r="F25" s="386"/>
      <c r="I25" s="469"/>
      <c r="J25" s="387"/>
      <c r="L25" s="377"/>
    </row>
    <row r="26" spans="2:16" x14ac:dyDescent="0.3">
      <c r="B26" s="423" t="s">
        <v>969</v>
      </c>
      <c r="C26" s="311" t="s">
        <v>970</v>
      </c>
      <c r="D26" s="311"/>
      <c r="E26" s="515">
        <v>41238</v>
      </c>
      <c r="F26" s="425" t="s">
        <v>972</v>
      </c>
      <c r="G26" s="311"/>
      <c r="H26" s="311"/>
      <c r="I26" s="514" t="s">
        <v>901</v>
      </c>
      <c r="J26" s="516" t="s">
        <v>973</v>
      </c>
      <c r="K26" s="311" t="s">
        <v>796</v>
      </c>
      <c r="L26" s="513"/>
      <c r="M26" s="311" t="s">
        <v>974</v>
      </c>
      <c r="N26" s="333"/>
    </row>
    <row r="27" spans="2:16" s="357" customFormat="1" ht="3.75" customHeight="1" x14ac:dyDescent="0.3">
      <c r="B27" s="399"/>
      <c r="E27" s="526"/>
      <c r="F27" s="386"/>
      <c r="I27" s="469"/>
      <c r="J27" s="387"/>
      <c r="L27" s="377"/>
    </row>
    <row r="28" spans="2:16" ht="15" customHeight="1" x14ac:dyDescent="0.3">
      <c r="B28" s="423" t="s">
        <v>971</v>
      </c>
      <c r="C28" s="311" t="s">
        <v>970</v>
      </c>
      <c r="D28" s="311"/>
      <c r="E28" s="515">
        <v>41322</v>
      </c>
      <c r="F28" s="425" t="s">
        <v>975</v>
      </c>
      <c r="G28" s="311"/>
      <c r="H28" s="311"/>
      <c r="I28" s="514" t="s">
        <v>931</v>
      </c>
      <c r="J28" s="516" t="s">
        <v>976</v>
      </c>
      <c r="K28" s="311" t="s">
        <v>579</v>
      </c>
      <c r="L28" s="513"/>
      <c r="M28" s="311" t="s">
        <v>873</v>
      </c>
      <c r="N28" s="333"/>
    </row>
    <row r="29" spans="2:16" s="357" customFormat="1" ht="3.75" customHeight="1" x14ac:dyDescent="0.3">
      <c r="B29" s="399"/>
      <c r="E29" s="526"/>
      <c r="F29" s="386"/>
      <c r="I29" s="469"/>
      <c r="J29" s="387"/>
      <c r="L29" s="377"/>
    </row>
    <row r="30" spans="2:16" ht="15" customHeight="1" x14ac:dyDescent="0.3">
      <c r="B30" s="423" t="s">
        <v>1094</v>
      </c>
      <c r="C30" s="311" t="s">
        <v>1096</v>
      </c>
      <c r="D30" s="311"/>
      <c r="E30" s="515">
        <v>41623</v>
      </c>
      <c r="F30" s="425" t="s">
        <v>1097</v>
      </c>
      <c r="G30" s="311"/>
      <c r="H30" s="311"/>
      <c r="I30" s="514" t="s">
        <v>244</v>
      </c>
      <c r="J30" s="516" t="s">
        <v>1098</v>
      </c>
      <c r="K30" s="311" t="s">
        <v>150</v>
      </c>
      <c r="L30" s="513"/>
      <c r="M30" s="311" t="s">
        <v>1099</v>
      </c>
      <c r="N30" s="333"/>
    </row>
    <row r="31" spans="2:16" s="357" customFormat="1" ht="3.75" customHeight="1" x14ac:dyDescent="0.3">
      <c r="B31" s="399"/>
      <c r="E31" s="526"/>
      <c r="F31" s="386"/>
      <c r="I31" s="469"/>
      <c r="J31" s="387"/>
      <c r="L31" s="377"/>
    </row>
    <row r="32" spans="2:16" ht="15" customHeight="1" x14ac:dyDescent="0.3">
      <c r="B32" s="423" t="s">
        <v>1095</v>
      </c>
      <c r="C32" s="311" t="s">
        <v>1096</v>
      </c>
      <c r="D32" s="311"/>
      <c r="E32" s="515">
        <v>41713</v>
      </c>
      <c r="F32" s="425" t="s">
        <v>1100</v>
      </c>
      <c r="G32" s="311"/>
      <c r="H32" s="311"/>
      <c r="I32" s="514" t="s">
        <v>1064</v>
      </c>
      <c r="J32" s="516" t="s">
        <v>1101</v>
      </c>
      <c r="K32" s="311" t="s">
        <v>579</v>
      </c>
      <c r="L32" s="513"/>
      <c r="M32" s="311" t="s">
        <v>2434</v>
      </c>
      <c r="N32" s="333"/>
    </row>
    <row r="33" spans="2:14" s="357" customFormat="1" ht="3.75" customHeight="1" x14ac:dyDescent="0.3">
      <c r="B33" s="399"/>
      <c r="E33" s="526"/>
      <c r="F33" s="386"/>
      <c r="I33" s="469"/>
      <c r="J33" s="387"/>
      <c r="L33" s="377"/>
    </row>
    <row r="34" spans="2:14" ht="15" customHeight="1" x14ac:dyDescent="0.3">
      <c r="B34" s="423" t="s">
        <v>1380</v>
      </c>
      <c r="C34" s="311" t="s">
        <v>1381</v>
      </c>
      <c r="D34" s="311"/>
      <c r="E34" s="515">
        <v>41993</v>
      </c>
      <c r="F34" s="425" t="s">
        <v>1248</v>
      </c>
      <c r="G34" s="311"/>
      <c r="H34" s="311"/>
      <c r="I34" s="514" t="s">
        <v>250</v>
      </c>
      <c r="J34" s="516" t="s">
        <v>1383</v>
      </c>
      <c r="K34" s="311" t="s">
        <v>579</v>
      </c>
      <c r="L34" s="513"/>
      <c r="M34" s="311" t="s">
        <v>1384</v>
      </c>
      <c r="N34" s="333"/>
    </row>
    <row r="35" spans="2:14" s="357" customFormat="1" ht="3.75" customHeight="1" x14ac:dyDescent="0.3">
      <c r="B35" s="399"/>
      <c r="E35" s="526"/>
      <c r="F35" s="386"/>
      <c r="I35" s="469"/>
      <c r="J35" s="387"/>
      <c r="L35" s="377"/>
    </row>
    <row r="36" spans="2:14" ht="15" customHeight="1" x14ac:dyDescent="0.3">
      <c r="B36" s="423" t="s">
        <v>1382</v>
      </c>
      <c r="C36" s="311" t="s">
        <v>1481</v>
      </c>
      <c r="D36" s="311"/>
      <c r="E36" s="515">
        <v>42273</v>
      </c>
      <c r="F36" s="425" t="s">
        <v>1484</v>
      </c>
      <c r="G36" s="311"/>
      <c r="H36" s="311"/>
      <c r="I36" s="514" t="s">
        <v>780</v>
      </c>
      <c r="J36" s="516" t="s">
        <v>1482</v>
      </c>
      <c r="K36" s="311" t="s">
        <v>579</v>
      </c>
      <c r="L36" s="513"/>
      <c r="M36" s="311" t="s">
        <v>1483</v>
      </c>
      <c r="N36" s="333"/>
    </row>
    <row r="37" spans="2:14" s="357" customFormat="1" ht="3.75" customHeight="1" x14ac:dyDescent="0.3">
      <c r="B37" s="399"/>
      <c r="E37" s="526"/>
      <c r="F37" s="386"/>
      <c r="I37" s="469"/>
      <c r="J37" s="387"/>
      <c r="L37" s="377"/>
    </row>
    <row r="38" spans="2:14" x14ac:dyDescent="0.3">
      <c r="B38" s="518" t="s">
        <v>1485</v>
      </c>
      <c r="C38" s="311" t="s">
        <v>1481</v>
      </c>
      <c r="D38" s="311"/>
      <c r="E38" s="515">
        <v>42379</v>
      </c>
      <c r="F38" s="425" t="s">
        <v>1486</v>
      </c>
      <c r="G38" s="311"/>
      <c r="H38" s="311"/>
      <c r="I38" s="514" t="s">
        <v>1487</v>
      </c>
      <c r="J38" s="426" t="s">
        <v>1488</v>
      </c>
      <c r="K38" s="311" t="s">
        <v>150</v>
      </c>
      <c r="L38" s="513"/>
      <c r="M38" s="311" t="s">
        <v>1489</v>
      </c>
      <c r="N38" s="333"/>
    </row>
    <row r="39" spans="2:14" s="357" customFormat="1" ht="3.75" customHeight="1" x14ac:dyDescent="0.3">
      <c r="F39" s="377"/>
      <c r="L39" s="377"/>
    </row>
    <row r="40" spans="2:14" s="357" customFormat="1" ht="15" customHeight="1" x14ac:dyDescent="0.3">
      <c r="B40" s="518" t="s">
        <v>1598</v>
      </c>
      <c r="C40" s="311" t="s">
        <v>1600</v>
      </c>
      <c r="D40" s="311"/>
      <c r="E40" s="515">
        <v>42652</v>
      </c>
      <c r="F40" s="425" t="s">
        <v>1601</v>
      </c>
      <c r="G40" s="311"/>
      <c r="H40" s="311"/>
      <c r="I40" s="514" t="s">
        <v>1602</v>
      </c>
      <c r="J40" s="426" t="s">
        <v>1603</v>
      </c>
      <c r="K40" s="311" t="s">
        <v>150</v>
      </c>
      <c r="L40" s="513"/>
      <c r="M40" s="311" t="s">
        <v>1604</v>
      </c>
      <c r="N40" s="333"/>
    </row>
    <row r="41" spans="2:14" s="357" customFormat="1" ht="3.75" customHeight="1" x14ac:dyDescent="0.3">
      <c r="F41" s="377"/>
      <c r="L41" s="377"/>
    </row>
    <row r="42" spans="2:14" s="357" customFormat="1" ht="15" customHeight="1" x14ac:dyDescent="0.3">
      <c r="B42" s="518" t="s">
        <v>1599</v>
      </c>
      <c r="C42" s="311" t="s">
        <v>1600</v>
      </c>
      <c r="D42" s="311"/>
      <c r="E42" s="515">
        <v>42763</v>
      </c>
      <c r="F42" s="425" t="s">
        <v>1605</v>
      </c>
      <c r="G42" s="311"/>
      <c r="H42" s="311"/>
      <c r="I42" s="514" t="s">
        <v>1025</v>
      </c>
      <c r="J42" s="426" t="s">
        <v>1606</v>
      </c>
      <c r="K42" s="311" t="s">
        <v>1593</v>
      </c>
      <c r="L42" s="513"/>
      <c r="M42" s="311" t="s">
        <v>1607</v>
      </c>
      <c r="N42" s="333"/>
    </row>
    <row r="43" spans="2:14" s="357" customFormat="1" ht="3.75" customHeight="1" x14ac:dyDescent="0.3">
      <c r="F43" s="377"/>
      <c r="L43" s="377"/>
    </row>
    <row r="44" spans="2:14" s="357" customFormat="1" ht="15" customHeight="1" x14ac:dyDescent="0.3">
      <c r="B44" s="518" t="s">
        <v>1746</v>
      </c>
      <c r="C44" s="311" t="s">
        <v>1747</v>
      </c>
      <c r="D44" s="311"/>
      <c r="E44" s="515">
        <v>43107</v>
      </c>
      <c r="F44" s="425" t="s">
        <v>1748</v>
      </c>
      <c r="G44" s="311"/>
      <c r="H44" s="311"/>
      <c r="I44" s="514" t="s">
        <v>1366</v>
      </c>
      <c r="J44" s="426" t="s">
        <v>1749</v>
      </c>
      <c r="K44" s="311" t="s">
        <v>796</v>
      </c>
      <c r="L44" s="513"/>
      <c r="M44" s="311" t="s">
        <v>1750</v>
      </c>
      <c r="N44" s="333"/>
    </row>
    <row r="45" spans="2:14" s="357" customFormat="1" ht="3.75" customHeight="1" x14ac:dyDescent="0.3">
      <c r="F45" s="377"/>
      <c r="M45" s="377"/>
    </row>
    <row r="46" spans="2:14" s="357" customFormat="1" ht="15" customHeight="1" x14ac:dyDescent="0.3">
      <c r="B46" s="518" t="s">
        <v>1972</v>
      </c>
      <c r="C46" s="311" t="s">
        <v>1973</v>
      </c>
      <c r="D46" s="311"/>
      <c r="E46" s="515">
        <v>43407</v>
      </c>
      <c r="F46" s="425" t="s">
        <v>1974</v>
      </c>
      <c r="G46" s="311"/>
      <c r="H46" s="311"/>
      <c r="I46" s="514" t="s">
        <v>1918</v>
      </c>
      <c r="J46" s="426" t="s">
        <v>1975</v>
      </c>
      <c r="K46" s="311" t="s">
        <v>796</v>
      </c>
      <c r="L46" s="513"/>
      <c r="M46" s="311" t="s">
        <v>2435</v>
      </c>
      <c r="N46" s="333"/>
    </row>
    <row r="47" spans="2:14" s="357" customFormat="1" ht="3.75" customHeight="1" x14ac:dyDescent="0.3">
      <c r="B47" s="415"/>
      <c r="C47" s="415"/>
      <c r="F47" s="377"/>
      <c r="M47" s="377"/>
    </row>
    <row r="48" spans="2:14" s="357" customFormat="1" ht="15" customHeight="1" x14ac:dyDescent="0.3">
      <c r="B48" s="518" t="s">
        <v>1976</v>
      </c>
      <c r="C48" s="311" t="s">
        <v>1973</v>
      </c>
      <c r="D48" s="311"/>
      <c r="E48" s="515">
        <v>43470</v>
      </c>
      <c r="F48" s="425" t="s">
        <v>1614</v>
      </c>
      <c r="G48" s="311"/>
      <c r="H48" s="311"/>
      <c r="I48" s="514" t="s">
        <v>1047</v>
      </c>
      <c r="J48" s="426" t="s">
        <v>1977</v>
      </c>
      <c r="K48" s="311" t="s">
        <v>1147</v>
      </c>
      <c r="L48" s="513"/>
      <c r="M48" s="311" t="s">
        <v>1445</v>
      </c>
      <c r="N48" s="333"/>
    </row>
    <row r="49" spans="2:14" s="357" customFormat="1" ht="3.75" customHeight="1" x14ac:dyDescent="0.3">
      <c r="B49" s="415"/>
      <c r="C49" s="415"/>
      <c r="F49" s="377"/>
      <c r="M49" s="377"/>
    </row>
    <row r="50" spans="2:14" s="357" customFormat="1" ht="15" customHeight="1" x14ac:dyDescent="0.3">
      <c r="B50" s="518" t="s">
        <v>1978</v>
      </c>
      <c r="C50" s="311" t="s">
        <v>1973</v>
      </c>
      <c r="D50" s="311"/>
      <c r="E50" s="515">
        <v>43526</v>
      </c>
      <c r="F50" s="425" t="s">
        <v>1979</v>
      </c>
      <c r="G50" s="311"/>
      <c r="H50" s="311"/>
      <c r="I50" s="514" t="s">
        <v>1961</v>
      </c>
      <c r="J50" s="426" t="s">
        <v>1980</v>
      </c>
      <c r="K50" s="311" t="s">
        <v>1399</v>
      </c>
      <c r="L50" s="513"/>
      <c r="M50" s="311" t="s">
        <v>1981</v>
      </c>
      <c r="N50" s="333"/>
    </row>
    <row r="51" spans="2:14" s="357" customFormat="1" ht="3.75" customHeight="1" x14ac:dyDescent="0.3">
      <c r="B51" s="415"/>
      <c r="C51" s="415"/>
      <c r="F51" s="377"/>
      <c r="M51" s="377"/>
    </row>
    <row r="52" spans="2:14" s="357" customFormat="1" ht="15" customHeight="1" x14ac:dyDescent="0.3">
      <c r="B52" s="518" t="s">
        <v>2100</v>
      </c>
      <c r="C52" s="311" t="s">
        <v>2102</v>
      </c>
      <c r="D52" s="311"/>
      <c r="E52" s="515">
        <v>43765</v>
      </c>
      <c r="F52" s="425" t="s">
        <v>2103</v>
      </c>
      <c r="G52" s="311"/>
      <c r="H52" s="311"/>
      <c r="I52" s="514" t="s">
        <v>155</v>
      </c>
      <c r="J52" s="426" t="s">
        <v>2104</v>
      </c>
      <c r="K52" s="311" t="s">
        <v>796</v>
      </c>
      <c r="L52" s="513"/>
      <c r="M52" s="311" t="s">
        <v>2105</v>
      </c>
      <c r="N52" s="333"/>
    </row>
    <row r="53" spans="2:14" s="357" customFormat="1" ht="3.75" customHeight="1" x14ac:dyDescent="0.3">
      <c r="B53" s="415"/>
      <c r="C53" s="415"/>
      <c r="F53" s="377"/>
      <c r="M53" s="377"/>
    </row>
    <row r="54" spans="2:14" s="357" customFormat="1" ht="15" customHeight="1" x14ac:dyDescent="0.3">
      <c r="B54" s="518" t="s">
        <v>2101</v>
      </c>
      <c r="C54" s="311" t="s">
        <v>2102</v>
      </c>
      <c r="D54" s="311"/>
      <c r="E54" s="515">
        <v>43835</v>
      </c>
      <c r="F54" s="425" t="s">
        <v>2106</v>
      </c>
      <c r="G54" s="311"/>
      <c r="H54" s="311"/>
      <c r="I54" s="514" t="s">
        <v>1441</v>
      </c>
      <c r="J54" s="426" t="s">
        <v>2107</v>
      </c>
      <c r="K54" s="311" t="s">
        <v>151</v>
      </c>
      <c r="L54" s="513"/>
      <c r="M54" s="311" t="s">
        <v>2108</v>
      </c>
      <c r="N54" s="333"/>
    </row>
    <row r="55" spans="2:14" s="357" customFormat="1" ht="3.75" customHeight="1" x14ac:dyDescent="0.3">
      <c r="B55" s="415"/>
      <c r="C55" s="415"/>
      <c r="F55" s="377"/>
      <c r="M55" s="377"/>
    </row>
    <row r="56" spans="2:14" s="357" customFormat="1" ht="15" customHeight="1" x14ac:dyDescent="0.3">
      <c r="B56" s="518" t="s">
        <v>2215</v>
      </c>
      <c r="C56" s="311" t="s">
        <v>2217</v>
      </c>
      <c r="D56" s="311"/>
      <c r="E56" s="515">
        <v>44485</v>
      </c>
      <c r="F56" s="425" t="s">
        <v>2218</v>
      </c>
      <c r="G56" s="311"/>
      <c r="H56" s="311"/>
      <c r="I56" s="514" t="s">
        <v>1366</v>
      </c>
      <c r="J56" s="426" t="s">
        <v>2219</v>
      </c>
      <c r="K56" s="311" t="s">
        <v>150</v>
      </c>
      <c r="L56" s="513"/>
      <c r="M56" s="311" t="s">
        <v>1981</v>
      </c>
      <c r="N56" s="333"/>
    </row>
    <row r="57" spans="2:14" s="357" customFormat="1" ht="3.75" customHeight="1" x14ac:dyDescent="0.3">
      <c r="B57" s="415"/>
      <c r="C57" s="415"/>
      <c r="F57" s="377"/>
      <c r="M57" s="377"/>
    </row>
    <row r="58" spans="2:14" s="357" customFormat="1" ht="15" customHeight="1" x14ac:dyDescent="0.3">
      <c r="B58" s="518" t="s">
        <v>2216</v>
      </c>
      <c r="C58" s="311" t="s">
        <v>2217</v>
      </c>
      <c r="D58" s="311"/>
      <c r="E58" s="515">
        <v>44618</v>
      </c>
      <c r="F58" s="425" t="s">
        <v>2220</v>
      </c>
      <c r="G58" s="311"/>
      <c r="H58" s="311"/>
      <c r="I58" s="514" t="s">
        <v>2198</v>
      </c>
      <c r="J58" s="426" t="s">
        <v>2221</v>
      </c>
      <c r="K58" s="311" t="s">
        <v>150</v>
      </c>
      <c r="L58" s="513"/>
      <c r="M58" s="311" t="s">
        <v>1365</v>
      </c>
      <c r="N58" s="333"/>
    </row>
    <row r="59" spans="2:14" s="357" customFormat="1" ht="3.75" customHeight="1" x14ac:dyDescent="0.3">
      <c r="B59" s="415"/>
      <c r="C59" s="415"/>
      <c r="F59" s="377"/>
      <c r="M59" s="377"/>
    </row>
    <row r="60" spans="2:14" s="357" customFormat="1" ht="15" customHeight="1" x14ac:dyDescent="0.3">
      <c r="B60" s="518" t="s">
        <v>2343</v>
      </c>
      <c r="C60" s="311" t="s">
        <v>2345</v>
      </c>
      <c r="D60" s="311"/>
      <c r="E60" s="515">
        <v>44898</v>
      </c>
      <c r="F60" s="425" t="s">
        <v>2346</v>
      </c>
      <c r="G60" s="311"/>
      <c r="H60" s="311"/>
      <c r="I60" s="514" t="s">
        <v>2324</v>
      </c>
      <c r="J60" s="426" t="s">
        <v>2347</v>
      </c>
      <c r="K60" s="311" t="s">
        <v>2341</v>
      </c>
      <c r="L60" s="513"/>
      <c r="M60" s="311" t="s">
        <v>2436</v>
      </c>
      <c r="N60" s="333"/>
    </row>
    <row r="61" spans="2:14" s="357" customFormat="1" ht="3.75" customHeight="1" x14ac:dyDescent="0.3">
      <c r="B61" s="415"/>
      <c r="C61" s="415"/>
      <c r="F61" s="377"/>
      <c r="M61" s="377"/>
    </row>
    <row r="62" spans="2:14" s="357" customFormat="1" ht="15" customHeight="1" x14ac:dyDescent="0.3">
      <c r="B62" s="518" t="s">
        <v>2344</v>
      </c>
      <c r="C62" s="311" t="s">
        <v>2345</v>
      </c>
      <c r="D62" s="311"/>
      <c r="E62" s="515">
        <v>44983</v>
      </c>
      <c r="F62" s="425" t="s">
        <v>1233</v>
      </c>
      <c r="G62" s="311"/>
      <c r="H62" s="311"/>
      <c r="I62" s="514" t="s">
        <v>2326</v>
      </c>
      <c r="J62" s="426" t="s">
        <v>2348</v>
      </c>
      <c r="K62" s="311" t="s">
        <v>796</v>
      </c>
      <c r="L62" s="513"/>
      <c r="M62" s="311" t="s">
        <v>2349</v>
      </c>
      <c r="N62" s="333"/>
    </row>
    <row r="63" spans="2:14" s="357" customFormat="1" ht="3.75" customHeight="1" x14ac:dyDescent="0.3">
      <c r="B63" s="415"/>
      <c r="C63" s="415"/>
      <c r="F63" s="377"/>
      <c r="M63" s="377"/>
    </row>
    <row r="64" spans="2:14" s="357" customFormat="1" ht="15" customHeight="1" x14ac:dyDescent="0.3">
      <c r="B64" s="518" t="s">
        <v>2502</v>
      </c>
      <c r="C64" s="311" t="s">
        <v>2504</v>
      </c>
      <c r="D64" s="311"/>
      <c r="E64" s="515">
        <v>45234</v>
      </c>
      <c r="F64" s="425" t="s">
        <v>1612</v>
      </c>
      <c r="G64" s="311"/>
      <c r="H64" s="311"/>
      <c r="I64" s="514" t="s">
        <v>2413</v>
      </c>
      <c r="J64" s="426" t="s">
        <v>2505</v>
      </c>
      <c r="K64" s="311" t="s">
        <v>796</v>
      </c>
      <c r="L64" s="513"/>
      <c r="M64" s="311" t="s">
        <v>2414</v>
      </c>
      <c r="N64" s="333"/>
    </row>
    <row r="65" spans="2:15" s="357" customFormat="1" ht="3.75" customHeight="1" x14ac:dyDescent="0.3">
      <c r="B65" s="415"/>
      <c r="C65" s="415"/>
      <c r="F65" s="377"/>
      <c r="M65" s="377"/>
    </row>
    <row r="66" spans="2:15" s="357" customFormat="1" ht="15" customHeight="1" x14ac:dyDescent="0.3">
      <c r="B66" s="518" t="s">
        <v>2503</v>
      </c>
      <c r="C66" s="311" t="s">
        <v>2504</v>
      </c>
      <c r="D66" s="311"/>
      <c r="E66" s="515">
        <v>45339</v>
      </c>
      <c r="F66" s="425" t="s">
        <v>2506</v>
      </c>
      <c r="G66" s="311"/>
      <c r="H66" s="311"/>
      <c r="I66" s="514" t="s">
        <v>2494</v>
      </c>
      <c r="J66" s="426" t="s">
        <v>2507</v>
      </c>
      <c r="K66" s="311" t="s">
        <v>796</v>
      </c>
      <c r="L66" s="513"/>
      <c r="M66" s="311" t="s">
        <v>2508</v>
      </c>
      <c r="N66" s="333"/>
    </row>
    <row r="67" spans="2:15" s="357" customFormat="1" ht="3.75" customHeight="1" x14ac:dyDescent="0.3">
      <c r="B67" s="415"/>
      <c r="C67" s="415"/>
      <c r="F67" s="377"/>
      <c r="M67" s="377"/>
    </row>
    <row r="68" spans="2:15" s="357" customFormat="1" ht="15" customHeight="1" x14ac:dyDescent="0.3">
      <c r="B68" s="518" t="s">
        <v>2509</v>
      </c>
      <c r="C68" s="311" t="s">
        <v>2504</v>
      </c>
      <c r="D68" s="311"/>
      <c r="E68" s="515">
        <v>45395</v>
      </c>
      <c r="F68" s="425" t="s">
        <v>1353</v>
      </c>
      <c r="G68" s="311"/>
      <c r="H68" s="311"/>
      <c r="I68" s="514" t="s">
        <v>2351</v>
      </c>
      <c r="J68" s="426" t="s">
        <v>2510</v>
      </c>
      <c r="K68" s="311" t="s">
        <v>1593</v>
      </c>
      <c r="L68" s="513"/>
      <c r="M68" s="311" t="s">
        <v>1949</v>
      </c>
      <c r="N68" s="333"/>
    </row>
    <row r="69" spans="2:15" s="357" customFormat="1" ht="3.75" customHeight="1" x14ac:dyDescent="0.3">
      <c r="B69" s="415"/>
      <c r="C69" s="415"/>
      <c r="F69" s="377"/>
      <c r="M69" s="377"/>
    </row>
    <row r="70" spans="2:15" s="357" customFormat="1" ht="15" customHeight="1" x14ac:dyDescent="0.3">
      <c r="B70" s="518" t="s">
        <v>2795</v>
      </c>
      <c r="C70" s="311" t="s">
        <v>2796</v>
      </c>
      <c r="D70" s="311"/>
      <c r="E70" s="515">
        <v>45626</v>
      </c>
      <c r="F70" s="425" t="s">
        <v>1122</v>
      </c>
      <c r="G70" s="311"/>
      <c r="H70" s="311"/>
      <c r="I70" s="514" t="s">
        <v>2420</v>
      </c>
      <c r="J70" s="426" t="s">
        <v>2797</v>
      </c>
      <c r="K70" s="311" t="s">
        <v>796</v>
      </c>
      <c r="L70" s="513"/>
      <c r="M70" s="311" t="s">
        <v>2798</v>
      </c>
      <c r="N70" s="333"/>
    </row>
    <row r="71" spans="2:15" s="357" customFormat="1" ht="3.75" customHeight="1" x14ac:dyDescent="0.3">
      <c r="B71" s="415"/>
      <c r="C71" s="415"/>
      <c r="F71" s="377"/>
      <c r="M71" s="377"/>
    </row>
    <row r="72" spans="2:15" s="357" customFormat="1" ht="15" customHeight="1" x14ac:dyDescent="0.3">
      <c r="B72" s="415" t="s">
        <v>2799</v>
      </c>
      <c r="C72" s="415" t="s">
        <v>2796</v>
      </c>
      <c r="F72" s="377"/>
      <c r="M72" s="377"/>
    </row>
    <row r="73" spans="2:15" s="357" customFormat="1" ht="15" customHeight="1" x14ac:dyDescent="0.3">
      <c r="B73" s="415"/>
      <c r="C73" s="415"/>
      <c r="F73" s="377"/>
      <c r="M73" s="377"/>
    </row>
    <row r="74" spans="2:15" s="357" customFormat="1" ht="15" customHeight="1" x14ac:dyDescent="0.3">
      <c r="B74" s="415"/>
      <c r="C74" s="415"/>
      <c r="F74" s="377"/>
      <c r="M74" s="377"/>
    </row>
    <row r="75" spans="2:15" s="357" customFormat="1" ht="15" customHeight="1" x14ac:dyDescent="0.3">
      <c r="B75" s="415"/>
      <c r="C75" s="415"/>
      <c r="F75" s="377"/>
      <c r="M75" s="377"/>
    </row>
    <row r="76" spans="2:15" ht="18" x14ac:dyDescent="0.35">
      <c r="B76" s="528" t="s">
        <v>46</v>
      </c>
      <c r="C76" s="377"/>
      <c r="D76" s="377"/>
      <c r="E76" s="377"/>
      <c r="F76" s="377"/>
      <c r="G76" s="377"/>
      <c r="H76" s="377"/>
      <c r="I76" s="377"/>
      <c r="J76" s="377"/>
      <c r="K76" s="357"/>
      <c r="L76" s="357"/>
      <c r="M76" s="377"/>
      <c r="N76" s="357"/>
      <c r="O76" s="357"/>
    </row>
    <row r="77" spans="2:15" ht="15" customHeight="1" x14ac:dyDescent="0.3">
      <c r="B77" s="525"/>
      <c r="C77" s="377"/>
      <c r="D77" s="377"/>
      <c r="E77" s="377"/>
      <c r="F77" s="377"/>
      <c r="G77" s="377"/>
      <c r="H77" s="377"/>
      <c r="I77" s="377"/>
      <c r="J77" s="377"/>
      <c r="K77" s="357"/>
      <c r="L77" s="357"/>
      <c r="M77" s="377"/>
      <c r="N77" s="357"/>
      <c r="O77" s="357"/>
    </row>
    <row r="78" spans="2:15" x14ac:dyDescent="0.3">
      <c r="B78" s="399" t="s">
        <v>1756</v>
      </c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77"/>
      <c r="N78" s="357"/>
      <c r="O78" s="357"/>
    </row>
    <row r="79" spans="2:15" x14ac:dyDescent="0.3">
      <c r="B79" s="399"/>
      <c r="C79" s="377"/>
      <c r="D79" s="357"/>
      <c r="E79" s="357"/>
      <c r="F79" s="357"/>
      <c r="G79" s="357"/>
      <c r="H79" s="357"/>
      <c r="I79" s="357"/>
      <c r="J79" s="357"/>
      <c r="K79" s="357"/>
      <c r="L79" s="357"/>
      <c r="M79" s="377"/>
      <c r="N79" s="357"/>
      <c r="O79" s="357"/>
    </row>
    <row r="80" spans="2:15" x14ac:dyDescent="0.3">
      <c r="B80" s="399"/>
      <c r="C80" s="831" t="s">
        <v>185</v>
      </c>
      <c r="D80" s="832"/>
      <c r="E80" s="832"/>
      <c r="F80" s="833">
        <v>52</v>
      </c>
      <c r="G80" s="833"/>
      <c r="H80" s="833" t="s">
        <v>2006</v>
      </c>
      <c r="I80" s="834" t="str">
        <f>VLOOKUP(H80,tbl_KausiPitkaDivari[],2,FALSE)</f>
        <v>IV-Div+Cup</v>
      </c>
      <c r="J80" s="357"/>
      <c r="K80" s="357"/>
      <c r="L80" s="357"/>
      <c r="M80" s="377"/>
      <c r="N80" s="357"/>
      <c r="O80" s="357"/>
    </row>
    <row r="81" spans="1:22" x14ac:dyDescent="0.3">
      <c r="B81" s="399"/>
      <c r="C81" s="935" t="s">
        <v>185</v>
      </c>
      <c r="D81" s="936"/>
      <c r="E81" s="936"/>
      <c r="F81" s="937">
        <v>50</v>
      </c>
      <c r="G81" s="937"/>
      <c r="H81" s="937" t="s">
        <v>1818</v>
      </c>
      <c r="I81" s="838" t="str">
        <f>VLOOKUP(H81,tbl_KausiPitkaDivari[],2,FALSE)</f>
        <v>IV-Div+Kars</v>
      </c>
      <c r="J81" s="357"/>
      <c r="K81" s="357"/>
      <c r="L81" s="357"/>
      <c r="M81" s="377"/>
      <c r="N81" s="357"/>
      <c r="O81" s="357"/>
    </row>
    <row r="82" spans="1:22" x14ac:dyDescent="0.3">
      <c r="B82" s="399"/>
      <c r="C82" s="935" t="s">
        <v>185</v>
      </c>
      <c r="D82" s="936"/>
      <c r="E82" s="936"/>
      <c r="F82" s="937">
        <v>45</v>
      </c>
      <c r="G82" s="937"/>
      <c r="H82" s="937" t="s">
        <v>1385</v>
      </c>
      <c r="I82" s="838" t="str">
        <f>VLOOKUP(H82,tbl_KausiPitkaDivari[],2,FALSE)</f>
        <v>IV-Div</v>
      </c>
      <c r="J82" s="357"/>
      <c r="K82" s="357"/>
      <c r="L82" s="357"/>
      <c r="M82" s="377"/>
      <c r="N82" s="357"/>
      <c r="O82" s="357"/>
    </row>
    <row r="83" spans="1:22" s="140" customFormat="1" x14ac:dyDescent="0.3">
      <c r="A83" s="519"/>
      <c r="B83" s="529"/>
      <c r="C83" s="835" t="s">
        <v>185</v>
      </c>
      <c r="D83" s="836"/>
      <c r="E83" s="836"/>
      <c r="F83" s="841">
        <v>40</v>
      </c>
      <c r="G83" s="837"/>
      <c r="H83" s="837" t="s">
        <v>297</v>
      </c>
      <c r="I83" s="838" t="str">
        <f>VLOOKUP(H83,tbl_KausiPitkaDivari[],2,FALSE)</f>
        <v>V-Div</v>
      </c>
      <c r="J83" s="357"/>
      <c r="K83" s="519"/>
      <c r="L83" s="519"/>
      <c r="M83" s="421"/>
      <c r="N83" s="519"/>
      <c r="O83" s="519"/>
      <c r="P83" s="519"/>
      <c r="Q83" s="519"/>
      <c r="R83" s="519"/>
      <c r="S83" s="519"/>
      <c r="T83" s="519"/>
      <c r="U83" s="519"/>
      <c r="V83" s="519"/>
    </row>
    <row r="84" spans="1:22" s="31" customFormat="1" x14ac:dyDescent="0.3">
      <c r="A84" s="520"/>
      <c r="B84" s="529"/>
      <c r="C84" s="839" t="s">
        <v>185</v>
      </c>
      <c r="D84" s="840"/>
      <c r="E84" s="840"/>
      <c r="F84" s="841">
        <v>40</v>
      </c>
      <c r="G84" s="841"/>
      <c r="H84" s="841" t="s">
        <v>754</v>
      </c>
      <c r="I84" s="842" t="str">
        <f>VLOOKUP(H84,tbl_KausiPitkaDivari[],2,FALSE)</f>
        <v>IV-Div</v>
      </c>
      <c r="J84" s="713"/>
      <c r="K84" s="520"/>
      <c r="L84" s="520"/>
      <c r="M84" s="531"/>
      <c r="N84" s="520"/>
      <c r="O84" s="520"/>
      <c r="P84" s="520"/>
      <c r="Q84" s="520"/>
      <c r="R84" s="520"/>
      <c r="S84" s="520"/>
      <c r="T84" s="520"/>
      <c r="U84" s="520"/>
      <c r="V84" s="520"/>
    </row>
    <row r="85" spans="1:22" s="31" customFormat="1" x14ac:dyDescent="0.3">
      <c r="A85" s="520"/>
      <c r="B85" s="529"/>
      <c r="C85" s="839" t="s">
        <v>185</v>
      </c>
      <c r="D85" s="840"/>
      <c r="E85" s="840"/>
      <c r="F85" s="841">
        <v>38</v>
      </c>
      <c r="G85" s="841"/>
      <c r="H85" s="841" t="s">
        <v>2152</v>
      </c>
      <c r="I85" s="842" t="str">
        <f>VLOOKUP(H85,tbl_KausiPitkaDivari[],2,FALSE)</f>
        <v>III-Div+Kars</v>
      </c>
      <c r="J85" s="713"/>
      <c r="K85" s="520"/>
      <c r="L85" s="520"/>
      <c r="M85" s="531"/>
      <c r="N85" s="520"/>
      <c r="O85" s="520"/>
      <c r="P85" s="520"/>
      <c r="Q85" s="520"/>
      <c r="R85" s="520"/>
      <c r="S85" s="520"/>
      <c r="T85" s="520"/>
      <c r="U85" s="520"/>
      <c r="V85" s="520"/>
    </row>
    <row r="86" spans="1:22" s="31" customFormat="1" x14ac:dyDescent="0.3">
      <c r="A86" s="520"/>
      <c r="B86" s="529"/>
      <c r="C86" s="839" t="s">
        <v>50</v>
      </c>
      <c r="D86" s="840"/>
      <c r="E86" s="840"/>
      <c r="F86" s="841">
        <v>37</v>
      </c>
      <c r="G86" s="841"/>
      <c r="H86" s="841" t="s">
        <v>2372</v>
      </c>
      <c r="I86" s="842" t="str">
        <f>VLOOKUP(H86,tbl_KausiPitkaDivari[],2,FALSE)</f>
        <v>IV-Div+Kars</v>
      </c>
      <c r="J86" s="713"/>
      <c r="K86" s="520"/>
      <c r="L86" s="520"/>
      <c r="M86" s="531"/>
      <c r="N86" s="520"/>
      <c r="O86" s="520"/>
      <c r="P86" s="520"/>
      <c r="Q86" s="520"/>
      <c r="R86" s="520"/>
      <c r="S86" s="520"/>
      <c r="T86" s="520"/>
      <c r="U86" s="520"/>
      <c r="V86" s="520"/>
    </row>
    <row r="87" spans="1:22" s="31" customFormat="1" x14ac:dyDescent="0.3">
      <c r="A87" s="520"/>
      <c r="B87" s="529"/>
      <c r="C87" s="839" t="s">
        <v>185</v>
      </c>
      <c r="D87" s="840"/>
      <c r="E87" s="840"/>
      <c r="F87" s="841">
        <v>37</v>
      </c>
      <c r="G87" s="841"/>
      <c r="H87" s="841" t="s">
        <v>1102</v>
      </c>
      <c r="I87" s="842" t="str">
        <f>VLOOKUP(H87,tbl_KausiPitkaDivari[],2,FALSE)</f>
        <v>IV-Div</v>
      </c>
      <c r="J87" s="713"/>
      <c r="K87" s="520"/>
      <c r="L87" s="520"/>
      <c r="M87" s="531"/>
      <c r="N87" s="520"/>
      <c r="O87" s="520"/>
      <c r="P87" s="520"/>
      <c r="Q87" s="520"/>
      <c r="R87" s="520"/>
      <c r="S87" s="520"/>
      <c r="T87" s="520"/>
      <c r="U87" s="520"/>
      <c r="V87" s="520"/>
    </row>
    <row r="88" spans="1:22" s="31" customFormat="1" x14ac:dyDescent="0.3">
      <c r="A88" s="520"/>
      <c r="B88" s="529"/>
      <c r="C88" s="839" t="s">
        <v>51</v>
      </c>
      <c r="D88" s="840"/>
      <c r="E88" s="840"/>
      <c r="F88" s="841">
        <v>35</v>
      </c>
      <c r="G88" s="841"/>
      <c r="H88" s="841" t="s">
        <v>83</v>
      </c>
      <c r="I88" s="842" t="str">
        <f>VLOOKUP(H88,tbl_KausiPitkaDivari[],2,FALSE)</f>
        <v>V-Div</v>
      </c>
      <c r="J88" s="713"/>
      <c r="K88" s="520"/>
      <c r="L88" s="520"/>
      <c r="M88" s="520"/>
      <c r="N88" s="520"/>
      <c r="O88" s="520"/>
      <c r="P88" s="520"/>
      <c r="Q88" s="520"/>
      <c r="R88" s="520"/>
      <c r="S88" s="520"/>
      <c r="T88" s="520"/>
      <c r="U88" s="520"/>
      <c r="V88" s="520"/>
    </row>
    <row r="89" spans="1:22" s="31" customFormat="1" x14ac:dyDescent="0.3">
      <c r="A89" s="520"/>
      <c r="B89" s="529"/>
      <c r="C89" s="839" t="s">
        <v>50</v>
      </c>
      <c r="D89" s="840"/>
      <c r="E89" s="840"/>
      <c r="F89" s="841">
        <v>34</v>
      </c>
      <c r="G89" s="841"/>
      <c r="H89" s="841" t="s">
        <v>2153</v>
      </c>
      <c r="I89" s="842" t="str">
        <f>VLOOKUP(H89,tbl_KausiPitkaDivari[],2,FALSE)</f>
        <v>IV-Div</v>
      </c>
      <c r="J89" s="713"/>
      <c r="K89" s="520"/>
      <c r="L89" s="520"/>
      <c r="M89" s="520"/>
      <c r="N89" s="520"/>
      <c r="O89" s="520"/>
      <c r="P89" s="520"/>
      <c r="Q89" s="520"/>
      <c r="R89" s="520"/>
      <c r="S89" s="520"/>
      <c r="T89" s="520"/>
      <c r="U89" s="520"/>
      <c r="V89" s="520"/>
    </row>
    <row r="90" spans="1:22" s="31" customFormat="1" x14ac:dyDescent="0.3">
      <c r="A90" s="520"/>
      <c r="B90" s="529"/>
      <c r="C90" s="839" t="s">
        <v>185</v>
      </c>
      <c r="D90" s="840"/>
      <c r="E90" s="840"/>
      <c r="F90" s="841">
        <v>34</v>
      </c>
      <c r="G90" s="841"/>
      <c r="H90" s="841" t="s">
        <v>977</v>
      </c>
      <c r="I90" s="842" t="str">
        <f>VLOOKUP(H90,tbl_KausiPitkaDivari[],2,FALSE)</f>
        <v>V-Div</v>
      </c>
      <c r="J90" s="713"/>
      <c r="K90" s="520"/>
      <c r="L90" s="520"/>
      <c r="M90" s="520"/>
      <c r="N90" s="520"/>
      <c r="O90" s="520"/>
      <c r="P90" s="520"/>
      <c r="Q90" s="520"/>
      <c r="R90" s="520"/>
      <c r="S90" s="520"/>
      <c r="T90" s="520"/>
      <c r="U90" s="520"/>
      <c r="V90" s="520"/>
    </row>
    <row r="91" spans="1:22" s="31" customFormat="1" x14ac:dyDescent="0.3">
      <c r="A91" s="520"/>
      <c r="B91" s="529"/>
      <c r="C91" s="839" t="s">
        <v>185</v>
      </c>
      <c r="D91" s="840"/>
      <c r="E91" s="840"/>
      <c r="F91" s="841">
        <v>34</v>
      </c>
      <c r="G91" s="841"/>
      <c r="H91" s="841" t="s">
        <v>874</v>
      </c>
      <c r="I91" s="842" t="str">
        <f>VLOOKUP(H91,tbl_KausiPitkaDivari[],2,FALSE)</f>
        <v>IV-Div</v>
      </c>
      <c r="J91" s="713"/>
      <c r="K91" s="520"/>
      <c r="L91" s="520"/>
      <c r="M91" s="520"/>
      <c r="N91" s="520"/>
      <c r="O91" s="520"/>
      <c r="P91" s="520"/>
      <c r="Q91" s="520"/>
      <c r="R91" s="520"/>
      <c r="S91" s="520"/>
      <c r="T91" s="520"/>
      <c r="U91" s="520"/>
      <c r="V91" s="520"/>
    </row>
    <row r="92" spans="1:22" s="31" customFormat="1" x14ac:dyDescent="0.3">
      <c r="A92" s="520"/>
      <c r="B92" s="529"/>
      <c r="C92" s="839" t="s">
        <v>1075</v>
      </c>
      <c r="D92" s="840"/>
      <c r="E92" s="840"/>
      <c r="F92" s="841">
        <v>31</v>
      </c>
      <c r="G92" s="841"/>
      <c r="H92" s="841" t="s">
        <v>1490</v>
      </c>
      <c r="I92" s="842" t="str">
        <f>VLOOKUP(H92,tbl_KausiPitkaDivari[],2,FALSE)</f>
        <v>IV-Div</v>
      </c>
      <c r="J92" s="713"/>
      <c r="K92" s="520"/>
      <c r="L92" s="520"/>
      <c r="M92" s="520"/>
      <c r="N92" s="520"/>
      <c r="O92" s="520"/>
      <c r="P92" s="520"/>
      <c r="Q92" s="520"/>
      <c r="R92" s="520"/>
      <c r="S92" s="520"/>
      <c r="T92" s="520"/>
      <c r="U92" s="520"/>
      <c r="V92" s="520"/>
    </row>
    <row r="93" spans="1:22" s="31" customFormat="1" x14ac:dyDescent="0.3">
      <c r="A93" s="520"/>
      <c r="B93" s="529"/>
      <c r="C93" s="839" t="s">
        <v>185</v>
      </c>
      <c r="D93" s="840"/>
      <c r="E93" s="840"/>
      <c r="F93" s="841">
        <v>24</v>
      </c>
      <c r="G93" s="841"/>
      <c r="H93" s="841" t="s">
        <v>584</v>
      </c>
      <c r="I93" s="842" t="str">
        <f>VLOOKUP(H93,tbl_KausiPitkaDivari[],2,FALSE)</f>
        <v>IV-Div</v>
      </c>
      <c r="J93" s="713"/>
      <c r="K93" s="520"/>
      <c r="L93" s="520"/>
      <c r="M93" s="531"/>
      <c r="N93" s="520"/>
      <c r="O93" s="520"/>
      <c r="P93" s="520"/>
      <c r="Q93" s="520"/>
      <c r="R93" s="520"/>
      <c r="S93" s="520"/>
      <c r="T93" s="520"/>
      <c r="U93" s="520"/>
      <c r="V93" s="520"/>
    </row>
    <row r="94" spans="1:22" s="31" customFormat="1" x14ac:dyDescent="0.3">
      <c r="A94" s="520"/>
      <c r="B94" s="529"/>
      <c r="C94" s="839" t="s">
        <v>1075</v>
      </c>
      <c r="D94" s="840"/>
      <c r="E94" s="840"/>
      <c r="F94" s="841">
        <v>24</v>
      </c>
      <c r="G94" s="841"/>
      <c r="H94" s="841" t="s">
        <v>1513</v>
      </c>
      <c r="I94" s="842" t="str">
        <f>VLOOKUP(H94,tbl_KausiPitkaDivari[],2,FALSE)</f>
        <v>IV-Div</v>
      </c>
      <c r="J94" s="713"/>
      <c r="K94" s="520"/>
      <c r="L94" s="520"/>
      <c r="M94" s="531"/>
      <c r="N94" s="520"/>
      <c r="O94" s="520"/>
      <c r="P94" s="520"/>
      <c r="Q94" s="520"/>
      <c r="R94" s="520"/>
      <c r="S94" s="520"/>
      <c r="T94" s="520"/>
      <c r="U94" s="520"/>
      <c r="V94" s="520"/>
    </row>
    <row r="95" spans="1:22" s="31" customFormat="1" x14ac:dyDescent="0.3">
      <c r="A95" s="520"/>
      <c r="B95" s="529"/>
      <c r="C95" s="839" t="s">
        <v>50</v>
      </c>
      <c r="D95" s="840"/>
      <c r="E95" s="840"/>
      <c r="F95" s="841">
        <v>21</v>
      </c>
      <c r="G95" s="841"/>
      <c r="H95" s="841" t="s">
        <v>207</v>
      </c>
      <c r="I95" s="842" t="str">
        <f>VLOOKUP(H95,tbl_KausiPitkaDivari[],2,FALSE)</f>
        <v>IV-Div</v>
      </c>
      <c r="J95" s="713"/>
      <c r="K95" s="520"/>
      <c r="L95" s="520"/>
      <c r="M95" s="531"/>
      <c r="N95" s="520"/>
      <c r="O95" s="520"/>
      <c r="P95" s="520"/>
      <c r="Q95" s="520"/>
      <c r="R95" s="520"/>
      <c r="S95" s="520"/>
      <c r="T95" s="520"/>
      <c r="U95" s="520"/>
      <c r="V95" s="520"/>
    </row>
    <row r="96" spans="1:22" s="31" customFormat="1" x14ac:dyDescent="0.3">
      <c r="A96" s="520"/>
      <c r="B96" s="529"/>
      <c r="C96" s="946" t="s">
        <v>2444</v>
      </c>
      <c r="D96" s="947"/>
      <c r="E96" s="947"/>
      <c r="F96" s="948">
        <v>21</v>
      </c>
      <c r="G96" s="948"/>
      <c r="H96" s="948" t="s">
        <v>2489</v>
      </c>
      <c r="I96" s="842" t="str">
        <f>VLOOKUP(H96,tbl_KausiPitkaDivari[],2,FALSE)</f>
        <v>III-Div</v>
      </c>
      <c r="J96" s="713" t="s">
        <v>1685</v>
      </c>
      <c r="K96" s="520"/>
      <c r="L96" s="520"/>
      <c r="M96" s="531"/>
      <c r="N96" s="520"/>
      <c r="O96" s="520"/>
      <c r="P96" s="520"/>
      <c r="Q96" s="520"/>
      <c r="R96" s="520"/>
      <c r="S96" s="520"/>
      <c r="T96" s="520"/>
      <c r="U96" s="520"/>
      <c r="V96" s="520"/>
    </row>
    <row r="97" spans="1:22" s="31" customFormat="1" x14ac:dyDescent="0.3">
      <c r="A97" s="520"/>
      <c r="B97" s="529"/>
      <c r="C97" s="843" t="s">
        <v>50</v>
      </c>
      <c r="D97" s="844"/>
      <c r="E97" s="844"/>
      <c r="F97" s="845">
        <v>20</v>
      </c>
      <c r="G97" s="845"/>
      <c r="H97" s="845" t="s">
        <v>1635</v>
      </c>
      <c r="I97" s="846" t="str">
        <f>VLOOKUP(H97,tbl_KausiPitkaDivari[],2,FALSE)</f>
        <v>IV-Div</v>
      </c>
      <c r="J97" s="713"/>
      <c r="K97" s="520"/>
      <c r="L97" s="520"/>
      <c r="M97" s="531"/>
      <c r="N97" s="520"/>
      <c r="O97" s="520"/>
      <c r="P97" s="520"/>
      <c r="Q97" s="520"/>
      <c r="R97" s="520"/>
      <c r="S97" s="520"/>
      <c r="T97" s="520"/>
      <c r="U97" s="520"/>
      <c r="V97" s="520"/>
    </row>
    <row r="98" spans="1:22" s="31" customFormat="1" ht="15" customHeight="1" x14ac:dyDescent="0.2">
      <c r="A98" s="520"/>
      <c r="B98" s="529"/>
      <c r="C98" s="520"/>
      <c r="D98" s="829"/>
      <c r="E98" s="829"/>
      <c r="F98" s="829"/>
      <c r="G98" s="830"/>
      <c r="H98" s="830"/>
      <c r="I98" s="829"/>
      <c r="J98" s="830"/>
      <c r="K98" s="520"/>
      <c r="L98" s="520"/>
      <c r="M98" s="531"/>
      <c r="N98" s="520"/>
      <c r="O98" s="520"/>
      <c r="P98" s="520"/>
      <c r="Q98" s="520"/>
      <c r="R98" s="520"/>
      <c r="S98" s="520"/>
      <c r="T98" s="520"/>
      <c r="U98" s="520"/>
      <c r="V98" s="520"/>
    </row>
    <row r="99" spans="1:22" ht="15" customHeight="1" x14ac:dyDescent="0.3">
      <c r="B99" s="401"/>
      <c r="C99" s="357"/>
      <c r="D99" s="357"/>
      <c r="E99" s="357"/>
      <c r="F99" s="357"/>
      <c r="G99" s="358"/>
      <c r="H99" s="358"/>
      <c r="I99" s="357"/>
      <c r="J99" s="357"/>
      <c r="K99" s="357"/>
      <c r="L99" s="357"/>
      <c r="M99" s="377"/>
      <c r="N99" s="357"/>
      <c r="O99" s="357"/>
    </row>
    <row r="100" spans="1:22" ht="15" customHeight="1" x14ac:dyDescent="0.3">
      <c r="B100" s="475" t="s">
        <v>1757</v>
      </c>
      <c r="C100" s="357"/>
      <c r="D100" s="357"/>
      <c r="E100" s="357"/>
      <c r="F100" s="357"/>
      <c r="G100" s="358"/>
      <c r="H100" s="358"/>
      <c r="I100" s="357"/>
      <c r="J100" s="357"/>
      <c r="K100" s="357"/>
      <c r="L100" s="357"/>
      <c r="M100" s="377"/>
      <c r="N100" s="357"/>
      <c r="O100" s="357"/>
    </row>
    <row r="101" spans="1:22" ht="15" customHeight="1" x14ac:dyDescent="0.3">
      <c r="B101" s="401"/>
      <c r="C101" s="357"/>
      <c r="D101" s="357"/>
      <c r="E101" s="357"/>
      <c r="F101" s="357"/>
      <c r="G101" s="358"/>
      <c r="H101" s="358"/>
      <c r="I101" s="357"/>
      <c r="J101" s="357"/>
      <c r="K101" s="357"/>
      <c r="L101" s="357"/>
      <c r="M101" s="377"/>
      <c r="N101" s="357"/>
      <c r="O101" s="357"/>
    </row>
    <row r="102" spans="1:22" ht="15" customHeight="1" x14ac:dyDescent="0.3">
      <c r="B102" s="399"/>
      <c r="C102" s="831" t="s">
        <v>50</v>
      </c>
      <c r="D102" s="832"/>
      <c r="E102" s="832"/>
      <c r="F102" s="833">
        <v>27</v>
      </c>
      <c r="G102" s="833"/>
      <c r="H102" s="833" t="s">
        <v>2372</v>
      </c>
      <c r="I102" s="834" t="str">
        <f>VLOOKUP(H102,tbl_KausiPitkaDivari[],2,FALSE)</f>
        <v>IV-Div+Kars</v>
      </c>
      <c r="J102" s="357"/>
      <c r="K102" s="357"/>
      <c r="L102" s="357"/>
      <c r="M102" s="377"/>
      <c r="N102" s="357"/>
      <c r="O102" s="357"/>
    </row>
    <row r="103" spans="1:22" ht="15" customHeight="1" x14ac:dyDescent="0.3">
      <c r="B103" s="399"/>
      <c r="C103" s="935" t="s">
        <v>185</v>
      </c>
      <c r="D103" s="936"/>
      <c r="E103" s="936"/>
      <c r="F103" s="937">
        <v>25</v>
      </c>
      <c r="G103" s="937"/>
      <c r="H103" s="937" t="s">
        <v>1385</v>
      </c>
      <c r="I103" s="1274" t="s">
        <v>702</v>
      </c>
      <c r="J103" s="357"/>
      <c r="K103" s="357"/>
      <c r="L103" s="357"/>
      <c r="M103" s="377"/>
      <c r="N103" s="357"/>
      <c r="O103" s="357"/>
    </row>
    <row r="104" spans="1:22" ht="15" customHeight="1" x14ac:dyDescent="0.3">
      <c r="B104" s="399"/>
      <c r="C104" s="935" t="s">
        <v>1075</v>
      </c>
      <c r="D104" s="936"/>
      <c r="E104" s="936"/>
      <c r="F104" s="937">
        <v>25</v>
      </c>
      <c r="G104" s="937"/>
      <c r="H104" s="937" t="s">
        <v>1818</v>
      </c>
      <c r="I104" s="838" t="str">
        <f>VLOOKUP(H104,tbl_KausiPitkaDivari[],2,FALSE)</f>
        <v>IV-Div+Kars</v>
      </c>
      <c r="J104" s="357"/>
      <c r="K104" s="357"/>
      <c r="L104" s="357"/>
      <c r="M104" s="377"/>
      <c r="N104" s="357"/>
      <c r="O104" s="357"/>
    </row>
    <row r="105" spans="1:22" ht="15" customHeight="1" x14ac:dyDescent="0.3">
      <c r="B105" s="399"/>
      <c r="C105" s="935" t="s">
        <v>50</v>
      </c>
      <c r="D105" s="936"/>
      <c r="E105" s="936"/>
      <c r="F105" s="937">
        <v>25</v>
      </c>
      <c r="G105" s="937"/>
      <c r="H105" s="937" t="s">
        <v>2006</v>
      </c>
      <c r="I105" s="838" t="str">
        <f>VLOOKUP(H105,tbl_KausiPitkaDivari[],2,FALSE)</f>
        <v>IV-Div+Cup</v>
      </c>
      <c r="J105" s="357"/>
      <c r="K105" s="357"/>
      <c r="L105" s="357"/>
      <c r="M105" s="377"/>
      <c r="N105" s="357"/>
      <c r="O105" s="357"/>
    </row>
    <row r="106" spans="1:22" s="140" customFormat="1" ht="15" customHeight="1" x14ac:dyDescent="0.3">
      <c r="A106" s="519"/>
      <c r="B106" s="529"/>
      <c r="C106" s="835" t="s">
        <v>56</v>
      </c>
      <c r="D106" s="836"/>
      <c r="E106" s="836"/>
      <c r="F106" s="837">
        <v>24</v>
      </c>
      <c r="G106" s="837"/>
      <c r="H106" s="837" t="s">
        <v>297</v>
      </c>
      <c r="I106" s="838" t="str">
        <f>VLOOKUP(H106,tbl_KausiPitkaDivari[],2,FALSE)</f>
        <v>V-Div</v>
      </c>
      <c r="J106" s="357"/>
      <c r="K106" s="519"/>
      <c r="L106" s="519"/>
      <c r="M106" s="421"/>
      <c r="N106" s="519"/>
      <c r="O106" s="519"/>
      <c r="P106" s="519"/>
      <c r="Q106" s="519"/>
      <c r="R106" s="519"/>
      <c r="S106" s="519"/>
      <c r="T106" s="519"/>
      <c r="U106" s="519"/>
      <c r="V106" s="519"/>
    </row>
    <row r="107" spans="1:22" ht="15" customHeight="1" x14ac:dyDescent="0.3">
      <c r="B107" s="529"/>
      <c r="C107" s="839" t="s">
        <v>673</v>
      </c>
      <c r="D107" s="840"/>
      <c r="E107" s="840"/>
      <c r="F107" s="841">
        <v>23</v>
      </c>
      <c r="G107" s="841"/>
      <c r="H107" s="841" t="s">
        <v>977</v>
      </c>
      <c r="I107" s="842" t="str">
        <f>VLOOKUP(H107,tbl_KausiPitkaDivari[],2,FALSE)</f>
        <v>V-Div</v>
      </c>
      <c r="J107" s="713"/>
      <c r="K107" s="357"/>
      <c r="L107" s="357"/>
      <c r="M107" s="377"/>
      <c r="N107" s="357"/>
      <c r="O107" s="357"/>
    </row>
    <row r="108" spans="1:22" s="37" customFormat="1" ht="15" customHeight="1" x14ac:dyDescent="0.3">
      <c r="A108" s="521"/>
      <c r="B108" s="529"/>
      <c r="C108" s="839" t="s">
        <v>56</v>
      </c>
      <c r="D108" s="840"/>
      <c r="E108" s="840"/>
      <c r="F108" s="841">
        <v>21</v>
      </c>
      <c r="G108" s="841"/>
      <c r="H108" s="841" t="s">
        <v>83</v>
      </c>
      <c r="I108" s="842" t="str">
        <f>VLOOKUP(H108,tbl_KausiPitkaDivari[],2,FALSE)</f>
        <v>V-Div</v>
      </c>
      <c r="J108" s="713"/>
      <c r="K108" s="521"/>
      <c r="L108" s="521"/>
      <c r="M108" s="535"/>
      <c r="N108" s="521"/>
      <c r="O108" s="521"/>
      <c r="P108" s="521"/>
      <c r="Q108" s="521"/>
      <c r="R108" s="521"/>
      <c r="S108" s="521"/>
      <c r="T108" s="521"/>
      <c r="U108" s="521"/>
      <c r="V108" s="521"/>
    </row>
    <row r="109" spans="1:22" s="37" customFormat="1" ht="15" customHeight="1" x14ac:dyDescent="0.3">
      <c r="A109" s="521"/>
      <c r="B109" s="529"/>
      <c r="C109" s="839" t="s">
        <v>50</v>
      </c>
      <c r="D109" s="840"/>
      <c r="E109" s="840"/>
      <c r="F109" s="841">
        <v>20</v>
      </c>
      <c r="G109" s="841"/>
      <c r="H109" s="841" t="s">
        <v>754</v>
      </c>
      <c r="I109" s="842" t="str">
        <f>VLOOKUP(H109,tbl_KausiPitkaDivari[],2,FALSE)</f>
        <v>IV-Div</v>
      </c>
      <c r="J109" s="713"/>
      <c r="K109" s="521"/>
      <c r="L109" s="521"/>
      <c r="M109" s="535"/>
      <c r="N109" s="521"/>
      <c r="O109" s="521"/>
      <c r="P109" s="521"/>
      <c r="Q109" s="521"/>
      <c r="R109" s="521"/>
      <c r="S109" s="521"/>
      <c r="T109" s="521"/>
      <c r="U109" s="521"/>
      <c r="V109" s="521"/>
    </row>
    <row r="110" spans="1:22" s="37" customFormat="1" ht="15" customHeight="1" x14ac:dyDescent="0.3">
      <c r="A110" s="521"/>
      <c r="B110" s="529"/>
      <c r="C110" s="839" t="s">
        <v>50</v>
      </c>
      <c r="D110" s="840"/>
      <c r="E110" s="840"/>
      <c r="F110" s="841">
        <v>20</v>
      </c>
      <c r="G110" s="841"/>
      <c r="H110" s="841" t="s">
        <v>2153</v>
      </c>
      <c r="I110" s="842" t="str">
        <f>VLOOKUP(H110,tbl_KausiPitkaDivari[],2,FALSE)</f>
        <v>IV-Div</v>
      </c>
      <c r="J110" s="713"/>
      <c r="K110" s="521"/>
      <c r="L110" s="521"/>
      <c r="M110" s="535"/>
      <c r="N110" s="521"/>
      <c r="O110" s="521"/>
      <c r="P110" s="521"/>
      <c r="Q110" s="521"/>
      <c r="R110" s="521"/>
      <c r="S110" s="521"/>
      <c r="T110" s="521"/>
      <c r="U110" s="521"/>
      <c r="V110" s="521"/>
    </row>
    <row r="111" spans="1:22" s="37" customFormat="1" ht="15" customHeight="1" x14ac:dyDescent="0.3">
      <c r="A111" s="521"/>
      <c r="B111" s="529"/>
      <c r="C111" s="839" t="s">
        <v>1075</v>
      </c>
      <c r="D111" s="840"/>
      <c r="E111" s="840"/>
      <c r="F111" s="841">
        <v>19</v>
      </c>
      <c r="G111" s="841"/>
      <c r="H111" s="841" t="s">
        <v>1490</v>
      </c>
      <c r="I111" s="842" t="str">
        <f>VLOOKUP(H111,tbl_KausiPitkaDivari[],2,FALSE)</f>
        <v>IV-Div</v>
      </c>
      <c r="J111" s="713"/>
      <c r="K111" s="521"/>
      <c r="L111" s="521"/>
      <c r="M111" s="535"/>
      <c r="N111" s="521"/>
      <c r="O111" s="521"/>
      <c r="P111" s="521"/>
      <c r="Q111" s="521"/>
      <c r="R111" s="521"/>
      <c r="S111" s="521"/>
      <c r="T111" s="521"/>
      <c r="U111" s="521"/>
      <c r="V111" s="521"/>
    </row>
    <row r="112" spans="1:22" s="37" customFormat="1" ht="15" customHeight="1" x14ac:dyDescent="0.3">
      <c r="A112" s="521"/>
      <c r="B112" s="529"/>
      <c r="C112" s="839" t="s">
        <v>1075</v>
      </c>
      <c r="D112" s="840"/>
      <c r="E112" s="840"/>
      <c r="F112" s="841">
        <v>18</v>
      </c>
      <c r="G112" s="841"/>
      <c r="H112" s="841" t="s">
        <v>1102</v>
      </c>
      <c r="I112" s="842" t="str">
        <f>VLOOKUP(H112,tbl_KausiPitkaDivari[],2,FALSE)</f>
        <v>IV-Div</v>
      </c>
      <c r="J112" s="713"/>
      <c r="K112" s="521"/>
      <c r="L112" s="521"/>
      <c r="M112" s="535"/>
      <c r="N112" s="521"/>
      <c r="O112" s="521"/>
      <c r="P112" s="521"/>
      <c r="Q112" s="521"/>
      <c r="R112" s="521"/>
      <c r="S112" s="521"/>
      <c r="T112" s="521"/>
      <c r="U112" s="521"/>
      <c r="V112" s="521"/>
    </row>
    <row r="113" spans="1:22" s="37" customFormat="1" ht="15" customHeight="1" x14ac:dyDescent="0.3">
      <c r="A113" s="521"/>
      <c r="B113" s="529"/>
      <c r="C113" s="839" t="s">
        <v>185</v>
      </c>
      <c r="D113" s="840"/>
      <c r="E113" s="840"/>
      <c r="F113" s="841">
        <v>18</v>
      </c>
      <c r="G113" s="841"/>
      <c r="H113" s="841" t="s">
        <v>874</v>
      </c>
      <c r="I113" s="842" t="str">
        <f>VLOOKUP(H113,tbl_KausiPitkaDivari[],2,FALSE)</f>
        <v>IV-Div</v>
      </c>
      <c r="J113" s="713"/>
      <c r="K113" s="521"/>
      <c r="L113" s="521"/>
      <c r="M113" s="535"/>
      <c r="N113" s="521"/>
      <c r="O113" s="521"/>
      <c r="P113" s="521"/>
      <c r="Q113" s="521"/>
      <c r="R113" s="521"/>
      <c r="S113" s="521"/>
      <c r="T113" s="521"/>
      <c r="U113" s="521"/>
      <c r="V113" s="521"/>
    </row>
    <row r="114" spans="1:22" s="37" customFormat="1" ht="15" customHeight="1" x14ac:dyDescent="0.3">
      <c r="A114" s="521"/>
      <c r="B114" s="529"/>
      <c r="C114" s="839" t="s">
        <v>2444</v>
      </c>
      <c r="D114" s="840"/>
      <c r="E114" s="840"/>
      <c r="F114" s="841">
        <v>16</v>
      </c>
      <c r="G114" s="841"/>
      <c r="H114" s="841" t="s">
        <v>2489</v>
      </c>
      <c r="I114" s="842" t="str">
        <f>VLOOKUP(H114,tbl_KausiPitkaDivari[],2,FALSE)</f>
        <v>III-Div</v>
      </c>
      <c r="J114" s="713" t="s">
        <v>1685</v>
      </c>
      <c r="K114" s="521"/>
      <c r="L114" s="521"/>
      <c r="M114" s="535"/>
      <c r="N114" s="521"/>
      <c r="O114" s="521"/>
      <c r="P114" s="521"/>
      <c r="Q114" s="521"/>
      <c r="R114" s="521"/>
      <c r="S114" s="521"/>
      <c r="T114" s="521"/>
      <c r="U114" s="521"/>
      <c r="V114" s="521"/>
    </row>
    <row r="115" spans="1:22" s="37" customFormat="1" ht="15" customHeight="1" x14ac:dyDescent="0.3">
      <c r="A115" s="521"/>
      <c r="B115" s="529"/>
      <c r="C115" s="839" t="s">
        <v>1075</v>
      </c>
      <c r="D115" s="840"/>
      <c r="E115" s="840"/>
      <c r="F115" s="841">
        <v>16</v>
      </c>
      <c r="G115" s="841"/>
      <c r="H115" s="841" t="s">
        <v>1513</v>
      </c>
      <c r="I115" s="842" t="str">
        <f>VLOOKUP(H115,tbl_KausiPitkaDivari[],2,FALSE)</f>
        <v>IV-Div</v>
      </c>
      <c r="J115" s="713"/>
      <c r="K115" s="521"/>
      <c r="L115" s="521"/>
      <c r="M115" s="535"/>
      <c r="N115" s="521"/>
      <c r="O115" s="521"/>
      <c r="P115" s="521"/>
      <c r="Q115" s="521"/>
      <c r="R115" s="521"/>
      <c r="S115" s="521"/>
      <c r="T115" s="521"/>
      <c r="U115" s="521"/>
      <c r="V115" s="521"/>
    </row>
    <row r="116" spans="1:22" s="37" customFormat="1" ht="15" customHeight="1" x14ac:dyDescent="0.3">
      <c r="A116" s="521"/>
      <c r="B116" s="529"/>
      <c r="C116" s="839" t="s">
        <v>2180</v>
      </c>
      <c r="D116" s="840"/>
      <c r="E116" s="840"/>
      <c r="F116" s="841">
        <v>12</v>
      </c>
      <c r="G116" s="841"/>
      <c r="H116" s="841" t="s">
        <v>2152</v>
      </c>
      <c r="I116" s="842" t="str">
        <f>VLOOKUP(H116,tbl_KausiPitkaDivari[],2,FALSE)</f>
        <v>III-Div+Kars</v>
      </c>
      <c r="J116" s="713"/>
      <c r="K116" s="521"/>
      <c r="L116" s="521"/>
      <c r="M116" s="535"/>
      <c r="N116" s="521"/>
      <c r="O116" s="521"/>
      <c r="P116" s="521"/>
      <c r="Q116" s="521"/>
      <c r="R116" s="521"/>
      <c r="S116" s="521"/>
      <c r="T116" s="521"/>
      <c r="U116" s="521"/>
      <c r="V116" s="521"/>
    </row>
    <row r="117" spans="1:22" s="37" customFormat="1" ht="15" customHeight="1" x14ac:dyDescent="0.3">
      <c r="A117" s="521"/>
      <c r="B117" s="529"/>
      <c r="C117" s="839" t="s">
        <v>50</v>
      </c>
      <c r="D117" s="840"/>
      <c r="E117" s="840"/>
      <c r="F117" s="841">
        <v>12</v>
      </c>
      <c r="G117" s="841"/>
      <c r="H117" s="841" t="s">
        <v>1635</v>
      </c>
      <c r="I117" s="842" t="str">
        <f>VLOOKUP(H117,tbl_KausiPitkaDivari[],2,FALSE)</f>
        <v>IV-Div</v>
      </c>
      <c r="J117" s="713"/>
      <c r="K117" s="521"/>
      <c r="L117" s="521"/>
      <c r="M117" s="535"/>
      <c r="N117" s="521"/>
      <c r="O117" s="521"/>
      <c r="P117" s="521"/>
      <c r="Q117" s="521"/>
      <c r="R117" s="521"/>
      <c r="S117" s="521"/>
      <c r="T117" s="521"/>
      <c r="U117" s="521"/>
      <c r="V117" s="521"/>
    </row>
    <row r="118" spans="1:22" s="37" customFormat="1" ht="15" customHeight="1" x14ac:dyDescent="0.3">
      <c r="A118" s="521"/>
      <c r="B118" s="529"/>
      <c r="C118" s="839" t="s">
        <v>50</v>
      </c>
      <c r="D118" s="840"/>
      <c r="E118" s="840"/>
      <c r="F118" s="841">
        <v>12</v>
      </c>
      <c r="G118" s="841"/>
      <c r="H118" s="841" t="s">
        <v>207</v>
      </c>
      <c r="I118" s="842" t="str">
        <f>VLOOKUP(H118,tbl_KausiPitkaDivari[],2,FALSE)</f>
        <v>IV-Div</v>
      </c>
      <c r="J118" s="713"/>
      <c r="K118" s="521"/>
      <c r="L118" s="521"/>
      <c r="M118" s="535"/>
      <c r="N118" s="521"/>
      <c r="O118" s="521"/>
      <c r="P118" s="521"/>
      <c r="Q118" s="521"/>
      <c r="R118" s="521"/>
      <c r="S118" s="521"/>
      <c r="T118" s="521"/>
      <c r="U118" s="521"/>
      <c r="V118" s="521"/>
    </row>
    <row r="119" spans="1:22" s="37" customFormat="1" ht="15" customHeight="1" x14ac:dyDescent="0.3">
      <c r="A119" s="521"/>
      <c r="B119" s="529"/>
      <c r="C119" s="843" t="s">
        <v>50</v>
      </c>
      <c r="D119" s="844"/>
      <c r="E119" s="844"/>
      <c r="F119" s="845">
        <v>11</v>
      </c>
      <c r="G119" s="845"/>
      <c r="H119" s="845" t="s">
        <v>584</v>
      </c>
      <c r="I119" s="846" t="str">
        <f>VLOOKUP(H119,tbl_KausiPitkaDivari[],2,FALSE)</f>
        <v>IV-Div</v>
      </c>
      <c r="J119" s="713"/>
      <c r="K119" s="521"/>
      <c r="L119" s="521"/>
      <c r="M119" s="535"/>
      <c r="N119" s="521"/>
      <c r="O119" s="521"/>
      <c r="P119" s="521"/>
      <c r="Q119" s="521"/>
      <c r="R119" s="521"/>
      <c r="S119" s="521"/>
      <c r="T119" s="521"/>
      <c r="U119" s="521"/>
      <c r="V119" s="521"/>
    </row>
    <row r="120" spans="1:22" ht="15" customHeight="1" x14ac:dyDescent="0.3">
      <c r="B120" s="401"/>
      <c r="C120" s="357"/>
      <c r="D120" s="357"/>
      <c r="E120" s="357"/>
      <c r="F120" s="357"/>
      <c r="G120" s="358"/>
      <c r="H120" s="358"/>
      <c r="I120" s="357"/>
      <c r="J120" s="357"/>
      <c r="K120" s="357"/>
      <c r="L120" s="357"/>
      <c r="M120" s="377"/>
      <c r="N120" s="357"/>
      <c r="O120" s="357"/>
    </row>
    <row r="121" spans="1:22" ht="15" customHeight="1" x14ac:dyDescent="0.3">
      <c r="B121" s="401"/>
      <c r="C121" s="357"/>
      <c r="D121" s="357"/>
      <c r="E121" s="357"/>
      <c r="F121" s="357"/>
      <c r="G121" s="358"/>
      <c r="H121" s="358"/>
      <c r="I121" s="357"/>
      <c r="J121" s="357"/>
      <c r="K121" s="357"/>
      <c r="L121" s="357"/>
      <c r="M121" s="377"/>
      <c r="N121" s="357"/>
      <c r="O121" s="357"/>
    </row>
    <row r="122" spans="1:22" ht="15" customHeight="1" x14ac:dyDescent="0.3">
      <c r="B122" s="475" t="s">
        <v>1758</v>
      </c>
      <c r="D122" s="357"/>
      <c r="E122" s="357"/>
      <c r="F122" s="357"/>
      <c r="G122" s="358"/>
      <c r="H122" s="358"/>
      <c r="I122" s="357"/>
      <c r="J122" s="357"/>
      <c r="K122" s="357"/>
      <c r="L122" s="357"/>
      <c r="M122" s="377"/>
      <c r="N122" s="357"/>
      <c r="O122" s="357"/>
    </row>
    <row r="123" spans="1:22" ht="15" customHeight="1" x14ac:dyDescent="0.3">
      <c r="B123" s="401"/>
      <c r="C123" s="357"/>
      <c r="D123" s="357"/>
      <c r="E123" s="357"/>
      <c r="F123" s="357"/>
      <c r="G123" s="358"/>
      <c r="H123" s="358"/>
      <c r="I123" s="357"/>
      <c r="J123" s="357"/>
      <c r="K123" s="357"/>
      <c r="L123" s="357"/>
      <c r="M123" s="377"/>
      <c r="N123" s="357"/>
      <c r="O123" s="357"/>
    </row>
    <row r="124" spans="1:22" ht="15" customHeight="1" x14ac:dyDescent="0.3">
      <c r="B124" s="399"/>
      <c r="C124" s="831" t="s">
        <v>185</v>
      </c>
      <c r="D124" s="832"/>
      <c r="E124" s="832"/>
      <c r="F124" s="833">
        <v>37</v>
      </c>
      <c r="G124" s="833"/>
      <c r="H124" s="833" t="s">
        <v>1818</v>
      </c>
      <c r="I124" s="834" t="str">
        <f>VLOOKUP(H124,tbl_KausiPitkaDivari[],2,FALSE)</f>
        <v>IV-Div+Kars</v>
      </c>
      <c r="J124" s="357"/>
      <c r="K124" s="357"/>
      <c r="L124" s="357"/>
      <c r="M124" s="377"/>
      <c r="N124" s="357"/>
      <c r="O124" s="357"/>
    </row>
    <row r="125" spans="1:22" ht="15" customHeight="1" x14ac:dyDescent="0.3">
      <c r="B125" s="399"/>
      <c r="C125" s="935" t="s">
        <v>185</v>
      </c>
      <c r="D125" s="936"/>
      <c r="E125" s="936"/>
      <c r="F125" s="937">
        <v>36</v>
      </c>
      <c r="G125" s="937"/>
      <c r="H125" s="937" t="s">
        <v>2006</v>
      </c>
      <c r="I125" s="838" t="str">
        <f>VLOOKUP(H125,tbl_KausiPitkaDivari[],2,FALSE)</f>
        <v>IV-Div+Cup</v>
      </c>
      <c r="J125" s="357"/>
      <c r="K125" s="357"/>
      <c r="L125" s="357"/>
      <c r="M125" s="377"/>
      <c r="N125" s="357"/>
      <c r="O125" s="357"/>
    </row>
    <row r="126" spans="1:22" ht="15" customHeight="1" x14ac:dyDescent="0.3">
      <c r="B126" s="399"/>
      <c r="C126" s="935" t="s">
        <v>185</v>
      </c>
      <c r="D126" s="936"/>
      <c r="E126" s="936"/>
      <c r="F126" s="937">
        <v>30</v>
      </c>
      <c r="G126" s="937"/>
      <c r="H126" s="937" t="s">
        <v>297</v>
      </c>
      <c r="I126" s="838" t="str">
        <f>VLOOKUP(H126,tbl_KausiPitkaDivari[],2,FALSE)</f>
        <v>V-Div</v>
      </c>
      <c r="J126" s="357"/>
      <c r="K126" s="357"/>
      <c r="L126" s="357"/>
      <c r="M126" s="377"/>
      <c r="N126" s="357"/>
      <c r="O126" s="357"/>
    </row>
    <row r="127" spans="1:22" ht="15" customHeight="1" x14ac:dyDescent="0.3">
      <c r="B127" s="529"/>
      <c r="C127" s="835" t="s">
        <v>185</v>
      </c>
      <c r="D127" s="836"/>
      <c r="E127" s="836"/>
      <c r="F127" s="841">
        <v>27</v>
      </c>
      <c r="G127" s="837"/>
      <c r="H127" s="837" t="s">
        <v>977</v>
      </c>
      <c r="I127" s="838" t="str">
        <f>VLOOKUP(H127,tbl_KausiPitkaDivari[],2,FALSE)</f>
        <v>V-Div</v>
      </c>
      <c r="J127" s="357"/>
      <c r="K127" s="357"/>
      <c r="L127" s="357"/>
      <c r="M127" s="377"/>
      <c r="N127" s="357"/>
      <c r="O127" s="357"/>
    </row>
    <row r="128" spans="1:22" ht="15" customHeight="1" x14ac:dyDescent="0.3">
      <c r="B128" s="529"/>
      <c r="C128" s="835" t="s">
        <v>185</v>
      </c>
      <c r="D128" s="836"/>
      <c r="E128" s="836"/>
      <c r="F128" s="841">
        <v>26</v>
      </c>
      <c r="G128" s="837"/>
      <c r="H128" s="837" t="s">
        <v>2152</v>
      </c>
      <c r="I128" s="838" t="str">
        <f>VLOOKUP(H128,tbl_KausiPitkaDivari[],2,FALSE)</f>
        <v>III-Div+Kars</v>
      </c>
      <c r="J128" s="357"/>
      <c r="K128" s="357"/>
      <c r="L128" s="357"/>
      <c r="M128" s="377"/>
      <c r="N128" s="357"/>
      <c r="O128" s="357"/>
    </row>
    <row r="129" spans="1:22" ht="15" customHeight="1" x14ac:dyDescent="0.3">
      <c r="B129" s="529"/>
      <c r="C129" s="839" t="s">
        <v>185</v>
      </c>
      <c r="D129" s="840"/>
      <c r="E129" s="840"/>
      <c r="F129" s="841">
        <v>21</v>
      </c>
      <c r="G129" s="841"/>
      <c r="H129" s="841" t="s">
        <v>1102</v>
      </c>
      <c r="I129" s="842" t="str">
        <f>VLOOKUP(H129,tbl_KausiPitkaDivari[],2,FALSE)</f>
        <v>IV-Div</v>
      </c>
      <c r="J129" s="713"/>
      <c r="K129" s="357"/>
      <c r="L129" s="357"/>
      <c r="M129" s="377"/>
      <c r="N129" s="357"/>
      <c r="O129" s="357"/>
    </row>
    <row r="130" spans="1:22" s="37" customFormat="1" ht="15" customHeight="1" x14ac:dyDescent="0.3">
      <c r="A130" s="521"/>
      <c r="B130" s="529"/>
      <c r="C130" s="839" t="s">
        <v>51</v>
      </c>
      <c r="D130" s="840"/>
      <c r="E130" s="840"/>
      <c r="F130" s="841">
        <v>21</v>
      </c>
      <c r="G130" s="841"/>
      <c r="H130" s="841" t="s">
        <v>83</v>
      </c>
      <c r="I130" s="842" t="str">
        <f>VLOOKUP(H130,tbl_KausiPitkaDivari[],2,FALSE)</f>
        <v>V-Div</v>
      </c>
      <c r="J130" s="713"/>
      <c r="K130" s="521"/>
      <c r="L130" s="521"/>
      <c r="M130" s="535"/>
      <c r="N130" s="521"/>
      <c r="O130" s="521"/>
      <c r="P130" s="521"/>
      <c r="Q130" s="521"/>
      <c r="R130" s="521"/>
      <c r="S130" s="521"/>
      <c r="T130" s="521"/>
      <c r="U130" s="521"/>
      <c r="V130" s="521"/>
    </row>
    <row r="131" spans="1:22" s="37" customFormat="1" ht="15" customHeight="1" x14ac:dyDescent="0.3">
      <c r="A131" s="521"/>
      <c r="B131" s="529"/>
      <c r="C131" s="839" t="s">
        <v>185</v>
      </c>
      <c r="D131" s="840"/>
      <c r="E131" s="840"/>
      <c r="F131" s="841">
        <v>20</v>
      </c>
      <c r="G131" s="841"/>
      <c r="H131" s="841" t="s">
        <v>1385</v>
      </c>
      <c r="I131" s="842" t="str">
        <f>VLOOKUP(H131,tbl_KausiPitkaDivari[],2,FALSE)</f>
        <v>IV-Div</v>
      </c>
      <c r="J131" s="713"/>
      <c r="K131" s="521"/>
      <c r="L131" s="521"/>
      <c r="M131" s="535"/>
      <c r="N131" s="521"/>
      <c r="O131" s="521"/>
      <c r="P131" s="521"/>
      <c r="Q131" s="521"/>
      <c r="R131" s="521"/>
      <c r="S131" s="521"/>
      <c r="T131" s="521"/>
      <c r="U131" s="521"/>
      <c r="V131" s="521"/>
    </row>
    <row r="132" spans="1:22" s="37" customFormat="1" ht="15" customHeight="1" x14ac:dyDescent="0.3">
      <c r="A132" s="521"/>
      <c r="B132" s="529"/>
      <c r="C132" s="839" t="s">
        <v>185</v>
      </c>
      <c r="D132" s="840"/>
      <c r="E132" s="840"/>
      <c r="F132" s="841">
        <v>20</v>
      </c>
      <c r="G132" s="841"/>
      <c r="H132" s="841" t="s">
        <v>754</v>
      </c>
      <c r="I132" s="842" t="str">
        <f>VLOOKUP(H132,tbl_KausiPitkaDivari[],2,FALSE)</f>
        <v>IV-Div</v>
      </c>
      <c r="J132" s="713"/>
      <c r="K132" s="521"/>
      <c r="L132" s="521"/>
      <c r="M132" s="535"/>
      <c r="N132" s="521"/>
      <c r="O132" s="521"/>
      <c r="P132" s="521"/>
      <c r="Q132" s="521"/>
      <c r="R132" s="521"/>
      <c r="S132" s="521"/>
      <c r="T132" s="521"/>
      <c r="U132" s="521"/>
      <c r="V132" s="521"/>
    </row>
    <row r="133" spans="1:22" s="37" customFormat="1" ht="15" customHeight="1" x14ac:dyDescent="0.3">
      <c r="A133" s="521"/>
      <c r="B133" s="529"/>
      <c r="C133" s="839" t="s">
        <v>2184</v>
      </c>
      <c r="D133" s="840"/>
      <c r="E133" s="840"/>
      <c r="F133" s="841">
        <v>18</v>
      </c>
      <c r="G133" s="841"/>
      <c r="H133" s="841" t="s">
        <v>2372</v>
      </c>
      <c r="I133" s="842" t="str">
        <f>VLOOKUP(H133,tbl_KausiPitkaDivari[],2,FALSE)</f>
        <v>IV-Div+Kars</v>
      </c>
      <c r="J133" s="713"/>
      <c r="K133" s="521"/>
      <c r="L133" s="521"/>
      <c r="M133" s="535"/>
      <c r="N133" s="521"/>
      <c r="O133" s="521"/>
      <c r="P133" s="521"/>
      <c r="Q133" s="521"/>
      <c r="R133" s="521"/>
      <c r="S133" s="521"/>
      <c r="T133" s="521"/>
      <c r="U133" s="521"/>
      <c r="V133" s="521"/>
    </row>
    <row r="134" spans="1:22" s="37" customFormat="1" ht="15" customHeight="1" x14ac:dyDescent="0.3">
      <c r="A134" s="521"/>
      <c r="B134" s="529"/>
      <c r="C134" s="839" t="s">
        <v>1379</v>
      </c>
      <c r="D134" s="840"/>
      <c r="E134" s="840"/>
      <c r="F134" s="841">
        <v>18</v>
      </c>
      <c r="G134" s="841"/>
      <c r="H134" s="841" t="s">
        <v>2372</v>
      </c>
      <c r="I134" s="842" t="str">
        <f>VLOOKUP(H134,tbl_KausiPitkaDivari[],2,FALSE)</f>
        <v>IV-Div+Kars</v>
      </c>
      <c r="J134" s="713"/>
      <c r="K134" s="521"/>
      <c r="L134" s="521"/>
      <c r="M134" s="535"/>
      <c r="N134" s="521"/>
      <c r="O134" s="521"/>
      <c r="P134" s="521"/>
      <c r="Q134" s="521"/>
      <c r="R134" s="521"/>
      <c r="S134" s="521"/>
      <c r="T134" s="521"/>
      <c r="U134" s="521"/>
      <c r="V134" s="521"/>
    </row>
    <row r="135" spans="1:22" s="37" customFormat="1" ht="15" customHeight="1" x14ac:dyDescent="0.3">
      <c r="A135" s="521"/>
      <c r="B135" s="529"/>
      <c r="C135" s="839" t="s">
        <v>185</v>
      </c>
      <c r="D135" s="840"/>
      <c r="E135" s="840"/>
      <c r="F135" s="841">
        <v>16</v>
      </c>
      <c r="G135" s="841"/>
      <c r="H135" s="841" t="s">
        <v>874</v>
      </c>
      <c r="I135" s="842" t="str">
        <f>VLOOKUP(H135,tbl_KausiPitkaDivari[],2,FALSE)</f>
        <v>IV-Div</v>
      </c>
      <c r="J135" s="713"/>
      <c r="K135" s="521"/>
      <c r="L135" s="521"/>
      <c r="M135" s="535"/>
      <c r="N135" s="521"/>
      <c r="O135" s="521"/>
      <c r="P135" s="521"/>
      <c r="Q135" s="521"/>
      <c r="R135" s="521"/>
      <c r="S135" s="521"/>
      <c r="T135" s="521"/>
      <c r="U135" s="521"/>
      <c r="V135" s="521"/>
    </row>
    <row r="136" spans="1:22" s="37" customFormat="1" ht="15" customHeight="1" x14ac:dyDescent="0.3">
      <c r="A136" s="521"/>
      <c r="B136" s="529"/>
      <c r="C136" s="839" t="s">
        <v>1124</v>
      </c>
      <c r="D136" s="840"/>
      <c r="E136" s="840"/>
      <c r="F136" s="841">
        <v>15</v>
      </c>
      <c r="G136" s="841"/>
      <c r="H136" s="841" t="s">
        <v>1490</v>
      </c>
      <c r="I136" s="842" t="str">
        <f>VLOOKUP(H136,tbl_KausiPitkaDivari[],2,FALSE)</f>
        <v>IV-Div</v>
      </c>
      <c r="J136" s="713"/>
      <c r="K136" s="521"/>
      <c r="L136" s="521"/>
      <c r="M136" s="535"/>
      <c r="N136" s="521"/>
      <c r="O136" s="521"/>
      <c r="P136" s="521"/>
      <c r="Q136" s="521"/>
      <c r="R136" s="521"/>
      <c r="S136" s="521"/>
      <c r="T136" s="521"/>
      <c r="U136" s="521"/>
      <c r="V136" s="521"/>
    </row>
    <row r="137" spans="1:22" s="37" customFormat="1" ht="15" customHeight="1" x14ac:dyDescent="0.3">
      <c r="A137" s="521"/>
      <c r="B137" s="529"/>
      <c r="C137" s="839" t="s">
        <v>185</v>
      </c>
      <c r="D137" s="840"/>
      <c r="E137" s="840"/>
      <c r="F137" s="841">
        <v>15</v>
      </c>
      <c r="G137" s="841"/>
      <c r="H137" s="841" t="s">
        <v>584</v>
      </c>
      <c r="I137" s="842" t="str">
        <f>VLOOKUP(H137,tbl_KausiPitkaDivari[],2,FALSE)</f>
        <v>IV-Div</v>
      </c>
      <c r="J137" s="713"/>
      <c r="K137" s="521"/>
      <c r="L137" s="521"/>
      <c r="M137" s="535"/>
      <c r="N137" s="521"/>
      <c r="O137" s="521"/>
      <c r="P137" s="521"/>
      <c r="Q137" s="521"/>
      <c r="R137" s="521"/>
      <c r="S137" s="521"/>
      <c r="T137" s="521"/>
      <c r="U137" s="521"/>
      <c r="V137" s="521"/>
    </row>
    <row r="138" spans="1:22" s="37" customFormat="1" ht="15" customHeight="1" x14ac:dyDescent="0.3">
      <c r="A138" s="521"/>
      <c r="B138" s="529"/>
      <c r="C138" s="839" t="s">
        <v>2180</v>
      </c>
      <c r="D138" s="840"/>
      <c r="E138" s="840"/>
      <c r="F138" s="841">
        <v>15</v>
      </c>
      <c r="G138" s="841"/>
      <c r="H138" s="841" t="s">
        <v>2153</v>
      </c>
      <c r="I138" s="842" t="str">
        <f>VLOOKUP(H138,tbl_KausiPitkaDivari[],2,FALSE)</f>
        <v>IV-Div</v>
      </c>
      <c r="J138" s="713"/>
      <c r="K138" s="521"/>
      <c r="L138" s="521"/>
      <c r="M138" s="535"/>
      <c r="N138" s="521"/>
      <c r="O138" s="521"/>
      <c r="P138" s="521"/>
      <c r="Q138" s="521"/>
      <c r="R138" s="521"/>
      <c r="S138" s="521"/>
      <c r="T138" s="521"/>
      <c r="U138" s="521"/>
      <c r="V138" s="521"/>
    </row>
    <row r="139" spans="1:22" s="37" customFormat="1" ht="15" customHeight="1" x14ac:dyDescent="0.3">
      <c r="A139" s="521"/>
      <c r="B139" s="529"/>
      <c r="C139" s="839" t="s">
        <v>185</v>
      </c>
      <c r="D139" s="840"/>
      <c r="E139" s="840"/>
      <c r="F139" s="841">
        <v>12</v>
      </c>
      <c r="G139" s="841"/>
      <c r="H139" s="841" t="s">
        <v>207</v>
      </c>
      <c r="I139" s="842" t="str">
        <f>VLOOKUP(H139,tbl_KausiPitkaDivari[],2,FALSE)</f>
        <v>IV-Div</v>
      </c>
      <c r="J139" s="713"/>
      <c r="K139" s="521"/>
      <c r="L139" s="521"/>
      <c r="M139" s="535"/>
      <c r="N139" s="521"/>
      <c r="O139" s="521"/>
      <c r="P139" s="521"/>
      <c r="Q139" s="521"/>
      <c r="R139" s="521"/>
      <c r="S139" s="521"/>
      <c r="T139" s="521"/>
      <c r="U139" s="521"/>
      <c r="V139" s="521"/>
    </row>
    <row r="140" spans="1:22" s="37" customFormat="1" ht="15" customHeight="1" x14ac:dyDescent="0.3">
      <c r="A140" s="521"/>
      <c r="B140" s="529"/>
      <c r="C140" s="839" t="s">
        <v>2443</v>
      </c>
      <c r="D140" s="840"/>
      <c r="E140" s="840"/>
      <c r="F140" s="841">
        <v>11</v>
      </c>
      <c r="G140" s="841"/>
      <c r="H140" s="841" t="s">
        <v>2489</v>
      </c>
      <c r="I140" s="842" t="str">
        <f>VLOOKUP(H140,tbl_KausiPitkaDivari[],2,FALSE)</f>
        <v>III-Div</v>
      </c>
      <c r="J140" s="713" t="s">
        <v>1685</v>
      </c>
      <c r="K140" s="521"/>
      <c r="L140" s="521"/>
      <c r="M140" s="535"/>
      <c r="N140" s="521"/>
      <c r="O140" s="521"/>
      <c r="P140" s="521"/>
      <c r="Q140" s="521"/>
      <c r="R140" s="521"/>
      <c r="S140" s="521"/>
      <c r="T140" s="521"/>
      <c r="U140" s="521"/>
      <c r="V140" s="521"/>
    </row>
    <row r="141" spans="1:22" s="37" customFormat="1" ht="15" customHeight="1" x14ac:dyDescent="0.3">
      <c r="A141" s="521"/>
      <c r="B141" s="529"/>
      <c r="C141" s="839" t="s">
        <v>1759</v>
      </c>
      <c r="D141" s="840"/>
      <c r="E141" s="840"/>
      <c r="F141" s="841">
        <v>9</v>
      </c>
      <c r="G141" s="841"/>
      <c r="H141" s="841" t="s">
        <v>1635</v>
      </c>
      <c r="I141" s="842" t="str">
        <f>VLOOKUP(H141,tbl_KausiPitkaDivari[],2,FALSE)</f>
        <v>IV-Div</v>
      </c>
      <c r="J141" s="713"/>
      <c r="K141" s="521"/>
      <c r="L141" s="521"/>
      <c r="M141" s="535"/>
      <c r="N141" s="521"/>
      <c r="O141" s="521"/>
      <c r="P141" s="521"/>
      <c r="Q141" s="521"/>
      <c r="R141" s="521"/>
      <c r="S141" s="521"/>
      <c r="T141" s="521"/>
      <c r="U141" s="521"/>
      <c r="V141" s="521"/>
    </row>
    <row r="142" spans="1:22" s="37" customFormat="1" ht="15" customHeight="1" x14ac:dyDescent="0.3">
      <c r="A142" s="521"/>
      <c r="B142" s="529"/>
      <c r="C142" s="843" t="s">
        <v>1760</v>
      </c>
      <c r="D142" s="844"/>
      <c r="E142" s="844"/>
      <c r="F142" s="845">
        <v>9</v>
      </c>
      <c r="G142" s="845"/>
      <c r="H142" s="845" t="s">
        <v>1513</v>
      </c>
      <c r="I142" s="846" t="str">
        <f>VLOOKUP(H142,tbl_KausiPitkaDivari[],2,FALSE)</f>
        <v>IV-Div</v>
      </c>
      <c r="J142" s="713"/>
      <c r="K142" s="521"/>
      <c r="L142" s="521"/>
      <c r="M142" s="535"/>
      <c r="N142" s="521"/>
      <c r="O142" s="521"/>
      <c r="P142" s="521"/>
      <c r="Q142" s="521"/>
      <c r="R142" s="521"/>
      <c r="S142" s="521"/>
      <c r="T142" s="521"/>
      <c r="U142" s="521"/>
      <c r="V142" s="521"/>
    </row>
    <row r="143" spans="1:22" ht="15" customHeight="1" x14ac:dyDescent="0.3">
      <c r="B143" s="401"/>
      <c r="C143" s="357"/>
      <c r="D143" s="357"/>
      <c r="E143" s="357"/>
      <c r="F143" s="357"/>
      <c r="G143" s="358"/>
      <c r="H143" s="358"/>
      <c r="I143" s="357"/>
      <c r="J143" s="357"/>
      <c r="K143" s="357"/>
      <c r="L143" s="357"/>
      <c r="M143" s="377"/>
      <c r="N143" s="357"/>
      <c r="O143" s="357"/>
    </row>
    <row r="144" spans="1:22" ht="15" customHeight="1" x14ac:dyDescent="0.3">
      <c r="B144" s="401"/>
      <c r="C144" s="357"/>
      <c r="D144" s="357"/>
      <c r="E144" s="357"/>
      <c r="F144" s="357"/>
      <c r="G144" s="358"/>
      <c r="H144" s="358"/>
      <c r="I144" s="357"/>
      <c r="J144" s="357"/>
      <c r="K144" s="357"/>
      <c r="L144" s="357"/>
      <c r="M144" s="377"/>
      <c r="N144" s="357"/>
      <c r="O144" s="357"/>
    </row>
    <row r="145" spans="1:22" ht="15" customHeight="1" x14ac:dyDescent="0.3">
      <c r="B145" s="475" t="s">
        <v>1761</v>
      </c>
      <c r="D145" s="357"/>
      <c r="E145" s="357"/>
      <c r="F145" s="357"/>
      <c r="G145" s="358"/>
      <c r="H145" s="358"/>
      <c r="I145" s="357"/>
      <c r="J145" s="357"/>
      <c r="K145" s="357"/>
      <c r="L145" s="357"/>
      <c r="M145" s="377"/>
      <c r="N145" s="357"/>
      <c r="O145" s="357"/>
    </row>
    <row r="146" spans="1:22" ht="15" customHeight="1" x14ac:dyDescent="0.3">
      <c r="B146" s="401"/>
      <c r="C146" s="357"/>
      <c r="D146" s="357"/>
      <c r="E146" s="357"/>
      <c r="F146" s="357"/>
      <c r="G146" s="358"/>
      <c r="H146" s="358"/>
      <c r="I146" s="357"/>
      <c r="J146" s="357"/>
      <c r="K146" s="357"/>
      <c r="L146" s="357"/>
      <c r="M146" s="377"/>
      <c r="N146" s="357"/>
      <c r="O146" s="357"/>
    </row>
    <row r="147" spans="1:22" ht="15" customHeight="1" x14ac:dyDescent="0.3">
      <c r="B147" s="399"/>
      <c r="C147" s="831" t="s">
        <v>673</v>
      </c>
      <c r="D147" s="832"/>
      <c r="E147" s="832"/>
      <c r="F147" s="833" t="s">
        <v>985</v>
      </c>
      <c r="G147" s="833"/>
      <c r="H147" s="833" t="s">
        <v>977</v>
      </c>
      <c r="I147" s="834" t="str">
        <f>VLOOKUP(H147,tbl_KausiPitkaDivari[],2,FALSE)</f>
        <v>V-Div</v>
      </c>
      <c r="J147" s="357"/>
      <c r="K147" s="357"/>
      <c r="L147" s="357"/>
      <c r="M147" s="377"/>
      <c r="N147" s="357"/>
      <c r="O147" s="357"/>
    </row>
    <row r="148" spans="1:22" ht="15" customHeight="1" x14ac:dyDescent="0.3">
      <c r="B148" s="529"/>
      <c r="C148" s="835" t="s">
        <v>185</v>
      </c>
      <c r="D148" s="836"/>
      <c r="E148" s="836"/>
      <c r="F148" s="837" t="s">
        <v>875</v>
      </c>
      <c r="G148" s="837"/>
      <c r="H148" s="837" t="s">
        <v>874</v>
      </c>
      <c r="I148" s="838" t="str">
        <f>VLOOKUP(H148,tbl_KausiPitkaDivari[],2,FALSE)</f>
        <v>IV-Div</v>
      </c>
      <c r="J148" s="357"/>
      <c r="K148" s="357"/>
      <c r="L148" s="357"/>
      <c r="M148" s="377"/>
      <c r="N148" s="357"/>
      <c r="O148" s="357"/>
    </row>
    <row r="149" spans="1:22" ht="15" customHeight="1" x14ac:dyDescent="0.3">
      <c r="B149" s="529"/>
      <c r="C149" s="839" t="s">
        <v>1075</v>
      </c>
      <c r="D149" s="840"/>
      <c r="E149" s="840"/>
      <c r="F149" s="841" t="s">
        <v>1386</v>
      </c>
      <c r="G149" s="841"/>
      <c r="H149" s="841" t="s">
        <v>1385</v>
      </c>
      <c r="I149" s="842" t="str">
        <f>VLOOKUP(H149,tbl_KausiPitkaDivari[],2,FALSE)</f>
        <v>IV-Div</v>
      </c>
      <c r="J149" s="713"/>
      <c r="K149" s="357"/>
      <c r="L149" s="357"/>
      <c r="M149" s="377"/>
      <c r="N149" s="357"/>
      <c r="O149" s="357"/>
    </row>
    <row r="150" spans="1:22" ht="15" customHeight="1" x14ac:dyDescent="0.3">
      <c r="B150" s="529"/>
      <c r="C150" s="839" t="s">
        <v>1124</v>
      </c>
      <c r="D150" s="840"/>
      <c r="E150" s="840"/>
      <c r="F150" s="841" t="s">
        <v>2238</v>
      </c>
      <c r="G150" s="841" t="s">
        <v>2239</v>
      </c>
      <c r="H150" s="841" t="s">
        <v>2152</v>
      </c>
      <c r="I150" s="842" t="str">
        <f>VLOOKUP(H150,tbl_KausiPitkaDivari[],2,FALSE)</f>
        <v>III-Div+Kars</v>
      </c>
      <c r="J150" s="713"/>
      <c r="K150" s="357"/>
      <c r="L150" s="357"/>
      <c r="M150" s="377"/>
      <c r="N150" s="357"/>
      <c r="O150" s="357"/>
    </row>
    <row r="151" spans="1:22" ht="15" customHeight="1" x14ac:dyDescent="0.3">
      <c r="B151" s="529"/>
      <c r="C151" s="839" t="s">
        <v>1124</v>
      </c>
      <c r="D151" s="840"/>
      <c r="E151" s="840"/>
      <c r="F151" s="841" t="s">
        <v>1608</v>
      </c>
      <c r="G151" s="841"/>
      <c r="H151" s="841" t="s">
        <v>1513</v>
      </c>
      <c r="I151" s="842" t="str">
        <f>VLOOKUP(H151,tbl_KausiPitkaDivari[],2,FALSE)</f>
        <v>IV-Div</v>
      </c>
      <c r="J151" s="713"/>
      <c r="K151" s="357"/>
      <c r="L151" s="357"/>
      <c r="M151" s="377"/>
      <c r="N151" s="357"/>
      <c r="O151" s="357"/>
    </row>
    <row r="152" spans="1:22" ht="15" customHeight="1" x14ac:dyDescent="0.3">
      <c r="B152" s="529"/>
      <c r="C152" s="839" t="s">
        <v>2443</v>
      </c>
      <c r="D152" s="840"/>
      <c r="E152" s="840"/>
      <c r="F152" s="841" t="s">
        <v>1608</v>
      </c>
      <c r="G152" s="841" t="s">
        <v>1765</v>
      </c>
      <c r="H152" s="841" t="s">
        <v>2372</v>
      </c>
      <c r="I152" s="842" t="str">
        <f>VLOOKUP(H152,tbl_KausiPitkaDivari[],2,FALSE)</f>
        <v>IV-Div+Kars</v>
      </c>
      <c r="J152" s="713"/>
      <c r="K152" s="357"/>
      <c r="L152" s="357"/>
      <c r="M152" s="377"/>
      <c r="N152" s="357"/>
      <c r="O152" s="357"/>
    </row>
    <row r="153" spans="1:22" ht="15" customHeight="1" x14ac:dyDescent="0.3">
      <c r="B153" s="529"/>
      <c r="C153" s="839" t="s">
        <v>185</v>
      </c>
      <c r="D153" s="840"/>
      <c r="E153" s="840"/>
      <c r="F153" s="841" t="s">
        <v>1959</v>
      </c>
      <c r="G153" s="841"/>
      <c r="H153" s="841" t="s">
        <v>1818</v>
      </c>
      <c r="I153" s="842" t="str">
        <f>VLOOKUP(H153,tbl_KausiPitkaDivari[],2,FALSE)</f>
        <v>IV-Div+Kars</v>
      </c>
      <c r="J153" s="713"/>
      <c r="K153" s="357"/>
      <c r="L153" s="357"/>
      <c r="M153" s="377"/>
      <c r="N153" s="357"/>
      <c r="O153" s="357"/>
    </row>
    <row r="154" spans="1:22" s="140" customFormat="1" ht="15" customHeight="1" x14ac:dyDescent="0.3">
      <c r="A154" s="519"/>
      <c r="B154" s="529"/>
      <c r="C154" s="839" t="s">
        <v>278</v>
      </c>
      <c r="D154" s="840"/>
      <c r="E154" s="840"/>
      <c r="F154" s="841" t="s">
        <v>298</v>
      </c>
      <c r="G154" s="841"/>
      <c r="H154" s="841" t="s">
        <v>297</v>
      </c>
      <c r="I154" s="842" t="str">
        <f>VLOOKUP(H154,tbl_KausiPitkaDivari[],2,FALSE)</f>
        <v>V-Div</v>
      </c>
      <c r="J154" s="713"/>
      <c r="K154" s="519"/>
      <c r="L154" s="519"/>
      <c r="M154" s="421"/>
      <c r="N154" s="519"/>
      <c r="O154" s="519"/>
      <c r="P154" s="519"/>
      <c r="Q154" s="519"/>
      <c r="R154" s="519"/>
      <c r="S154" s="519"/>
      <c r="T154" s="519"/>
      <c r="U154" s="519"/>
      <c r="V154" s="519"/>
    </row>
    <row r="155" spans="1:22" ht="15" customHeight="1" x14ac:dyDescent="0.3">
      <c r="B155" s="529"/>
      <c r="C155" s="839" t="s">
        <v>278</v>
      </c>
      <c r="D155" s="840"/>
      <c r="E155" s="840"/>
      <c r="F155" s="841" t="s">
        <v>585</v>
      </c>
      <c r="G155" s="841"/>
      <c r="H155" s="841" t="s">
        <v>584</v>
      </c>
      <c r="I155" s="842" t="str">
        <f>VLOOKUP(H155,tbl_KausiPitkaDivari[],2,FALSE)</f>
        <v>IV-Div</v>
      </c>
      <c r="J155" s="713"/>
      <c r="K155" s="357"/>
      <c r="L155" s="357"/>
      <c r="M155" s="377"/>
      <c r="N155" s="357"/>
      <c r="O155" s="357"/>
    </row>
    <row r="156" spans="1:22" ht="15" customHeight="1" x14ac:dyDescent="0.3">
      <c r="B156" s="529"/>
      <c r="C156" s="839" t="s">
        <v>185</v>
      </c>
      <c r="D156" s="840"/>
      <c r="E156" s="840"/>
      <c r="F156" s="841" t="s">
        <v>771</v>
      </c>
      <c r="G156" s="841" t="s">
        <v>1769</v>
      </c>
      <c r="H156" s="841" t="s">
        <v>754</v>
      </c>
      <c r="I156" s="842" t="str">
        <f>VLOOKUP(H156,tbl_KausiPitkaDivari[],2,FALSE)</f>
        <v>IV-Div</v>
      </c>
      <c r="J156" s="713"/>
      <c r="K156" s="357"/>
      <c r="L156" s="357"/>
      <c r="M156" s="377"/>
      <c r="N156" s="357"/>
      <c r="O156" s="357"/>
    </row>
    <row r="157" spans="1:22" ht="15" customHeight="1" x14ac:dyDescent="0.3">
      <c r="B157" s="529"/>
      <c r="C157" s="839" t="s">
        <v>185</v>
      </c>
      <c r="D157" s="840"/>
      <c r="E157" s="840"/>
      <c r="F157" s="841" t="s">
        <v>1103</v>
      </c>
      <c r="G157" s="841" t="s">
        <v>1766</v>
      </c>
      <c r="H157" s="841" t="s">
        <v>1635</v>
      </c>
      <c r="I157" s="842" t="str">
        <f>VLOOKUP(H157,tbl_KausiPitkaDivari[],2,FALSE)</f>
        <v>IV-Div</v>
      </c>
      <c r="J157" s="713"/>
      <c r="K157" s="357"/>
      <c r="L157" s="357"/>
      <c r="M157" s="377"/>
      <c r="N157" s="357"/>
      <c r="O157" s="357"/>
    </row>
    <row r="158" spans="1:22" ht="15" customHeight="1" x14ac:dyDescent="0.3">
      <c r="B158" s="529"/>
      <c r="C158" s="839" t="s">
        <v>1075</v>
      </c>
      <c r="D158" s="840"/>
      <c r="E158" s="840"/>
      <c r="F158" s="841" t="s">
        <v>1103</v>
      </c>
      <c r="G158" s="841" t="s">
        <v>1768</v>
      </c>
      <c r="H158" s="841" t="s">
        <v>1102</v>
      </c>
      <c r="I158" s="842" t="str">
        <f>VLOOKUP(H158,tbl_KausiPitkaDivari[],2,FALSE)</f>
        <v>IV-Div</v>
      </c>
      <c r="J158" s="713"/>
      <c r="K158" s="357"/>
      <c r="L158" s="357"/>
      <c r="M158" s="377"/>
      <c r="N158" s="357"/>
      <c r="O158" s="357"/>
    </row>
    <row r="159" spans="1:22" ht="15" customHeight="1" x14ac:dyDescent="0.3">
      <c r="B159" s="529"/>
      <c r="C159" s="839" t="s">
        <v>2282</v>
      </c>
      <c r="D159" s="840"/>
      <c r="E159" s="840"/>
      <c r="F159" s="841" t="s">
        <v>82</v>
      </c>
      <c r="G159" s="841" t="s">
        <v>1767</v>
      </c>
      <c r="H159" s="841" t="s">
        <v>2489</v>
      </c>
      <c r="I159" s="842" t="str">
        <f>VLOOKUP(H159,tbl_KausiPitkaDivari[],2,FALSE)</f>
        <v>III-Div</v>
      </c>
      <c r="J159" s="713" t="s">
        <v>1685</v>
      </c>
      <c r="K159" s="357"/>
      <c r="L159" s="357"/>
      <c r="M159" s="377"/>
      <c r="N159" s="357"/>
      <c r="O159" s="357"/>
    </row>
    <row r="160" spans="1:22" s="37" customFormat="1" ht="15" customHeight="1" x14ac:dyDescent="0.3">
      <c r="A160" s="521"/>
      <c r="B160" s="529"/>
      <c r="C160" s="839" t="s">
        <v>49</v>
      </c>
      <c r="D160" s="840"/>
      <c r="E160" s="840"/>
      <c r="F160" s="841" t="s">
        <v>82</v>
      </c>
      <c r="G160" s="841" t="s">
        <v>1767</v>
      </c>
      <c r="H160" s="841" t="s">
        <v>83</v>
      </c>
      <c r="I160" s="842" t="str">
        <f>VLOOKUP(H160,tbl_KausiPitkaDivari[],2,FALSE)</f>
        <v>V-Div</v>
      </c>
      <c r="J160" s="713"/>
      <c r="K160" s="521"/>
      <c r="L160" s="521"/>
      <c r="M160" s="535"/>
      <c r="N160" s="521"/>
      <c r="O160" s="521"/>
      <c r="P160" s="521"/>
      <c r="Q160" s="521"/>
      <c r="R160" s="521"/>
      <c r="S160" s="521"/>
      <c r="T160" s="521"/>
      <c r="U160" s="521"/>
      <c r="V160" s="521"/>
    </row>
    <row r="161" spans="1:22" s="37" customFormat="1" ht="15" customHeight="1" x14ac:dyDescent="0.3">
      <c r="A161" s="521"/>
      <c r="B161" s="529"/>
      <c r="C161" s="839" t="s">
        <v>1762</v>
      </c>
      <c r="D161" s="840"/>
      <c r="E161" s="840"/>
      <c r="F161" s="841" t="s">
        <v>82</v>
      </c>
      <c r="G161" s="841" t="s">
        <v>1767</v>
      </c>
      <c r="H161" s="841" t="s">
        <v>207</v>
      </c>
      <c r="I161" s="842" t="str">
        <f>VLOOKUP(H161,tbl_KausiPitkaDivari[],2,FALSE)</f>
        <v>IV-Div</v>
      </c>
      <c r="J161" s="713"/>
      <c r="K161" s="521"/>
      <c r="L161" s="521"/>
      <c r="M161" s="535"/>
      <c r="N161" s="521"/>
      <c r="O161" s="521"/>
      <c r="P161" s="521"/>
      <c r="Q161" s="521"/>
      <c r="R161" s="521"/>
      <c r="S161" s="521"/>
      <c r="T161" s="521"/>
      <c r="U161" s="521"/>
      <c r="V161" s="521"/>
    </row>
    <row r="162" spans="1:22" s="37" customFormat="1" ht="15" customHeight="1" x14ac:dyDescent="0.3">
      <c r="A162" s="521"/>
      <c r="B162" s="529"/>
      <c r="C162" s="946" t="s">
        <v>2283</v>
      </c>
      <c r="D162" s="947"/>
      <c r="E162" s="947"/>
      <c r="F162" s="948" t="s">
        <v>264</v>
      </c>
      <c r="G162" s="948" t="s">
        <v>1765</v>
      </c>
      <c r="H162" s="948" t="s">
        <v>2153</v>
      </c>
      <c r="I162" s="842" t="str">
        <f>VLOOKUP(H162,tbl_KausiPitkaDivari[],2,FALSE)</f>
        <v>IV-Div</v>
      </c>
      <c r="J162" s="713"/>
      <c r="K162" s="521"/>
      <c r="L162" s="521"/>
      <c r="M162" s="535"/>
      <c r="N162" s="521"/>
      <c r="O162" s="521"/>
      <c r="P162" s="521"/>
      <c r="Q162" s="521"/>
      <c r="R162" s="521"/>
      <c r="S162" s="521"/>
      <c r="T162" s="521"/>
      <c r="U162" s="521"/>
      <c r="V162" s="521"/>
    </row>
    <row r="163" spans="1:22" s="37" customFormat="1" ht="15" customHeight="1" x14ac:dyDescent="0.3">
      <c r="A163" s="521"/>
      <c r="B163" s="529"/>
      <c r="C163" s="946" t="s">
        <v>2042</v>
      </c>
      <c r="D163" s="947"/>
      <c r="E163" s="947"/>
      <c r="F163" s="948" t="s">
        <v>708</v>
      </c>
      <c r="G163" s="948" t="s">
        <v>2094</v>
      </c>
      <c r="H163" s="948" t="s">
        <v>2006</v>
      </c>
      <c r="I163" s="842" t="str">
        <f>VLOOKUP(H163,tbl_KausiPitkaDivari[],2,FALSE)</f>
        <v>IV-Div+Cup</v>
      </c>
      <c r="J163" s="713"/>
      <c r="K163" s="521"/>
      <c r="L163" s="521"/>
      <c r="M163" s="535"/>
      <c r="N163" s="521"/>
      <c r="O163" s="521"/>
      <c r="P163" s="521"/>
      <c r="Q163" s="521"/>
      <c r="R163" s="521"/>
      <c r="S163" s="521"/>
      <c r="T163" s="521"/>
      <c r="U163" s="521"/>
      <c r="V163" s="521"/>
    </row>
    <row r="164" spans="1:22" s="37" customFormat="1" ht="15" customHeight="1" x14ac:dyDescent="0.3">
      <c r="A164" s="521"/>
      <c r="B164" s="529"/>
      <c r="C164" s="843" t="s">
        <v>1763</v>
      </c>
      <c r="D164" s="844"/>
      <c r="E164" s="844"/>
      <c r="F164" s="845" t="s">
        <v>1478</v>
      </c>
      <c r="G164" s="845" t="s">
        <v>1766</v>
      </c>
      <c r="H164" s="845" t="s">
        <v>1490</v>
      </c>
      <c r="I164" s="846" t="str">
        <f>VLOOKUP(H164,tbl_KausiPitkaDivari[],2,FALSE)</f>
        <v>IV-Div</v>
      </c>
      <c r="J164" s="357"/>
      <c r="K164" s="521"/>
      <c r="L164" s="521"/>
      <c r="M164" s="535"/>
      <c r="N164" s="521"/>
      <c r="O164" s="521"/>
      <c r="P164" s="521"/>
      <c r="Q164" s="521"/>
      <c r="R164" s="521"/>
      <c r="S164" s="521"/>
      <c r="T164" s="521"/>
      <c r="U164" s="521"/>
      <c r="V164" s="521"/>
    </row>
    <row r="165" spans="1:22" s="37" customFormat="1" ht="15" customHeight="1" x14ac:dyDescent="0.3">
      <c r="A165" s="521"/>
      <c r="B165" s="534"/>
      <c r="C165" s="357"/>
      <c r="D165" s="357"/>
      <c r="E165" s="357"/>
      <c r="F165" s="357"/>
      <c r="G165" s="358"/>
      <c r="H165" s="358"/>
      <c r="I165" s="357"/>
      <c r="J165" s="357"/>
      <c r="K165" s="357"/>
      <c r="L165" s="521"/>
      <c r="M165" s="535"/>
      <c r="N165" s="521"/>
      <c r="O165" s="521"/>
      <c r="P165" s="521"/>
      <c r="Q165" s="521"/>
      <c r="R165" s="521"/>
      <c r="S165" s="521"/>
      <c r="T165" s="521"/>
      <c r="U165" s="521"/>
      <c r="V165" s="521"/>
    </row>
    <row r="166" spans="1:22" s="37" customFormat="1" ht="15" customHeight="1" x14ac:dyDescent="0.3">
      <c r="A166" s="521"/>
      <c r="B166" s="534"/>
      <c r="C166" s="357"/>
      <c r="D166" s="357"/>
      <c r="E166" s="357"/>
      <c r="F166" s="357"/>
      <c r="G166" s="358"/>
      <c r="H166" s="358"/>
      <c r="I166" s="357"/>
      <c r="J166" s="357"/>
      <c r="K166" s="357"/>
      <c r="L166" s="521"/>
      <c r="M166" s="535"/>
      <c r="N166" s="521"/>
      <c r="O166" s="521"/>
      <c r="P166" s="521"/>
      <c r="Q166" s="521"/>
      <c r="R166" s="521"/>
      <c r="S166" s="521"/>
      <c r="T166" s="521"/>
      <c r="U166" s="521"/>
      <c r="V166" s="521"/>
    </row>
    <row r="167" spans="1:22" s="37" customFormat="1" ht="15" customHeight="1" x14ac:dyDescent="0.3">
      <c r="A167" s="521"/>
      <c r="B167" s="475" t="s">
        <v>1764</v>
      </c>
      <c r="D167" s="357"/>
      <c r="E167" s="357" t="s">
        <v>1839</v>
      </c>
      <c r="F167" s="357"/>
      <c r="G167" s="358"/>
      <c r="H167" s="358"/>
      <c r="I167" s="357"/>
      <c r="J167" s="357"/>
      <c r="K167" s="357"/>
      <c r="L167" s="521"/>
      <c r="M167" s="535"/>
      <c r="N167" s="521"/>
      <c r="O167" s="521"/>
      <c r="P167" s="521"/>
      <c r="Q167" s="521"/>
      <c r="R167" s="521"/>
      <c r="S167" s="521"/>
      <c r="T167" s="521"/>
      <c r="U167" s="521"/>
      <c r="V167" s="521"/>
    </row>
    <row r="168" spans="1:22" s="37" customFormat="1" ht="15" customHeight="1" x14ac:dyDescent="0.3">
      <c r="A168" s="521"/>
      <c r="B168" s="534"/>
      <c r="C168" s="357"/>
      <c r="D168" s="357"/>
      <c r="E168" s="357"/>
      <c r="F168" s="357"/>
      <c r="G168" s="358"/>
      <c r="H168" s="358"/>
      <c r="I168" s="357"/>
      <c r="J168" s="357"/>
      <c r="K168" s="357"/>
      <c r="L168" s="521"/>
      <c r="M168" s="535"/>
      <c r="N168" s="521"/>
      <c r="O168" s="521"/>
      <c r="P168" s="521"/>
      <c r="Q168" s="521"/>
      <c r="R168" s="521"/>
      <c r="S168" s="521"/>
      <c r="T168" s="521"/>
      <c r="U168" s="521"/>
      <c r="V168" s="521"/>
    </row>
    <row r="169" spans="1:22" s="37" customFormat="1" ht="15" customHeight="1" x14ac:dyDescent="0.3">
      <c r="A169" s="521"/>
      <c r="B169" s="534"/>
      <c r="C169" s="831" t="s">
        <v>673</v>
      </c>
      <c r="D169" s="832"/>
      <c r="E169" s="832"/>
      <c r="F169" s="833"/>
      <c r="G169" s="833" t="s">
        <v>985</v>
      </c>
      <c r="H169" s="833" t="s">
        <v>977</v>
      </c>
      <c r="I169" s="834" t="str">
        <f>VLOOKUP(H169,tbl_KausiPitkaDivari[],2,FALSE)</f>
        <v>V-Div</v>
      </c>
      <c r="J169" s="357"/>
      <c r="K169" s="521"/>
      <c r="L169" s="521"/>
      <c r="M169" s="535"/>
      <c r="N169" s="521"/>
      <c r="O169" s="521"/>
      <c r="P169" s="521"/>
      <c r="Q169" s="521"/>
      <c r="R169" s="521"/>
      <c r="S169" s="521"/>
      <c r="T169" s="521"/>
      <c r="U169" s="521"/>
      <c r="V169" s="521"/>
    </row>
    <row r="170" spans="1:22" s="37" customFormat="1" ht="15" customHeight="1" x14ac:dyDescent="0.3">
      <c r="A170" s="521"/>
      <c r="B170" s="534"/>
      <c r="C170" s="835" t="s">
        <v>185</v>
      </c>
      <c r="D170" s="836"/>
      <c r="E170" s="836"/>
      <c r="F170" s="837"/>
      <c r="G170" s="837" t="s">
        <v>875</v>
      </c>
      <c r="H170" s="837" t="s">
        <v>874</v>
      </c>
      <c r="I170" s="838" t="str">
        <f>VLOOKUP(H170,tbl_KausiPitkaDivari[],2,FALSE)</f>
        <v>IV-Div</v>
      </c>
      <c r="J170" s="357"/>
      <c r="K170" s="521"/>
      <c r="L170" s="521"/>
      <c r="M170" s="535"/>
      <c r="N170" s="521"/>
      <c r="O170" s="521"/>
      <c r="P170" s="521"/>
      <c r="Q170" s="521"/>
      <c r="R170" s="521"/>
      <c r="S170" s="521"/>
      <c r="T170" s="521"/>
      <c r="U170" s="521"/>
      <c r="V170" s="521"/>
    </row>
    <row r="171" spans="1:22" s="37" customFormat="1" ht="15" customHeight="1" x14ac:dyDescent="0.3">
      <c r="A171" s="521"/>
      <c r="B171" s="534"/>
      <c r="C171" s="839" t="s">
        <v>1075</v>
      </c>
      <c r="D171" s="840"/>
      <c r="E171" s="840"/>
      <c r="F171" s="841"/>
      <c r="G171" s="841" t="s">
        <v>1386</v>
      </c>
      <c r="H171" s="841" t="s">
        <v>1385</v>
      </c>
      <c r="I171" s="842" t="str">
        <f>VLOOKUP(H171,tbl_KausiPitkaDivari[],2,FALSE)</f>
        <v>IV-Div</v>
      </c>
      <c r="J171" s="713"/>
      <c r="K171" s="521"/>
      <c r="L171" s="521"/>
      <c r="M171" s="535"/>
      <c r="N171" s="521"/>
      <c r="O171" s="521"/>
      <c r="P171" s="521"/>
      <c r="Q171" s="521"/>
      <c r="R171" s="521"/>
      <c r="S171" s="521"/>
      <c r="T171" s="521"/>
      <c r="U171" s="521"/>
      <c r="V171" s="521"/>
    </row>
    <row r="172" spans="1:22" s="37" customFormat="1" ht="15" customHeight="1" x14ac:dyDescent="0.3">
      <c r="A172" s="521"/>
      <c r="B172" s="534"/>
      <c r="C172" s="839" t="s">
        <v>1124</v>
      </c>
      <c r="D172" s="840"/>
      <c r="E172" s="840"/>
      <c r="F172" s="841"/>
      <c r="G172" s="841" t="s">
        <v>1608</v>
      </c>
      <c r="H172" s="841" t="s">
        <v>1513</v>
      </c>
      <c r="I172" s="842" t="str">
        <f>VLOOKUP(H172,tbl_KausiPitkaDivari[],2,FALSE)</f>
        <v>IV-Div</v>
      </c>
      <c r="J172" s="713"/>
      <c r="K172" s="521"/>
      <c r="L172" s="521"/>
      <c r="M172" s="535"/>
      <c r="N172" s="521"/>
      <c r="O172" s="521"/>
      <c r="P172" s="521"/>
      <c r="Q172" s="521"/>
      <c r="R172" s="521"/>
      <c r="S172" s="521"/>
      <c r="T172" s="521"/>
      <c r="U172" s="521"/>
      <c r="V172" s="521"/>
    </row>
    <row r="173" spans="1:22" s="37" customFormat="1" ht="15" customHeight="1" x14ac:dyDescent="0.3">
      <c r="A173" s="521"/>
      <c r="B173" s="534"/>
      <c r="C173" s="839" t="s">
        <v>278</v>
      </c>
      <c r="D173" s="840"/>
      <c r="E173" s="840"/>
      <c r="F173" s="841"/>
      <c r="G173" s="841" t="s">
        <v>298</v>
      </c>
      <c r="H173" s="841" t="s">
        <v>297</v>
      </c>
      <c r="I173" s="842" t="str">
        <f>VLOOKUP(H173,tbl_KausiPitkaDivari[],2,FALSE)</f>
        <v>V-Div</v>
      </c>
      <c r="J173" s="713"/>
      <c r="K173" s="521"/>
      <c r="L173" s="521"/>
      <c r="M173" s="535"/>
      <c r="N173" s="521"/>
      <c r="O173" s="521"/>
      <c r="P173" s="521"/>
      <c r="Q173" s="521"/>
      <c r="R173" s="521"/>
      <c r="S173" s="521"/>
      <c r="T173" s="521"/>
      <c r="U173" s="521"/>
      <c r="V173" s="521"/>
    </row>
    <row r="174" spans="1:22" s="37" customFormat="1" ht="15" customHeight="1" x14ac:dyDescent="0.3">
      <c r="A174" s="521"/>
      <c r="B174" s="534"/>
      <c r="C174" s="839" t="s">
        <v>278</v>
      </c>
      <c r="D174" s="840"/>
      <c r="E174" s="840"/>
      <c r="F174" s="841"/>
      <c r="G174" s="841" t="s">
        <v>585</v>
      </c>
      <c r="H174" s="841" t="s">
        <v>584</v>
      </c>
      <c r="I174" s="842" t="str">
        <f>VLOOKUP(H174,tbl_KausiPitkaDivari[],2,FALSE)</f>
        <v>IV-Div</v>
      </c>
      <c r="J174" s="713"/>
      <c r="K174" s="521"/>
      <c r="L174" s="521"/>
      <c r="M174" s="535"/>
      <c r="N174" s="521"/>
      <c r="O174" s="521"/>
      <c r="P174" s="521"/>
      <c r="Q174" s="521"/>
      <c r="R174" s="521"/>
      <c r="S174" s="521"/>
      <c r="T174" s="521"/>
      <c r="U174" s="521"/>
      <c r="V174" s="521"/>
    </row>
    <row r="175" spans="1:22" s="37" customFormat="1" ht="15" customHeight="1" x14ac:dyDescent="0.3">
      <c r="A175" s="521"/>
      <c r="B175" s="534"/>
      <c r="C175" s="839" t="s">
        <v>185</v>
      </c>
      <c r="D175" s="840"/>
      <c r="E175" s="840"/>
      <c r="F175" s="841" t="s">
        <v>1769</v>
      </c>
      <c r="G175" s="841" t="s">
        <v>771</v>
      </c>
      <c r="H175" s="841" t="s">
        <v>754</v>
      </c>
      <c r="I175" s="842" t="str">
        <f>VLOOKUP(H175,tbl_KausiPitkaDivari[],2,FALSE)</f>
        <v>IV-Div</v>
      </c>
      <c r="J175" s="713"/>
      <c r="K175" s="521"/>
      <c r="L175" s="521"/>
      <c r="M175" s="535"/>
      <c r="N175" s="521"/>
      <c r="O175" s="521"/>
      <c r="P175" s="521"/>
      <c r="Q175" s="521"/>
      <c r="R175" s="521"/>
      <c r="S175" s="521"/>
      <c r="T175" s="521"/>
      <c r="U175" s="521"/>
      <c r="V175" s="521"/>
    </row>
    <row r="176" spans="1:22" s="37" customFormat="1" ht="15" customHeight="1" x14ac:dyDescent="0.3">
      <c r="A176" s="521"/>
      <c r="B176" s="534"/>
      <c r="C176" s="839" t="s">
        <v>1124</v>
      </c>
      <c r="D176" s="840"/>
      <c r="E176" s="840"/>
      <c r="F176" s="841" t="s">
        <v>1765</v>
      </c>
      <c r="G176" s="841" t="s">
        <v>264</v>
      </c>
      <c r="H176" s="841" t="s">
        <v>1635</v>
      </c>
      <c r="I176" s="842" t="str">
        <f>VLOOKUP(H176,tbl_KausiPitkaDivari[],2,FALSE)</f>
        <v>IV-Div</v>
      </c>
      <c r="J176" s="713"/>
      <c r="K176" s="521"/>
      <c r="L176" s="521"/>
      <c r="M176" s="535"/>
      <c r="N176" s="521"/>
      <c r="O176" s="521"/>
      <c r="P176" s="521"/>
      <c r="Q176" s="521"/>
      <c r="R176" s="521"/>
      <c r="S176" s="521"/>
      <c r="T176" s="521"/>
      <c r="U176" s="521"/>
      <c r="V176" s="521"/>
    </row>
    <row r="177" spans="1:22" s="37" customFormat="1" ht="15" customHeight="1" x14ac:dyDescent="0.3">
      <c r="A177" s="521"/>
      <c r="B177" s="534"/>
      <c r="C177" s="839" t="s">
        <v>1591</v>
      </c>
      <c r="D177" s="840"/>
      <c r="E177" s="840"/>
      <c r="F177" s="841" t="s">
        <v>1765</v>
      </c>
      <c r="G177" s="841" t="s">
        <v>264</v>
      </c>
      <c r="H177" s="841" t="s">
        <v>2152</v>
      </c>
      <c r="I177" s="842" t="str">
        <f>VLOOKUP(H177,tbl_KausiPitkaDivari[],2,FALSE)</f>
        <v>III-Div+Kars</v>
      </c>
      <c r="J177" s="713"/>
      <c r="K177" s="521"/>
      <c r="L177" s="521"/>
      <c r="M177" s="535"/>
      <c r="N177" s="521"/>
      <c r="O177" s="521"/>
      <c r="P177" s="521"/>
      <c r="Q177" s="521"/>
      <c r="R177" s="521"/>
      <c r="S177" s="521"/>
      <c r="T177" s="521"/>
      <c r="U177" s="521"/>
      <c r="V177" s="521"/>
    </row>
    <row r="178" spans="1:22" s="37" customFormat="1" ht="15" customHeight="1" x14ac:dyDescent="0.3">
      <c r="A178" s="521"/>
      <c r="B178" s="534"/>
      <c r="C178" s="839" t="s">
        <v>1075</v>
      </c>
      <c r="D178" s="840"/>
      <c r="E178" s="840"/>
      <c r="F178" s="841" t="s">
        <v>1768</v>
      </c>
      <c r="G178" s="841" t="s">
        <v>1103</v>
      </c>
      <c r="H178" s="841" t="s">
        <v>1102</v>
      </c>
      <c r="I178" s="842" t="str">
        <f>VLOOKUP(H178,tbl_KausiPitkaDivari[],2,FALSE)</f>
        <v>IV-Div</v>
      </c>
      <c r="J178" s="713"/>
      <c r="K178" s="521"/>
      <c r="L178" s="521"/>
      <c r="M178" s="535"/>
      <c r="N178" s="521"/>
      <c r="O178" s="521"/>
      <c r="P178" s="521"/>
      <c r="Q178" s="521"/>
      <c r="R178" s="521"/>
      <c r="S178" s="521"/>
      <c r="T178" s="521"/>
      <c r="U178" s="521"/>
      <c r="V178" s="521"/>
    </row>
    <row r="179" spans="1:22" s="37" customFormat="1" ht="15" customHeight="1" x14ac:dyDescent="0.3">
      <c r="A179" s="521"/>
      <c r="B179" s="534"/>
      <c r="C179" s="839" t="s">
        <v>2282</v>
      </c>
      <c r="D179" s="840"/>
      <c r="E179" s="840"/>
      <c r="F179" s="841" t="s">
        <v>1767</v>
      </c>
      <c r="G179" s="841" t="s">
        <v>82</v>
      </c>
      <c r="H179" s="841" t="s">
        <v>2489</v>
      </c>
      <c r="I179" s="842" t="str">
        <f>VLOOKUP(H179,tbl_KausiPitkaDivari[],2,FALSE)</f>
        <v>III-Div</v>
      </c>
      <c r="J179" s="713" t="s">
        <v>1685</v>
      </c>
      <c r="K179" s="521"/>
      <c r="L179" s="521"/>
      <c r="M179" s="535"/>
      <c r="N179" s="521"/>
      <c r="O179" s="521"/>
      <c r="P179" s="521"/>
      <c r="Q179" s="521"/>
      <c r="R179" s="521"/>
      <c r="S179" s="521"/>
      <c r="T179" s="521"/>
      <c r="U179" s="521"/>
      <c r="V179" s="521"/>
    </row>
    <row r="180" spans="1:22" s="37" customFormat="1" ht="15" customHeight="1" x14ac:dyDescent="0.3">
      <c r="A180" s="521"/>
      <c r="B180" s="534"/>
      <c r="C180" s="839" t="s">
        <v>2283</v>
      </c>
      <c r="D180" s="840"/>
      <c r="E180" s="840"/>
      <c r="F180" s="841" t="s">
        <v>1767</v>
      </c>
      <c r="G180" s="841" t="s">
        <v>82</v>
      </c>
      <c r="H180" s="841" t="s">
        <v>2372</v>
      </c>
      <c r="I180" s="842" t="str">
        <f>VLOOKUP(H180,tbl_KausiPitkaDivari[],2,FALSE)</f>
        <v>IV-Div+Kars</v>
      </c>
      <c r="J180" s="713"/>
      <c r="K180" s="521"/>
      <c r="L180" s="521"/>
      <c r="M180" s="535"/>
      <c r="N180" s="521"/>
      <c r="O180" s="521"/>
      <c r="P180" s="521"/>
      <c r="Q180" s="521"/>
      <c r="R180" s="521"/>
      <c r="S180" s="521"/>
      <c r="T180" s="521"/>
      <c r="U180" s="521"/>
      <c r="V180" s="521"/>
    </row>
    <row r="181" spans="1:22" s="37" customFormat="1" ht="15" customHeight="1" x14ac:dyDescent="0.3">
      <c r="A181" s="521"/>
      <c r="B181" s="534"/>
      <c r="C181" s="839" t="s">
        <v>185</v>
      </c>
      <c r="D181" s="840"/>
      <c r="E181" s="840"/>
      <c r="F181" s="841" t="s">
        <v>1767</v>
      </c>
      <c r="G181" s="841" t="s">
        <v>1959</v>
      </c>
      <c r="H181" s="841" t="s">
        <v>1818</v>
      </c>
      <c r="I181" s="842" t="str">
        <f>VLOOKUP(H181,tbl_KausiPitkaDivari[],2,FALSE)</f>
        <v>IV-Div+Kars</v>
      </c>
      <c r="J181" s="713"/>
      <c r="K181" s="521"/>
      <c r="L181" s="521"/>
      <c r="M181" s="535"/>
      <c r="N181" s="521"/>
      <c r="O181" s="521"/>
      <c r="P181" s="521"/>
      <c r="Q181" s="521"/>
      <c r="R181" s="521"/>
      <c r="S181" s="521"/>
      <c r="T181" s="521"/>
      <c r="U181" s="521"/>
      <c r="V181" s="521"/>
    </row>
    <row r="182" spans="1:22" s="37" customFormat="1" ht="15" customHeight="1" x14ac:dyDescent="0.3">
      <c r="A182" s="521"/>
      <c r="B182" s="534"/>
      <c r="C182" s="839" t="s">
        <v>49</v>
      </c>
      <c r="D182" s="840"/>
      <c r="E182" s="840"/>
      <c r="F182" s="841" t="s">
        <v>1767</v>
      </c>
      <c r="G182" s="841" t="s">
        <v>82</v>
      </c>
      <c r="H182" s="841" t="s">
        <v>83</v>
      </c>
      <c r="I182" s="842" t="str">
        <f>VLOOKUP(H182,tbl_KausiPitkaDivari[],2,FALSE)</f>
        <v>V-Div</v>
      </c>
      <c r="J182" s="713"/>
      <c r="K182" s="521"/>
      <c r="L182" s="521"/>
      <c r="M182" s="535"/>
      <c r="N182" s="521"/>
      <c r="O182" s="521"/>
      <c r="P182" s="521"/>
      <c r="Q182" s="521"/>
      <c r="R182" s="521"/>
      <c r="S182" s="521"/>
      <c r="T182" s="521"/>
      <c r="U182" s="521"/>
      <c r="V182" s="521"/>
    </row>
    <row r="183" spans="1:22" s="37" customFormat="1" ht="15" customHeight="1" x14ac:dyDescent="0.3">
      <c r="A183" s="521"/>
      <c r="B183" s="534"/>
      <c r="C183" s="839" t="s">
        <v>1762</v>
      </c>
      <c r="D183" s="840"/>
      <c r="E183" s="840"/>
      <c r="F183" s="841" t="s">
        <v>1767</v>
      </c>
      <c r="G183" s="841" t="s">
        <v>82</v>
      </c>
      <c r="H183" s="841" t="s">
        <v>207</v>
      </c>
      <c r="I183" s="842" t="str">
        <f>VLOOKUP(H183,tbl_KausiPitkaDivari[],2,FALSE)</f>
        <v>IV-Div</v>
      </c>
      <c r="J183" s="713"/>
      <c r="K183" s="521"/>
      <c r="L183" s="521"/>
      <c r="M183" s="535"/>
      <c r="N183" s="521"/>
      <c r="O183" s="521"/>
      <c r="P183" s="521"/>
      <c r="Q183" s="521"/>
      <c r="R183" s="521"/>
      <c r="S183" s="521"/>
      <c r="T183" s="521"/>
      <c r="U183" s="521"/>
      <c r="V183" s="521"/>
    </row>
    <row r="184" spans="1:22" s="37" customFormat="1" ht="15" customHeight="1" x14ac:dyDescent="0.3">
      <c r="A184" s="521"/>
      <c r="B184" s="534"/>
      <c r="C184" s="946" t="s">
        <v>2283</v>
      </c>
      <c r="D184" s="947"/>
      <c r="E184" s="947"/>
      <c r="F184" s="948" t="s">
        <v>264</v>
      </c>
      <c r="G184" s="948" t="s">
        <v>1765</v>
      </c>
      <c r="H184" s="948" t="s">
        <v>2153</v>
      </c>
      <c r="I184" s="842" t="str">
        <f>VLOOKUP(H184,tbl_KausiPitkaDivari[],2,FALSE)</f>
        <v>IV-Div</v>
      </c>
      <c r="J184" s="713"/>
      <c r="K184" s="521"/>
      <c r="L184" s="521"/>
      <c r="M184" s="535"/>
      <c r="N184" s="521"/>
      <c r="O184" s="521"/>
      <c r="P184" s="521"/>
      <c r="Q184" s="521"/>
      <c r="R184" s="521"/>
      <c r="S184" s="521"/>
      <c r="T184" s="521"/>
      <c r="U184" s="521"/>
      <c r="V184" s="521"/>
    </row>
    <row r="185" spans="1:22" s="37" customFormat="1" ht="15" customHeight="1" x14ac:dyDescent="0.3">
      <c r="A185" s="521"/>
      <c r="B185" s="534"/>
      <c r="C185" s="839" t="s">
        <v>1763</v>
      </c>
      <c r="D185" s="840"/>
      <c r="E185" s="840"/>
      <c r="F185" s="841" t="s">
        <v>1766</v>
      </c>
      <c r="G185" s="841" t="s">
        <v>1478</v>
      </c>
      <c r="H185" s="841" t="s">
        <v>1490</v>
      </c>
      <c r="I185" s="842" t="str">
        <f>VLOOKUP(H185,tbl_KausiPitkaDivari[],2,FALSE)</f>
        <v>IV-Div</v>
      </c>
      <c r="J185" s="713"/>
      <c r="K185" s="521"/>
      <c r="L185" s="521"/>
      <c r="M185" s="535"/>
      <c r="N185" s="521"/>
      <c r="O185" s="521"/>
      <c r="P185" s="521"/>
      <c r="Q185" s="521"/>
      <c r="R185" s="521"/>
      <c r="S185" s="521"/>
      <c r="T185" s="521"/>
      <c r="U185" s="521"/>
      <c r="V185" s="521"/>
    </row>
    <row r="186" spans="1:22" s="37" customFormat="1" ht="15" customHeight="1" x14ac:dyDescent="0.3">
      <c r="A186" s="521"/>
      <c r="B186" s="534"/>
      <c r="C186" s="843" t="s">
        <v>2095</v>
      </c>
      <c r="D186" s="844"/>
      <c r="E186" s="844"/>
      <c r="F186" s="845" t="s">
        <v>2094</v>
      </c>
      <c r="G186" s="845" t="s">
        <v>2096</v>
      </c>
      <c r="H186" s="845" t="s">
        <v>2006</v>
      </c>
      <c r="I186" s="846" t="str">
        <f>VLOOKUP(H186,tbl_KausiPitkaDivari[],2,FALSE)</f>
        <v>IV-Div+Cup</v>
      </c>
      <c r="J186" s="357"/>
      <c r="K186" s="521"/>
      <c r="L186" s="521"/>
      <c r="M186" s="535"/>
      <c r="N186" s="521"/>
      <c r="O186" s="521"/>
      <c r="P186" s="521"/>
      <c r="Q186" s="521"/>
      <c r="R186" s="521"/>
      <c r="S186" s="521"/>
      <c r="T186" s="521"/>
      <c r="U186" s="521"/>
      <c r="V186" s="521"/>
    </row>
    <row r="187" spans="1:22" s="37" customFormat="1" ht="15" customHeight="1" x14ac:dyDescent="0.2">
      <c r="A187" s="521"/>
      <c r="B187" s="534"/>
      <c r="C187" s="521"/>
      <c r="D187" s="532"/>
      <c r="E187" s="532"/>
      <c r="F187" s="532"/>
      <c r="G187" s="533"/>
      <c r="H187" s="533"/>
      <c r="I187" s="532"/>
      <c r="J187" s="532"/>
      <c r="K187" s="521"/>
      <c r="L187" s="521"/>
      <c r="M187" s="535"/>
      <c r="N187" s="521"/>
      <c r="O187" s="521"/>
      <c r="P187" s="521"/>
      <c r="Q187" s="521"/>
      <c r="R187" s="521"/>
      <c r="S187" s="521"/>
      <c r="T187" s="521"/>
      <c r="U187" s="521"/>
      <c r="V187" s="521"/>
    </row>
    <row r="188" spans="1:22" s="37" customFormat="1" ht="15" customHeight="1" x14ac:dyDescent="0.2">
      <c r="A188" s="521"/>
      <c r="B188" s="534"/>
      <c r="C188" s="521"/>
      <c r="D188" s="532"/>
      <c r="E188" s="532"/>
      <c r="F188" s="532"/>
      <c r="G188" s="533"/>
      <c r="H188" s="533"/>
      <c r="I188" s="532"/>
      <c r="J188" s="532"/>
      <c r="K188" s="521"/>
      <c r="L188" s="521"/>
      <c r="M188" s="535"/>
      <c r="N188" s="521"/>
      <c r="O188" s="521"/>
      <c r="P188" s="521"/>
      <c r="Q188" s="521"/>
      <c r="R188" s="521"/>
      <c r="S188" s="521"/>
      <c r="T188" s="521"/>
      <c r="U188" s="521"/>
      <c r="V188" s="521"/>
    </row>
    <row r="189" spans="1:22" s="37" customFormat="1" ht="15" customHeight="1" x14ac:dyDescent="0.3">
      <c r="A189" s="521"/>
      <c r="B189" s="475" t="s">
        <v>1770</v>
      </c>
      <c r="D189" s="532"/>
      <c r="E189" s="532"/>
      <c r="F189" s="532"/>
      <c r="G189" s="533"/>
      <c r="H189" s="533"/>
      <c r="I189" s="532"/>
      <c r="J189" s="532"/>
      <c r="K189" s="521"/>
      <c r="L189" s="521"/>
      <c r="M189" s="535"/>
      <c r="N189" s="521"/>
      <c r="O189" s="521"/>
      <c r="P189" s="521"/>
      <c r="Q189" s="521"/>
      <c r="R189" s="521"/>
      <c r="S189" s="521"/>
      <c r="T189" s="521"/>
      <c r="U189" s="521"/>
      <c r="V189" s="521"/>
    </row>
    <row r="190" spans="1:22" s="37" customFormat="1" ht="15" customHeight="1" x14ac:dyDescent="0.2">
      <c r="A190" s="521"/>
      <c r="B190" s="534"/>
      <c r="C190" s="521"/>
      <c r="D190" s="532"/>
      <c r="E190" s="532"/>
      <c r="F190" s="532"/>
      <c r="G190" s="533"/>
      <c r="H190" s="533"/>
      <c r="I190" s="532"/>
      <c r="J190" s="532"/>
      <c r="K190" s="521"/>
      <c r="L190" s="521"/>
      <c r="M190" s="535"/>
      <c r="N190" s="521"/>
      <c r="O190" s="521"/>
      <c r="P190" s="521"/>
      <c r="Q190" s="521"/>
      <c r="R190" s="521"/>
      <c r="S190" s="521"/>
      <c r="T190" s="521"/>
      <c r="U190" s="521"/>
      <c r="V190" s="521"/>
    </row>
    <row r="191" spans="1:22" x14ac:dyDescent="0.3">
      <c r="B191" s="401"/>
      <c r="C191" s="1103" t="s">
        <v>2184</v>
      </c>
      <c r="D191" s="1104"/>
      <c r="E191" s="1104"/>
      <c r="F191" s="782">
        <v>8</v>
      </c>
      <c r="G191" s="782" t="s">
        <v>2350</v>
      </c>
      <c r="H191" s="1104" t="s">
        <v>2153</v>
      </c>
      <c r="I191" s="1104"/>
      <c r="J191" s="1105">
        <v>44898</v>
      </c>
      <c r="K191" s="1106" t="s">
        <v>2324</v>
      </c>
      <c r="L191" s="1107" t="s">
        <v>2325</v>
      </c>
      <c r="M191" s="1106" t="s">
        <v>2297</v>
      </c>
      <c r="N191" s="1108"/>
    </row>
    <row r="192" spans="1:22" ht="15" customHeight="1" x14ac:dyDescent="0.3">
      <c r="B192" s="401"/>
      <c r="C192" s="1109" t="s">
        <v>185</v>
      </c>
      <c r="D192" s="1078"/>
      <c r="E192" s="1078"/>
      <c r="F192" s="1077">
        <v>7</v>
      </c>
      <c r="G192" s="1077" t="s">
        <v>299</v>
      </c>
      <c r="H192" s="1078" t="s">
        <v>297</v>
      </c>
      <c r="I192" s="1078"/>
      <c r="J192" s="1114">
        <v>39823</v>
      </c>
      <c r="K192" s="1078" t="s">
        <v>252</v>
      </c>
      <c r="L192" s="1115" t="s">
        <v>253</v>
      </c>
      <c r="M192" s="1078" t="s">
        <v>41</v>
      </c>
      <c r="N192" s="1083"/>
      <c r="O192" s="357"/>
    </row>
    <row r="193" spans="1:22" ht="15" customHeight="1" x14ac:dyDescent="0.3">
      <c r="B193" s="401"/>
      <c r="C193" s="560" t="s">
        <v>185</v>
      </c>
      <c r="D193" s="555"/>
      <c r="E193" s="555"/>
      <c r="F193" s="556">
        <v>7</v>
      </c>
      <c r="G193" s="556" t="s">
        <v>2240</v>
      </c>
      <c r="H193" s="555" t="s">
        <v>2152</v>
      </c>
      <c r="I193" s="555"/>
      <c r="J193" s="569">
        <v>44513</v>
      </c>
      <c r="K193" s="555" t="s">
        <v>2191</v>
      </c>
      <c r="L193" s="570" t="s">
        <v>2241</v>
      </c>
      <c r="M193" s="555" t="s">
        <v>2174</v>
      </c>
      <c r="N193" s="916"/>
      <c r="O193" s="357"/>
    </row>
    <row r="194" spans="1:22" ht="15" customHeight="1" x14ac:dyDescent="0.3">
      <c r="B194" s="401"/>
      <c r="C194" s="560" t="s">
        <v>185</v>
      </c>
      <c r="D194" s="555"/>
      <c r="E194" s="555"/>
      <c r="F194" s="556">
        <v>7</v>
      </c>
      <c r="G194" s="556" t="s">
        <v>299</v>
      </c>
      <c r="H194" s="555" t="s">
        <v>2006</v>
      </c>
      <c r="I194" s="555"/>
      <c r="J194" s="569">
        <v>43765</v>
      </c>
      <c r="K194" s="555" t="s">
        <v>155</v>
      </c>
      <c r="L194" s="570" t="s">
        <v>1615</v>
      </c>
      <c r="M194" s="555" t="s">
        <v>579</v>
      </c>
      <c r="N194" s="916"/>
      <c r="O194" s="357"/>
    </row>
    <row r="195" spans="1:22" s="31" customFormat="1" ht="15" customHeight="1" x14ac:dyDescent="0.2">
      <c r="A195" s="520"/>
      <c r="B195" s="529"/>
      <c r="C195" s="560" t="s">
        <v>56</v>
      </c>
      <c r="D195" s="555"/>
      <c r="E195" s="555"/>
      <c r="F195" s="556">
        <v>6</v>
      </c>
      <c r="G195" s="556" t="s">
        <v>84</v>
      </c>
      <c r="H195" s="555" t="s">
        <v>83</v>
      </c>
      <c r="I195" s="555"/>
      <c r="J195" s="569">
        <v>39123</v>
      </c>
      <c r="K195" s="555" t="s">
        <v>30</v>
      </c>
      <c r="L195" s="570" t="s">
        <v>87</v>
      </c>
      <c r="M195" s="555" t="s">
        <v>41</v>
      </c>
      <c r="N195" s="916"/>
      <c r="O195" s="520"/>
      <c r="P195" s="520"/>
      <c r="Q195" s="520"/>
      <c r="R195" s="520"/>
      <c r="S195" s="520"/>
      <c r="T195" s="520"/>
      <c r="U195" s="520"/>
      <c r="V195" s="520"/>
    </row>
    <row r="196" spans="1:22" s="31" customFormat="1" ht="15" customHeight="1" x14ac:dyDescent="0.2">
      <c r="A196" s="520"/>
      <c r="B196" s="529"/>
      <c r="C196" s="560" t="s">
        <v>185</v>
      </c>
      <c r="D196" s="555"/>
      <c r="E196" s="555"/>
      <c r="F196" s="556">
        <v>6</v>
      </c>
      <c r="G196" s="556" t="s">
        <v>84</v>
      </c>
      <c r="H196" s="555" t="s">
        <v>1102</v>
      </c>
      <c r="I196" s="555"/>
      <c r="J196" s="569">
        <v>41692</v>
      </c>
      <c r="K196" s="555" t="s">
        <v>1053</v>
      </c>
      <c r="L196" s="570" t="s">
        <v>891</v>
      </c>
      <c r="M196" s="555" t="s">
        <v>558</v>
      </c>
      <c r="N196" s="916"/>
      <c r="O196" s="520"/>
      <c r="P196" s="520"/>
      <c r="Q196" s="520"/>
      <c r="R196" s="520"/>
      <c r="S196" s="520"/>
      <c r="T196" s="520"/>
      <c r="U196" s="520"/>
      <c r="V196" s="520"/>
    </row>
    <row r="197" spans="1:22" s="31" customFormat="1" ht="15" customHeight="1" x14ac:dyDescent="0.2">
      <c r="A197" s="520"/>
      <c r="B197" s="529"/>
      <c r="C197" s="560" t="s">
        <v>185</v>
      </c>
      <c r="D197" s="555"/>
      <c r="E197" s="555"/>
      <c r="F197" s="556">
        <v>6</v>
      </c>
      <c r="G197" s="556" t="s">
        <v>772</v>
      </c>
      <c r="H197" s="555" t="s">
        <v>754</v>
      </c>
      <c r="I197" s="555"/>
      <c r="J197" s="569">
        <v>40635</v>
      </c>
      <c r="K197" s="555" t="s">
        <v>670</v>
      </c>
      <c r="L197" s="570" t="s">
        <v>768</v>
      </c>
      <c r="M197" s="555" t="s">
        <v>246</v>
      </c>
      <c r="N197" s="916"/>
      <c r="O197" s="520"/>
      <c r="P197" s="520"/>
      <c r="Q197" s="520"/>
      <c r="R197" s="520"/>
      <c r="S197" s="520"/>
      <c r="T197" s="520"/>
      <c r="U197" s="520"/>
      <c r="V197" s="520"/>
    </row>
    <row r="198" spans="1:22" s="31" customFormat="1" ht="15" customHeight="1" x14ac:dyDescent="0.2">
      <c r="A198" s="520"/>
      <c r="B198" s="529"/>
      <c r="C198" s="560" t="s">
        <v>185</v>
      </c>
      <c r="D198" s="555"/>
      <c r="E198" s="555"/>
      <c r="F198" s="556">
        <v>6</v>
      </c>
      <c r="G198" s="556" t="s">
        <v>978</v>
      </c>
      <c r="H198" s="555" t="s">
        <v>977</v>
      </c>
      <c r="I198" s="555"/>
      <c r="J198" s="569">
        <v>41322</v>
      </c>
      <c r="K198" s="555" t="s">
        <v>931</v>
      </c>
      <c r="L198" s="570" t="s">
        <v>933</v>
      </c>
      <c r="M198" s="555" t="s">
        <v>558</v>
      </c>
      <c r="N198" s="916"/>
      <c r="O198" s="520"/>
      <c r="P198" s="520"/>
      <c r="Q198" s="520"/>
      <c r="R198" s="520"/>
      <c r="S198" s="520"/>
      <c r="T198" s="520"/>
      <c r="U198" s="520"/>
      <c r="V198" s="520"/>
    </row>
    <row r="199" spans="1:22" s="31" customFormat="1" ht="15" customHeight="1" x14ac:dyDescent="0.2">
      <c r="A199" s="520"/>
      <c r="B199" s="529"/>
      <c r="C199" s="560" t="s">
        <v>675</v>
      </c>
      <c r="D199" s="555"/>
      <c r="E199" s="555"/>
      <c r="F199" s="556">
        <v>6</v>
      </c>
      <c r="G199" s="556" t="s">
        <v>978</v>
      </c>
      <c r="H199" s="555" t="s">
        <v>977</v>
      </c>
      <c r="I199" s="555"/>
      <c r="J199" s="569">
        <v>41182</v>
      </c>
      <c r="K199" s="555" t="s">
        <v>890</v>
      </c>
      <c r="L199" s="570" t="s">
        <v>567</v>
      </c>
      <c r="M199" s="555" t="s">
        <v>794</v>
      </c>
      <c r="N199" s="916"/>
      <c r="O199" s="520"/>
      <c r="P199" s="520"/>
      <c r="Q199" s="520"/>
      <c r="R199" s="520"/>
      <c r="S199" s="520"/>
      <c r="T199" s="520"/>
      <c r="U199" s="520"/>
      <c r="V199" s="520"/>
    </row>
    <row r="200" spans="1:22" s="31" customFormat="1" ht="15" customHeight="1" x14ac:dyDescent="0.2">
      <c r="A200" s="520"/>
      <c r="B200" s="529"/>
      <c r="C200" s="560" t="s">
        <v>185</v>
      </c>
      <c r="D200" s="555"/>
      <c r="E200" s="555"/>
      <c r="F200" s="556">
        <v>6</v>
      </c>
      <c r="G200" s="556" t="s">
        <v>1960</v>
      </c>
      <c r="H200" s="555" t="s">
        <v>1818</v>
      </c>
      <c r="I200" s="555"/>
      <c r="J200" s="569">
        <v>43512</v>
      </c>
      <c r="K200" s="555" t="s">
        <v>1025</v>
      </c>
      <c r="L200" s="570" t="s">
        <v>1922</v>
      </c>
      <c r="M200" s="555" t="s">
        <v>579</v>
      </c>
      <c r="N200" s="916"/>
      <c r="O200" s="520"/>
      <c r="P200" s="520"/>
      <c r="Q200" s="520"/>
      <c r="R200" s="520"/>
      <c r="S200" s="520"/>
      <c r="T200" s="520"/>
      <c r="U200" s="520"/>
      <c r="V200" s="520"/>
    </row>
    <row r="201" spans="1:22" s="31" customFormat="1" ht="15" customHeight="1" x14ac:dyDescent="0.3">
      <c r="A201" s="520"/>
      <c r="B201" s="529"/>
      <c r="C201" s="560" t="s">
        <v>2444</v>
      </c>
      <c r="D201" s="555"/>
      <c r="E201" s="555"/>
      <c r="F201" s="556">
        <v>5</v>
      </c>
      <c r="G201" s="556" t="s">
        <v>1491</v>
      </c>
      <c r="H201" s="555" t="s">
        <v>2372</v>
      </c>
      <c r="I201" s="555"/>
      <c r="J201" s="569">
        <v>45374</v>
      </c>
      <c r="K201" s="555" t="s">
        <v>130</v>
      </c>
      <c r="L201" s="570" t="s">
        <v>1190</v>
      </c>
      <c r="M201" s="555" t="s">
        <v>579</v>
      </c>
      <c r="N201" s="916"/>
      <c r="O201" s="357"/>
      <c r="P201" s="520"/>
      <c r="Q201" s="520"/>
      <c r="R201" s="520"/>
      <c r="S201" s="520"/>
      <c r="T201" s="520"/>
      <c r="U201" s="520"/>
      <c r="V201" s="520"/>
    </row>
    <row r="202" spans="1:22" s="31" customFormat="1" ht="15" customHeight="1" x14ac:dyDescent="0.2">
      <c r="A202" s="520"/>
      <c r="B202" s="529"/>
      <c r="C202" s="560" t="s">
        <v>1077</v>
      </c>
      <c r="D202" s="555"/>
      <c r="E202" s="555"/>
      <c r="F202" s="556">
        <v>5</v>
      </c>
      <c r="G202" s="556" t="s">
        <v>1491</v>
      </c>
      <c r="H202" s="555" t="s">
        <v>1490</v>
      </c>
      <c r="I202" s="555"/>
      <c r="J202" s="569">
        <v>42309</v>
      </c>
      <c r="K202" s="555" t="s">
        <v>1493</v>
      </c>
      <c r="L202" s="570" t="s">
        <v>1492</v>
      </c>
      <c r="M202" s="555" t="s">
        <v>579</v>
      </c>
      <c r="N202" s="916"/>
      <c r="O202" s="520"/>
      <c r="P202" s="520"/>
      <c r="Q202" s="520"/>
      <c r="R202" s="520"/>
      <c r="S202" s="520"/>
      <c r="T202" s="520"/>
      <c r="U202" s="520"/>
      <c r="V202" s="520"/>
    </row>
    <row r="203" spans="1:22" s="31" customFormat="1" ht="15" customHeight="1" x14ac:dyDescent="0.2">
      <c r="A203" s="520"/>
      <c r="B203" s="529"/>
      <c r="C203" s="560" t="s">
        <v>1075</v>
      </c>
      <c r="D203" s="555"/>
      <c r="E203" s="555"/>
      <c r="F203" s="556">
        <v>5</v>
      </c>
      <c r="G203" s="556" t="s">
        <v>1387</v>
      </c>
      <c r="H203" s="555" t="s">
        <v>1385</v>
      </c>
      <c r="I203" s="555"/>
      <c r="J203" s="569">
        <v>41993</v>
      </c>
      <c r="K203" s="555" t="s">
        <v>1388</v>
      </c>
      <c r="L203" s="570" t="s">
        <v>1268</v>
      </c>
      <c r="M203" s="555" t="s">
        <v>558</v>
      </c>
      <c r="N203" s="916"/>
      <c r="O203" s="520"/>
      <c r="P203" s="520"/>
      <c r="Q203" s="520"/>
      <c r="R203" s="520"/>
      <c r="S203" s="520"/>
      <c r="T203" s="520"/>
      <c r="U203" s="520"/>
      <c r="V203" s="520"/>
    </row>
    <row r="204" spans="1:22" s="31" customFormat="1" ht="15" customHeight="1" x14ac:dyDescent="0.2">
      <c r="A204" s="520"/>
      <c r="B204" s="529"/>
      <c r="C204" s="560" t="s">
        <v>50</v>
      </c>
      <c r="D204" s="555"/>
      <c r="E204" s="555"/>
      <c r="F204" s="556">
        <v>5</v>
      </c>
      <c r="G204" s="556" t="s">
        <v>755</v>
      </c>
      <c r="H204" s="555" t="s">
        <v>1385</v>
      </c>
      <c r="I204" s="555"/>
      <c r="J204" s="569">
        <v>41951</v>
      </c>
      <c r="K204" s="555" t="s">
        <v>28</v>
      </c>
      <c r="L204" s="570" t="s">
        <v>888</v>
      </c>
      <c r="M204" s="555" t="s">
        <v>150</v>
      </c>
      <c r="N204" s="916"/>
      <c r="O204" s="520"/>
      <c r="P204" s="520"/>
      <c r="Q204" s="520"/>
      <c r="R204" s="520"/>
      <c r="S204" s="520"/>
      <c r="T204" s="520"/>
      <c r="U204" s="520"/>
      <c r="V204" s="520"/>
    </row>
    <row r="205" spans="1:22" s="31" customFormat="1" ht="15" customHeight="1" x14ac:dyDescent="0.2">
      <c r="A205" s="520"/>
      <c r="B205" s="529"/>
      <c r="C205" s="560" t="s">
        <v>185</v>
      </c>
      <c r="D205" s="555"/>
      <c r="E205" s="555"/>
      <c r="F205" s="556">
        <v>5</v>
      </c>
      <c r="G205" s="556" t="s">
        <v>755</v>
      </c>
      <c r="H205" s="555" t="s">
        <v>1385</v>
      </c>
      <c r="I205" s="555"/>
      <c r="J205" s="569">
        <v>42049</v>
      </c>
      <c r="K205" s="555" t="s">
        <v>1370</v>
      </c>
      <c r="L205" s="570" t="s">
        <v>1328</v>
      </c>
      <c r="M205" s="555" t="s">
        <v>558</v>
      </c>
      <c r="N205" s="916"/>
      <c r="O205" s="520"/>
      <c r="P205" s="520"/>
      <c r="Q205" s="520"/>
      <c r="R205" s="520"/>
      <c r="S205" s="520"/>
      <c r="T205" s="520"/>
      <c r="U205" s="520"/>
      <c r="V205" s="520"/>
    </row>
    <row r="206" spans="1:22" s="31" customFormat="1" ht="15" customHeight="1" x14ac:dyDescent="0.2">
      <c r="A206" s="520"/>
      <c r="B206" s="529"/>
      <c r="C206" s="560" t="s">
        <v>1075</v>
      </c>
      <c r="D206" s="555"/>
      <c r="E206" s="555"/>
      <c r="F206" s="556">
        <v>5</v>
      </c>
      <c r="G206" s="556" t="s">
        <v>755</v>
      </c>
      <c r="H206" s="555" t="s">
        <v>1635</v>
      </c>
      <c r="I206" s="555"/>
      <c r="J206" s="569">
        <v>43148</v>
      </c>
      <c r="K206" s="555" t="s">
        <v>1677</v>
      </c>
      <c r="L206" s="570" t="s">
        <v>236</v>
      </c>
      <c r="M206" s="555" t="s">
        <v>150</v>
      </c>
      <c r="N206" s="916"/>
      <c r="O206" s="520"/>
      <c r="P206" s="520"/>
      <c r="Q206" s="520"/>
      <c r="R206" s="520"/>
      <c r="S206" s="520"/>
      <c r="T206" s="520"/>
      <c r="U206" s="520"/>
      <c r="V206" s="520"/>
    </row>
    <row r="207" spans="1:22" s="31" customFormat="1" ht="15" customHeight="1" x14ac:dyDescent="0.2">
      <c r="A207" s="520"/>
      <c r="B207" s="529"/>
      <c r="C207" s="560" t="s">
        <v>185</v>
      </c>
      <c r="D207" s="555"/>
      <c r="E207" s="555"/>
      <c r="F207" s="556">
        <v>5</v>
      </c>
      <c r="G207" s="556" t="s">
        <v>755</v>
      </c>
      <c r="H207" s="555" t="s">
        <v>754</v>
      </c>
      <c r="I207" s="555"/>
      <c r="J207" s="569">
        <v>40552</v>
      </c>
      <c r="K207" s="555" t="s">
        <v>644</v>
      </c>
      <c r="L207" s="570" t="s">
        <v>730</v>
      </c>
      <c r="M207" s="555" t="s">
        <v>731</v>
      </c>
      <c r="N207" s="916"/>
      <c r="O207" s="520"/>
      <c r="P207" s="520"/>
      <c r="Q207" s="520"/>
      <c r="R207" s="520"/>
      <c r="S207" s="520"/>
      <c r="T207" s="520"/>
      <c r="U207" s="520"/>
      <c r="V207" s="520"/>
    </row>
    <row r="208" spans="1:22" s="31" customFormat="1" ht="15" customHeight="1" x14ac:dyDescent="0.2">
      <c r="A208" s="520"/>
      <c r="B208" s="529"/>
      <c r="C208" s="560" t="s">
        <v>675</v>
      </c>
      <c r="D208" s="555"/>
      <c r="E208" s="555"/>
      <c r="F208" s="556">
        <v>5</v>
      </c>
      <c r="G208" s="556" t="s">
        <v>755</v>
      </c>
      <c r="H208" s="555" t="s">
        <v>754</v>
      </c>
      <c r="I208" s="555"/>
      <c r="J208" s="569">
        <v>40572</v>
      </c>
      <c r="K208" s="555" t="s">
        <v>653</v>
      </c>
      <c r="L208" s="570" t="s">
        <v>508</v>
      </c>
      <c r="M208" s="555" t="s">
        <v>736</v>
      </c>
      <c r="N208" s="916"/>
      <c r="O208" s="520"/>
      <c r="P208" s="520"/>
      <c r="Q208" s="520"/>
      <c r="R208" s="520"/>
      <c r="S208" s="520"/>
      <c r="T208" s="520"/>
      <c r="U208" s="520"/>
      <c r="V208" s="520"/>
    </row>
    <row r="209" spans="1:22" s="31" customFormat="1" ht="15" customHeight="1" x14ac:dyDescent="0.2">
      <c r="A209" s="520"/>
      <c r="B209" s="529"/>
      <c r="C209" s="560" t="s">
        <v>185</v>
      </c>
      <c r="D209" s="555"/>
      <c r="E209" s="555"/>
      <c r="F209" s="556">
        <v>5</v>
      </c>
      <c r="G209" s="556" t="s">
        <v>1389</v>
      </c>
      <c r="H209" s="555" t="s">
        <v>1385</v>
      </c>
      <c r="I209" s="555"/>
      <c r="J209" s="569">
        <v>41993</v>
      </c>
      <c r="K209" s="555" t="s">
        <v>1388</v>
      </c>
      <c r="L209" s="570" t="s">
        <v>1268</v>
      </c>
      <c r="M209" s="555" t="s">
        <v>558</v>
      </c>
      <c r="N209" s="916"/>
      <c r="O209" s="520"/>
      <c r="P209" s="520"/>
      <c r="Q209" s="520"/>
      <c r="R209" s="520"/>
      <c r="S209" s="520"/>
      <c r="T209" s="520"/>
      <c r="U209" s="520"/>
      <c r="V209" s="520"/>
    </row>
    <row r="210" spans="1:22" s="31" customFormat="1" ht="15" customHeight="1" x14ac:dyDescent="0.2">
      <c r="A210" s="520"/>
      <c r="B210" s="529"/>
      <c r="C210" s="560" t="s">
        <v>185</v>
      </c>
      <c r="D210" s="555"/>
      <c r="E210" s="555"/>
      <c r="F210" s="556">
        <v>5</v>
      </c>
      <c r="G210" s="556" t="s">
        <v>500</v>
      </c>
      <c r="H210" s="555" t="s">
        <v>207</v>
      </c>
      <c r="I210" s="555"/>
      <c r="J210" s="569">
        <v>39523</v>
      </c>
      <c r="K210" s="555" t="s">
        <v>208</v>
      </c>
      <c r="L210" s="570" t="s">
        <v>209</v>
      </c>
      <c r="M210" s="555" t="s">
        <v>41</v>
      </c>
      <c r="N210" s="916"/>
      <c r="O210" s="520"/>
      <c r="P210" s="520"/>
      <c r="Q210" s="520"/>
      <c r="R210" s="520"/>
      <c r="S210" s="520"/>
      <c r="T210" s="520"/>
      <c r="U210" s="520"/>
      <c r="V210" s="520"/>
    </row>
    <row r="211" spans="1:22" s="31" customFormat="1" ht="15" customHeight="1" x14ac:dyDescent="0.2">
      <c r="A211" s="520"/>
      <c r="B211" s="529"/>
      <c r="C211" s="560" t="s">
        <v>185</v>
      </c>
      <c r="D211" s="555"/>
      <c r="E211" s="555"/>
      <c r="F211" s="556">
        <v>5</v>
      </c>
      <c r="G211" s="556" t="s">
        <v>500</v>
      </c>
      <c r="H211" s="555" t="s">
        <v>207</v>
      </c>
      <c r="I211" s="555"/>
      <c r="J211" s="569">
        <v>39523</v>
      </c>
      <c r="K211" s="555" t="s">
        <v>168</v>
      </c>
      <c r="L211" s="570" t="s">
        <v>169</v>
      </c>
      <c r="M211" s="555" t="s">
        <v>41</v>
      </c>
      <c r="N211" s="916"/>
      <c r="O211" s="520"/>
      <c r="P211" s="520"/>
      <c r="Q211" s="520"/>
      <c r="R211" s="520"/>
      <c r="S211" s="520"/>
      <c r="T211" s="520"/>
      <c r="U211" s="520"/>
      <c r="V211" s="520"/>
    </row>
    <row r="212" spans="1:22" s="31" customFormat="1" ht="15" customHeight="1" x14ac:dyDescent="0.3">
      <c r="A212" s="520"/>
      <c r="B212" s="529"/>
      <c r="C212" s="560" t="s">
        <v>2800</v>
      </c>
      <c r="D212" s="555"/>
      <c r="E212" s="555"/>
      <c r="F212" s="556">
        <v>4</v>
      </c>
      <c r="G212" s="556" t="s">
        <v>586</v>
      </c>
      <c r="H212" s="555" t="s">
        <v>2489</v>
      </c>
      <c r="I212" s="555"/>
      <c r="J212" s="569">
        <v>45626</v>
      </c>
      <c r="K212" s="555" t="s">
        <v>2420</v>
      </c>
      <c r="L212" s="570" t="s">
        <v>89</v>
      </c>
      <c r="M212" s="555" t="s">
        <v>579</v>
      </c>
      <c r="N212" s="916"/>
      <c r="O212" s="357" t="s">
        <v>1685</v>
      </c>
      <c r="P212" s="520"/>
      <c r="Q212" s="520"/>
      <c r="R212" s="520"/>
      <c r="S212" s="520"/>
      <c r="T212" s="520"/>
      <c r="U212" s="520"/>
      <c r="V212" s="520"/>
    </row>
    <row r="213" spans="1:22" s="31" customFormat="1" ht="15" customHeight="1" x14ac:dyDescent="0.2">
      <c r="A213" s="520"/>
      <c r="B213" s="529"/>
      <c r="C213" s="560" t="s">
        <v>1075</v>
      </c>
      <c r="D213" s="555"/>
      <c r="E213" s="555"/>
      <c r="F213" s="556">
        <v>4</v>
      </c>
      <c r="G213" s="556" t="s">
        <v>586</v>
      </c>
      <c r="H213" s="555" t="s">
        <v>1513</v>
      </c>
      <c r="I213" s="555"/>
      <c r="J213" s="569">
        <v>42722</v>
      </c>
      <c r="K213" s="555" t="s">
        <v>1609</v>
      </c>
      <c r="L213" s="570" t="s">
        <v>566</v>
      </c>
      <c r="M213" s="555" t="s">
        <v>150</v>
      </c>
      <c r="N213" s="916"/>
      <c r="O213" s="520"/>
      <c r="P213" s="520"/>
      <c r="Q213" s="520"/>
      <c r="R213" s="520"/>
      <c r="S213" s="520"/>
      <c r="T213" s="520"/>
      <c r="U213" s="520"/>
      <c r="V213" s="520"/>
    </row>
    <row r="214" spans="1:22" s="31" customFormat="1" ht="15" customHeight="1" x14ac:dyDescent="0.2">
      <c r="A214" s="520"/>
      <c r="B214" s="529"/>
      <c r="C214" s="560" t="s">
        <v>677</v>
      </c>
      <c r="D214" s="555"/>
      <c r="E214" s="555"/>
      <c r="F214" s="556">
        <v>4</v>
      </c>
      <c r="G214" s="556" t="s">
        <v>586</v>
      </c>
      <c r="H214" s="555" t="s">
        <v>874</v>
      </c>
      <c r="I214" s="555"/>
      <c r="J214" s="569">
        <v>40838</v>
      </c>
      <c r="K214" s="555" t="s">
        <v>787</v>
      </c>
      <c r="L214" s="570" t="s">
        <v>574</v>
      </c>
      <c r="M214" s="555" t="s">
        <v>794</v>
      </c>
      <c r="N214" s="916"/>
      <c r="O214" s="520"/>
      <c r="P214" s="520"/>
      <c r="Q214" s="520"/>
      <c r="R214" s="520"/>
      <c r="S214" s="520"/>
      <c r="T214" s="520"/>
      <c r="U214" s="520"/>
      <c r="V214" s="520"/>
    </row>
    <row r="215" spans="1:22" s="31" customFormat="1" ht="15" customHeight="1" x14ac:dyDescent="0.2">
      <c r="A215" s="520"/>
      <c r="B215" s="529"/>
      <c r="C215" s="560" t="s">
        <v>56</v>
      </c>
      <c r="D215" s="555"/>
      <c r="E215" s="555"/>
      <c r="F215" s="556">
        <v>4</v>
      </c>
      <c r="G215" s="556" t="s">
        <v>586</v>
      </c>
      <c r="H215" s="555" t="s">
        <v>584</v>
      </c>
      <c r="I215" s="555"/>
      <c r="J215" s="569">
        <v>40082</v>
      </c>
      <c r="K215" s="555" t="s">
        <v>541</v>
      </c>
      <c r="L215" s="570" t="s">
        <v>569</v>
      </c>
      <c r="M215" s="555" t="s">
        <v>249</v>
      </c>
      <c r="N215" s="916"/>
      <c r="O215" s="520"/>
      <c r="P215" s="520"/>
      <c r="Q215" s="520"/>
      <c r="R215" s="520"/>
      <c r="S215" s="520"/>
      <c r="T215" s="520"/>
      <c r="U215" s="520"/>
      <c r="V215" s="520"/>
    </row>
    <row r="216" spans="1:22" s="31" customFormat="1" ht="15" customHeight="1" x14ac:dyDescent="0.2">
      <c r="A216" s="520"/>
      <c r="B216" s="529"/>
      <c r="C216" s="560" t="s">
        <v>185</v>
      </c>
      <c r="D216" s="555"/>
      <c r="E216" s="555"/>
      <c r="F216" s="556">
        <v>4</v>
      </c>
      <c r="G216" s="556" t="s">
        <v>587</v>
      </c>
      <c r="H216" s="555" t="s">
        <v>874</v>
      </c>
      <c r="I216" s="555"/>
      <c r="J216" s="569">
        <v>40971</v>
      </c>
      <c r="K216" s="555" t="s">
        <v>815</v>
      </c>
      <c r="L216" s="570" t="s">
        <v>574</v>
      </c>
      <c r="M216" s="555" t="s">
        <v>794</v>
      </c>
      <c r="N216" s="916"/>
      <c r="O216" s="520"/>
      <c r="P216" s="520"/>
      <c r="Q216" s="520"/>
      <c r="R216" s="520"/>
      <c r="S216" s="520"/>
      <c r="T216" s="520"/>
      <c r="U216" s="520"/>
      <c r="V216" s="520"/>
    </row>
    <row r="217" spans="1:22" s="31" customFormat="1" ht="15" customHeight="1" x14ac:dyDescent="0.2">
      <c r="A217" s="520"/>
      <c r="B217" s="529"/>
      <c r="C217" s="560" t="s">
        <v>185</v>
      </c>
      <c r="D217" s="555"/>
      <c r="E217" s="555"/>
      <c r="F217" s="556">
        <v>4</v>
      </c>
      <c r="G217" s="556" t="s">
        <v>587</v>
      </c>
      <c r="H217" s="555" t="s">
        <v>584</v>
      </c>
      <c r="I217" s="555"/>
      <c r="J217" s="569">
        <v>40082</v>
      </c>
      <c r="K217" s="555" t="s">
        <v>541</v>
      </c>
      <c r="L217" s="570" t="s">
        <v>569</v>
      </c>
      <c r="M217" s="555" t="s">
        <v>249</v>
      </c>
      <c r="N217" s="916"/>
      <c r="O217" s="520"/>
      <c r="P217" s="520"/>
      <c r="Q217" s="520"/>
      <c r="R217" s="520"/>
      <c r="S217" s="520"/>
      <c r="T217" s="520"/>
      <c r="U217" s="520"/>
      <c r="V217" s="520"/>
    </row>
    <row r="218" spans="1:22" s="31" customFormat="1" ht="15" customHeight="1" x14ac:dyDescent="0.2">
      <c r="A218" s="520"/>
      <c r="B218" s="529"/>
      <c r="C218" s="563" t="s">
        <v>185</v>
      </c>
      <c r="D218" s="558"/>
      <c r="E218" s="558"/>
      <c r="F218" s="559">
        <v>4</v>
      </c>
      <c r="G218" s="559" t="s">
        <v>587</v>
      </c>
      <c r="H218" s="558" t="s">
        <v>584</v>
      </c>
      <c r="I218" s="558"/>
      <c r="J218" s="1116">
        <v>39879</v>
      </c>
      <c r="K218" s="558" t="s">
        <v>552</v>
      </c>
      <c r="L218" s="1117" t="s">
        <v>574</v>
      </c>
      <c r="M218" s="558" t="s">
        <v>558</v>
      </c>
      <c r="N218" s="1118"/>
      <c r="O218" s="520"/>
      <c r="P218" s="520"/>
      <c r="Q218" s="520"/>
      <c r="R218" s="520"/>
      <c r="S218" s="520"/>
      <c r="T218" s="520"/>
      <c r="U218" s="520"/>
      <c r="V218" s="520"/>
    </row>
    <row r="219" spans="1:22" s="37" customFormat="1" ht="15" customHeight="1" x14ac:dyDescent="0.2">
      <c r="A219" s="521"/>
      <c r="B219" s="534"/>
      <c r="C219" s="521"/>
      <c r="D219" s="532"/>
      <c r="E219" s="532"/>
      <c r="F219" s="532"/>
      <c r="G219" s="533"/>
      <c r="H219" s="533"/>
      <c r="I219" s="532"/>
      <c r="J219" s="532"/>
      <c r="K219" s="521"/>
      <c r="L219" s="521"/>
      <c r="M219" s="535"/>
      <c r="N219" s="521"/>
      <c r="O219" s="521"/>
      <c r="P219" s="521"/>
      <c r="Q219" s="521"/>
      <c r="R219" s="521"/>
      <c r="S219" s="521"/>
      <c r="T219" s="521"/>
      <c r="U219" s="521"/>
      <c r="V219" s="521"/>
    </row>
    <row r="220" spans="1:22" ht="15" customHeight="1" x14ac:dyDescent="0.3">
      <c r="B220" s="401"/>
      <c r="C220" s="357"/>
      <c r="D220" s="357"/>
      <c r="E220" s="357"/>
      <c r="F220" s="357"/>
      <c r="G220" s="358"/>
      <c r="H220" s="358"/>
      <c r="I220" s="357"/>
      <c r="J220" s="357"/>
      <c r="K220" s="539"/>
      <c r="L220" s="537"/>
      <c r="M220" s="540"/>
      <c r="N220" s="537"/>
      <c r="O220" s="537"/>
    </row>
    <row r="221" spans="1:22" ht="15" customHeight="1" x14ac:dyDescent="0.3">
      <c r="B221" s="475" t="s">
        <v>1771</v>
      </c>
      <c r="D221" s="357"/>
      <c r="E221" s="357"/>
      <c r="F221" s="357"/>
      <c r="G221" s="358"/>
      <c r="H221" s="358"/>
      <c r="I221" s="357"/>
      <c r="J221" s="357"/>
      <c r="K221" s="539"/>
      <c r="L221" s="537"/>
      <c r="M221" s="540"/>
      <c r="N221" s="537"/>
      <c r="O221" s="537"/>
    </row>
    <row r="222" spans="1:22" ht="15" customHeight="1" x14ac:dyDescent="0.3">
      <c r="B222" s="401"/>
      <c r="C222" s="357"/>
      <c r="D222" s="357"/>
      <c r="E222" s="357"/>
      <c r="F222" s="357"/>
      <c r="G222" s="358"/>
      <c r="H222" s="358"/>
      <c r="I222" s="357"/>
      <c r="J222" s="357"/>
      <c r="K222" s="539"/>
      <c r="L222" s="537"/>
      <c r="M222" s="540"/>
      <c r="N222" s="537"/>
      <c r="O222" s="537"/>
    </row>
    <row r="223" spans="1:22" x14ac:dyDescent="0.3">
      <c r="B223" s="401"/>
      <c r="C223" s="1119" t="s">
        <v>56</v>
      </c>
      <c r="D223" s="1120"/>
      <c r="E223" s="1120"/>
      <c r="F223" s="915">
        <v>5</v>
      </c>
      <c r="G223" s="915"/>
      <c r="H223" s="1120" t="s">
        <v>297</v>
      </c>
      <c r="I223" s="1120"/>
      <c r="J223" s="1121">
        <v>39851</v>
      </c>
      <c r="K223" s="1122" t="s">
        <v>238</v>
      </c>
      <c r="L223" s="1123" t="s">
        <v>239</v>
      </c>
      <c r="M223" s="1122" t="s">
        <v>41</v>
      </c>
      <c r="N223" s="1124"/>
      <c r="O223" s="357"/>
    </row>
    <row r="224" spans="1:22" x14ac:dyDescent="0.3">
      <c r="B224" s="401"/>
      <c r="C224" s="1125" t="s">
        <v>56</v>
      </c>
      <c r="D224" s="1126"/>
      <c r="E224" s="1126"/>
      <c r="F224" s="1127">
        <v>5</v>
      </c>
      <c r="G224" s="1127"/>
      <c r="H224" s="1126" t="s">
        <v>83</v>
      </c>
      <c r="I224" s="1126"/>
      <c r="J224" s="1128">
        <v>39123</v>
      </c>
      <c r="K224" s="1129" t="s">
        <v>30</v>
      </c>
      <c r="L224" s="1130" t="s">
        <v>88</v>
      </c>
      <c r="M224" s="1129" t="s">
        <v>41</v>
      </c>
      <c r="N224" s="1131"/>
      <c r="O224" s="357"/>
    </row>
    <row r="225" spans="1:22" x14ac:dyDescent="0.3">
      <c r="B225" s="401"/>
      <c r="C225" s="1125" t="s">
        <v>673</v>
      </c>
      <c r="D225" s="1126"/>
      <c r="E225" s="1126"/>
      <c r="F225" s="1127">
        <v>5</v>
      </c>
      <c r="G225" s="1127"/>
      <c r="H225" s="1126" t="s">
        <v>977</v>
      </c>
      <c r="I225" s="1126"/>
      <c r="J225" s="1128">
        <v>41322</v>
      </c>
      <c r="K225" s="1129" t="s">
        <v>931</v>
      </c>
      <c r="L225" s="1130" t="s">
        <v>933</v>
      </c>
      <c r="M225" s="1129" t="s">
        <v>558</v>
      </c>
      <c r="N225" s="1131"/>
      <c r="O225" s="357"/>
    </row>
    <row r="226" spans="1:22" x14ac:dyDescent="0.3">
      <c r="B226" s="401"/>
      <c r="C226" s="1125" t="s">
        <v>2184</v>
      </c>
      <c r="D226" s="1126"/>
      <c r="E226" s="1126"/>
      <c r="F226" s="1127">
        <v>5</v>
      </c>
      <c r="G226" s="1127"/>
      <c r="H226" s="1126" t="s">
        <v>2153</v>
      </c>
      <c r="I226" s="1126"/>
      <c r="J226" s="1128">
        <v>44898</v>
      </c>
      <c r="K226" s="1129" t="s">
        <v>2324</v>
      </c>
      <c r="L226" s="1130" t="s">
        <v>2325</v>
      </c>
      <c r="M226" s="1129" t="s">
        <v>2297</v>
      </c>
      <c r="N226" s="1131"/>
      <c r="O226" s="357"/>
    </row>
    <row r="227" spans="1:22" x14ac:dyDescent="0.3">
      <c r="B227" s="401"/>
      <c r="C227" s="1125" t="s">
        <v>2444</v>
      </c>
      <c r="D227" s="1126"/>
      <c r="E227" s="1126"/>
      <c r="F227" s="1127">
        <v>5</v>
      </c>
      <c r="G227" s="1127"/>
      <c r="H227" s="1126" t="s">
        <v>2372</v>
      </c>
      <c r="I227" s="1126"/>
      <c r="J227" s="1128">
        <v>45374</v>
      </c>
      <c r="K227" s="1129" t="s">
        <v>130</v>
      </c>
      <c r="L227" s="1130" t="s">
        <v>1190</v>
      </c>
      <c r="M227" s="1129" t="s">
        <v>579</v>
      </c>
      <c r="N227" s="1131"/>
      <c r="O227" s="357"/>
    </row>
    <row r="228" spans="1:22" x14ac:dyDescent="0.3">
      <c r="B228" s="401"/>
      <c r="C228" s="1125" t="s">
        <v>185</v>
      </c>
      <c r="D228" s="1126"/>
      <c r="E228" s="1126"/>
      <c r="F228" s="1127">
        <v>5</v>
      </c>
      <c r="G228" s="1127"/>
      <c r="H228" s="1126" t="s">
        <v>1102</v>
      </c>
      <c r="I228" s="1126"/>
      <c r="J228" s="1128">
        <v>41692</v>
      </c>
      <c r="K228" s="1129" t="s">
        <v>1053</v>
      </c>
      <c r="L228" s="1130" t="s">
        <v>891</v>
      </c>
      <c r="M228" s="1129" t="s">
        <v>558</v>
      </c>
      <c r="N228" s="1131"/>
      <c r="O228" s="357"/>
    </row>
    <row r="229" spans="1:22" x14ac:dyDescent="0.3">
      <c r="B229" s="401"/>
      <c r="C229" s="1125" t="s">
        <v>1075</v>
      </c>
      <c r="D229" s="1126"/>
      <c r="E229" s="1126"/>
      <c r="F229" s="1127">
        <v>5</v>
      </c>
      <c r="G229" s="1127"/>
      <c r="H229" s="1126" t="s">
        <v>1102</v>
      </c>
      <c r="I229" s="1126"/>
      <c r="J229" s="1128">
        <v>41679</v>
      </c>
      <c r="K229" s="1129" t="s">
        <v>1047</v>
      </c>
      <c r="L229" s="1130" t="s">
        <v>39</v>
      </c>
      <c r="M229" s="1129" t="s">
        <v>1049</v>
      </c>
      <c r="N229" s="1131"/>
      <c r="O229" s="357"/>
    </row>
    <row r="230" spans="1:22" ht="15" customHeight="1" x14ac:dyDescent="0.3">
      <c r="B230" s="401"/>
      <c r="C230" s="1132" t="s">
        <v>1077</v>
      </c>
      <c r="D230" s="1133"/>
      <c r="E230" s="1133"/>
      <c r="F230" s="761">
        <v>5</v>
      </c>
      <c r="G230" s="761"/>
      <c r="H230" s="1133" t="s">
        <v>1490</v>
      </c>
      <c r="I230" s="1133"/>
      <c r="J230" s="1134">
        <v>42309</v>
      </c>
      <c r="K230" s="1135" t="s">
        <v>1494</v>
      </c>
      <c r="L230" s="1136" t="s">
        <v>1492</v>
      </c>
      <c r="M230" s="1135" t="s">
        <v>579</v>
      </c>
      <c r="N230" s="1137"/>
      <c r="O230" s="357"/>
    </row>
    <row r="231" spans="1:22" s="309" customFormat="1" ht="15" customHeight="1" x14ac:dyDescent="0.2">
      <c r="A231" s="522"/>
      <c r="B231" s="541"/>
      <c r="C231" s="1138" t="s">
        <v>1075</v>
      </c>
      <c r="D231" s="1139"/>
      <c r="E231" s="1139"/>
      <c r="F231" s="1140">
        <v>4</v>
      </c>
      <c r="G231" s="1140"/>
      <c r="H231" s="1139" t="s">
        <v>1385</v>
      </c>
      <c r="I231" s="1139"/>
      <c r="J231" s="1141">
        <v>41993</v>
      </c>
      <c r="K231" s="1142" t="s">
        <v>1388</v>
      </c>
      <c r="L231" s="1143" t="s">
        <v>1268</v>
      </c>
      <c r="M231" s="1142" t="s">
        <v>558</v>
      </c>
      <c r="N231" s="1144"/>
      <c r="O231" s="522"/>
      <c r="P231" s="522"/>
      <c r="Q231" s="522"/>
      <c r="R231" s="522"/>
      <c r="S231" s="522"/>
      <c r="T231" s="522"/>
      <c r="U231" s="522"/>
      <c r="V231" s="522"/>
    </row>
    <row r="232" spans="1:22" ht="15" customHeight="1" x14ac:dyDescent="0.3">
      <c r="B232" s="401"/>
      <c r="C232" s="560" t="s">
        <v>182</v>
      </c>
      <c r="D232" s="555"/>
      <c r="E232" s="555"/>
      <c r="F232" s="556">
        <v>4</v>
      </c>
      <c r="G232" s="556"/>
      <c r="H232" s="555" t="s">
        <v>207</v>
      </c>
      <c r="I232" s="555"/>
      <c r="J232" s="561">
        <v>39523</v>
      </c>
      <c r="K232" s="557" t="s">
        <v>208</v>
      </c>
      <c r="L232" s="562" t="s">
        <v>209</v>
      </c>
      <c r="M232" s="557" t="s">
        <v>41</v>
      </c>
      <c r="N232" s="939"/>
      <c r="O232" s="357"/>
    </row>
    <row r="233" spans="1:22" ht="15" customHeight="1" x14ac:dyDescent="0.3">
      <c r="B233" s="401"/>
      <c r="C233" s="560" t="s">
        <v>185</v>
      </c>
      <c r="D233" s="555"/>
      <c r="E233" s="555"/>
      <c r="F233" s="556">
        <v>4</v>
      </c>
      <c r="G233" s="556"/>
      <c r="H233" s="555" t="s">
        <v>754</v>
      </c>
      <c r="I233" s="555"/>
      <c r="J233" s="561">
        <v>40635</v>
      </c>
      <c r="K233" s="557" t="s">
        <v>670</v>
      </c>
      <c r="L233" s="562" t="s">
        <v>768</v>
      </c>
      <c r="M233" s="557" t="s">
        <v>246</v>
      </c>
      <c r="N233" s="939"/>
      <c r="O233" s="357"/>
    </row>
    <row r="234" spans="1:22" ht="15" customHeight="1" x14ac:dyDescent="0.3">
      <c r="B234" s="401"/>
      <c r="C234" s="560" t="s">
        <v>50</v>
      </c>
      <c r="D234" s="555"/>
      <c r="E234" s="555"/>
      <c r="F234" s="556">
        <v>4</v>
      </c>
      <c r="G234" s="556"/>
      <c r="H234" s="555" t="s">
        <v>1818</v>
      </c>
      <c r="I234" s="555"/>
      <c r="J234" s="561">
        <v>43436</v>
      </c>
      <c r="K234" s="557" t="s">
        <v>1060</v>
      </c>
      <c r="L234" s="562" t="s">
        <v>906</v>
      </c>
      <c r="M234" s="557" t="s">
        <v>150</v>
      </c>
      <c r="N234" s="939"/>
      <c r="O234" s="357"/>
    </row>
    <row r="235" spans="1:22" ht="15" customHeight="1" x14ac:dyDescent="0.3">
      <c r="B235" s="401"/>
      <c r="C235" s="560" t="s">
        <v>50</v>
      </c>
      <c r="D235" s="555"/>
      <c r="E235" s="555"/>
      <c r="F235" s="556">
        <v>4</v>
      </c>
      <c r="G235" s="556"/>
      <c r="H235" s="555" t="s">
        <v>2006</v>
      </c>
      <c r="I235" s="555"/>
      <c r="J235" s="561">
        <v>43806</v>
      </c>
      <c r="K235" s="557" t="s">
        <v>780</v>
      </c>
      <c r="L235" s="562" t="s">
        <v>1235</v>
      </c>
      <c r="M235" s="557" t="s">
        <v>242</v>
      </c>
      <c r="N235" s="939"/>
      <c r="O235" s="357"/>
    </row>
    <row r="236" spans="1:22" ht="15" customHeight="1" x14ac:dyDescent="0.3">
      <c r="B236" s="401"/>
      <c r="C236" s="560" t="s">
        <v>2800</v>
      </c>
      <c r="D236" s="555"/>
      <c r="E236" s="555"/>
      <c r="F236" s="556">
        <v>3</v>
      </c>
      <c r="G236" s="556"/>
      <c r="H236" s="555" t="s">
        <v>2489</v>
      </c>
      <c r="I236" s="555"/>
      <c r="J236" s="561">
        <v>45626</v>
      </c>
      <c r="K236" s="557" t="s">
        <v>1454</v>
      </c>
      <c r="L236" s="562" t="s">
        <v>245</v>
      </c>
      <c r="M236" s="557" t="s">
        <v>579</v>
      </c>
      <c r="N236" s="939"/>
      <c r="O236" s="357" t="s">
        <v>1685</v>
      </c>
    </row>
    <row r="237" spans="1:22" ht="15" customHeight="1" x14ac:dyDescent="0.3">
      <c r="B237" s="401"/>
      <c r="C237" s="560" t="s">
        <v>2800</v>
      </c>
      <c r="D237" s="555"/>
      <c r="E237" s="555"/>
      <c r="F237" s="556">
        <v>3</v>
      </c>
      <c r="G237" s="556"/>
      <c r="H237" s="555" t="s">
        <v>2489</v>
      </c>
      <c r="I237" s="555"/>
      <c r="J237" s="561">
        <v>45626</v>
      </c>
      <c r="K237" s="557" t="s">
        <v>2420</v>
      </c>
      <c r="L237" s="562" t="s">
        <v>89</v>
      </c>
      <c r="M237" s="557" t="s">
        <v>579</v>
      </c>
      <c r="N237" s="939"/>
      <c r="O237" s="357" t="s">
        <v>1685</v>
      </c>
    </row>
    <row r="238" spans="1:22" ht="15" customHeight="1" x14ac:dyDescent="0.3">
      <c r="B238" s="401"/>
      <c r="C238" s="560" t="s">
        <v>2444</v>
      </c>
      <c r="D238" s="555"/>
      <c r="E238" s="555"/>
      <c r="F238" s="556">
        <v>3</v>
      </c>
      <c r="G238" s="556"/>
      <c r="H238" s="555" t="s">
        <v>2489</v>
      </c>
      <c r="I238" s="555"/>
      <c r="J238" s="561">
        <v>45577</v>
      </c>
      <c r="K238" s="557" t="s">
        <v>2771</v>
      </c>
      <c r="L238" s="562" t="s">
        <v>857</v>
      </c>
      <c r="M238" s="557" t="s">
        <v>2539</v>
      </c>
      <c r="N238" s="939"/>
      <c r="O238" s="357" t="s">
        <v>1685</v>
      </c>
    </row>
    <row r="239" spans="1:22" ht="15" customHeight="1" x14ac:dyDescent="0.3">
      <c r="B239" s="401"/>
      <c r="C239" s="560" t="s">
        <v>2444</v>
      </c>
      <c r="D239" s="555"/>
      <c r="E239" s="555"/>
      <c r="F239" s="556">
        <v>3</v>
      </c>
      <c r="G239" s="556"/>
      <c r="H239" s="555" t="s">
        <v>2489</v>
      </c>
      <c r="I239" s="555"/>
      <c r="J239" s="561">
        <v>45695</v>
      </c>
      <c r="K239" s="557" t="s">
        <v>2769</v>
      </c>
      <c r="L239" s="562" t="s">
        <v>1680</v>
      </c>
      <c r="M239" s="557" t="s">
        <v>579</v>
      </c>
      <c r="N239" s="939"/>
      <c r="O239" s="357" t="s">
        <v>1685</v>
      </c>
    </row>
    <row r="240" spans="1:22" ht="15" customHeight="1" x14ac:dyDescent="0.3">
      <c r="B240" s="401"/>
      <c r="C240" s="560" t="s">
        <v>50</v>
      </c>
      <c r="D240" s="555"/>
      <c r="E240" s="555"/>
      <c r="F240" s="556">
        <v>3</v>
      </c>
      <c r="G240" s="556"/>
      <c r="H240" s="555" t="s">
        <v>2489</v>
      </c>
      <c r="I240" s="555"/>
      <c r="J240" s="561">
        <v>45695</v>
      </c>
      <c r="K240" s="557" t="s">
        <v>2769</v>
      </c>
      <c r="L240" s="562" t="s">
        <v>1680</v>
      </c>
      <c r="M240" s="557" t="s">
        <v>579</v>
      </c>
      <c r="N240" s="939"/>
      <c r="O240" s="357" t="s">
        <v>1685</v>
      </c>
    </row>
    <row r="241" spans="1:22" ht="15" customHeight="1" x14ac:dyDescent="0.3">
      <c r="B241" s="401"/>
      <c r="C241" s="560" t="s">
        <v>2180</v>
      </c>
      <c r="D241" s="555"/>
      <c r="E241" s="555"/>
      <c r="F241" s="556">
        <v>3</v>
      </c>
      <c r="G241" s="556"/>
      <c r="H241" s="555" t="s">
        <v>2152</v>
      </c>
      <c r="I241" s="555"/>
      <c r="J241" s="561">
        <v>44549</v>
      </c>
      <c r="K241" s="557" t="s">
        <v>2213</v>
      </c>
      <c r="L241" s="562" t="s">
        <v>1232</v>
      </c>
      <c r="M241" s="557" t="s">
        <v>579</v>
      </c>
      <c r="N241" s="939"/>
      <c r="O241" s="357"/>
    </row>
    <row r="242" spans="1:22" ht="15" customHeight="1" x14ac:dyDescent="0.3">
      <c r="B242" s="401"/>
      <c r="C242" s="560" t="s">
        <v>50</v>
      </c>
      <c r="D242" s="555"/>
      <c r="E242" s="555"/>
      <c r="F242" s="556">
        <v>3</v>
      </c>
      <c r="G242" s="556"/>
      <c r="H242" s="555" t="s">
        <v>1635</v>
      </c>
      <c r="I242" s="555"/>
      <c r="J242" s="561">
        <v>43065</v>
      </c>
      <c r="K242" s="557" t="s">
        <v>1676</v>
      </c>
      <c r="L242" s="562" t="s">
        <v>888</v>
      </c>
      <c r="M242" s="557" t="s">
        <v>1049</v>
      </c>
      <c r="N242" s="939"/>
      <c r="O242" s="357"/>
    </row>
    <row r="243" spans="1:22" ht="15" customHeight="1" x14ac:dyDescent="0.3">
      <c r="B243" s="401"/>
      <c r="C243" s="560" t="s">
        <v>1075</v>
      </c>
      <c r="D243" s="555"/>
      <c r="E243" s="555"/>
      <c r="F243" s="556">
        <v>3</v>
      </c>
      <c r="G243" s="556"/>
      <c r="H243" s="555" t="s">
        <v>1635</v>
      </c>
      <c r="I243" s="555"/>
      <c r="J243" s="561">
        <v>43148</v>
      </c>
      <c r="K243" s="557" t="s">
        <v>1677</v>
      </c>
      <c r="L243" s="562" t="s">
        <v>236</v>
      </c>
      <c r="M243" s="557" t="s">
        <v>150</v>
      </c>
      <c r="N243" s="939"/>
      <c r="O243" s="357"/>
    </row>
    <row r="244" spans="1:22" ht="15" customHeight="1" x14ac:dyDescent="0.3">
      <c r="B244" s="401"/>
      <c r="C244" s="560" t="s">
        <v>1075</v>
      </c>
      <c r="D244" s="555"/>
      <c r="E244" s="555"/>
      <c r="F244" s="556">
        <v>3</v>
      </c>
      <c r="G244" s="556"/>
      <c r="H244" s="555" t="s">
        <v>1513</v>
      </c>
      <c r="I244" s="555"/>
      <c r="J244" s="561">
        <v>42722</v>
      </c>
      <c r="K244" s="557" t="s">
        <v>1609</v>
      </c>
      <c r="L244" s="562" t="s">
        <v>566</v>
      </c>
      <c r="M244" s="557" t="s">
        <v>150</v>
      </c>
      <c r="N244" s="939"/>
      <c r="O244" s="357"/>
    </row>
    <row r="245" spans="1:22" ht="15" customHeight="1" x14ac:dyDescent="0.3">
      <c r="B245" s="401"/>
      <c r="C245" s="560" t="s">
        <v>47</v>
      </c>
      <c r="D245" s="555"/>
      <c r="E245" s="555"/>
      <c r="F245" s="556">
        <v>3</v>
      </c>
      <c r="G245" s="556"/>
      <c r="H245" s="555" t="s">
        <v>1513</v>
      </c>
      <c r="I245" s="555"/>
      <c r="J245" s="561">
        <v>42694</v>
      </c>
      <c r="K245" s="557" t="s">
        <v>1610</v>
      </c>
      <c r="L245" s="562" t="s">
        <v>251</v>
      </c>
      <c r="M245" s="557" t="s">
        <v>150</v>
      </c>
      <c r="N245" s="939"/>
      <c r="O245" s="357"/>
    </row>
    <row r="246" spans="1:22" ht="15" customHeight="1" x14ac:dyDescent="0.3">
      <c r="B246" s="401"/>
      <c r="C246" s="560" t="s">
        <v>50</v>
      </c>
      <c r="D246" s="555"/>
      <c r="E246" s="555"/>
      <c r="F246" s="556">
        <v>3</v>
      </c>
      <c r="G246" s="556"/>
      <c r="H246" s="555" t="s">
        <v>1513</v>
      </c>
      <c r="I246" s="555"/>
      <c r="J246" s="561">
        <v>42722</v>
      </c>
      <c r="K246" s="557" t="s">
        <v>1609</v>
      </c>
      <c r="L246" s="562" t="s">
        <v>566</v>
      </c>
      <c r="M246" s="557" t="s">
        <v>150</v>
      </c>
      <c r="N246" s="939"/>
      <c r="O246" s="357"/>
    </row>
    <row r="247" spans="1:22" ht="15" customHeight="1" x14ac:dyDescent="0.3">
      <c r="B247" s="401"/>
      <c r="C247" s="560" t="s">
        <v>677</v>
      </c>
      <c r="D247" s="555"/>
      <c r="E247" s="555"/>
      <c r="F247" s="930">
        <v>3</v>
      </c>
      <c r="G247" s="930"/>
      <c r="H247" s="557" t="s">
        <v>874</v>
      </c>
      <c r="I247" s="557"/>
      <c r="J247" s="561">
        <v>40838</v>
      </c>
      <c r="K247" s="557" t="s">
        <v>787</v>
      </c>
      <c r="L247" s="562" t="s">
        <v>574</v>
      </c>
      <c r="M247" s="557" t="s">
        <v>794</v>
      </c>
      <c r="N247" s="939"/>
      <c r="O247" s="357"/>
    </row>
    <row r="248" spans="1:22" ht="15" customHeight="1" x14ac:dyDescent="0.3">
      <c r="B248" s="401"/>
      <c r="C248" s="560" t="s">
        <v>56</v>
      </c>
      <c r="D248" s="555"/>
      <c r="E248" s="555"/>
      <c r="F248" s="556">
        <v>3</v>
      </c>
      <c r="G248" s="556"/>
      <c r="H248" s="555" t="s">
        <v>584</v>
      </c>
      <c r="I248" s="555"/>
      <c r="J248" s="561">
        <v>40082</v>
      </c>
      <c r="K248" s="557" t="s">
        <v>541</v>
      </c>
      <c r="L248" s="562" t="s">
        <v>569</v>
      </c>
      <c r="M248" s="557" t="s">
        <v>249</v>
      </c>
      <c r="N248" s="939"/>
      <c r="O248" s="357"/>
    </row>
    <row r="249" spans="1:22" ht="15" customHeight="1" x14ac:dyDescent="0.3">
      <c r="B249" s="401"/>
      <c r="C249" s="1110" t="s">
        <v>185</v>
      </c>
      <c r="D249" s="557"/>
      <c r="E249" s="557"/>
      <c r="F249" s="930">
        <v>3</v>
      </c>
      <c r="G249" s="930"/>
      <c r="H249" s="557" t="s">
        <v>754</v>
      </c>
      <c r="I249" s="557"/>
      <c r="J249" s="561">
        <v>40552</v>
      </c>
      <c r="K249" s="557" t="s">
        <v>644</v>
      </c>
      <c r="L249" s="562" t="s">
        <v>730</v>
      </c>
      <c r="M249" s="557" t="s">
        <v>731</v>
      </c>
      <c r="N249" s="939"/>
      <c r="O249" s="357"/>
    </row>
    <row r="250" spans="1:22" ht="15" customHeight="1" x14ac:dyDescent="0.3">
      <c r="B250" s="401"/>
      <c r="C250" s="1110" t="s">
        <v>185</v>
      </c>
      <c r="D250" s="557"/>
      <c r="E250" s="557"/>
      <c r="F250" s="930">
        <v>3</v>
      </c>
      <c r="G250" s="930"/>
      <c r="H250" s="557" t="s">
        <v>754</v>
      </c>
      <c r="I250" s="557"/>
      <c r="J250" s="561">
        <v>40440</v>
      </c>
      <c r="K250" s="557" t="s">
        <v>615</v>
      </c>
      <c r="L250" s="562" t="s">
        <v>37</v>
      </c>
      <c r="M250" s="557" t="s">
        <v>731</v>
      </c>
      <c r="N250" s="939"/>
      <c r="O250" s="357"/>
    </row>
    <row r="251" spans="1:22" ht="15" customHeight="1" x14ac:dyDescent="0.3">
      <c r="B251" s="401"/>
      <c r="C251" s="1110" t="s">
        <v>677</v>
      </c>
      <c r="D251" s="557"/>
      <c r="E251" s="557"/>
      <c r="F251" s="930">
        <v>3</v>
      </c>
      <c r="G251" s="930"/>
      <c r="H251" s="557" t="s">
        <v>754</v>
      </c>
      <c r="I251" s="557"/>
      <c r="J251" s="561">
        <v>40572</v>
      </c>
      <c r="K251" s="557" t="s">
        <v>621</v>
      </c>
      <c r="L251" s="562" t="s">
        <v>260</v>
      </c>
      <c r="M251" s="557" t="s">
        <v>736</v>
      </c>
      <c r="N251" s="939"/>
      <c r="O251" s="357"/>
    </row>
    <row r="252" spans="1:22" ht="15" customHeight="1" x14ac:dyDescent="0.3">
      <c r="B252" s="401"/>
      <c r="C252" s="1110" t="s">
        <v>675</v>
      </c>
      <c r="D252" s="557"/>
      <c r="E252" s="557"/>
      <c r="F252" s="930">
        <v>3</v>
      </c>
      <c r="G252" s="930"/>
      <c r="H252" s="557" t="s">
        <v>754</v>
      </c>
      <c r="I252" s="557"/>
      <c r="J252" s="561">
        <v>40572</v>
      </c>
      <c r="K252" s="557" t="s">
        <v>653</v>
      </c>
      <c r="L252" s="562" t="s">
        <v>508</v>
      </c>
      <c r="M252" s="557" t="s">
        <v>736</v>
      </c>
      <c r="N252" s="939"/>
      <c r="O252" s="357"/>
    </row>
    <row r="253" spans="1:22" ht="15" customHeight="1" x14ac:dyDescent="0.3">
      <c r="B253" s="401"/>
      <c r="C253" s="1110" t="s">
        <v>50</v>
      </c>
      <c r="D253" s="557"/>
      <c r="E253" s="557"/>
      <c r="F253" s="930">
        <v>3</v>
      </c>
      <c r="G253" s="930"/>
      <c r="H253" s="557" t="s">
        <v>754</v>
      </c>
      <c r="I253" s="557"/>
      <c r="J253" s="561">
        <v>40552</v>
      </c>
      <c r="K253" s="557" t="s">
        <v>644</v>
      </c>
      <c r="L253" s="562" t="s">
        <v>730</v>
      </c>
      <c r="M253" s="557" t="s">
        <v>731</v>
      </c>
      <c r="N253" s="939"/>
      <c r="O253" s="357"/>
    </row>
    <row r="254" spans="1:22" ht="15" customHeight="1" x14ac:dyDescent="0.3">
      <c r="B254" s="401"/>
      <c r="C254" s="1112" t="s">
        <v>50</v>
      </c>
      <c r="D254" s="565"/>
      <c r="E254" s="565"/>
      <c r="F254" s="1113">
        <v>3</v>
      </c>
      <c r="G254" s="1113"/>
      <c r="H254" s="565" t="s">
        <v>754</v>
      </c>
      <c r="I254" s="565"/>
      <c r="J254" s="564">
        <v>40502</v>
      </c>
      <c r="K254" s="565" t="s">
        <v>631</v>
      </c>
      <c r="L254" s="566" t="s">
        <v>756</v>
      </c>
      <c r="M254" s="565" t="s">
        <v>246</v>
      </c>
      <c r="N254" s="940"/>
      <c r="O254" s="357"/>
    </row>
    <row r="255" spans="1:22" s="37" customFormat="1" ht="15" customHeight="1" x14ac:dyDescent="0.2">
      <c r="A255" s="521"/>
      <c r="B255" s="534"/>
      <c r="C255" s="521"/>
      <c r="D255" s="532"/>
      <c r="E255" s="532"/>
      <c r="F255" s="532"/>
      <c r="G255" s="533"/>
      <c r="H255" s="533"/>
      <c r="I255" s="532"/>
      <c r="J255" s="532"/>
      <c r="K255" s="521"/>
      <c r="L255" s="521"/>
      <c r="M255" s="535"/>
      <c r="N255" s="521"/>
      <c r="O255" s="521"/>
      <c r="P255" s="521"/>
      <c r="Q255" s="521"/>
      <c r="R255" s="521"/>
      <c r="S255" s="521"/>
      <c r="T255" s="521"/>
      <c r="U255" s="521"/>
      <c r="V255" s="521"/>
    </row>
    <row r="256" spans="1:22" ht="15" customHeight="1" x14ac:dyDescent="0.3">
      <c r="B256" s="401"/>
      <c r="C256" s="357"/>
      <c r="D256" s="357"/>
      <c r="E256" s="357"/>
      <c r="F256" s="357"/>
      <c r="G256" s="358"/>
      <c r="H256" s="358"/>
      <c r="I256" s="357"/>
      <c r="J256" s="357"/>
      <c r="K256" s="539"/>
      <c r="L256" s="537"/>
      <c r="M256" s="540"/>
      <c r="N256" s="537"/>
      <c r="O256" s="537"/>
    </row>
    <row r="257" spans="1:22" ht="15" customHeight="1" x14ac:dyDescent="0.3">
      <c r="B257" s="475" t="s">
        <v>1772</v>
      </c>
      <c r="D257" s="357"/>
      <c r="E257" s="357"/>
      <c r="F257" s="357"/>
      <c r="G257" s="358"/>
      <c r="H257" s="358"/>
      <c r="I257" s="357"/>
      <c r="J257" s="357"/>
      <c r="K257" s="539"/>
      <c r="L257" s="537"/>
      <c r="M257" s="540"/>
      <c r="N257" s="537"/>
      <c r="O257" s="537"/>
    </row>
    <row r="258" spans="1:22" ht="15" customHeight="1" x14ac:dyDescent="0.3">
      <c r="B258" s="401"/>
      <c r="C258" s="357"/>
      <c r="D258" s="357"/>
      <c r="E258" s="357"/>
      <c r="F258" s="357"/>
      <c r="G258" s="358"/>
      <c r="H258" s="358"/>
      <c r="I258" s="357"/>
      <c r="J258" s="357"/>
      <c r="K258" s="539"/>
      <c r="L258" s="537"/>
      <c r="M258" s="540"/>
      <c r="N258" s="537"/>
      <c r="O258" s="537"/>
    </row>
    <row r="259" spans="1:22" ht="15" customHeight="1" x14ac:dyDescent="0.3">
      <c r="B259" s="401"/>
      <c r="C259" s="1103" t="s">
        <v>185</v>
      </c>
      <c r="D259" s="1104"/>
      <c r="E259" s="1104"/>
      <c r="F259" s="782">
        <v>6</v>
      </c>
      <c r="G259" s="782"/>
      <c r="H259" s="1104" t="s">
        <v>2152</v>
      </c>
      <c r="I259" s="1104"/>
      <c r="J259" s="1146">
        <v>44513</v>
      </c>
      <c r="K259" s="1104" t="s">
        <v>2191</v>
      </c>
      <c r="L259" s="1147" t="s">
        <v>2241</v>
      </c>
      <c r="M259" s="1104" t="s">
        <v>2174</v>
      </c>
      <c r="N259" s="1148"/>
      <c r="O259" s="357"/>
    </row>
    <row r="260" spans="1:22" ht="15" customHeight="1" x14ac:dyDescent="0.3">
      <c r="B260" s="401"/>
      <c r="C260" s="1109" t="s">
        <v>185</v>
      </c>
      <c r="D260" s="1078"/>
      <c r="E260" s="1078"/>
      <c r="F260" s="1077">
        <v>5</v>
      </c>
      <c r="G260" s="1077"/>
      <c r="H260" s="1078" t="s">
        <v>297</v>
      </c>
      <c r="I260" s="1078"/>
      <c r="J260" s="1114">
        <v>39837</v>
      </c>
      <c r="K260" s="1078" t="s">
        <v>300</v>
      </c>
      <c r="L260" s="1115" t="s">
        <v>87</v>
      </c>
      <c r="M260" s="1078" t="s">
        <v>246</v>
      </c>
      <c r="N260" s="1083"/>
      <c r="O260" s="357"/>
    </row>
    <row r="261" spans="1:22" ht="15" customHeight="1" x14ac:dyDescent="0.3">
      <c r="B261" s="401"/>
      <c r="C261" s="560" t="s">
        <v>185</v>
      </c>
      <c r="D261" s="555"/>
      <c r="E261" s="555"/>
      <c r="F261" s="556">
        <v>5</v>
      </c>
      <c r="G261" s="556"/>
      <c r="H261" s="555" t="s">
        <v>977</v>
      </c>
      <c r="I261" s="555"/>
      <c r="J261" s="569">
        <v>41322</v>
      </c>
      <c r="K261" s="555" t="s">
        <v>931</v>
      </c>
      <c r="L261" s="570" t="s">
        <v>933</v>
      </c>
      <c r="M261" s="555" t="s">
        <v>558</v>
      </c>
      <c r="N261" s="916"/>
      <c r="O261" s="357"/>
    </row>
    <row r="262" spans="1:22" ht="15" customHeight="1" x14ac:dyDescent="0.3">
      <c r="B262" s="401"/>
      <c r="C262" s="560" t="s">
        <v>675</v>
      </c>
      <c r="D262" s="555"/>
      <c r="E262" s="555"/>
      <c r="F262" s="556">
        <v>5</v>
      </c>
      <c r="G262" s="556"/>
      <c r="H262" s="555" t="s">
        <v>977</v>
      </c>
      <c r="I262" s="555"/>
      <c r="J262" s="569">
        <v>41182</v>
      </c>
      <c r="K262" s="555" t="s">
        <v>890</v>
      </c>
      <c r="L262" s="570" t="s">
        <v>567</v>
      </c>
      <c r="M262" s="555" t="s">
        <v>794</v>
      </c>
      <c r="N262" s="916"/>
      <c r="O262" s="357"/>
    </row>
    <row r="263" spans="1:22" ht="15" customHeight="1" x14ac:dyDescent="0.3">
      <c r="B263" s="401"/>
      <c r="C263" s="560" t="s">
        <v>185</v>
      </c>
      <c r="D263" s="555"/>
      <c r="E263" s="555"/>
      <c r="F263" s="556">
        <v>5</v>
      </c>
      <c r="G263" s="556"/>
      <c r="H263" s="555" t="s">
        <v>1818</v>
      </c>
      <c r="I263" s="555"/>
      <c r="J263" s="569">
        <v>43526</v>
      </c>
      <c r="K263" s="555" t="s">
        <v>1961</v>
      </c>
      <c r="L263" s="570" t="s">
        <v>857</v>
      </c>
      <c r="M263" s="555" t="s">
        <v>1496</v>
      </c>
      <c r="N263" s="916"/>
      <c r="O263" s="357"/>
    </row>
    <row r="264" spans="1:22" ht="15" customHeight="1" x14ac:dyDescent="0.3">
      <c r="B264" s="401"/>
      <c r="C264" s="560" t="s">
        <v>185</v>
      </c>
      <c r="D264" s="555"/>
      <c r="E264" s="555"/>
      <c r="F264" s="556">
        <v>5</v>
      </c>
      <c r="G264" s="556"/>
      <c r="H264" s="555" t="s">
        <v>2006</v>
      </c>
      <c r="I264" s="555"/>
      <c r="J264" s="569">
        <v>43806</v>
      </c>
      <c r="K264" s="555" t="s">
        <v>780</v>
      </c>
      <c r="L264" s="570" t="s">
        <v>1235</v>
      </c>
      <c r="M264" s="555" t="s">
        <v>242</v>
      </c>
      <c r="N264" s="916"/>
      <c r="O264" s="357"/>
    </row>
    <row r="265" spans="1:22" ht="15" customHeight="1" x14ac:dyDescent="0.3">
      <c r="B265" s="401"/>
      <c r="C265" s="560" t="s">
        <v>185</v>
      </c>
      <c r="D265" s="555"/>
      <c r="E265" s="555"/>
      <c r="F265" s="556">
        <v>5</v>
      </c>
      <c r="G265" s="556"/>
      <c r="H265" s="555" t="s">
        <v>2006</v>
      </c>
      <c r="I265" s="555"/>
      <c r="J265" s="569">
        <v>43806</v>
      </c>
      <c r="K265" s="555" t="s">
        <v>2057</v>
      </c>
      <c r="L265" s="570" t="s">
        <v>2058</v>
      </c>
      <c r="M265" s="555" t="s">
        <v>242</v>
      </c>
      <c r="N265" s="916"/>
      <c r="O265" s="357"/>
    </row>
    <row r="266" spans="1:22" s="31" customFormat="1" ht="15" customHeight="1" x14ac:dyDescent="0.2">
      <c r="A266" s="520"/>
      <c r="B266" s="529"/>
      <c r="C266" s="560" t="s">
        <v>51</v>
      </c>
      <c r="D266" s="555"/>
      <c r="E266" s="555"/>
      <c r="F266" s="556">
        <v>4</v>
      </c>
      <c r="G266" s="556"/>
      <c r="H266" s="555" t="s">
        <v>83</v>
      </c>
      <c r="I266" s="555"/>
      <c r="J266" s="569">
        <v>39088</v>
      </c>
      <c r="K266" s="555" t="s">
        <v>27</v>
      </c>
      <c r="L266" s="570" t="s">
        <v>35</v>
      </c>
      <c r="M266" s="555" t="s">
        <v>41</v>
      </c>
      <c r="N266" s="916"/>
      <c r="O266" s="520"/>
      <c r="P266" s="520"/>
      <c r="Q266" s="520"/>
      <c r="R266" s="520"/>
      <c r="S266" s="520"/>
      <c r="T266" s="520"/>
      <c r="U266" s="520"/>
      <c r="V266" s="520"/>
    </row>
    <row r="267" spans="1:22" s="31" customFormat="1" ht="15" customHeight="1" x14ac:dyDescent="0.2">
      <c r="A267" s="520"/>
      <c r="B267" s="529"/>
      <c r="C267" s="560" t="s">
        <v>51</v>
      </c>
      <c r="D267" s="555"/>
      <c r="E267" s="555"/>
      <c r="F267" s="556">
        <v>4</v>
      </c>
      <c r="G267" s="556"/>
      <c r="H267" s="555" t="s">
        <v>83</v>
      </c>
      <c r="I267" s="555"/>
      <c r="J267" s="569">
        <v>39088</v>
      </c>
      <c r="K267" s="555" t="s">
        <v>86</v>
      </c>
      <c r="L267" s="570" t="s">
        <v>89</v>
      </c>
      <c r="M267" s="555" t="s">
        <v>41</v>
      </c>
      <c r="N267" s="916"/>
      <c r="O267" s="520"/>
      <c r="P267" s="520"/>
      <c r="Q267" s="520"/>
      <c r="R267" s="520"/>
      <c r="S267" s="520"/>
      <c r="T267" s="520"/>
      <c r="U267" s="520"/>
      <c r="V267" s="520"/>
    </row>
    <row r="268" spans="1:22" s="31" customFormat="1" ht="15" customHeight="1" x14ac:dyDescent="0.2">
      <c r="A268" s="520"/>
      <c r="B268" s="529"/>
      <c r="C268" s="560" t="s">
        <v>2149</v>
      </c>
      <c r="D268" s="555"/>
      <c r="E268" s="555"/>
      <c r="F268" s="556">
        <v>4</v>
      </c>
      <c r="G268" s="556"/>
      <c r="H268" s="555" t="s">
        <v>2153</v>
      </c>
      <c r="I268" s="555"/>
      <c r="J268" s="569">
        <v>44898</v>
      </c>
      <c r="K268" s="555" t="s">
        <v>2324</v>
      </c>
      <c r="L268" s="570" t="s">
        <v>2325</v>
      </c>
      <c r="M268" s="555" t="s">
        <v>2297</v>
      </c>
      <c r="N268" s="916"/>
      <c r="P268" s="520"/>
      <c r="Q268" s="520"/>
      <c r="R268" s="520"/>
      <c r="S268" s="520"/>
      <c r="T268" s="520"/>
      <c r="U268" s="520"/>
      <c r="V268" s="520"/>
    </row>
    <row r="269" spans="1:22" s="31" customFormat="1" ht="15" customHeight="1" x14ac:dyDescent="0.2">
      <c r="A269" s="520"/>
      <c r="B269" s="529"/>
      <c r="C269" s="560" t="s">
        <v>185</v>
      </c>
      <c r="D269" s="555"/>
      <c r="E269" s="555"/>
      <c r="F269" s="556">
        <v>4</v>
      </c>
      <c r="G269" s="556"/>
      <c r="H269" s="555" t="s">
        <v>207</v>
      </c>
      <c r="I269" s="555"/>
      <c r="J269" s="569">
        <v>39523</v>
      </c>
      <c r="K269" s="555" t="s">
        <v>208</v>
      </c>
      <c r="L269" s="570" t="s">
        <v>209</v>
      </c>
      <c r="M269" s="555" t="s">
        <v>41</v>
      </c>
      <c r="N269" s="916"/>
      <c r="O269" s="520"/>
      <c r="P269" s="520"/>
      <c r="Q269" s="520"/>
      <c r="R269" s="520"/>
      <c r="S269" s="520"/>
      <c r="T269" s="520"/>
      <c r="U269" s="520"/>
      <c r="V269" s="520"/>
    </row>
    <row r="270" spans="1:22" s="31" customFormat="1" ht="15" customHeight="1" x14ac:dyDescent="0.2">
      <c r="A270" s="520"/>
      <c r="B270" s="529"/>
      <c r="C270" s="560" t="s">
        <v>185</v>
      </c>
      <c r="D270" s="555"/>
      <c r="E270" s="555"/>
      <c r="F270" s="556">
        <v>4</v>
      </c>
      <c r="G270" s="556"/>
      <c r="H270" s="555" t="s">
        <v>207</v>
      </c>
      <c r="I270" s="555"/>
      <c r="J270" s="569">
        <v>39523</v>
      </c>
      <c r="K270" s="555" t="s">
        <v>168</v>
      </c>
      <c r="L270" s="570" t="s">
        <v>169</v>
      </c>
      <c r="M270" s="555" t="s">
        <v>41</v>
      </c>
      <c r="N270" s="916"/>
      <c r="O270" s="520"/>
      <c r="P270" s="520"/>
      <c r="Q270" s="520"/>
      <c r="R270" s="520"/>
      <c r="S270" s="520"/>
      <c r="T270" s="520"/>
      <c r="U270" s="520"/>
      <c r="V270" s="520"/>
    </row>
    <row r="271" spans="1:22" s="31" customFormat="1" ht="15" customHeight="1" x14ac:dyDescent="0.2">
      <c r="A271" s="520"/>
      <c r="B271" s="529"/>
      <c r="C271" s="560" t="s">
        <v>185</v>
      </c>
      <c r="D271" s="555"/>
      <c r="E271" s="555"/>
      <c r="F271" s="556">
        <v>4</v>
      </c>
      <c r="G271" s="556"/>
      <c r="H271" s="555" t="s">
        <v>1102</v>
      </c>
      <c r="I271" s="555"/>
      <c r="J271" s="569">
        <v>41713</v>
      </c>
      <c r="K271" s="555" t="s">
        <v>1068</v>
      </c>
      <c r="L271" s="570" t="s">
        <v>1069</v>
      </c>
      <c r="M271" s="555" t="s">
        <v>558</v>
      </c>
      <c r="N271" s="916"/>
      <c r="O271" s="520"/>
      <c r="P271" s="520"/>
      <c r="Q271" s="520"/>
      <c r="R271" s="520"/>
      <c r="S271" s="520"/>
      <c r="T271" s="520"/>
      <c r="U271" s="520"/>
      <c r="V271" s="520"/>
    </row>
    <row r="272" spans="1:22" s="31" customFormat="1" ht="15" customHeight="1" x14ac:dyDescent="0.3">
      <c r="A272" s="520"/>
      <c r="B272" s="529"/>
      <c r="C272" s="560" t="s">
        <v>185</v>
      </c>
      <c r="D272" s="555"/>
      <c r="E272" s="555"/>
      <c r="F272" s="556">
        <v>4</v>
      </c>
      <c r="G272" s="556"/>
      <c r="H272" s="555" t="s">
        <v>1635</v>
      </c>
      <c r="I272" s="555"/>
      <c r="J272" s="569">
        <v>43065</v>
      </c>
      <c r="K272" s="555" t="s">
        <v>1676</v>
      </c>
      <c r="L272" s="570" t="s">
        <v>888</v>
      </c>
      <c r="M272" s="555" t="s">
        <v>1049</v>
      </c>
      <c r="N272" s="1145"/>
      <c r="O272" s="520"/>
      <c r="P272" s="520"/>
      <c r="Q272" s="520"/>
      <c r="R272" s="520"/>
      <c r="S272" s="520"/>
      <c r="T272" s="520"/>
      <c r="U272" s="520"/>
      <c r="V272" s="520"/>
    </row>
    <row r="273" spans="1:22" s="31" customFormat="1" ht="15" customHeight="1" x14ac:dyDescent="0.3">
      <c r="A273" s="520"/>
      <c r="B273" s="529"/>
      <c r="C273" s="560" t="s">
        <v>1379</v>
      </c>
      <c r="D273" s="555"/>
      <c r="E273" s="555"/>
      <c r="F273" s="556">
        <v>3</v>
      </c>
      <c r="G273" s="556"/>
      <c r="H273" s="555" t="s">
        <v>2489</v>
      </c>
      <c r="I273" s="555"/>
      <c r="J273" s="569">
        <v>45577</v>
      </c>
      <c r="K273" s="555" t="s">
        <v>2771</v>
      </c>
      <c r="L273" s="570" t="s">
        <v>857</v>
      </c>
      <c r="M273" s="555" t="s">
        <v>2539</v>
      </c>
      <c r="N273" s="1145"/>
      <c r="O273" s="357" t="s">
        <v>1685</v>
      </c>
      <c r="P273" s="520"/>
      <c r="Q273" s="520"/>
      <c r="R273" s="520"/>
      <c r="S273" s="520"/>
      <c r="T273" s="520"/>
      <c r="U273" s="520"/>
      <c r="V273" s="520"/>
    </row>
    <row r="274" spans="1:22" s="31" customFormat="1" ht="15" customHeight="1" x14ac:dyDescent="0.2">
      <c r="A274" s="520"/>
      <c r="B274" s="529"/>
      <c r="C274" s="560" t="s">
        <v>1124</v>
      </c>
      <c r="D274" s="555"/>
      <c r="E274" s="555"/>
      <c r="F274" s="556">
        <v>3</v>
      </c>
      <c r="G274" s="556"/>
      <c r="H274" s="555" t="s">
        <v>1513</v>
      </c>
      <c r="I274" s="555"/>
      <c r="J274" s="569">
        <v>42694</v>
      </c>
      <c r="K274" s="555" t="s">
        <v>1610</v>
      </c>
      <c r="L274" s="570" t="s">
        <v>251</v>
      </c>
      <c r="M274" s="555" t="s">
        <v>150</v>
      </c>
      <c r="N274" s="916"/>
      <c r="O274" s="520"/>
      <c r="P274" s="520"/>
      <c r="Q274" s="520"/>
      <c r="R274" s="520"/>
      <c r="S274" s="520"/>
      <c r="T274" s="520"/>
      <c r="U274" s="520"/>
      <c r="V274" s="520"/>
    </row>
    <row r="275" spans="1:22" s="31" customFormat="1" ht="15" customHeight="1" x14ac:dyDescent="0.2">
      <c r="A275" s="520"/>
      <c r="B275" s="529"/>
      <c r="C275" s="560" t="s">
        <v>185</v>
      </c>
      <c r="D275" s="555"/>
      <c r="E275" s="555"/>
      <c r="F275" s="556">
        <v>3</v>
      </c>
      <c r="G275" s="556"/>
      <c r="H275" s="555" t="s">
        <v>1513</v>
      </c>
      <c r="I275" s="555"/>
      <c r="J275" s="569">
        <v>42722</v>
      </c>
      <c r="K275" s="555" t="s">
        <v>1609</v>
      </c>
      <c r="L275" s="570" t="s">
        <v>566</v>
      </c>
      <c r="M275" s="555" t="s">
        <v>150</v>
      </c>
      <c r="N275" s="916"/>
      <c r="O275" s="520"/>
      <c r="P275" s="520"/>
      <c r="Q275" s="520"/>
      <c r="R275" s="520"/>
      <c r="S275" s="520"/>
      <c r="T275" s="520"/>
      <c r="U275" s="520"/>
      <c r="V275" s="520"/>
    </row>
    <row r="276" spans="1:22" s="308" customFormat="1" ht="15" customHeight="1" x14ac:dyDescent="0.2">
      <c r="A276" s="523"/>
      <c r="B276" s="541"/>
      <c r="C276" s="560" t="s">
        <v>185</v>
      </c>
      <c r="D276" s="555"/>
      <c r="E276" s="555"/>
      <c r="F276" s="556">
        <v>3</v>
      </c>
      <c r="G276" s="556"/>
      <c r="H276" s="555" t="s">
        <v>1385</v>
      </c>
      <c r="I276" s="555"/>
      <c r="J276" s="569">
        <v>41993</v>
      </c>
      <c r="K276" s="555" t="s">
        <v>1388</v>
      </c>
      <c r="L276" s="570" t="s">
        <v>1268</v>
      </c>
      <c r="M276" s="555" t="s">
        <v>558</v>
      </c>
      <c r="N276" s="916"/>
      <c r="O276" s="523"/>
      <c r="P276" s="523"/>
      <c r="Q276" s="523"/>
      <c r="R276" s="523"/>
      <c r="S276" s="523"/>
      <c r="T276" s="523"/>
      <c r="U276" s="523"/>
      <c r="V276" s="523"/>
    </row>
    <row r="277" spans="1:22" s="308" customFormat="1" ht="15" customHeight="1" x14ac:dyDescent="0.2">
      <c r="A277" s="523"/>
      <c r="B277" s="541"/>
      <c r="C277" s="560" t="s">
        <v>185</v>
      </c>
      <c r="D277" s="555"/>
      <c r="E277" s="555"/>
      <c r="F277" s="556">
        <v>3</v>
      </c>
      <c r="G277" s="556"/>
      <c r="H277" s="555" t="s">
        <v>1385</v>
      </c>
      <c r="I277" s="555"/>
      <c r="J277" s="569">
        <v>41951</v>
      </c>
      <c r="K277" s="555" t="s">
        <v>1390</v>
      </c>
      <c r="L277" s="570" t="s">
        <v>567</v>
      </c>
      <c r="M277" s="555" t="s">
        <v>150</v>
      </c>
      <c r="N277" s="916"/>
      <c r="O277" s="523"/>
      <c r="P277" s="523"/>
      <c r="Q277" s="523"/>
      <c r="R277" s="523"/>
      <c r="S277" s="523"/>
      <c r="T277" s="523"/>
      <c r="U277" s="523"/>
      <c r="V277" s="523"/>
    </row>
    <row r="278" spans="1:22" s="308" customFormat="1" ht="15" customHeight="1" x14ac:dyDescent="0.3">
      <c r="A278" s="523"/>
      <c r="B278" s="541"/>
      <c r="C278" s="560" t="s">
        <v>1077</v>
      </c>
      <c r="D278" s="555"/>
      <c r="E278" s="555"/>
      <c r="F278" s="556">
        <v>3</v>
      </c>
      <c r="G278" s="556"/>
      <c r="H278" s="555" t="s">
        <v>1385</v>
      </c>
      <c r="I278" s="555"/>
      <c r="J278" s="569">
        <v>42049</v>
      </c>
      <c r="K278" s="555" t="s">
        <v>1370</v>
      </c>
      <c r="L278" s="570" t="s">
        <v>1328</v>
      </c>
      <c r="M278" s="555" t="s">
        <v>558</v>
      </c>
      <c r="N278" s="916"/>
      <c r="O278" s="357"/>
      <c r="P278" s="523"/>
      <c r="Q278" s="523"/>
      <c r="R278" s="523"/>
      <c r="S278" s="523"/>
      <c r="T278" s="523"/>
      <c r="U278" s="523"/>
      <c r="V278" s="523"/>
    </row>
    <row r="279" spans="1:22" s="308" customFormat="1" ht="15" customHeight="1" x14ac:dyDescent="0.3">
      <c r="A279" s="523"/>
      <c r="B279" s="541"/>
      <c r="C279" s="560" t="s">
        <v>2180</v>
      </c>
      <c r="D279" s="555"/>
      <c r="E279" s="555"/>
      <c r="F279" s="556">
        <v>3</v>
      </c>
      <c r="G279" s="556"/>
      <c r="H279" s="555" t="s">
        <v>2372</v>
      </c>
      <c r="I279" s="555"/>
      <c r="J279" s="569">
        <v>45318</v>
      </c>
      <c r="K279" s="555" t="s">
        <v>2320</v>
      </c>
      <c r="L279" s="570" t="s">
        <v>1349</v>
      </c>
      <c r="M279" s="555" t="s">
        <v>558</v>
      </c>
      <c r="N279" s="916"/>
      <c r="O279" s="357"/>
      <c r="P279" s="523"/>
      <c r="Q279" s="523"/>
      <c r="R279" s="523"/>
      <c r="S279" s="523"/>
      <c r="T279" s="523"/>
      <c r="U279" s="523"/>
      <c r="V279" s="523"/>
    </row>
    <row r="280" spans="1:22" s="308" customFormat="1" ht="15" customHeight="1" x14ac:dyDescent="0.3">
      <c r="A280" s="523"/>
      <c r="B280" s="541"/>
      <c r="C280" s="560" t="s">
        <v>2184</v>
      </c>
      <c r="D280" s="555"/>
      <c r="E280" s="555"/>
      <c r="F280" s="556">
        <v>3</v>
      </c>
      <c r="G280" s="556"/>
      <c r="H280" s="555" t="s">
        <v>2372</v>
      </c>
      <c r="I280" s="555"/>
      <c r="J280" s="569">
        <v>45339</v>
      </c>
      <c r="K280" s="555" t="s">
        <v>2494</v>
      </c>
      <c r="L280" s="570" t="s">
        <v>1235</v>
      </c>
      <c r="M280" s="555" t="s">
        <v>558</v>
      </c>
      <c r="N280" s="916"/>
      <c r="O280" s="357"/>
      <c r="P280" s="523"/>
      <c r="Q280" s="523"/>
      <c r="R280" s="523"/>
      <c r="S280" s="523"/>
      <c r="T280" s="523"/>
      <c r="U280" s="523"/>
      <c r="V280" s="523"/>
    </row>
    <row r="281" spans="1:22" s="308" customFormat="1" ht="15" customHeight="1" x14ac:dyDescent="0.3">
      <c r="A281" s="523"/>
      <c r="B281" s="541"/>
      <c r="C281" s="560" t="s">
        <v>2443</v>
      </c>
      <c r="D281" s="555"/>
      <c r="E281" s="555"/>
      <c r="F281" s="556">
        <v>3</v>
      </c>
      <c r="G281" s="556"/>
      <c r="H281" s="555" t="s">
        <v>2372</v>
      </c>
      <c r="I281" s="555"/>
      <c r="J281" s="569">
        <v>45374</v>
      </c>
      <c r="K281" s="555" t="s">
        <v>130</v>
      </c>
      <c r="L281" s="570" t="s">
        <v>1190</v>
      </c>
      <c r="M281" s="555" t="s">
        <v>558</v>
      </c>
      <c r="N281" s="916"/>
      <c r="O281" s="357"/>
      <c r="P281" s="523"/>
      <c r="Q281" s="523"/>
      <c r="R281" s="523"/>
      <c r="S281" s="523"/>
      <c r="T281" s="523"/>
      <c r="U281" s="523"/>
      <c r="V281" s="523"/>
    </row>
    <row r="282" spans="1:22" s="308" customFormat="1" ht="15" customHeight="1" x14ac:dyDescent="0.2">
      <c r="A282" s="523"/>
      <c r="B282" s="541"/>
      <c r="C282" s="560" t="s">
        <v>1591</v>
      </c>
      <c r="D282" s="555"/>
      <c r="E282" s="555"/>
      <c r="F282" s="556">
        <v>3</v>
      </c>
      <c r="G282" s="556"/>
      <c r="H282" s="555" t="s">
        <v>2372</v>
      </c>
      <c r="I282" s="555"/>
      <c r="J282" s="569">
        <v>45389</v>
      </c>
      <c r="K282" s="555" t="s">
        <v>2492</v>
      </c>
      <c r="L282" s="570" t="s">
        <v>2425</v>
      </c>
      <c r="M282" s="555" t="s">
        <v>2493</v>
      </c>
      <c r="N282" s="916"/>
      <c r="O282" s="523"/>
      <c r="P282" s="523"/>
      <c r="Q282" s="523"/>
      <c r="R282" s="523"/>
      <c r="S282" s="523"/>
      <c r="T282" s="523"/>
      <c r="U282" s="523"/>
      <c r="V282" s="523"/>
    </row>
    <row r="283" spans="1:22" s="31" customFormat="1" ht="15" customHeight="1" x14ac:dyDescent="0.2">
      <c r="A283" s="520"/>
      <c r="B283" s="529"/>
      <c r="C283" s="560" t="s">
        <v>185</v>
      </c>
      <c r="D283" s="555"/>
      <c r="E283" s="555"/>
      <c r="F283" s="556">
        <v>3</v>
      </c>
      <c r="G283" s="556"/>
      <c r="H283" s="555" t="s">
        <v>874</v>
      </c>
      <c r="I283" s="555"/>
      <c r="J283" s="569">
        <v>40971</v>
      </c>
      <c r="K283" s="555" t="s">
        <v>815</v>
      </c>
      <c r="L283" s="570" t="s">
        <v>574</v>
      </c>
      <c r="M283" s="555" t="s">
        <v>794</v>
      </c>
      <c r="N283" s="916"/>
      <c r="O283" s="520"/>
      <c r="P283" s="520"/>
      <c r="Q283" s="520"/>
      <c r="R283" s="520"/>
      <c r="S283" s="520"/>
      <c r="T283" s="520"/>
      <c r="U283" s="520"/>
      <c r="V283" s="520"/>
    </row>
    <row r="284" spans="1:22" s="31" customFormat="1" ht="15" customHeight="1" x14ac:dyDescent="0.2">
      <c r="A284" s="520"/>
      <c r="B284" s="529"/>
      <c r="C284" s="560" t="s">
        <v>50</v>
      </c>
      <c r="D284" s="555"/>
      <c r="E284" s="555"/>
      <c r="F284" s="556">
        <v>3</v>
      </c>
      <c r="G284" s="556"/>
      <c r="H284" s="555" t="s">
        <v>754</v>
      </c>
      <c r="I284" s="555"/>
      <c r="J284" s="569">
        <v>40531</v>
      </c>
      <c r="K284" s="555" t="s">
        <v>641</v>
      </c>
      <c r="L284" s="570" t="s">
        <v>757</v>
      </c>
      <c r="M284" s="555" t="s">
        <v>558</v>
      </c>
      <c r="N284" s="916"/>
      <c r="O284" s="520"/>
      <c r="P284" s="520"/>
      <c r="Q284" s="520"/>
      <c r="R284" s="520"/>
      <c r="S284" s="520"/>
      <c r="T284" s="520"/>
      <c r="U284" s="520"/>
      <c r="V284" s="520"/>
    </row>
    <row r="285" spans="1:22" s="31" customFormat="1" ht="15" customHeight="1" x14ac:dyDescent="0.2">
      <c r="A285" s="520"/>
      <c r="B285" s="529"/>
      <c r="C285" s="560" t="s">
        <v>185</v>
      </c>
      <c r="D285" s="555"/>
      <c r="E285" s="555"/>
      <c r="F285" s="556">
        <v>3</v>
      </c>
      <c r="G285" s="556"/>
      <c r="H285" s="555" t="s">
        <v>584</v>
      </c>
      <c r="I285" s="555"/>
      <c r="J285" s="569">
        <v>40082</v>
      </c>
      <c r="K285" s="555" t="s">
        <v>541</v>
      </c>
      <c r="L285" s="570" t="s">
        <v>569</v>
      </c>
      <c r="M285" s="555" t="s">
        <v>249</v>
      </c>
      <c r="N285" s="916"/>
      <c r="O285" s="520"/>
      <c r="P285" s="520"/>
      <c r="Q285" s="520"/>
      <c r="R285" s="520"/>
      <c r="S285" s="520"/>
      <c r="T285" s="520"/>
      <c r="U285" s="520"/>
      <c r="V285" s="520"/>
    </row>
    <row r="286" spans="1:22" s="31" customFormat="1" ht="15" customHeight="1" x14ac:dyDescent="0.2">
      <c r="A286" s="520"/>
      <c r="B286" s="529"/>
      <c r="C286" s="560" t="s">
        <v>185</v>
      </c>
      <c r="D286" s="555"/>
      <c r="E286" s="555"/>
      <c r="F286" s="556">
        <v>3</v>
      </c>
      <c r="G286" s="556"/>
      <c r="H286" s="555" t="s">
        <v>584</v>
      </c>
      <c r="I286" s="555"/>
      <c r="J286" s="569">
        <v>39879</v>
      </c>
      <c r="K286" s="555" t="s">
        <v>552</v>
      </c>
      <c r="L286" s="570" t="s">
        <v>574</v>
      </c>
      <c r="M286" s="555" t="s">
        <v>558</v>
      </c>
      <c r="N286" s="916"/>
      <c r="O286" s="520"/>
      <c r="P286" s="520"/>
      <c r="Q286" s="520"/>
      <c r="R286" s="520"/>
      <c r="S286" s="520"/>
      <c r="T286" s="520"/>
      <c r="U286" s="520"/>
      <c r="V286" s="520"/>
    </row>
    <row r="287" spans="1:22" s="31" customFormat="1" ht="15" customHeight="1" x14ac:dyDescent="0.2">
      <c r="A287" s="520"/>
      <c r="B287" s="529"/>
      <c r="C287" s="560" t="s">
        <v>1124</v>
      </c>
      <c r="D287" s="555"/>
      <c r="E287" s="555"/>
      <c r="F287" s="556">
        <v>3</v>
      </c>
      <c r="G287" s="556"/>
      <c r="H287" s="555" t="s">
        <v>1490</v>
      </c>
      <c r="I287" s="555"/>
      <c r="J287" s="569">
        <v>42399</v>
      </c>
      <c r="K287" s="555" t="s">
        <v>1447</v>
      </c>
      <c r="L287" s="570" t="s">
        <v>1448</v>
      </c>
      <c r="M287" s="555" t="s">
        <v>150</v>
      </c>
      <c r="N287" s="916"/>
      <c r="O287" s="520"/>
      <c r="P287" s="520"/>
      <c r="Q287" s="520"/>
      <c r="R287" s="520"/>
      <c r="S287" s="520"/>
      <c r="T287" s="520"/>
      <c r="U287" s="520"/>
      <c r="V287" s="520"/>
    </row>
    <row r="288" spans="1:22" s="31" customFormat="1" ht="15" customHeight="1" x14ac:dyDescent="0.2">
      <c r="A288" s="520"/>
      <c r="B288" s="529"/>
      <c r="C288" s="563" t="s">
        <v>50</v>
      </c>
      <c r="D288" s="558"/>
      <c r="E288" s="558"/>
      <c r="F288" s="559">
        <v>3</v>
      </c>
      <c r="G288" s="559"/>
      <c r="H288" s="558" t="s">
        <v>1490</v>
      </c>
      <c r="I288" s="558"/>
      <c r="J288" s="1116">
        <v>42434</v>
      </c>
      <c r="K288" s="558" t="s">
        <v>1495</v>
      </c>
      <c r="L288" s="1117" t="s">
        <v>577</v>
      </c>
      <c r="M288" s="558" t="s">
        <v>1496</v>
      </c>
      <c r="N288" s="1118"/>
      <c r="O288" s="520"/>
      <c r="P288" s="520"/>
      <c r="Q288" s="520"/>
      <c r="R288" s="520"/>
      <c r="S288" s="520"/>
      <c r="T288" s="520"/>
      <c r="U288" s="520"/>
      <c r="V288" s="520"/>
    </row>
    <row r="289" spans="1:22" s="37" customFormat="1" ht="15" customHeight="1" x14ac:dyDescent="0.2">
      <c r="A289" s="521"/>
      <c r="B289" s="534"/>
      <c r="C289" s="521"/>
      <c r="D289" s="532"/>
      <c r="E289" s="532"/>
      <c r="F289" s="532"/>
      <c r="G289" s="533"/>
      <c r="H289" s="533"/>
      <c r="I289" s="532"/>
      <c r="J289" s="532"/>
      <c r="K289" s="521"/>
      <c r="L289" s="521"/>
      <c r="M289" s="535"/>
      <c r="N289" s="521"/>
      <c r="O289" s="521"/>
      <c r="P289" s="521"/>
      <c r="Q289" s="521"/>
      <c r="R289" s="521"/>
      <c r="S289" s="521"/>
      <c r="T289" s="521"/>
      <c r="U289" s="521"/>
      <c r="V289" s="521"/>
    </row>
    <row r="290" spans="1:22" ht="15" customHeight="1" x14ac:dyDescent="0.3">
      <c r="B290" s="401"/>
      <c r="C290" s="357"/>
      <c r="D290" s="357"/>
      <c r="E290" s="357"/>
      <c r="F290" s="357"/>
      <c r="G290" s="358"/>
      <c r="H290" s="358"/>
      <c r="I290" s="357"/>
      <c r="J290" s="357"/>
      <c r="K290" s="539"/>
      <c r="L290" s="537"/>
      <c r="M290" s="540"/>
      <c r="N290" s="537"/>
      <c r="O290" s="537"/>
    </row>
    <row r="291" spans="1:22" ht="15" customHeight="1" x14ac:dyDescent="0.3">
      <c r="B291" s="475" t="s">
        <v>1773</v>
      </c>
      <c r="D291" s="357"/>
      <c r="E291" s="357"/>
      <c r="F291" s="357"/>
      <c r="G291" s="358"/>
      <c r="H291" s="358"/>
      <c r="I291" s="357"/>
      <c r="J291" s="357"/>
      <c r="K291" s="539"/>
      <c r="L291" s="537"/>
      <c r="M291" s="540"/>
      <c r="N291" s="537"/>
      <c r="O291" s="537"/>
    </row>
    <row r="292" spans="1:22" ht="15" customHeight="1" x14ac:dyDescent="0.3">
      <c r="B292" s="401"/>
      <c r="C292" s="357"/>
      <c r="D292" s="357"/>
      <c r="E292" s="357"/>
      <c r="F292" s="357"/>
      <c r="G292" s="358"/>
      <c r="H292" s="358"/>
      <c r="I292" s="357"/>
      <c r="J292" s="357"/>
      <c r="K292" s="539"/>
      <c r="L292" s="537"/>
      <c r="M292" s="540"/>
      <c r="N292" s="537"/>
      <c r="O292" s="537"/>
    </row>
    <row r="293" spans="1:22" x14ac:dyDescent="0.3">
      <c r="B293" s="401"/>
      <c r="C293" s="1153" t="s">
        <v>673</v>
      </c>
      <c r="D293" s="1154"/>
      <c r="E293" s="1154"/>
      <c r="F293" s="1155" t="s">
        <v>876</v>
      </c>
      <c r="G293" s="1156"/>
      <c r="H293" s="1154" t="s">
        <v>874</v>
      </c>
      <c r="I293" s="1154"/>
      <c r="J293" s="1157">
        <v>40873</v>
      </c>
      <c r="K293" s="1154" t="s">
        <v>790</v>
      </c>
      <c r="L293" s="1158" t="s">
        <v>245</v>
      </c>
      <c r="M293" s="1154" t="s">
        <v>794</v>
      </c>
      <c r="N293" s="1159"/>
      <c r="O293" s="357"/>
    </row>
    <row r="294" spans="1:22" s="140" customFormat="1" ht="15" customHeight="1" x14ac:dyDescent="0.2">
      <c r="A294" s="519"/>
      <c r="B294" s="529"/>
      <c r="C294" s="1149" t="s">
        <v>673</v>
      </c>
      <c r="D294" s="924"/>
      <c r="E294" s="1150"/>
      <c r="F294" s="1047" t="s">
        <v>899</v>
      </c>
      <c r="G294" s="1150"/>
      <c r="H294" s="924" t="s">
        <v>977</v>
      </c>
      <c r="I294" s="924"/>
      <c r="J294" s="1151">
        <v>41251</v>
      </c>
      <c r="K294" s="924" t="s">
        <v>887</v>
      </c>
      <c r="L294" s="1049" t="s">
        <v>914</v>
      </c>
      <c r="M294" s="924" t="s">
        <v>558</v>
      </c>
      <c r="N294" s="925"/>
      <c r="O294" s="519"/>
      <c r="P294" s="519"/>
      <c r="Q294" s="519"/>
      <c r="R294" s="519"/>
      <c r="S294" s="519"/>
      <c r="T294" s="519"/>
      <c r="U294" s="519"/>
      <c r="V294" s="519"/>
    </row>
    <row r="295" spans="1:22" s="309" customFormat="1" ht="15" customHeight="1" x14ac:dyDescent="0.2">
      <c r="A295" s="522"/>
      <c r="B295" s="541"/>
      <c r="C295" s="941" t="s">
        <v>1075</v>
      </c>
      <c r="D295" s="918"/>
      <c r="E295" s="1084"/>
      <c r="F295" s="922" t="s">
        <v>899</v>
      </c>
      <c r="G295" s="1084"/>
      <c r="H295" s="918" t="s">
        <v>1385</v>
      </c>
      <c r="I295" s="918"/>
      <c r="J295" s="943">
        <v>42049</v>
      </c>
      <c r="K295" s="918" t="s">
        <v>1391</v>
      </c>
      <c r="L295" s="944" t="s">
        <v>508</v>
      </c>
      <c r="M295" s="918" t="s">
        <v>558</v>
      </c>
      <c r="N295" s="919"/>
      <c r="O295" s="522"/>
      <c r="P295" s="522"/>
      <c r="Q295" s="522"/>
      <c r="R295" s="522"/>
      <c r="S295" s="522"/>
      <c r="T295" s="522"/>
      <c r="U295" s="522"/>
      <c r="V295" s="522"/>
    </row>
    <row r="296" spans="1:22" s="309" customFormat="1" ht="15" customHeight="1" x14ac:dyDescent="0.2">
      <c r="A296" s="522"/>
      <c r="B296" s="541"/>
      <c r="C296" s="941" t="s">
        <v>1124</v>
      </c>
      <c r="D296" s="918"/>
      <c r="E296" s="1084"/>
      <c r="F296" s="922" t="s">
        <v>899</v>
      </c>
      <c r="G296" s="1084"/>
      <c r="H296" s="918" t="s">
        <v>2152</v>
      </c>
      <c r="I296" s="918"/>
      <c r="J296" s="943">
        <v>44632</v>
      </c>
      <c r="K296" s="918" t="s">
        <v>2206</v>
      </c>
      <c r="L296" s="944" t="s">
        <v>209</v>
      </c>
      <c r="M296" s="918" t="s">
        <v>2173</v>
      </c>
      <c r="N296" s="919"/>
      <c r="O296" s="945"/>
      <c r="P296" s="522"/>
      <c r="Q296" s="522"/>
      <c r="R296" s="522"/>
      <c r="S296" s="522"/>
      <c r="T296" s="522"/>
      <c r="U296" s="522"/>
      <c r="V296" s="522"/>
    </row>
    <row r="297" spans="1:22" s="309" customFormat="1" ht="15" customHeight="1" x14ac:dyDescent="0.3">
      <c r="A297" s="522"/>
      <c r="B297" s="541"/>
      <c r="C297" s="941" t="s">
        <v>2443</v>
      </c>
      <c r="D297" s="918"/>
      <c r="E297" s="1084"/>
      <c r="F297" s="922" t="s">
        <v>2410</v>
      </c>
      <c r="G297" s="1084"/>
      <c r="H297" s="918" t="s">
        <v>2372</v>
      </c>
      <c r="I297" s="918"/>
      <c r="J297" s="943">
        <v>45339</v>
      </c>
      <c r="K297" s="918" t="s">
        <v>2202</v>
      </c>
      <c r="L297" s="944" t="s">
        <v>164</v>
      </c>
      <c r="M297" s="918" t="s">
        <v>579</v>
      </c>
      <c r="N297" s="919"/>
      <c r="O297" s="357"/>
      <c r="P297" s="522"/>
      <c r="Q297" s="522"/>
      <c r="R297" s="522"/>
      <c r="S297" s="522"/>
      <c r="T297" s="522"/>
      <c r="U297" s="522"/>
      <c r="V297" s="522"/>
    </row>
    <row r="298" spans="1:22" s="309" customFormat="1" ht="15" customHeight="1" x14ac:dyDescent="0.2">
      <c r="A298" s="522"/>
      <c r="B298" s="541"/>
      <c r="C298" s="941" t="s">
        <v>1124</v>
      </c>
      <c r="D298" s="918"/>
      <c r="E298" s="918"/>
      <c r="F298" s="922" t="s">
        <v>1611</v>
      </c>
      <c r="G298" s="942"/>
      <c r="H298" s="918" t="s">
        <v>1513</v>
      </c>
      <c r="I298" s="918"/>
      <c r="J298" s="943">
        <v>42672</v>
      </c>
      <c r="K298" s="918" t="s">
        <v>1017</v>
      </c>
      <c r="L298" s="944" t="s">
        <v>34</v>
      </c>
      <c r="M298" s="918" t="s">
        <v>44</v>
      </c>
      <c r="N298" s="919"/>
      <c r="O298" s="522"/>
      <c r="P298" s="522"/>
      <c r="Q298" s="522"/>
      <c r="R298" s="522"/>
      <c r="S298" s="522"/>
      <c r="T298" s="522"/>
      <c r="U298" s="522"/>
      <c r="V298" s="522"/>
    </row>
    <row r="299" spans="1:22" s="309" customFormat="1" ht="15" customHeight="1" x14ac:dyDescent="0.2">
      <c r="A299" s="522"/>
      <c r="B299" s="541"/>
      <c r="C299" s="941" t="s">
        <v>185</v>
      </c>
      <c r="D299" s="918"/>
      <c r="E299" s="918"/>
      <c r="F299" s="922" t="s">
        <v>1611</v>
      </c>
      <c r="G299" s="942"/>
      <c r="H299" s="918" t="s">
        <v>1818</v>
      </c>
      <c r="I299" s="918"/>
      <c r="J299" s="943">
        <v>43541</v>
      </c>
      <c r="K299" s="918" t="s">
        <v>1928</v>
      </c>
      <c r="L299" s="944" t="s">
        <v>156</v>
      </c>
      <c r="M299" s="918" t="s">
        <v>1906</v>
      </c>
      <c r="N299" s="919"/>
      <c r="O299" s="945"/>
      <c r="P299" s="522"/>
      <c r="Q299" s="522"/>
      <c r="R299" s="522"/>
      <c r="S299" s="522"/>
      <c r="T299" s="522"/>
      <c r="U299" s="522"/>
      <c r="V299" s="522"/>
    </row>
    <row r="300" spans="1:22" s="309" customFormat="1" ht="15" customHeight="1" x14ac:dyDescent="0.3">
      <c r="A300" s="522"/>
      <c r="B300" s="541"/>
      <c r="C300" s="560" t="s">
        <v>185</v>
      </c>
      <c r="D300" s="555"/>
      <c r="E300" s="555"/>
      <c r="F300" s="556" t="s">
        <v>1751</v>
      </c>
      <c r="G300" s="1152"/>
      <c r="H300" s="555" t="s">
        <v>1635</v>
      </c>
      <c r="I300" s="555"/>
      <c r="J300" s="561">
        <v>43065</v>
      </c>
      <c r="K300" s="557" t="s">
        <v>1447</v>
      </c>
      <c r="L300" s="562" t="s">
        <v>1349</v>
      </c>
      <c r="M300" s="557" t="s">
        <v>1049</v>
      </c>
      <c r="N300" s="939"/>
      <c r="O300" s="522"/>
      <c r="P300" s="522"/>
      <c r="Q300" s="522"/>
      <c r="R300" s="522"/>
      <c r="S300" s="522"/>
      <c r="T300" s="522"/>
      <c r="U300" s="522"/>
      <c r="V300" s="522"/>
    </row>
    <row r="301" spans="1:22" s="140" customFormat="1" ht="15" customHeight="1" x14ac:dyDescent="0.2">
      <c r="A301" s="519"/>
      <c r="B301" s="529"/>
      <c r="C301" s="560" t="s">
        <v>60</v>
      </c>
      <c r="D301" s="555"/>
      <c r="E301" s="555"/>
      <c r="F301" s="556" t="s">
        <v>503</v>
      </c>
      <c r="G301" s="555"/>
      <c r="H301" s="555" t="s">
        <v>297</v>
      </c>
      <c r="I301" s="555"/>
      <c r="J301" s="569">
        <v>39879</v>
      </c>
      <c r="K301" s="555" t="s">
        <v>504</v>
      </c>
      <c r="L301" s="570" t="s">
        <v>236</v>
      </c>
      <c r="M301" s="555" t="s">
        <v>41</v>
      </c>
      <c r="N301" s="919"/>
      <c r="O301" s="519"/>
      <c r="P301" s="519"/>
      <c r="Q301" s="519"/>
      <c r="R301" s="519"/>
      <c r="S301" s="519"/>
      <c r="T301" s="519"/>
      <c r="U301" s="519"/>
      <c r="V301" s="519"/>
    </row>
    <row r="302" spans="1:22" s="140" customFormat="1" ht="15" customHeight="1" x14ac:dyDescent="0.2">
      <c r="A302" s="519"/>
      <c r="B302" s="529"/>
      <c r="C302" s="560" t="s">
        <v>278</v>
      </c>
      <c r="D302" s="555"/>
      <c r="E302" s="555"/>
      <c r="F302" s="556" t="s">
        <v>503</v>
      </c>
      <c r="G302" s="555"/>
      <c r="H302" s="555" t="s">
        <v>584</v>
      </c>
      <c r="I302" s="555"/>
      <c r="J302" s="569">
        <v>40145</v>
      </c>
      <c r="K302" s="555" t="s">
        <v>548</v>
      </c>
      <c r="L302" s="570" t="s">
        <v>33</v>
      </c>
      <c r="M302" s="555" t="s">
        <v>255</v>
      </c>
      <c r="N302" s="919"/>
      <c r="O302" s="519"/>
      <c r="P302" s="519"/>
      <c r="Q302" s="519"/>
      <c r="R302" s="519"/>
      <c r="S302" s="519"/>
      <c r="T302" s="519"/>
      <c r="U302" s="519"/>
      <c r="V302" s="519"/>
    </row>
    <row r="303" spans="1:22" s="140" customFormat="1" ht="15" customHeight="1" x14ac:dyDescent="0.2">
      <c r="A303" s="519"/>
      <c r="B303" s="529"/>
      <c r="C303" s="560" t="s">
        <v>47</v>
      </c>
      <c r="D303" s="555"/>
      <c r="E303" s="555"/>
      <c r="F303" s="556" t="s">
        <v>503</v>
      </c>
      <c r="G303" s="555"/>
      <c r="H303" s="555" t="s">
        <v>584</v>
      </c>
      <c r="I303" s="555"/>
      <c r="J303" s="569">
        <v>40187</v>
      </c>
      <c r="K303" s="555" t="s">
        <v>550</v>
      </c>
      <c r="L303" s="570" t="s">
        <v>560</v>
      </c>
      <c r="M303" s="555" t="s">
        <v>558</v>
      </c>
      <c r="N303" s="919"/>
      <c r="O303" s="519"/>
      <c r="P303" s="519"/>
      <c r="Q303" s="519"/>
      <c r="R303" s="519"/>
      <c r="S303" s="519"/>
      <c r="T303" s="519"/>
      <c r="U303" s="519"/>
      <c r="V303" s="519"/>
    </row>
    <row r="304" spans="1:22" s="140" customFormat="1" ht="15" customHeight="1" x14ac:dyDescent="0.2">
      <c r="A304" s="519"/>
      <c r="B304" s="529"/>
      <c r="C304" s="560" t="s">
        <v>2042</v>
      </c>
      <c r="D304" s="555"/>
      <c r="E304" s="555"/>
      <c r="F304" s="556" t="s">
        <v>503</v>
      </c>
      <c r="G304" s="555"/>
      <c r="H304" s="555" t="s">
        <v>2097</v>
      </c>
      <c r="I304" s="555"/>
      <c r="J304" s="569">
        <v>44074</v>
      </c>
      <c r="K304" s="555" t="s">
        <v>2061</v>
      </c>
      <c r="L304" s="570" t="s">
        <v>253</v>
      </c>
      <c r="M304" s="555" t="s">
        <v>579</v>
      </c>
      <c r="N304" s="919"/>
      <c r="O304" s="519"/>
      <c r="P304" s="519"/>
      <c r="Q304" s="519"/>
      <c r="R304" s="519"/>
      <c r="S304" s="519"/>
      <c r="T304" s="519"/>
      <c r="U304" s="519"/>
      <c r="V304" s="519"/>
    </row>
    <row r="305" spans="1:22" s="140" customFormat="1" ht="15" customHeight="1" x14ac:dyDescent="0.3">
      <c r="A305" s="519"/>
      <c r="B305" s="529"/>
      <c r="C305" s="560" t="s">
        <v>2282</v>
      </c>
      <c r="D305" s="555"/>
      <c r="E305" s="555"/>
      <c r="F305" s="556" t="s">
        <v>2802</v>
      </c>
      <c r="G305" s="555"/>
      <c r="H305" s="555" t="s">
        <v>2489</v>
      </c>
      <c r="I305" s="555"/>
      <c r="J305" s="569">
        <v>45626</v>
      </c>
      <c r="K305" s="555" t="s">
        <v>1454</v>
      </c>
      <c r="L305" s="570" t="s">
        <v>245</v>
      </c>
      <c r="M305" s="555" t="s">
        <v>579</v>
      </c>
      <c r="N305" s="919"/>
      <c r="O305" s="357" t="s">
        <v>1685</v>
      </c>
      <c r="P305" s="519"/>
      <c r="Q305" s="519"/>
      <c r="R305" s="519"/>
      <c r="S305" s="519"/>
      <c r="T305" s="519"/>
      <c r="U305" s="519"/>
      <c r="V305" s="519"/>
    </row>
    <row r="306" spans="1:22" s="140" customFormat="1" ht="15" customHeight="1" x14ac:dyDescent="0.3">
      <c r="A306" s="519"/>
      <c r="B306" s="529"/>
      <c r="C306" s="560" t="s">
        <v>2801</v>
      </c>
      <c r="D306" s="555"/>
      <c r="E306" s="555"/>
      <c r="F306" s="556" t="s">
        <v>2802</v>
      </c>
      <c r="G306" s="555"/>
      <c r="H306" s="555" t="s">
        <v>2489</v>
      </c>
      <c r="I306" s="555"/>
      <c r="J306" s="569">
        <v>45675</v>
      </c>
      <c r="K306" s="555" t="s">
        <v>2803</v>
      </c>
      <c r="L306" s="570" t="s">
        <v>506</v>
      </c>
      <c r="M306" s="555" t="s">
        <v>579</v>
      </c>
      <c r="N306" s="919"/>
      <c r="O306" s="357" t="s">
        <v>1685</v>
      </c>
      <c r="P306" s="519"/>
      <c r="Q306" s="519"/>
      <c r="R306" s="519"/>
      <c r="S306" s="519"/>
      <c r="T306" s="519"/>
      <c r="U306" s="519"/>
      <c r="V306" s="519"/>
    </row>
    <row r="307" spans="1:22" s="140" customFormat="1" ht="15" customHeight="1" x14ac:dyDescent="0.2">
      <c r="A307" s="519"/>
      <c r="B307" s="529"/>
      <c r="C307" s="560" t="s">
        <v>185</v>
      </c>
      <c r="D307" s="555"/>
      <c r="E307" s="555"/>
      <c r="F307" s="556" t="s">
        <v>85</v>
      </c>
      <c r="G307" s="555"/>
      <c r="H307" s="555" t="s">
        <v>584</v>
      </c>
      <c r="I307" s="555"/>
      <c r="J307" s="569">
        <v>40187</v>
      </c>
      <c r="K307" s="555" t="s">
        <v>550</v>
      </c>
      <c r="L307" s="570" t="s">
        <v>560</v>
      </c>
      <c r="M307" s="555" t="s">
        <v>558</v>
      </c>
      <c r="N307" s="919"/>
      <c r="O307" s="519"/>
      <c r="P307" s="519"/>
      <c r="Q307" s="519"/>
      <c r="R307" s="519"/>
      <c r="S307" s="519"/>
      <c r="T307" s="519"/>
      <c r="U307" s="519"/>
      <c r="V307" s="519"/>
    </row>
    <row r="308" spans="1:22" s="140" customFormat="1" ht="15" customHeight="1" x14ac:dyDescent="0.2">
      <c r="A308" s="519"/>
      <c r="B308" s="529"/>
      <c r="C308" s="560" t="s">
        <v>2279</v>
      </c>
      <c r="D308" s="555"/>
      <c r="E308" s="555"/>
      <c r="F308" s="556" t="s">
        <v>85</v>
      </c>
      <c r="G308" s="555"/>
      <c r="H308" s="555" t="s">
        <v>2153</v>
      </c>
      <c r="I308" s="555"/>
      <c r="J308" s="569">
        <v>44913</v>
      </c>
      <c r="K308" s="555" t="s">
        <v>2351</v>
      </c>
      <c r="L308" s="570" t="s">
        <v>161</v>
      </c>
      <c r="M308" s="555" t="s">
        <v>242</v>
      </c>
      <c r="N308" s="919"/>
      <c r="P308" s="519"/>
      <c r="Q308" s="519"/>
      <c r="R308" s="519"/>
      <c r="S308" s="519"/>
      <c r="T308" s="519"/>
      <c r="U308" s="519"/>
      <c r="V308" s="519"/>
    </row>
    <row r="309" spans="1:22" s="140" customFormat="1" ht="15" customHeight="1" x14ac:dyDescent="0.2">
      <c r="A309" s="519"/>
      <c r="B309" s="529"/>
      <c r="C309" s="560" t="s">
        <v>60</v>
      </c>
      <c r="D309" s="555"/>
      <c r="E309" s="555"/>
      <c r="F309" s="556" t="s">
        <v>85</v>
      </c>
      <c r="G309" s="555"/>
      <c r="H309" s="555" t="s">
        <v>297</v>
      </c>
      <c r="I309" s="555"/>
      <c r="J309" s="569">
        <v>39782</v>
      </c>
      <c r="K309" s="555" t="s">
        <v>505</v>
      </c>
      <c r="L309" s="570" t="s">
        <v>506</v>
      </c>
      <c r="M309" s="555" t="s">
        <v>44</v>
      </c>
      <c r="N309" s="919"/>
      <c r="O309" s="519"/>
      <c r="P309" s="519"/>
      <c r="Q309" s="519"/>
      <c r="R309" s="519"/>
      <c r="S309" s="519"/>
      <c r="T309" s="519"/>
      <c r="U309" s="519"/>
      <c r="V309" s="519"/>
    </row>
    <row r="310" spans="1:22" s="140" customFormat="1" ht="15" customHeight="1" x14ac:dyDescent="0.2">
      <c r="A310" s="519"/>
      <c r="B310" s="529"/>
      <c r="C310" s="560" t="s">
        <v>52</v>
      </c>
      <c r="D310" s="555"/>
      <c r="E310" s="555"/>
      <c r="F310" s="556" t="s">
        <v>85</v>
      </c>
      <c r="G310" s="555"/>
      <c r="H310" s="555" t="s">
        <v>297</v>
      </c>
      <c r="I310" s="555"/>
      <c r="J310" s="569">
        <v>39782</v>
      </c>
      <c r="K310" s="555" t="s">
        <v>257</v>
      </c>
      <c r="L310" s="570" t="s">
        <v>258</v>
      </c>
      <c r="M310" s="555" t="s">
        <v>44</v>
      </c>
      <c r="N310" s="919"/>
      <c r="O310" s="519"/>
      <c r="P310" s="519"/>
      <c r="Q310" s="519"/>
      <c r="R310" s="519"/>
      <c r="S310" s="519"/>
      <c r="T310" s="519"/>
      <c r="U310" s="519"/>
      <c r="V310" s="519"/>
    </row>
    <row r="311" spans="1:22" s="140" customFormat="1" ht="15" customHeight="1" x14ac:dyDescent="0.2">
      <c r="A311" s="519"/>
      <c r="B311" s="529"/>
      <c r="C311" s="560" t="s">
        <v>278</v>
      </c>
      <c r="D311" s="555"/>
      <c r="E311" s="555"/>
      <c r="F311" s="556" t="s">
        <v>85</v>
      </c>
      <c r="G311" s="555"/>
      <c r="H311" s="555" t="s">
        <v>297</v>
      </c>
      <c r="I311" s="555"/>
      <c r="J311" s="569">
        <v>39782</v>
      </c>
      <c r="K311" s="555" t="s">
        <v>257</v>
      </c>
      <c r="L311" s="570" t="s">
        <v>258</v>
      </c>
      <c r="M311" s="555" t="s">
        <v>44</v>
      </c>
      <c r="N311" s="919"/>
      <c r="O311" s="519"/>
      <c r="P311" s="519"/>
      <c r="Q311" s="519"/>
      <c r="R311" s="519"/>
      <c r="S311" s="519"/>
      <c r="T311" s="519"/>
      <c r="U311" s="519"/>
      <c r="V311" s="519"/>
    </row>
    <row r="312" spans="1:22" s="140" customFormat="1" ht="15" customHeight="1" x14ac:dyDescent="0.2">
      <c r="A312" s="519"/>
      <c r="B312" s="529"/>
      <c r="C312" s="560" t="s">
        <v>278</v>
      </c>
      <c r="D312" s="555"/>
      <c r="E312" s="555"/>
      <c r="F312" s="556" t="s">
        <v>85</v>
      </c>
      <c r="G312" s="555"/>
      <c r="H312" s="555" t="s">
        <v>297</v>
      </c>
      <c r="I312" s="555"/>
      <c r="J312" s="569">
        <v>39901</v>
      </c>
      <c r="K312" s="555" t="s">
        <v>507</v>
      </c>
      <c r="L312" s="570" t="s">
        <v>508</v>
      </c>
      <c r="M312" s="555" t="s">
        <v>255</v>
      </c>
      <c r="N312" s="919"/>
      <c r="O312" s="519"/>
      <c r="P312" s="519"/>
      <c r="Q312" s="519"/>
      <c r="R312" s="519"/>
      <c r="S312" s="519"/>
      <c r="T312" s="519"/>
      <c r="U312" s="519"/>
      <c r="V312" s="519"/>
    </row>
    <row r="313" spans="1:22" s="31" customFormat="1" ht="15" customHeight="1" x14ac:dyDescent="0.2">
      <c r="A313" s="520"/>
      <c r="B313" s="529"/>
      <c r="C313" s="560" t="s">
        <v>51</v>
      </c>
      <c r="D313" s="555"/>
      <c r="E313" s="555"/>
      <c r="F313" s="556" t="s">
        <v>85</v>
      </c>
      <c r="G313" s="556"/>
      <c r="H313" s="555" t="s">
        <v>83</v>
      </c>
      <c r="I313" s="555"/>
      <c r="J313" s="561">
        <v>39046</v>
      </c>
      <c r="K313" s="557" t="s">
        <v>29</v>
      </c>
      <c r="L313" s="562" t="s">
        <v>37</v>
      </c>
      <c r="M313" s="557" t="s">
        <v>41</v>
      </c>
      <c r="N313" s="938"/>
      <c r="O313" s="520"/>
      <c r="P313" s="520"/>
      <c r="Q313" s="520"/>
      <c r="R313" s="520"/>
      <c r="S313" s="520"/>
      <c r="T313" s="520"/>
      <c r="U313" s="520"/>
      <c r="V313" s="520"/>
    </row>
    <row r="314" spans="1:22" s="31" customFormat="1" ht="15" customHeight="1" x14ac:dyDescent="0.2">
      <c r="A314" s="520"/>
      <c r="B314" s="529"/>
      <c r="C314" s="1110" t="s">
        <v>185</v>
      </c>
      <c r="D314" s="557"/>
      <c r="E314" s="557"/>
      <c r="F314" s="930" t="s">
        <v>85</v>
      </c>
      <c r="G314" s="930"/>
      <c r="H314" s="557" t="s">
        <v>754</v>
      </c>
      <c r="I314" s="557"/>
      <c r="J314" s="561">
        <v>40635</v>
      </c>
      <c r="K314" s="557" t="s">
        <v>670</v>
      </c>
      <c r="L314" s="562" t="s">
        <v>768</v>
      </c>
      <c r="M314" s="557" t="s">
        <v>246</v>
      </c>
      <c r="N314" s="938"/>
      <c r="O314" s="520"/>
      <c r="P314" s="520"/>
      <c r="Q314" s="520"/>
      <c r="R314" s="520"/>
      <c r="S314" s="520"/>
      <c r="T314" s="520"/>
      <c r="U314" s="520"/>
      <c r="V314" s="520"/>
    </row>
    <row r="315" spans="1:22" s="31" customFormat="1" ht="15" customHeight="1" x14ac:dyDescent="0.2">
      <c r="A315" s="520"/>
      <c r="B315" s="529"/>
      <c r="C315" s="1110" t="s">
        <v>1075</v>
      </c>
      <c r="D315" s="557"/>
      <c r="E315" s="557"/>
      <c r="F315" s="930" t="s">
        <v>85</v>
      </c>
      <c r="G315" s="930"/>
      <c r="H315" s="557" t="s">
        <v>1102</v>
      </c>
      <c r="I315" s="557"/>
      <c r="J315" s="561">
        <v>41692</v>
      </c>
      <c r="K315" s="557" t="s">
        <v>1053</v>
      </c>
      <c r="L315" s="562" t="s">
        <v>891</v>
      </c>
      <c r="M315" s="557" t="s">
        <v>558</v>
      </c>
      <c r="N315" s="938"/>
      <c r="O315" s="520"/>
      <c r="P315" s="520"/>
      <c r="Q315" s="520"/>
      <c r="R315" s="520"/>
      <c r="S315" s="520"/>
      <c r="T315" s="520"/>
      <c r="U315" s="520"/>
      <c r="V315" s="520"/>
    </row>
    <row r="316" spans="1:22" s="31" customFormat="1" ht="15" customHeight="1" x14ac:dyDescent="0.2">
      <c r="A316" s="520"/>
      <c r="B316" s="529"/>
      <c r="C316" s="560" t="s">
        <v>502</v>
      </c>
      <c r="D316" s="555"/>
      <c r="E316" s="555"/>
      <c r="F316" s="556" t="s">
        <v>501</v>
      </c>
      <c r="G316" s="556"/>
      <c r="H316" s="555" t="s">
        <v>754</v>
      </c>
      <c r="I316" s="555"/>
      <c r="J316" s="561"/>
      <c r="K316" s="557"/>
      <c r="L316" s="562"/>
      <c r="M316" s="557"/>
      <c r="N316" s="938"/>
      <c r="O316" s="520"/>
      <c r="P316" s="520"/>
      <c r="Q316" s="520"/>
      <c r="R316" s="520"/>
      <c r="S316" s="520"/>
      <c r="T316" s="520"/>
      <c r="U316" s="520"/>
      <c r="V316" s="520"/>
    </row>
    <row r="317" spans="1:22" s="31" customFormat="1" ht="15" customHeight="1" x14ac:dyDescent="0.2">
      <c r="A317" s="520"/>
      <c r="B317" s="529"/>
      <c r="C317" s="560" t="s">
        <v>502</v>
      </c>
      <c r="D317" s="555"/>
      <c r="E317" s="555"/>
      <c r="F317" s="556" t="s">
        <v>501</v>
      </c>
      <c r="G317" s="556"/>
      <c r="H317" s="555" t="s">
        <v>207</v>
      </c>
      <c r="I317" s="555"/>
      <c r="J317" s="561"/>
      <c r="K317" s="557"/>
      <c r="L317" s="562"/>
      <c r="M317" s="557"/>
      <c r="N317" s="938"/>
      <c r="O317" s="520"/>
      <c r="P317" s="520"/>
      <c r="Q317" s="520"/>
      <c r="R317" s="520"/>
      <c r="S317" s="520"/>
      <c r="T317" s="520"/>
      <c r="U317" s="520"/>
      <c r="V317" s="520"/>
    </row>
    <row r="318" spans="1:22" s="31" customFormat="1" ht="15" customHeight="1" x14ac:dyDescent="0.2">
      <c r="A318" s="520"/>
      <c r="B318" s="529"/>
      <c r="C318" s="563" t="s">
        <v>502</v>
      </c>
      <c r="D318" s="558"/>
      <c r="E318" s="558"/>
      <c r="F318" s="559" t="s">
        <v>501</v>
      </c>
      <c r="G318" s="559"/>
      <c r="H318" s="558" t="s">
        <v>1490</v>
      </c>
      <c r="I318" s="558"/>
      <c r="J318" s="564"/>
      <c r="K318" s="565"/>
      <c r="L318" s="566"/>
      <c r="M318" s="565"/>
      <c r="N318" s="1111"/>
      <c r="O318" s="520"/>
      <c r="P318" s="520"/>
      <c r="Q318" s="520"/>
      <c r="R318" s="520"/>
      <c r="S318" s="520"/>
      <c r="T318" s="520"/>
      <c r="U318" s="520"/>
      <c r="V318" s="520"/>
    </row>
    <row r="319" spans="1:22" s="37" customFormat="1" ht="15" customHeight="1" x14ac:dyDescent="0.2">
      <c r="A319" s="521"/>
      <c r="B319" s="534"/>
      <c r="C319" s="521"/>
      <c r="D319" s="532"/>
      <c r="E319" s="532"/>
      <c r="F319" s="532"/>
      <c r="G319" s="533"/>
      <c r="H319" s="533"/>
      <c r="I319" s="532"/>
      <c r="J319" s="532"/>
      <c r="K319" s="521"/>
      <c r="L319" s="521"/>
      <c r="M319" s="535"/>
      <c r="N319" s="521"/>
      <c r="O319" s="521"/>
      <c r="P319" s="521"/>
      <c r="Q319" s="521"/>
      <c r="R319" s="521"/>
      <c r="S319" s="521"/>
      <c r="T319" s="521"/>
      <c r="U319" s="521"/>
      <c r="V319" s="521"/>
    </row>
    <row r="320" spans="1:22" ht="15" customHeight="1" x14ac:dyDescent="0.3">
      <c r="B320" s="401"/>
      <c r="C320" s="357"/>
      <c r="D320" s="357"/>
      <c r="E320" s="357"/>
      <c r="F320" s="357"/>
      <c r="G320" s="358"/>
      <c r="H320" s="358"/>
      <c r="I320" s="357"/>
      <c r="J320" s="357"/>
      <c r="K320" s="539"/>
      <c r="L320" s="537"/>
      <c r="M320" s="540"/>
      <c r="N320" s="537"/>
      <c r="O320" s="537"/>
    </row>
    <row r="321" spans="1:22" ht="15" customHeight="1" x14ac:dyDescent="0.3">
      <c r="B321" s="475" t="s">
        <v>1774</v>
      </c>
      <c r="D321" s="357"/>
      <c r="E321" s="357"/>
      <c r="F321" s="357"/>
      <c r="G321" s="358"/>
      <c r="H321" s="358"/>
      <c r="I321" s="357"/>
      <c r="J321" s="357"/>
      <c r="K321" s="539"/>
      <c r="L321" s="537"/>
      <c r="M321" s="540"/>
      <c r="N321" s="537"/>
      <c r="O321" s="537"/>
    </row>
    <row r="322" spans="1:22" ht="15" customHeight="1" x14ac:dyDescent="0.3">
      <c r="B322" s="401"/>
      <c r="C322" s="357"/>
      <c r="D322" s="357"/>
      <c r="E322" s="357"/>
      <c r="F322" s="357"/>
      <c r="G322" s="358"/>
      <c r="H322" s="358"/>
      <c r="I322" s="357"/>
      <c r="J322" s="357"/>
      <c r="K322" s="539"/>
      <c r="L322" s="537"/>
      <c r="M322" s="540"/>
      <c r="N322" s="537"/>
      <c r="O322" s="537"/>
    </row>
    <row r="323" spans="1:22" ht="15" customHeight="1" x14ac:dyDescent="0.3">
      <c r="B323" s="401"/>
      <c r="C323" s="831" t="s">
        <v>56</v>
      </c>
      <c r="D323" s="832"/>
      <c r="E323" s="832"/>
      <c r="F323" s="833">
        <v>4</v>
      </c>
      <c r="G323" s="833"/>
      <c r="H323" s="833" t="s">
        <v>297</v>
      </c>
      <c r="I323" s="834" t="str">
        <f>VLOOKUP(H323,tbl_KausiPitkaDivari[],2,FALSE)</f>
        <v>V-Div</v>
      </c>
      <c r="J323" s="357"/>
      <c r="K323" s="357"/>
      <c r="L323" s="357"/>
      <c r="M323" s="377"/>
      <c r="N323" s="357"/>
      <c r="O323" s="357"/>
    </row>
    <row r="324" spans="1:22" ht="15" customHeight="1" x14ac:dyDescent="0.3">
      <c r="B324" s="401"/>
      <c r="C324" s="889" t="s">
        <v>50</v>
      </c>
      <c r="D324" s="890"/>
      <c r="E324" s="890"/>
      <c r="F324" s="891">
        <v>4</v>
      </c>
      <c r="G324" s="891"/>
      <c r="H324" s="891" t="s">
        <v>754</v>
      </c>
      <c r="I324" s="892" t="str">
        <f>VLOOKUP(H324,tbl_KausiPitkaDivari[],2,FALSE)</f>
        <v>IV-Div</v>
      </c>
      <c r="J324" s="357"/>
      <c r="K324" s="357"/>
      <c r="L324" s="357"/>
      <c r="M324" s="377"/>
      <c r="N324" s="357"/>
      <c r="O324" s="357"/>
    </row>
    <row r="325" spans="1:22" ht="15" customHeight="1" x14ac:dyDescent="0.3">
      <c r="B325" s="401"/>
      <c r="C325" s="893" t="s">
        <v>50</v>
      </c>
      <c r="D325" s="894"/>
      <c r="E325" s="894"/>
      <c r="F325" s="895">
        <v>4</v>
      </c>
      <c r="G325" s="895"/>
      <c r="H325" s="895" t="s">
        <v>83</v>
      </c>
      <c r="I325" s="896" t="str">
        <f>VLOOKUP(H325,tbl_KausiPitkaDivari[],2,FALSE)</f>
        <v>V-Div</v>
      </c>
      <c r="J325" s="713"/>
      <c r="K325" s="357"/>
      <c r="L325" s="357"/>
      <c r="M325" s="377"/>
      <c r="N325" s="357"/>
      <c r="O325" s="357"/>
    </row>
    <row r="326" spans="1:22" ht="15" customHeight="1" x14ac:dyDescent="0.3">
      <c r="B326" s="401"/>
      <c r="C326" s="893" t="s">
        <v>1075</v>
      </c>
      <c r="D326" s="894"/>
      <c r="E326" s="894"/>
      <c r="F326" s="895">
        <v>4</v>
      </c>
      <c r="G326" s="895"/>
      <c r="H326" s="895" t="s">
        <v>1490</v>
      </c>
      <c r="I326" s="896" t="str">
        <f>VLOOKUP(H326,tbl_KausiPitkaDivari[],2,FALSE)</f>
        <v>IV-Div</v>
      </c>
      <c r="J326" s="713"/>
      <c r="K326" s="357"/>
      <c r="L326" s="357"/>
      <c r="M326" s="377"/>
      <c r="N326" s="357"/>
      <c r="O326" s="357"/>
    </row>
    <row r="327" spans="1:22" ht="15" customHeight="1" x14ac:dyDescent="0.3">
      <c r="B327" s="401"/>
      <c r="C327" s="893" t="s">
        <v>50</v>
      </c>
      <c r="D327" s="894"/>
      <c r="E327" s="894"/>
      <c r="F327" s="895">
        <v>4</v>
      </c>
      <c r="G327" s="895"/>
      <c r="H327" s="895" t="s">
        <v>1818</v>
      </c>
      <c r="I327" s="896" t="str">
        <f>VLOOKUP(H327,tbl_KausiPitkaDivari[],2,FALSE)</f>
        <v>IV-Div+Kars</v>
      </c>
      <c r="J327" s="713"/>
      <c r="K327" s="357"/>
      <c r="L327" s="357"/>
      <c r="M327" s="377"/>
      <c r="N327" s="357"/>
      <c r="O327" s="357"/>
    </row>
    <row r="328" spans="1:22" ht="15" customHeight="1" x14ac:dyDescent="0.3">
      <c r="B328" s="401"/>
      <c r="C328" s="893" t="s">
        <v>50</v>
      </c>
      <c r="D328" s="894"/>
      <c r="E328" s="894"/>
      <c r="F328" s="895">
        <v>4</v>
      </c>
      <c r="G328" s="895"/>
      <c r="H328" s="895" t="s">
        <v>2153</v>
      </c>
      <c r="I328" s="896" t="str">
        <f>VLOOKUP(H328,tbl_KausiPitkaDivari[],2,FALSE)</f>
        <v>IV-Div</v>
      </c>
      <c r="K328" s="357"/>
      <c r="L328" s="357"/>
      <c r="M328" s="377"/>
      <c r="N328" s="357"/>
      <c r="O328" s="357"/>
    </row>
    <row r="329" spans="1:22" ht="15" customHeight="1" x14ac:dyDescent="0.3">
      <c r="B329" s="401"/>
      <c r="C329" s="893" t="s">
        <v>50</v>
      </c>
      <c r="D329" s="894"/>
      <c r="E329" s="894"/>
      <c r="F329" s="895">
        <v>4</v>
      </c>
      <c r="G329" s="895"/>
      <c r="H329" s="895" t="s">
        <v>2006</v>
      </c>
      <c r="I329" s="896" t="str">
        <f>VLOOKUP(H329,tbl_KausiPitkaDivari[],2,FALSE)</f>
        <v>IV-Div+Cup</v>
      </c>
      <c r="J329" s="713"/>
      <c r="K329" s="357"/>
      <c r="L329" s="357"/>
      <c r="M329" s="377"/>
      <c r="N329" s="357"/>
      <c r="O329" s="357"/>
    </row>
    <row r="330" spans="1:22" s="140" customFormat="1" ht="15" customHeight="1" x14ac:dyDescent="0.3">
      <c r="A330" s="519"/>
      <c r="B330" s="529"/>
      <c r="C330" s="839" t="s">
        <v>185</v>
      </c>
      <c r="D330" s="840"/>
      <c r="E330" s="840"/>
      <c r="F330" s="841">
        <v>3</v>
      </c>
      <c r="G330" s="841"/>
      <c r="H330" s="841" t="s">
        <v>1385</v>
      </c>
      <c r="I330" s="842" t="str">
        <f>VLOOKUP(H330,tbl_KausiPitkaDivari[],2,FALSE)</f>
        <v>IV-Div</v>
      </c>
      <c r="J330" s="713"/>
      <c r="K330" s="519"/>
      <c r="L330" s="519"/>
      <c r="M330" s="421"/>
      <c r="N330" s="519"/>
      <c r="O330" s="519"/>
      <c r="P330" s="519"/>
      <c r="Q330" s="519"/>
      <c r="R330" s="519"/>
      <c r="S330" s="519"/>
      <c r="T330" s="519"/>
      <c r="U330" s="519"/>
      <c r="V330" s="519"/>
    </row>
    <row r="331" spans="1:22" s="140" customFormat="1" ht="15" customHeight="1" x14ac:dyDescent="0.3">
      <c r="A331" s="519"/>
      <c r="B331" s="529"/>
      <c r="C331" s="839" t="s">
        <v>1075</v>
      </c>
      <c r="D331" s="840"/>
      <c r="E331" s="840"/>
      <c r="F331" s="841">
        <v>3</v>
      </c>
      <c r="G331" s="841"/>
      <c r="H331" s="841" t="s">
        <v>1102</v>
      </c>
      <c r="I331" s="842" t="str">
        <f>VLOOKUP(H331,tbl_KausiPitkaDivari[],2,FALSE)</f>
        <v>IV-Div</v>
      </c>
      <c r="J331" s="713"/>
      <c r="K331" s="519"/>
      <c r="L331" s="519"/>
      <c r="M331" s="421"/>
      <c r="N331" s="519"/>
      <c r="O331" s="519"/>
      <c r="P331" s="519"/>
      <c r="Q331" s="519"/>
      <c r="R331" s="519"/>
      <c r="S331" s="519"/>
      <c r="T331" s="519"/>
      <c r="U331" s="519"/>
      <c r="V331" s="519"/>
    </row>
    <row r="332" spans="1:22" s="140" customFormat="1" ht="15" customHeight="1" x14ac:dyDescent="0.3">
      <c r="A332" s="519"/>
      <c r="B332" s="529"/>
      <c r="C332" s="839" t="s">
        <v>50</v>
      </c>
      <c r="D332" s="840"/>
      <c r="E332" s="840"/>
      <c r="F332" s="841">
        <v>2</v>
      </c>
      <c r="G332" s="841"/>
      <c r="H332" s="841" t="s">
        <v>2489</v>
      </c>
      <c r="I332" s="842" t="str">
        <f>VLOOKUP(H332,tbl_KausiPitkaDivari[],2,FALSE)</f>
        <v>III-Div</v>
      </c>
      <c r="J332" s="713" t="s">
        <v>1685</v>
      </c>
      <c r="K332" s="519"/>
      <c r="L332" s="519"/>
      <c r="M332" s="421"/>
      <c r="N332" s="519"/>
      <c r="O332" s="519"/>
      <c r="P332" s="519"/>
      <c r="Q332" s="519"/>
      <c r="R332" s="519"/>
      <c r="S332" s="519"/>
      <c r="T332" s="519"/>
      <c r="U332" s="519"/>
      <c r="V332" s="519"/>
    </row>
    <row r="333" spans="1:22" s="140" customFormat="1" ht="15" customHeight="1" x14ac:dyDescent="0.3">
      <c r="A333" s="519"/>
      <c r="B333" s="529"/>
      <c r="C333" s="839" t="s">
        <v>1379</v>
      </c>
      <c r="D333" s="840"/>
      <c r="E333" s="840"/>
      <c r="F333" s="841">
        <v>2</v>
      </c>
      <c r="G333" s="841"/>
      <c r="H333" s="841" t="s">
        <v>2372</v>
      </c>
      <c r="I333" s="842" t="str">
        <f>VLOOKUP(H333,tbl_KausiPitkaDivari[],2,FALSE)</f>
        <v>IV-Div+Kars</v>
      </c>
      <c r="J333" s="713"/>
      <c r="K333" s="519"/>
      <c r="L333" s="519"/>
      <c r="M333" s="421"/>
      <c r="N333" s="519"/>
      <c r="O333" s="519"/>
      <c r="P333" s="519"/>
      <c r="Q333" s="519"/>
      <c r="R333" s="519"/>
      <c r="S333" s="519"/>
      <c r="T333" s="519"/>
      <c r="U333" s="519"/>
      <c r="V333" s="519"/>
    </row>
    <row r="334" spans="1:22" s="140" customFormat="1" ht="15" customHeight="1" x14ac:dyDescent="0.3">
      <c r="A334" s="519"/>
      <c r="B334" s="529"/>
      <c r="C334" s="839" t="s">
        <v>50</v>
      </c>
      <c r="D334" s="840"/>
      <c r="E334" s="840"/>
      <c r="F334" s="841">
        <v>2</v>
      </c>
      <c r="G334" s="841"/>
      <c r="H334" s="841" t="s">
        <v>1513</v>
      </c>
      <c r="I334" s="842" t="str">
        <f>VLOOKUP(H334,tbl_KausiPitkaDivari[],2,FALSE)</f>
        <v>IV-Div</v>
      </c>
      <c r="J334" s="713"/>
      <c r="K334" s="519"/>
      <c r="L334" s="519"/>
      <c r="M334" s="421"/>
      <c r="N334" s="519"/>
      <c r="O334" s="519"/>
      <c r="P334" s="519"/>
      <c r="Q334" s="519"/>
      <c r="R334" s="519"/>
      <c r="S334" s="519"/>
      <c r="T334" s="519"/>
      <c r="U334" s="519"/>
      <c r="V334" s="519"/>
    </row>
    <row r="335" spans="1:22" s="140" customFormat="1" ht="15" customHeight="1" x14ac:dyDescent="0.3">
      <c r="A335" s="519"/>
      <c r="B335" s="529"/>
      <c r="C335" s="839" t="s">
        <v>942</v>
      </c>
      <c r="D335" s="840"/>
      <c r="E335" s="840"/>
      <c r="F335" s="841">
        <v>2</v>
      </c>
      <c r="G335" s="841"/>
      <c r="H335" s="841" t="s">
        <v>977</v>
      </c>
      <c r="I335" s="842" t="str">
        <f>VLOOKUP(H335,tbl_KausiPitkaDivari[],2,FALSE)</f>
        <v>V-Div</v>
      </c>
      <c r="J335" s="713"/>
      <c r="K335" s="519"/>
      <c r="L335" s="519"/>
      <c r="M335" s="421"/>
      <c r="N335" s="519"/>
      <c r="O335" s="519"/>
      <c r="P335" s="519"/>
      <c r="Q335" s="519"/>
      <c r="R335" s="519"/>
      <c r="S335" s="519"/>
      <c r="T335" s="519"/>
      <c r="U335" s="519"/>
      <c r="V335" s="519"/>
    </row>
    <row r="336" spans="1:22" s="140" customFormat="1" ht="15" customHeight="1" x14ac:dyDescent="0.3">
      <c r="A336" s="519"/>
      <c r="B336" s="529"/>
      <c r="C336" s="839" t="s">
        <v>279</v>
      </c>
      <c r="D336" s="840"/>
      <c r="E336" s="840"/>
      <c r="F336" s="841">
        <v>2</v>
      </c>
      <c r="G336" s="841"/>
      <c r="H336" s="841" t="s">
        <v>874</v>
      </c>
      <c r="I336" s="842" t="str">
        <f>VLOOKUP(H336,tbl_KausiPitkaDivari[],2,FALSE)</f>
        <v>IV-Div</v>
      </c>
      <c r="J336" s="713"/>
      <c r="K336" s="519"/>
      <c r="L336" s="519"/>
      <c r="M336" s="421"/>
      <c r="N336" s="519"/>
      <c r="O336" s="519"/>
      <c r="P336" s="519"/>
      <c r="Q336" s="519"/>
      <c r="R336" s="519"/>
      <c r="S336" s="519"/>
      <c r="T336" s="519"/>
      <c r="U336" s="519"/>
      <c r="V336" s="519"/>
    </row>
    <row r="337" spans="1:22" s="140" customFormat="1" ht="15" customHeight="1" x14ac:dyDescent="0.3">
      <c r="A337" s="519"/>
      <c r="B337" s="529"/>
      <c r="C337" s="839" t="s">
        <v>56</v>
      </c>
      <c r="D337" s="840"/>
      <c r="E337" s="840"/>
      <c r="F337" s="841">
        <v>2</v>
      </c>
      <c r="G337" s="841"/>
      <c r="H337" s="841" t="s">
        <v>584</v>
      </c>
      <c r="I337" s="842" t="str">
        <f>VLOOKUP(H337,tbl_KausiPitkaDivari[],2,FALSE)</f>
        <v>IV-Div</v>
      </c>
      <c r="J337" s="713"/>
      <c r="K337" s="519"/>
      <c r="L337" s="519"/>
      <c r="M337" s="421"/>
      <c r="N337" s="519"/>
      <c r="O337" s="519"/>
      <c r="P337" s="519"/>
      <c r="Q337" s="519"/>
      <c r="R337" s="519"/>
      <c r="S337" s="519"/>
      <c r="T337" s="519"/>
      <c r="U337" s="519"/>
      <c r="V337" s="519"/>
    </row>
    <row r="338" spans="1:22" s="31" customFormat="1" ht="15" customHeight="1" x14ac:dyDescent="0.3">
      <c r="A338" s="520"/>
      <c r="B338" s="529"/>
      <c r="C338" s="839" t="s">
        <v>1775</v>
      </c>
      <c r="D338" s="840"/>
      <c r="E338" s="840"/>
      <c r="F338" s="841">
        <v>2</v>
      </c>
      <c r="G338" s="841"/>
      <c r="H338" s="841" t="s">
        <v>207</v>
      </c>
      <c r="I338" s="842" t="str">
        <f>VLOOKUP(H338,tbl_KausiPitkaDivari[],2,FALSE)</f>
        <v>IV-Div</v>
      </c>
      <c r="J338" s="713"/>
      <c r="K338" s="520"/>
      <c r="L338" s="520"/>
      <c r="M338" s="531"/>
      <c r="N338" s="520"/>
      <c r="O338" s="520"/>
      <c r="P338" s="520"/>
      <c r="Q338" s="520"/>
      <c r="R338" s="520"/>
      <c r="S338" s="520"/>
      <c r="T338" s="520"/>
      <c r="U338" s="520"/>
      <c r="V338" s="520"/>
    </row>
    <row r="339" spans="1:22" s="31" customFormat="1" ht="15" customHeight="1" x14ac:dyDescent="0.3">
      <c r="A339" s="520"/>
      <c r="B339" s="529"/>
      <c r="C339" s="946" t="s">
        <v>2242</v>
      </c>
      <c r="D339" s="947"/>
      <c r="E339" s="947"/>
      <c r="F339" s="948">
        <v>1</v>
      </c>
      <c r="G339" s="948"/>
      <c r="H339" s="948" t="s">
        <v>2152</v>
      </c>
      <c r="I339" s="842" t="str">
        <f>VLOOKUP(H339,tbl_KausiPitkaDivari[],2,FALSE)</f>
        <v>III-Div+Kars</v>
      </c>
      <c r="J339" s="713"/>
      <c r="K339" s="520"/>
      <c r="L339" s="520"/>
      <c r="M339" s="531"/>
      <c r="N339" s="520"/>
      <c r="O339" s="520"/>
      <c r="P339" s="520"/>
      <c r="Q339" s="520"/>
      <c r="R339" s="520"/>
      <c r="S339" s="520"/>
      <c r="T339" s="520"/>
      <c r="U339" s="520"/>
      <c r="V339" s="520"/>
    </row>
    <row r="340" spans="1:22" s="31" customFormat="1" ht="15" customHeight="1" x14ac:dyDescent="0.3">
      <c r="A340" s="520"/>
      <c r="B340" s="529"/>
      <c r="C340" s="860" t="s">
        <v>1801</v>
      </c>
      <c r="D340" s="844"/>
      <c r="E340" s="844"/>
      <c r="F340" s="845">
        <v>1</v>
      </c>
      <c r="G340" s="845"/>
      <c r="H340" s="845" t="s">
        <v>1635</v>
      </c>
      <c r="I340" s="846" t="str">
        <f>VLOOKUP(H340,tbl_KausiPitkaDivari[],2,FALSE)</f>
        <v>IV-Div</v>
      </c>
      <c r="J340" s="357"/>
      <c r="K340" s="520"/>
      <c r="L340" s="520"/>
      <c r="M340" s="531"/>
      <c r="N340" s="520"/>
      <c r="O340" s="520"/>
      <c r="P340" s="520"/>
      <c r="Q340" s="520"/>
      <c r="R340" s="520"/>
      <c r="S340" s="520"/>
      <c r="T340" s="520"/>
      <c r="U340" s="520"/>
      <c r="V340" s="520"/>
    </row>
    <row r="341" spans="1:22" s="37" customFormat="1" ht="15" customHeight="1" x14ac:dyDescent="0.2">
      <c r="A341" s="521"/>
      <c r="B341" s="534"/>
      <c r="C341" s="521"/>
      <c r="D341" s="532"/>
      <c r="E341" s="532"/>
      <c r="F341" s="532"/>
      <c r="G341" s="533"/>
      <c r="H341" s="533"/>
      <c r="I341" s="532"/>
      <c r="J341" s="532"/>
      <c r="K341" s="521"/>
      <c r="L341" s="521"/>
      <c r="M341" s="535"/>
      <c r="N341" s="521"/>
      <c r="O341" s="521"/>
      <c r="P341" s="521"/>
      <c r="Q341" s="521"/>
      <c r="R341" s="521"/>
      <c r="S341" s="521"/>
      <c r="T341" s="521"/>
      <c r="U341" s="521"/>
      <c r="V341" s="521"/>
    </row>
    <row r="342" spans="1:22" ht="15" customHeight="1" x14ac:dyDescent="0.3">
      <c r="B342" s="401"/>
      <c r="C342" s="357"/>
      <c r="D342" s="357"/>
      <c r="E342" s="357"/>
      <c r="F342" s="357"/>
      <c r="G342" s="358"/>
      <c r="H342" s="358"/>
      <c r="I342" s="357"/>
      <c r="J342" s="357"/>
      <c r="K342" s="539"/>
      <c r="L342" s="537"/>
      <c r="M342" s="540"/>
      <c r="N342" s="537"/>
      <c r="O342" s="537"/>
    </row>
    <row r="343" spans="1:22" ht="15" customHeight="1" x14ac:dyDescent="0.3">
      <c r="B343" s="475" t="s">
        <v>1776</v>
      </c>
      <c r="D343" s="357"/>
      <c r="E343" s="357"/>
      <c r="F343" s="357"/>
      <c r="G343" s="358"/>
      <c r="H343" s="358"/>
      <c r="I343" s="357"/>
      <c r="J343" s="357"/>
      <c r="K343" s="539"/>
      <c r="L343" s="537"/>
      <c r="M343" s="540"/>
      <c r="N343" s="537"/>
      <c r="O343" s="537"/>
    </row>
    <row r="344" spans="1:22" ht="15" customHeight="1" x14ac:dyDescent="0.3">
      <c r="B344" s="401"/>
      <c r="C344" s="357"/>
      <c r="D344" s="357"/>
      <c r="E344" s="357"/>
      <c r="F344" s="357"/>
      <c r="G344" s="358"/>
      <c r="H344" s="358"/>
      <c r="I344" s="357"/>
      <c r="J344" s="357"/>
      <c r="K344" s="539"/>
      <c r="L344" s="537"/>
      <c r="M344" s="540"/>
      <c r="N344" s="537"/>
      <c r="O344" s="537"/>
    </row>
    <row r="345" spans="1:22" ht="15" customHeight="1" x14ac:dyDescent="0.3">
      <c r="B345" s="401"/>
      <c r="C345" s="831" t="s">
        <v>55</v>
      </c>
      <c r="D345" s="832"/>
      <c r="E345" s="832"/>
      <c r="F345" s="833">
        <v>2</v>
      </c>
      <c r="G345" s="833"/>
      <c r="H345" s="833" t="s">
        <v>83</v>
      </c>
      <c r="I345" s="834" t="str">
        <f>VLOOKUP(H345,tbl_KausiPitkaDivari[],2,FALSE)</f>
        <v>V-Div</v>
      </c>
      <c r="J345" s="357"/>
      <c r="K345" s="357"/>
      <c r="L345" s="357"/>
      <c r="M345" s="377"/>
      <c r="N345" s="357"/>
      <c r="O345" s="357"/>
    </row>
    <row r="346" spans="1:22" ht="15" customHeight="1" x14ac:dyDescent="0.3">
      <c r="B346" s="401"/>
      <c r="C346" s="889" t="s">
        <v>185</v>
      </c>
      <c r="D346" s="890"/>
      <c r="E346" s="890"/>
      <c r="F346" s="891">
        <v>2</v>
      </c>
      <c r="G346" s="891"/>
      <c r="H346" s="891" t="s">
        <v>874</v>
      </c>
      <c r="I346" s="892" t="str">
        <f>VLOOKUP(H346,tbl_KausiPitkaDivari[],2,FALSE)</f>
        <v>IV-Div</v>
      </c>
      <c r="J346" s="357"/>
      <c r="K346" s="357"/>
      <c r="L346" s="357"/>
      <c r="M346" s="377"/>
      <c r="N346" s="357"/>
      <c r="O346" s="357"/>
    </row>
    <row r="347" spans="1:22" ht="15" customHeight="1" x14ac:dyDescent="0.3">
      <c r="B347" s="401"/>
      <c r="C347" s="835" t="s">
        <v>2243</v>
      </c>
      <c r="D347" s="836"/>
      <c r="E347" s="836"/>
      <c r="F347" s="837" t="s">
        <v>12</v>
      </c>
      <c r="G347" s="837"/>
      <c r="H347" s="837" t="s">
        <v>2152</v>
      </c>
      <c r="I347" s="842" t="str">
        <f>VLOOKUP(H347,tbl_KausiPitkaDivari[],2,FALSE)</f>
        <v>III-Div+Kars</v>
      </c>
      <c r="J347" s="357"/>
      <c r="K347" s="357"/>
      <c r="L347" s="357"/>
      <c r="M347" s="377"/>
      <c r="N347" s="357"/>
      <c r="O347" s="357"/>
    </row>
    <row r="348" spans="1:22" s="56" customFormat="1" ht="15" customHeight="1" x14ac:dyDescent="0.3">
      <c r="A348" s="524"/>
      <c r="B348" s="529"/>
      <c r="C348" s="839" t="s">
        <v>1779</v>
      </c>
      <c r="D348" s="840"/>
      <c r="E348" s="840"/>
      <c r="F348" s="841">
        <v>1</v>
      </c>
      <c r="G348" s="841"/>
      <c r="H348" s="841" t="s">
        <v>207</v>
      </c>
      <c r="I348" s="842" t="str">
        <f>VLOOKUP(H348,tbl_KausiPitkaDivari[],2,FALSE)</f>
        <v>IV-Div</v>
      </c>
      <c r="J348" s="713"/>
      <c r="K348" s="524"/>
      <c r="L348" s="524"/>
      <c r="M348" s="546"/>
      <c r="N348" s="524"/>
      <c r="O348" s="524"/>
      <c r="P348" s="524"/>
      <c r="Q348" s="524"/>
      <c r="R348" s="524"/>
      <c r="S348" s="524"/>
      <c r="T348" s="524"/>
      <c r="U348" s="524"/>
      <c r="V348" s="524"/>
    </row>
    <row r="349" spans="1:22" s="56" customFormat="1" ht="15" customHeight="1" x14ac:dyDescent="0.3">
      <c r="A349" s="524"/>
      <c r="B349" s="529"/>
      <c r="C349" s="839" t="s">
        <v>1778</v>
      </c>
      <c r="D349" s="840"/>
      <c r="E349" s="840"/>
      <c r="F349" s="841">
        <v>1</v>
      </c>
      <c r="G349" s="841"/>
      <c r="H349" s="841" t="s">
        <v>1513</v>
      </c>
      <c r="I349" s="842" t="str">
        <f>VLOOKUP(H349,tbl_KausiPitkaDivari[],2,FALSE)</f>
        <v>IV-Div</v>
      </c>
      <c r="J349" s="713"/>
      <c r="K349" s="524"/>
      <c r="L349" s="524"/>
      <c r="M349" s="546"/>
      <c r="N349" s="524"/>
      <c r="O349" s="524"/>
      <c r="P349" s="524"/>
      <c r="Q349" s="524"/>
      <c r="R349" s="524"/>
      <c r="S349" s="524"/>
      <c r="T349" s="524"/>
      <c r="U349" s="524"/>
      <c r="V349" s="524"/>
    </row>
    <row r="350" spans="1:22" s="56" customFormat="1" ht="15" customHeight="1" x14ac:dyDescent="0.3">
      <c r="A350" s="524"/>
      <c r="B350" s="529"/>
      <c r="C350" s="839" t="s">
        <v>675</v>
      </c>
      <c r="D350" s="840"/>
      <c r="E350" s="840"/>
      <c r="F350" s="841">
        <v>1</v>
      </c>
      <c r="G350" s="841"/>
      <c r="H350" s="841" t="s">
        <v>754</v>
      </c>
      <c r="I350" s="842" t="str">
        <f>VLOOKUP(H350,tbl_KausiPitkaDivari[],2,FALSE)</f>
        <v>IV-Div</v>
      </c>
      <c r="J350" s="713"/>
      <c r="K350" s="524"/>
      <c r="L350" s="524"/>
      <c r="M350" s="546"/>
      <c r="N350" s="524"/>
      <c r="O350" s="524"/>
      <c r="P350" s="524"/>
      <c r="Q350" s="524"/>
      <c r="R350" s="524"/>
      <c r="S350" s="524"/>
      <c r="T350" s="524"/>
      <c r="U350" s="524"/>
      <c r="V350" s="524"/>
    </row>
    <row r="351" spans="1:22" s="56" customFormat="1" ht="15" customHeight="1" x14ac:dyDescent="0.3">
      <c r="A351" s="524"/>
      <c r="B351" s="529"/>
      <c r="C351" s="839" t="s">
        <v>1777</v>
      </c>
      <c r="D351" s="840"/>
      <c r="E351" s="840"/>
      <c r="F351" s="841">
        <v>1</v>
      </c>
      <c r="G351" s="841"/>
      <c r="H351" s="841" t="s">
        <v>977</v>
      </c>
      <c r="I351" s="842" t="str">
        <f>VLOOKUP(H351,tbl_KausiPitkaDivari[],2,FALSE)</f>
        <v>V-Div</v>
      </c>
      <c r="J351" s="713"/>
      <c r="K351" s="524"/>
      <c r="L351" s="524"/>
      <c r="M351" s="546"/>
      <c r="N351" s="524"/>
      <c r="O351" s="524"/>
      <c r="P351" s="524"/>
      <c r="Q351" s="524"/>
      <c r="R351" s="524"/>
      <c r="S351" s="524"/>
      <c r="T351" s="524"/>
      <c r="U351" s="524"/>
      <c r="V351" s="524"/>
    </row>
    <row r="352" spans="1:22" s="56" customFormat="1" ht="15" customHeight="1" x14ac:dyDescent="0.3">
      <c r="A352" s="524"/>
      <c r="B352" s="529"/>
      <c r="C352" s="839" t="s">
        <v>50</v>
      </c>
      <c r="D352" s="840"/>
      <c r="E352" s="840"/>
      <c r="F352" s="841">
        <v>1</v>
      </c>
      <c r="G352" s="841"/>
      <c r="H352" s="841" t="s">
        <v>1102</v>
      </c>
      <c r="I352" s="842" t="str">
        <f>VLOOKUP(H352,tbl_KausiPitkaDivari[],2,FALSE)</f>
        <v>IV-Div</v>
      </c>
      <c r="J352" s="713"/>
      <c r="K352" s="524"/>
      <c r="L352" s="524"/>
      <c r="M352" s="546"/>
      <c r="N352" s="524"/>
      <c r="O352" s="524"/>
      <c r="P352" s="524"/>
      <c r="Q352" s="524"/>
      <c r="R352" s="524"/>
      <c r="S352" s="524"/>
      <c r="T352" s="524"/>
      <c r="U352" s="524"/>
      <c r="V352" s="524"/>
    </row>
    <row r="353" spans="1:22" s="56" customFormat="1" ht="15" customHeight="1" x14ac:dyDescent="0.3">
      <c r="A353" s="524"/>
      <c r="B353" s="529"/>
      <c r="C353" s="839" t="s">
        <v>1076</v>
      </c>
      <c r="D353" s="840"/>
      <c r="E353" s="840"/>
      <c r="F353" s="841">
        <v>1</v>
      </c>
      <c r="G353" s="841"/>
      <c r="H353" s="841" t="s">
        <v>2006</v>
      </c>
      <c r="I353" s="842" t="str">
        <f>VLOOKUP(H353,tbl_KausiPitkaDivari[],2,FALSE)</f>
        <v>IV-Div+Cup</v>
      </c>
      <c r="J353" s="713"/>
      <c r="K353" s="524"/>
      <c r="L353" s="524"/>
      <c r="M353" s="546"/>
      <c r="N353" s="524"/>
      <c r="O353" s="524"/>
      <c r="P353" s="524"/>
      <c r="Q353" s="524"/>
      <c r="R353" s="524"/>
      <c r="S353" s="524"/>
      <c r="T353" s="524"/>
      <c r="U353" s="524"/>
      <c r="V353" s="524"/>
    </row>
    <row r="354" spans="1:22" s="56" customFormat="1" ht="15" customHeight="1" x14ac:dyDescent="0.3">
      <c r="A354" s="524"/>
      <c r="B354" s="529"/>
      <c r="C354" s="839" t="s">
        <v>2500</v>
      </c>
      <c r="D354" s="840"/>
      <c r="E354" s="840"/>
      <c r="F354" s="841">
        <v>1</v>
      </c>
      <c r="G354" s="841"/>
      <c r="H354" s="841" t="s">
        <v>2372</v>
      </c>
      <c r="I354" s="842" t="str">
        <f>VLOOKUP(H354,tbl_KausiPitkaDivari[],2,FALSE)</f>
        <v>IV-Div+Kars</v>
      </c>
      <c r="J354" s="713"/>
      <c r="K354" s="524"/>
      <c r="L354" s="524"/>
      <c r="M354" s="546"/>
      <c r="N354" s="524"/>
      <c r="O354" s="524"/>
      <c r="P354" s="524"/>
      <c r="Q354" s="524"/>
      <c r="R354" s="524"/>
      <c r="S354" s="524"/>
      <c r="T354" s="524"/>
      <c r="U354" s="524"/>
      <c r="V354" s="524"/>
    </row>
    <row r="355" spans="1:22" s="56" customFormat="1" ht="15" customHeight="1" x14ac:dyDescent="0.3">
      <c r="A355" s="524"/>
      <c r="B355" s="529"/>
      <c r="C355" s="839" t="s">
        <v>2148</v>
      </c>
      <c r="D355" s="840"/>
      <c r="E355" s="840"/>
      <c r="F355" s="841">
        <v>1</v>
      </c>
      <c r="G355" s="841"/>
      <c r="H355" s="841" t="s">
        <v>2489</v>
      </c>
      <c r="I355" s="842" t="str">
        <f>VLOOKUP(H355,tbl_KausiPitkaDivari[],2,FALSE)</f>
        <v>III-Div</v>
      </c>
      <c r="J355" s="713" t="s">
        <v>1685</v>
      </c>
      <c r="K355" s="524"/>
      <c r="L355" s="524"/>
      <c r="M355" s="546"/>
      <c r="N355" s="524"/>
      <c r="O355" s="524"/>
      <c r="P355" s="524"/>
      <c r="Q355" s="524"/>
      <c r="R355" s="524"/>
      <c r="S355" s="524"/>
      <c r="T355" s="524"/>
      <c r="U355" s="524"/>
      <c r="V355" s="524"/>
    </row>
    <row r="356" spans="1:22" s="56" customFormat="1" ht="15" customHeight="1" x14ac:dyDescent="0.2">
      <c r="A356" s="524"/>
      <c r="B356" s="529"/>
      <c r="C356" s="839" t="s">
        <v>510</v>
      </c>
      <c r="D356" s="840"/>
      <c r="E356" s="840"/>
      <c r="F356" s="841">
        <v>0</v>
      </c>
      <c r="G356" s="841"/>
      <c r="H356" s="841" t="s">
        <v>2153</v>
      </c>
      <c r="I356" s="842" t="str">
        <f>VLOOKUP(H356,tbl_KausiPitkaDivari[],2,FALSE)</f>
        <v>IV-Div</v>
      </c>
      <c r="K356" s="524"/>
      <c r="L356" s="524"/>
      <c r="M356" s="546"/>
      <c r="N356" s="524"/>
      <c r="O356" s="524"/>
      <c r="P356" s="524"/>
      <c r="Q356" s="524"/>
      <c r="R356" s="524"/>
      <c r="S356" s="524"/>
      <c r="T356" s="524"/>
      <c r="U356" s="524"/>
      <c r="V356" s="524"/>
    </row>
    <row r="357" spans="1:22" s="56" customFormat="1" ht="15" customHeight="1" x14ac:dyDescent="0.3">
      <c r="A357" s="524"/>
      <c r="B357" s="529"/>
      <c r="C357" s="839" t="s">
        <v>510</v>
      </c>
      <c r="D357" s="840"/>
      <c r="E357" s="840"/>
      <c r="F357" s="841">
        <v>0</v>
      </c>
      <c r="G357" s="841"/>
      <c r="H357" s="841" t="s">
        <v>1818</v>
      </c>
      <c r="I357" s="842" t="str">
        <f>VLOOKUP(H357,tbl_KausiPitkaDivari[],2,FALSE)</f>
        <v>IV-Div+Kars</v>
      </c>
      <c r="J357" s="713"/>
      <c r="K357" s="524"/>
      <c r="L357" s="524"/>
      <c r="M357" s="546"/>
      <c r="N357" s="524"/>
      <c r="O357" s="524"/>
      <c r="P357" s="524"/>
      <c r="Q357" s="524"/>
      <c r="R357" s="524"/>
      <c r="S357" s="524"/>
      <c r="T357" s="524"/>
      <c r="U357" s="524"/>
      <c r="V357" s="524"/>
    </row>
    <row r="358" spans="1:22" s="56" customFormat="1" ht="15" customHeight="1" x14ac:dyDescent="0.3">
      <c r="A358" s="524"/>
      <c r="B358" s="529"/>
      <c r="C358" s="839" t="s">
        <v>510</v>
      </c>
      <c r="D358" s="840"/>
      <c r="E358" s="840"/>
      <c r="F358" s="841">
        <v>0</v>
      </c>
      <c r="G358" s="841"/>
      <c r="H358" s="841" t="s">
        <v>1635</v>
      </c>
      <c r="I358" s="842" t="str">
        <f>VLOOKUP(H358,tbl_KausiPitkaDivari[],2,FALSE)</f>
        <v>IV-Div</v>
      </c>
      <c r="J358" s="713"/>
      <c r="K358" s="524"/>
      <c r="L358" s="524"/>
      <c r="M358" s="546"/>
      <c r="N358" s="524"/>
      <c r="O358" s="524"/>
      <c r="P358" s="524"/>
      <c r="Q358" s="524"/>
      <c r="R358" s="524"/>
      <c r="S358" s="524"/>
      <c r="T358" s="524"/>
      <c r="U358" s="524"/>
      <c r="V358" s="524"/>
    </row>
    <row r="359" spans="1:22" s="56" customFormat="1" ht="15" customHeight="1" x14ac:dyDescent="0.3">
      <c r="A359" s="524"/>
      <c r="B359" s="529"/>
      <c r="C359" s="839" t="s">
        <v>510</v>
      </c>
      <c r="D359" s="840"/>
      <c r="E359" s="840"/>
      <c r="F359" s="841">
        <v>0</v>
      </c>
      <c r="G359" s="841"/>
      <c r="H359" s="841" t="s">
        <v>297</v>
      </c>
      <c r="I359" s="842" t="str">
        <f>VLOOKUP(H359,tbl_KausiPitkaDivari[],2,FALSE)</f>
        <v>V-Div</v>
      </c>
      <c r="J359" s="713"/>
      <c r="K359" s="524"/>
      <c r="L359" s="524"/>
      <c r="M359" s="546"/>
      <c r="N359" s="524"/>
      <c r="O359" s="524"/>
      <c r="P359" s="524"/>
      <c r="Q359" s="524"/>
      <c r="R359" s="524"/>
      <c r="S359" s="524"/>
      <c r="T359" s="524"/>
      <c r="U359" s="524"/>
      <c r="V359" s="524"/>
    </row>
    <row r="360" spans="1:22" s="56" customFormat="1" ht="15" customHeight="1" x14ac:dyDescent="0.3">
      <c r="A360" s="524"/>
      <c r="B360" s="529"/>
      <c r="C360" s="839" t="s">
        <v>510</v>
      </c>
      <c r="D360" s="840"/>
      <c r="E360" s="840"/>
      <c r="F360" s="841">
        <v>0</v>
      </c>
      <c r="G360" s="841"/>
      <c r="H360" s="841" t="s">
        <v>584</v>
      </c>
      <c r="I360" s="842" t="str">
        <f>VLOOKUP(H360,tbl_KausiPitkaDivari[],2,FALSE)</f>
        <v>IV-Div</v>
      </c>
      <c r="J360" s="713"/>
      <c r="K360" s="524"/>
      <c r="L360" s="524"/>
      <c r="M360" s="546"/>
      <c r="N360" s="524"/>
      <c r="O360" s="524"/>
      <c r="P360" s="524"/>
      <c r="Q360" s="524"/>
      <c r="R360" s="524"/>
      <c r="S360" s="524"/>
      <c r="T360" s="524"/>
      <c r="U360" s="524"/>
      <c r="V360" s="524"/>
    </row>
    <row r="361" spans="1:22" s="56" customFormat="1" ht="15" customHeight="1" x14ac:dyDescent="0.3">
      <c r="A361" s="524"/>
      <c r="B361" s="529"/>
      <c r="C361" s="839" t="s">
        <v>510</v>
      </c>
      <c r="D361" s="840"/>
      <c r="E361" s="840"/>
      <c r="F361" s="841">
        <v>0</v>
      </c>
      <c r="G361" s="841"/>
      <c r="H361" s="841" t="s">
        <v>1385</v>
      </c>
      <c r="I361" s="842" t="str">
        <f>VLOOKUP(H361,tbl_KausiPitkaDivari[],2,FALSE)</f>
        <v>IV-Div</v>
      </c>
      <c r="J361" s="713"/>
      <c r="K361" s="524"/>
      <c r="L361" s="524"/>
      <c r="M361" s="546"/>
      <c r="N361" s="524"/>
      <c r="O361" s="524"/>
      <c r="P361" s="524"/>
      <c r="Q361" s="524"/>
      <c r="R361" s="524"/>
      <c r="S361" s="524"/>
      <c r="T361" s="524"/>
      <c r="U361" s="524"/>
      <c r="V361" s="524"/>
    </row>
    <row r="362" spans="1:22" s="56" customFormat="1" ht="15" customHeight="1" x14ac:dyDescent="0.3">
      <c r="A362" s="524"/>
      <c r="B362" s="529"/>
      <c r="C362" s="843" t="s">
        <v>510</v>
      </c>
      <c r="D362" s="844"/>
      <c r="E362" s="844"/>
      <c r="F362" s="845">
        <v>0</v>
      </c>
      <c r="G362" s="845"/>
      <c r="H362" s="845" t="s">
        <v>1490</v>
      </c>
      <c r="I362" s="846" t="str">
        <f>VLOOKUP(H362,tbl_KausiPitkaDivari[],2,FALSE)</f>
        <v>IV-Div</v>
      </c>
      <c r="J362" s="357"/>
      <c r="K362" s="524"/>
      <c r="L362" s="524"/>
      <c r="M362" s="546"/>
      <c r="N362" s="524"/>
      <c r="O362" s="524"/>
      <c r="P362" s="524"/>
      <c r="Q362" s="524"/>
      <c r="R362" s="524"/>
      <c r="S362" s="524"/>
      <c r="T362" s="524"/>
      <c r="U362" s="524"/>
      <c r="V362" s="524"/>
    </row>
    <row r="363" spans="1:22" ht="15" customHeight="1" x14ac:dyDescent="0.3">
      <c r="B363" s="401"/>
      <c r="C363" s="357"/>
      <c r="D363" s="357"/>
      <c r="E363" s="357"/>
      <c r="F363" s="357"/>
      <c r="G363" s="358"/>
      <c r="H363" s="358"/>
      <c r="I363" s="357"/>
      <c r="J363" s="357"/>
      <c r="K363" s="357"/>
      <c r="L363" s="357"/>
      <c r="M363" s="377"/>
      <c r="N363" s="357"/>
      <c r="O363" s="357"/>
    </row>
    <row r="364" spans="1:22" ht="15" customHeight="1" x14ac:dyDescent="0.3">
      <c r="B364" s="401"/>
      <c r="C364" s="357"/>
      <c r="D364" s="357"/>
      <c r="E364" s="357"/>
      <c r="F364" s="357"/>
      <c r="G364" s="358"/>
      <c r="H364" s="358"/>
      <c r="I364" s="357"/>
      <c r="J364" s="357"/>
      <c r="K364" s="357"/>
      <c r="L364" s="357"/>
      <c r="M364" s="377"/>
      <c r="N364" s="357"/>
      <c r="O364" s="357"/>
    </row>
    <row r="365" spans="1:22" ht="15" customHeight="1" x14ac:dyDescent="0.3">
      <c r="B365" s="475" t="s">
        <v>1780</v>
      </c>
      <c r="D365" s="357"/>
      <c r="E365" s="357"/>
      <c r="F365" s="357"/>
      <c r="G365" s="358"/>
      <c r="H365" s="358"/>
      <c r="I365" s="357"/>
      <c r="J365" s="357"/>
      <c r="K365" s="357"/>
      <c r="L365" s="357"/>
      <c r="M365" s="377"/>
      <c r="N365" s="357"/>
      <c r="O365" s="357"/>
    </row>
    <row r="366" spans="1:22" ht="15" customHeight="1" x14ac:dyDescent="0.3">
      <c r="B366" s="401"/>
      <c r="C366" s="357"/>
      <c r="D366" s="357"/>
      <c r="E366" s="357"/>
      <c r="F366" s="357"/>
      <c r="G366" s="358"/>
      <c r="H366" s="358"/>
      <c r="I366" s="357"/>
      <c r="J366" s="357"/>
      <c r="K366" s="357"/>
      <c r="L366" s="357"/>
      <c r="M366" s="377"/>
      <c r="N366" s="357"/>
      <c r="O366" s="357"/>
    </row>
    <row r="367" spans="1:22" ht="15" customHeight="1" x14ac:dyDescent="0.3">
      <c r="B367" s="401"/>
      <c r="C367" s="831" t="s">
        <v>1781</v>
      </c>
      <c r="D367" s="832"/>
      <c r="E367" s="832"/>
      <c r="F367" s="833">
        <v>1</v>
      </c>
      <c r="G367" s="833"/>
      <c r="H367" s="833" t="s">
        <v>83</v>
      </c>
      <c r="I367" s="834" t="str">
        <f>VLOOKUP(H367,tbl_KausiPitkaDivari[],2,FALSE)</f>
        <v>V-Div</v>
      </c>
      <c r="J367" s="357"/>
      <c r="K367" s="357"/>
      <c r="L367" s="357"/>
      <c r="M367" s="377"/>
      <c r="N367" s="357"/>
      <c r="O367" s="357"/>
    </row>
    <row r="368" spans="1:22" ht="15" customHeight="1" x14ac:dyDescent="0.3">
      <c r="B368" s="401"/>
      <c r="C368" s="889" t="s">
        <v>1782</v>
      </c>
      <c r="D368" s="890"/>
      <c r="E368" s="890"/>
      <c r="F368" s="891">
        <v>1</v>
      </c>
      <c r="G368" s="891"/>
      <c r="H368" s="891" t="s">
        <v>207</v>
      </c>
      <c r="I368" s="892" t="str">
        <f>VLOOKUP(H368,tbl_KausiPitkaDivari[],2,FALSE)</f>
        <v>IV-Div</v>
      </c>
      <c r="J368" s="357"/>
      <c r="K368" s="357"/>
      <c r="L368" s="357"/>
      <c r="M368" s="377"/>
      <c r="N368" s="357"/>
      <c r="O368" s="357"/>
    </row>
    <row r="369" spans="1:22" ht="15" customHeight="1" x14ac:dyDescent="0.3">
      <c r="B369" s="401"/>
      <c r="C369" s="893" t="s">
        <v>1783</v>
      </c>
      <c r="D369" s="894"/>
      <c r="E369" s="894"/>
      <c r="F369" s="895">
        <v>1</v>
      </c>
      <c r="G369" s="895"/>
      <c r="H369" s="895" t="s">
        <v>874</v>
      </c>
      <c r="I369" s="896" t="str">
        <f>VLOOKUP(H369,tbl_KausiPitkaDivari[],2,FALSE)</f>
        <v>IV-Div</v>
      </c>
      <c r="J369" s="713"/>
      <c r="K369" s="357"/>
      <c r="L369" s="357"/>
      <c r="M369" s="377"/>
      <c r="N369" s="357"/>
      <c r="O369" s="357"/>
    </row>
    <row r="370" spans="1:22" ht="15" customHeight="1" x14ac:dyDescent="0.3">
      <c r="B370" s="401"/>
      <c r="C370" s="893" t="s">
        <v>677</v>
      </c>
      <c r="D370" s="894"/>
      <c r="E370" s="894"/>
      <c r="F370" s="895">
        <v>1</v>
      </c>
      <c r="G370" s="895"/>
      <c r="H370" s="895" t="s">
        <v>977</v>
      </c>
      <c r="I370" s="896" t="str">
        <f>VLOOKUP(H370,tbl_KausiPitkaDivari[],2,FALSE)</f>
        <v>V-Div</v>
      </c>
      <c r="J370" s="713"/>
      <c r="K370" s="357"/>
      <c r="L370" s="357"/>
      <c r="M370" s="377"/>
      <c r="N370" s="357"/>
      <c r="O370" s="357"/>
    </row>
    <row r="371" spans="1:22" ht="15" customHeight="1" x14ac:dyDescent="0.3">
      <c r="B371" s="401"/>
      <c r="C371" s="893" t="s">
        <v>1784</v>
      </c>
      <c r="D371" s="894"/>
      <c r="E371" s="894"/>
      <c r="F371" s="895">
        <v>1</v>
      </c>
      <c r="G371" s="895"/>
      <c r="H371" s="895" t="s">
        <v>1102</v>
      </c>
      <c r="I371" s="896" t="str">
        <f>VLOOKUP(H371,tbl_KausiPitkaDivari[],2,FALSE)</f>
        <v>IV-Div</v>
      </c>
      <c r="J371" s="713"/>
      <c r="K371" s="357"/>
      <c r="L371" s="357"/>
      <c r="M371" s="377"/>
      <c r="N371" s="357"/>
      <c r="O371" s="357"/>
    </row>
    <row r="372" spans="1:22" ht="15" customHeight="1" x14ac:dyDescent="0.3">
      <c r="B372" s="401"/>
      <c r="C372" s="893" t="s">
        <v>47</v>
      </c>
      <c r="D372" s="894"/>
      <c r="E372" s="894"/>
      <c r="F372" s="895">
        <v>1</v>
      </c>
      <c r="G372" s="895"/>
      <c r="H372" s="895" t="s">
        <v>1385</v>
      </c>
      <c r="I372" s="896" t="str">
        <f>VLOOKUP(H372,tbl_KausiPitkaDivari[],2,FALSE)</f>
        <v>IV-Div</v>
      </c>
      <c r="J372" s="713"/>
      <c r="K372" s="357"/>
      <c r="L372" s="357"/>
      <c r="M372" s="377"/>
      <c r="N372" s="357"/>
      <c r="O372" s="357"/>
    </row>
    <row r="373" spans="1:22" ht="15" customHeight="1" x14ac:dyDescent="0.3">
      <c r="B373" s="401"/>
      <c r="C373" s="893" t="s">
        <v>2148</v>
      </c>
      <c r="D373" s="894"/>
      <c r="E373" s="894"/>
      <c r="F373" s="895">
        <v>1</v>
      </c>
      <c r="G373" s="895"/>
      <c r="H373" s="895" t="s">
        <v>2372</v>
      </c>
      <c r="I373" s="896" t="str">
        <f>VLOOKUP(H373,tbl_KausiPitkaDivari[],2,FALSE)</f>
        <v>IV-Div+Kars</v>
      </c>
      <c r="J373" s="713"/>
      <c r="K373" s="357"/>
      <c r="L373" s="357"/>
      <c r="M373" s="377"/>
      <c r="N373" s="357"/>
      <c r="O373" s="357"/>
    </row>
    <row r="374" spans="1:22" ht="15" customHeight="1" x14ac:dyDescent="0.3">
      <c r="B374" s="401"/>
      <c r="C374" s="893" t="s">
        <v>2180</v>
      </c>
      <c r="D374" s="894"/>
      <c r="E374" s="894"/>
      <c r="F374" s="895">
        <v>1</v>
      </c>
      <c r="G374" s="895"/>
      <c r="H374" s="895" t="s">
        <v>2153</v>
      </c>
      <c r="I374" s="896" t="str">
        <f>VLOOKUP(H374,tbl_KausiPitkaDivari[],2,FALSE)</f>
        <v>IV-Div</v>
      </c>
      <c r="K374" s="357"/>
      <c r="L374" s="357"/>
      <c r="M374" s="377"/>
      <c r="N374" s="357"/>
      <c r="O374" s="357"/>
    </row>
    <row r="375" spans="1:22" ht="15" customHeight="1" x14ac:dyDescent="0.3">
      <c r="B375" s="401"/>
      <c r="C375" s="893" t="s">
        <v>1075</v>
      </c>
      <c r="D375" s="894"/>
      <c r="E375" s="894"/>
      <c r="F375" s="895">
        <v>1</v>
      </c>
      <c r="G375" s="895"/>
      <c r="H375" s="895" t="s">
        <v>1635</v>
      </c>
      <c r="I375" s="896" t="str">
        <f>VLOOKUP(H375,tbl_KausiPitkaDivari[],2,FALSE)</f>
        <v>IV-Div</v>
      </c>
      <c r="J375" s="713"/>
      <c r="K375" s="357"/>
      <c r="L375" s="357"/>
      <c r="M375" s="377"/>
      <c r="N375" s="357"/>
      <c r="O375" s="357"/>
    </row>
    <row r="376" spans="1:22" ht="15" customHeight="1" x14ac:dyDescent="0.3">
      <c r="B376" s="401"/>
      <c r="C376" s="893" t="s">
        <v>2804</v>
      </c>
      <c r="D376" s="894"/>
      <c r="E376" s="894"/>
      <c r="F376" s="895">
        <v>1</v>
      </c>
      <c r="G376" s="895"/>
      <c r="H376" s="895" t="s">
        <v>2489</v>
      </c>
      <c r="I376" s="896" t="str">
        <f>VLOOKUP(H376,tbl_KausiPitkaDivari[],2,FALSE)</f>
        <v>III-Div</v>
      </c>
      <c r="J376" s="713" t="s">
        <v>1685</v>
      </c>
      <c r="K376" s="357"/>
      <c r="L376" s="357"/>
      <c r="M376" s="377"/>
      <c r="N376" s="357"/>
      <c r="O376" s="357"/>
    </row>
    <row r="377" spans="1:22" ht="15" customHeight="1" x14ac:dyDescent="0.3">
      <c r="B377" s="401"/>
      <c r="C377" s="839" t="s">
        <v>509</v>
      </c>
      <c r="D377" s="840"/>
      <c r="E377" s="840"/>
      <c r="F377" s="841">
        <v>0</v>
      </c>
      <c r="G377" s="841"/>
      <c r="H377" s="841" t="s">
        <v>2152</v>
      </c>
      <c r="I377" s="842" t="str">
        <f>VLOOKUP(H377,tbl_KausiPitkaDivari[],2,FALSE)</f>
        <v>III-Div+Kars</v>
      </c>
      <c r="J377" s="713"/>
      <c r="K377" s="357"/>
      <c r="L377" s="357"/>
      <c r="M377" s="377"/>
      <c r="N377" s="357"/>
      <c r="O377" s="357"/>
    </row>
    <row r="378" spans="1:22" ht="15" customHeight="1" x14ac:dyDescent="0.3">
      <c r="B378" s="401"/>
      <c r="C378" s="839" t="s">
        <v>509</v>
      </c>
      <c r="D378" s="840"/>
      <c r="E378" s="840"/>
      <c r="F378" s="841">
        <v>0</v>
      </c>
      <c r="G378" s="841"/>
      <c r="H378" s="841" t="s">
        <v>2006</v>
      </c>
      <c r="I378" s="842" t="str">
        <f>VLOOKUP(H378,tbl_KausiPitkaDivari[],2,FALSE)</f>
        <v>IV-Div+Cup</v>
      </c>
      <c r="J378" s="713"/>
      <c r="K378" s="357"/>
      <c r="L378" s="357"/>
      <c r="M378" s="377"/>
      <c r="N378" s="357"/>
      <c r="O378" s="357"/>
    </row>
    <row r="379" spans="1:22" ht="15" customHeight="1" x14ac:dyDescent="0.3">
      <c r="B379" s="401"/>
      <c r="C379" s="839" t="s">
        <v>509</v>
      </c>
      <c r="D379" s="840"/>
      <c r="E379" s="840"/>
      <c r="F379" s="841">
        <v>0</v>
      </c>
      <c r="G379" s="841"/>
      <c r="H379" s="841" t="s">
        <v>1818</v>
      </c>
      <c r="I379" s="842" t="str">
        <f>VLOOKUP(H379,tbl_KausiPitkaDivari[],2,FALSE)</f>
        <v>IV-Div+Kars</v>
      </c>
      <c r="J379" s="713"/>
      <c r="K379" s="357"/>
      <c r="L379" s="357"/>
      <c r="M379" s="377"/>
      <c r="N379" s="357"/>
      <c r="O379" s="357"/>
    </row>
    <row r="380" spans="1:22" s="56" customFormat="1" ht="15" customHeight="1" x14ac:dyDescent="0.3">
      <c r="A380" s="524"/>
      <c r="B380" s="529"/>
      <c r="C380" s="839" t="s">
        <v>509</v>
      </c>
      <c r="D380" s="840"/>
      <c r="E380" s="840"/>
      <c r="F380" s="841">
        <v>0</v>
      </c>
      <c r="G380" s="841"/>
      <c r="H380" s="841" t="s">
        <v>297</v>
      </c>
      <c r="I380" s="842" t="str">
        <f>VLOOKUP(H380,tbl_KausiPitkaDivari[],2,FALSE)</f>
        <v>V-Div</v>
      </c>
      <c r="J380" s="713"/>
      <c r="K380" s="524"/>
      <c r="L380" s="524"/>
      <c r="M380" s="546"/>
      <c r="N380" s="524"/>
      <c r="O380" s="524"/>
      <c r="P380" s="524"/>
      <c r="Q380" s="524"/>
      <c r="R380" s="524"/>
      <c r="S380" s="524"/>
      <c r="T380" s="524"/>
      <c r="U380" s="524"/>
      <c r="V380" s="524"/>
    </row>
    <row r="381" spans="1:22" s="56" customFormat="1" ht="15" customHeight="1" x14ac:dyDescent="0.3">
      <c r="A381" s="524"/>
      <c r="B381" s="529"/>
      <c r="C381" s="839" t="s">
        <v>509</v>
      </c>
      <c r="D381" s="840"/>
      <c r="E381" s="840"/>
      <c r="F381" s="841">
        <v>0</v>
      </c>
      <c r="G381" s="841"/>
      <c r="H381" s="841" t="s">
        <v>1513</v>
      </c>
      <c r="I381" s="842" t="str">
        <f>VLOOKUP(H381,tbl_KausiPitkaDivari[],2,FALSE)</f>
        <v>IV-Div</v>
      </c>
      <c r="J381" s="713"/>
      <c r="K381" s="524"/>
      <c r="L381" s="524"/>
      <c r="M381" s="546"/>
      <c r="N381" s="524"/>
      <c r="O381" s="524"/>
      <c r="P381" s="524"/>
      <c r="Q381" s="524"/>
      <c r="R381" s="524"/>
      <c r="S381" s="524"/>
      <c r="T381" s="524"/>
      <c r="U381" s="524"/>
      <c r="V381" s="524"/>
    </row>
    <row r="382" spans="1:22" s="56" customFormat="1" ht="15" customHeight="1" x14ac:dyDescent="0.3">
      <c r="A382" s="524"/>
      <c r="B382" s="529"/>
      <c r="C382" s="839" t="s">
        <v>509</v>
      </c>
      <c r="D382" s="840"/>
      <c r="E382" s="840"/>
      <c r="F382" s="841">
        <v>0</v>
      </c>
      <c r="G382" s="841"/>
      <c r="H382" s="841" t="s">
        <v>584</v>
      </c>
      <c r="I382" s="842" t="str">
        <f>VLOOKUP(H382,tbl_KausiPitkaDivari[],2,FALSE)</f>
        <v>IV-Div</v>
      </c>
      <c r="J382" s="713"/>
      <c r="K382" s="524"/>
      <c r="L382" s="524"/>
      <c r="M382" s="546"/>
      <c r="N382" s="524"/>
      <c r="O382" s="524"/>
      <c r="P382" s="524"/>
      <c r="Q382" s="524"/>
      <c r="R382" s="524"/>
      <c r="S382" s="524"/>
      <c r="T382" s="524"/>
      <c r="U382" s="524"/>
      <c r="V382" s="524"/>
    </row>
    <row r="383" spans="1:22" s="56" customFormat="1" ht="15" customHeight="1" x14ac:dyDescent="0.3">
      <c r="A383" s="524"/>
      <c r="B383" s="529"/>
      <c r="C383" s="839" t="s">
        <v>509</v>
      </c>
      <c r="D383" s="840"/>
      <c r="E383" s="840"/>
      <c r="F383" s="841">
        <v>0</v>
      </c>
      <c r="G383" s="841"/>
      <c r="H383" s="841" t="s">
        <v>754</v>
      </c>
      <c r="I383" s="842" t="str">
        <f>VLOOKUP(H383,tbl_KausiPitkaDivari[],2,FALSE)</f>
        <v>IV-Div</v>
      </c>
      <c r="J383" s="713"/>
      <c r="K383" s="524"/>
      <c r="L383" s="524"/>
      <c r="M383" s="546"/>
      <c r="N383" s="524"/>
      <c r="O383" s="524"/>
      <c r="P383" s="524"/>
      <c r="Q383" s="524"/>
      <c r="R383" s="524"/>
      <c r="S383" s="524"/>
      <c r="T383" s="524"/>
      <c r="U383" s="524"/>
      <c r="V383" s="524"/>
    </row>
    <row r="384" spans="1:22" s="56" customFormat="1" ht="15" customHeight="1" x14ac:dyDescent="0.3">
      <c r="A384" s="524"/>
      <c r="B384" s="529"/>
      <c r="C384" s="843" t="s">
        <v>509</v>
      </c>
      <c r="D384" s="844"/>
      <c r="E384" s="844"/>
      <c r="F384" s="845">
        <v>0</v>
      </c>
      <c r="G384" s="845"/>
      <c r="H384" s="845" t="s">
        <v>1490</v>
      </c>
      <c r="I384" s="846" t="str">
        <f>VLOOKUP(H384,tbl_KausiPitkaDivari[],2,FALSE)</f>
        <v>IV-Div</v>
      </c>
      <c r="J384" s="357"/>
      <c r="K384" s="524"/>
      <c r="L384" s="524"/>
      <c r="M384" s="546"/>
      <c r="N384" s="524"/>
      <c r="O384" s="524"/>
      <c r="P384" s="524"/>
      <c r="Q384" s="524"/>
      <c r="R384" s="524"/>
      <c r="S384" s="524"/>
      <c r="T384" s="524"/>
      <c r="U384" s="524"/>
      <c r="V384" s="524"/>
    </row>
    <row r="385" spans="1:22" ht="15" customHeight="1" x14ac:dyDescent="0.3">
      <c r="B385" s="401"/>
      <c r="C385" s="357"/>
      <c r="D385" s="357"/>
      <c r="E385" s="357"/>
      <c r="F385" s="357"/>
      <c r="G385" s="358"/>
      <c r="H385" s="358"/>
      <c r="I385" s="357"/>
      <c r="J385" s="357"/>
      <c r="K385" s="357"/>
      <c r="L385" s="357"/>
      <c r="M385" s="377"/>
      <c r="N385" s="357"/>
      <c r="O385" s="357"/>
    </row>
    <row r="386" spans="1:22" ht="15" customHeight="1" x14ac:dyDescent="0.3">
      <c r="B386" s="401"/>
      <c r="C386" s="357"/>
      <c r="D386" s="357"/>
      <c r="E386" s="357"/>
      <c r="F386" s="357"/>
      <c r="G386" s="358"/>
      <c r="H386" s="358"/>
      <c r="I386" s="357"/>
      <c r="J386" s="357"/>
      <c r="K386" s="357"/>
      <c r="L386" s="357"/>
      <c r="M386" s="377"/>
      <c r="N386" s="357"/>
      <c r="O386" s="357"/>
    </row>
    <row r="387" spans="1:22" ht="15" customHeight="1" x14ac:dyDescent="0.3">
      <c r="B387" s="475" t="s">
        <v>1785</v>
      </c>
      <c r="D387" s="357"/>
      <c r="E387" s="357"/>
      <c r="F387" s="357"/>
      <c r="G387" s="358"/>
      <c r="H387" s="358"/>
      <c r="I387" s="357"/>
      <c r="J387" s="357"/>
      <c r="K387" s="357"/>
      <c r="L387" s="357"/>
      <c r="M387" s="377"/>
      <c r="N387" s="357"/>
      <c r="O387" s="357"/>
    </row>
    <row r="388" spans="1:22" ht="15" customHeight="1" x14ac:dyDescent="0.3">
      <c r="B388" s="401"/>
      <c r="C388" s="357"/>
      <c r="D388" s="357"/>
      <c r="E388" s="357"/>
      <c r="F388" s="357"/>
      <c r="G388" s="358"/>
      <c r="H388" s="358"/>
      <c r="I388" s="357"/>
      <c r="J388" s="357"/>
      <c r="K388" s="357"/>
      <c r="L388" s="357"/>
      <c r="M388" s="377"/>
      <c r="N388" s="357"/>
      <c r="O388" s="357"/>
    </row>
    <row r="389" spans="1:22" ht="15" customHeight="1" x14ac:dyDescent="0.3">
      <c r="B389" s="401"/>
      <c r="C389" s="831" t="s">
        <v>185</v>
      </c>
      <c r="D389" s="832"/>
      <c r="E389" s="832"/>
      <c r="F389" s="833">
        <v>4</v>
      </c>
      <c r="G389" s="833"/>
      <c r="H389" s="833" t="s">
        <v>754</v>
      </c>
      <c r="I389" s="834" t="str">
        <f>VLOOKUP(H389,tbl_KausiPitkaDivari[],2,FALSE)</f>
        <v>IV-Div</v>
      </c>
      <c r="J389" s="357"/>
      <c r="K389" s="357"/>
      <c r="L389" s="357"/>
      <c r="M389" s="377"/>
      <c r="N389" s="357"/>
      <c r="O389" s="357"/>
    </row>
    <row r="390" spans="1:22" ht="15" customHeight="1" x14ac:dyDescent="0.3">
      <c r="B390" s="401"/>
      <c r="C390" s="932" t="s">
        <v>50</v>
      </c>
      <c r="D390" s="933"/>
      <c r="E390" s="933"/>
      <c r="F390" s="934">
        <v>4</v>
      </c>
      <c r="G390" s="934"/>
      <c r="H390" s="934" t="s">
        <v>2372</v>
      </c>
      <c r="I390" s="892" t="str">
        <f>VLOOKUP(H390,tbl_KausiPitkaDivari[],2,FALSE)</f>
        <v>IV-Div+Kars</v>
      </c>
      <c r="J390" s="713"/>
      <c r="K390" s="357"/>
      <c r="L390" s="357"/>
      <c r="M390" s="377"/>
      <c r="N390" s="357"/>
      <c r="O390" s="357"/>
    </row>
    <row r="391" spans="1:22" s="140" customFormat="1" ht="15" customHeight="1" x14ac:dyDescent="0.3">
      <c r="A391" s="519"/>
      <c r="B391" s="529"/>
      <c r="C391" s="835" t="s">
        <v>56</v>
      </c>
      <c r="D391" s="836"/>
      <c r="E391" s="836"/>
      <c r="F391" s="837">
        <v>3</v>
      </c>
      <c r="G391" s="837"/>
      <c r="H391" s="837" t="s">
        <v>83</v>
      </c>
      <c r="I391" s="838" t="str">
        <f>VLOOKUP(H391,tbl_KausiPitkaDivari[],2,FALSE)</f>
        <v>V-Div</v>
      </c>
      <c r="J391" s="357"/>
      <c r="K391" s="519"/>
      <c r="L391" s="519"/>
      <c r="M391" s="421"/>
      <c r="N391" s="519"/>
      <c r="O391" s="519"/>
      <c r="P391" s="519"/>
      <c r="Q391" s="519"/>
      <c r="R391" s="519"/>
      <c r="S391" s="519"/>
      <c r="T391" s="519"/>
      <c r="U391" s="519"/>
      <c r="V391" s="519"/>
    </row>
    <row r="392" spans="1:22" s="31" customFormat="1" ht="15" customHeight="1" x14ac:dyDescent="0.3">
      <c r="A392" s="520"/>
      <c r="B392" s="529"/>
      <c r="C392" s="839" t="s">
        <v>56</v>
      </c>
      <c r="D392" s="840"/>
      <c r="E392" s="840"/>
      <c r="F392" s="841">
        <v>3</v>
      </c>
      <c r="G392" s="841"/>
      <c r="H392" s="841" t="s">
        <v>297</v>
      </c>
      <c r="I392" s="842" t="str">
        <f>VLOOKUP(H392,tbl_KausiPitkaDivari[],2,FALSE)</f>
        <v>V-Div</v>
      </c>
      <c r="J392" s="713"/>
      <c r="K392" s="520"/>
      <c r="L392" s="520"/>
      <c r="M392" s="531"/>
      <c r="N392" s="520"/>
      <c r="O392" s="520"/>
      <c r="P392" s="520"/>
      <c r="Q392" s="520"/>
      <c r="R392" s="520"/>
      <c r="S392" s="520"/>
      <c r="T392" s="520"/>
      <c r="U392" s="520"/>
      <c r="V392" s="520"/>
    </row>
    <row r="393" spans="1:22" s="31" customFormat="1" ht="15" customHeight="1" x14ac:dyDescent="0.3">
      <c r="A393" s="520"/>
      <c r="B393" s="529"/>
      <c r="C393" s="839" t="s">
        <v>673</v>
      </c>
      <c r="D393" s="840"/>
      <c r="E393" s="840"/>
      <c r="F393" s="841">
        <v>3</v>
      </c>
      <c r="G393" s="841"/>
      <c r="H393" s="841" t="s">
        <v>977</v>
      </c>
      <c r="I393" s="842" t="str">
        <f>VLOOKUP(H393,tbl_KausiPitkaDivari[],2,FALSE)</f>
        <v>V-Div</v>
      </c>
      <c r="J393" s="713"/>
      <c r="K393" s="520"/>
      <c r="L393" s="520"/>
      <c r="M393" s="531"/>
      <c r="N393" s="520"/>
      <c r="O393" s="520"/>
      <c r="P393" s="520"/>
      <c r="Q393" s="520"/>
      <c r="R393" s="520"/>
      <c r="S393" s="520"/>
      <c r="T393" s="520"/>
      <c r="U393" s="520"/>
      <c r="V393" s="520"/>
    </row>
    <row r="394" spans="1:22" s="31" customFormat="1" ht="15" customHeight="1" x14ac:dyDescent="0.3">
      <c r="A394" s="520"/>
      <c r="B394" s="529"/>
      <c r="C394" s="839" t="s">
        <v>185</v>
      </c>
      <c r="D394" s="840"/>
      <c r="E394" s="840"/>
      <c r="F394" s="841">
        <v>3</v>
      </c>
      <c r="G394" s="841"/>
      <c r="H394" s="841" t="s">
        <v>1385</v>
      </c>
      <c r="I394" s="842" t="str">
        <f>VLOOKUP(H394,tbl_KausiPitkaDivari[],2,FALSE)</f>
        <v>IV-Div</v>
      </c>
      <c r="J394" s="713"/>
      <c r="K394" s="520"/>
      <c r="L394" s="520"/>
      <c r="M394" s="531"/>
      <c r="N394" s="520"/>
      <c r="O394" s="520"/>
      <c r="P394" s="520"/>
      <c r="Q394" s="520"/>
      <c r="R394" s="520"/>
      <c r="S394" s="520"/>
      <c r="T394" s="520"/>
      <c r="U394" s="520"/>
      <c r="V394" s="520"/>
    </row>
    <row r="395" spans="1:22" s="31" customFormat="1" ht="15" customHeight="1" x14ac:dyDescent="0.3">
      <c r="A395" s="520"/>
      <c r="B395" s="529"/>
      <c r="C395" s="839" t="s">
        <v>1075</v>
      </c>
      <c r="D395" s="840"/>
      <c r="E395" s="840"/>
      <c r="F395" s="841">
        <v>3</v>
      </c>
      <c r="G395" s="841"/>
      <c r="H395" s="841" t="s">
        <v>1818</v>
      </c>
      <c r="I395" s="842" t="str">
        <f>VLOOKUP(H395,tbl_KausiPitkaDivari[],2,FALSE)</f>
        <v>IV-Div+Kars</v>
      </c>
      <c r="J395" s="713"/>
      <c r="K395" s="520"/>
      <c r="L395" s="520"/>
      <c r="M395" s="531"/>
      <c r="N395" s="520"/>
      <c r="O395" s="520"/>
      <c r="P395" s="520"/>
      <c r="Q395" s="520"/>
      <c r="R395" s="520"/>
      <c r="S395" s="520"/>
      <c r="T395" s="520"/>
      <c r="U395" s="520"/>
      <c r="V395" s="520"/>
    </row>
    <row r="396" spans="1:22" s="31" customFormat="1" ht="15" customHeight="1" x14ac:dyDescent="0.3">
      <c r="A396" s="520"/>
      <c r="B396" s="529"/>
      <c r="C396" s="839" t="s">
        <v>1075</v>
      </c>
      <c r="D396" s="840"/>
      <c r="E396" s="840"/>
      <c r="F396" s="841">
        <v>2</v>
      </c>
      <c r="G396" s="841"/>
      <c r="H396" s="841" t="s">
        <v>1102</v>
      </c>
      <c r="I396" s="842" t="str">
        <f>VLOOKUP(H396,tbl_KausiPitkaDivari[],2,FALSE)</f>
        <v>IV-Div</v>
      </c>
      <c r="J396" s="713"/>
      <c r="K396" s="520"/>
      <c r="L396" s="520"/>
      <c r="M396" s="531"/>
      <c r="N396" s="520"/>
      <c r="O396" s="520"/>
      <c r="P396" s="520"/>
      <c r="Q396" s="520"/>
      <c r="R396" s="520"/>
      <c r="S396" s="520"/>
      <c r="T396" s="520"/>
      <c r="U396" s="520"/>
      <c r="V396" s="520"/>
    </row>
    <row r="397" spans="1:22" s="31" customFormat="1" ht="15" customHeight="1" x14ac:dyDescent="0.3">
      <c r="A397" s="520"/>
      <c r="B397" s="529"/>
      <c r="C397" s="839" t="s">
        <v>1075</v>
      </c>
      <c r="D397" s="840"/>
      <c r="E397" s="840"/>
      <c r="F397" s="841">
        <v>2</v>
      </c>
      <c r="G397" s="841"/>
      <c r="H397" s="841" t="s">
        <v>1490</v>
      </c>
      <c r="I397" s="842" t="str">
        <f>VLOOKUP(H397,tbl_KausiPitkaDivari[],2,FALSE)</f>
        <v>IV-Div</v>
      </c>
      <c r="J397" s="713"/>
      <c r="K397" s="520"/>
      <c r="L397" s="520"/>
      <c r="M397" s="520"/>
      <c r="N397" s="520"/>
      <c r="O397" s="520"/>
      <c r="P397" s="520"/>
      <c r="Q397" s="520"/>
      <c r="R397" s="520"/>
      <c r="S397" s="520"/>
      <c r="T397" s="520"/>
      <c r="U397" s="520"/>
      <c r="V397" s="520"/>
    </row>
    <row r="398" spans="1:22" s="31" customFormat="1" ht="15" customHeight="1" x14ac:dyDescent="0.3">
      <c r="A398" s="520"/>
      <c r="B398" s="529"/>
      <c r="C398" s="839" t="s">
        <v>2093</v>
      </c>
      <c r="D398" s="840"/>
      <c r="E398" s="840"/>
      <c r="F398" s="841">
        <v>2</v>
      </c>
      <c r="G398" s="841"/>
      <c r="H398" s="841" t="s">
        <v>2006</v>
      </c>
      <c r="I398" s="842" t="str">
        <f>VLOOKUP(H398,tbl_KausiPitkaDivari[],2,FALSE)</f>
        <v>IV-Div+Cup</v>
      </c>
      <c r="J398" s="713"/>
      <c r="K398" s="520"/>
      <c r="L398" s="520"/>
      <c r="M398" s="520"/>
      <c r="N398" s="520"/>
      <c r="O398" s="520"/>
      <c r="P398" s="520"/>
      <c r="Q398" s="520"/>
      <c r="R398" s="520"/>
      <c r="S398" s="520"/>
      <c r="T398" s="520"/>
      <c r="U398" s="520"/>
      <c r="V398" s="520"/>
    </row>
    <row r="399" spans="1:22" s="31" customFormat="1" ht="15" customHeight="1" x14ac:dyDescent="0.3">
      <c r="A399" s="520"/>
      <c r="B399" s="529"/>
      <c r="C399" s="839" t="s">
        <v>2805</v>
      </c>
      <c r="D399" s="840"/>
      <c r="E399" s="840"/>
      <c r="F399" s="841">
        <v>2</v>
      </c>
      <c r="G399" s="841"/>
      <c r="H399" s="841" t="s">
        <v>2489</v>
      </c>
      <c r="I399" s="842" t="str">
        <f>VLOOKUP(H399,tbl_KausiPitkaDivari[],2,FALSE)</f>
        <v>III-Div</v>
      </c>
      <c r="J399" s="713" t="s">
        <v>1685</v>
      </c>
      <c r="K399" s="520"/>
      <c r="L399" s="520"/>
      <c r="M399" s="520"/>
      <c r="N399" s="520"/>
      <c r="O399" s="520"/>
      <c r="P399" s="520"/>
      <c r="Q399" s="520"/>
      <c r="R399" s="520"/>
      <c r="S399" s="520"/>
      <c r="T399" s="520"/>
      <c r="U399" s="520"/>
      <c r="V399" s="520"/>
    </row>
    <row r="400" spans="1:22" s="31" customFormat="1" ht="15" customHeight="1" x14ac:dyDescent="0.3">
      <c r="A400" s="520"/>
      <c r="B400" s="529"/>
      <c r="C400" s="839" t="s">
        <v>2180</v>
      </c>
      <c r="D400" s="840"/>
      <c r="E400" s="840"/>
      <c r="F400" s="841">
        <v>1</v>
      </c>
      <c r="G400" s="841"/>
      <c r="H400" s="841" t="s">
        <v>2152</v>
      </c>
      <c r="I400" s="842" t="str">
        <f>VLOOKUP(H400,tbl_KausiPitkaDivari[],2,FALSE)</f>
        <v>III-Div+Kars</v>
      </c>
      <c r="J400" s="713"/>
      <c r="K400" s="520"/>
      <c r="L400" s="520"/>
      <c r="M400" s="520"/>
      <c r="N400" s="520"/>
      <c r="O400" s="520"/>
      <c r="P400" s="520"/>
      <c r="Q400" s="520"/>
      <c r="R400" s="520"/>
      <c r="S400" s="520"/>
      <c r="T400" s="520"/>
      <c r="U400" s="520"/>
      <c r="V400" s="520"/>
    </row>
    <row r="401" spans="1:22" s="31" customFormat="1" ht="15" customHeight="1" x14ac:dyDescent="0.2">
      <c r="A401" s="520"/>
      <c r="B401" s="529"/>
      <c r="C401" s="839" t="s">
        <v>2352</v>
      </c>
      <c r="D401" s="840"/>
      <c r="E401" s="840"/>
      <c r="F401" s="841">
        <v>1</v>
      </c>
      <c r="G401" s="841"/>
      <c r="H401" s="841" t="s">
        <v>2153</v>
      </c>
      <c r="I401" s="842" t="str">
        <f>VLOOKUP(H401,tbl_KausiPitkaDivari[],2,FALSE)</f>
        <v>IV-Div</v>
      </c>
      <c r="K401" s="520"/>
      <c r="L401" s="520"/>
      <c r="M401" s="520"/>
      <c r="N401" s="520"/>
      <c r="O401" s="520"/>
      <c r="P401" s="520"/>
      <c r="Q401" s="520"/>
      <c r="R401" s="520"/>
      <c r="S401" s="520"/>
      <c r="T401" s="520"/>
      <c r="U401" s="520"/>
      <c r="V401" s="520"/>
    </row>
    <row r="402" spans="1:22" s="31" customFormat="1" ht="15" customHeight="1" x14ac:dyDescent="0.3">
      <c r="A402" s="520"/>
      <c r="B402" s="529"/>
      <c r="C402" s="839" t="s">
        <v>1752</v>
      </c>
      <c r="D402" s="840"/>
      <c r="E402" s="840"/>
      <c r="F402" s="841">
        <v>1</v>
      </c>
      <c r="G402" s="841"/>
      <c r="H402" s="841" t="s">
        <v>1635</v>
      </c>
      <c r="I402" s="842" t="str">
        <f>VLOOKUP(H402,tbl_KausiPitkaDivari[],2,FALSE)</f>
        <v>IV-Div</v>
      </c>
      <c r="J402" s="713"/>
      <c r="K402" s="520"/>
      <c r="L402" s="520"/>
      <c r="M402" s="520"/>
      <c r="N402" s="520"/>
      <c r="O402" s="520"/>
      <c r="P402" s="520"/>
      <c r="Q402" s="520"/>
      <c r="R402" s="520"/>
      <c r="S402" s="520"/>
      <c r="T402" s="520"/>
      <c r="U402" s="520"/>
      <c r="V402" s="520"/>
    </row>
    <row r="403" spans="1:22" s="31" customFormat="1" ht="15" customHeight="1" x14ac:dyDescent="0.3">
      <c r="A403" s="520"/>
      <c r="B403" s="529"/>
      <c r="C403" s="839" t="s">
        <v>1786</v>
      </c>
      <c r="D403" s="840"/>
      <c r="E403" s="840"/>
      <c r="F403" s="841">
        <v>1</v>
      </c>
      <c r="G403" s="841"/>
      <c r="H403" s="841" t="s">
        <v>1513</v>
      </c>
      <c r="I403" s="842" t="str">
        <f>VLOOKUP(H403,tbl_KausiPitkaDivari[],2,FALSE)</f>
        <v>IV-Div</v>
      </c>
      <c r="J403" s="713"/>
      <c r="K403" s="520"/>
      <c r="L403" s="520"/>
      <c r="M403" s="520"/>
      <c r="N403" s="520"/>
      <c r="O403" s="520"/>
      <c r="P403" s="520"/>
      <c r="Q403" s="520"/>
      <c r="R403" s="520"/>
      <c r="S403" s="520"/>
      <c r="T403" s="520"/>
      <c r="U403" s="520"/>
      <c r="V403" s="520"/>
    </row>
    <row r="404" spans="1:22" s="31" customFormat="1" ht="15" customHeight="1" x14ac:dyDescent="0.3">
      <c r="A404" s="520"/>
      <c r="B404" s="529"/>
      <c r="C404" s="839" t="s">
        <v>677</v>
      </c>
      <c r="D404" s="840"/>
      <c r="E404" s="840"/>
      <c r="F404" s="841">
        <v>1</v>
      </c>
      <c r="G404" s="841"/>
      <c r="H404" s="841" t="s">
        <v>874</v>
      </c>
      <c r="I404" s="842" t="str">
        <f>VLOOKUP(H404,tbl_KausiPitkaDivari[],2,FALSE)</f>
        <v>IV-Div</v>
      </c>
      <c r="J404" s="713"/>
      <c r="K404" s="520"/>
      <c r="L404" s="520"/>
      <c r="M404" s="520"/>
      <c r="N404" s="520"/>
      <c r="O404" s="520"/>
      <c r="P404" s="520"/>
      <c r="Q404" s="520"/>
      <c r="R404" s="520"/>
      <c r="S404" s="520"/>
      <c r="T404" s="520"/>
      <c r="U404" s="520"/>
      <c r="V404" s="520"/>
    </row>
    <row r="405" spans="1:22" s="56" customFormat="1" ht="15" customHeight="1" x14ac:dyDescent="0.3">
      <c r="A405" s="524"/>
      <c r="B405" s="529"/>
      <c r="C405" s="839" t="s">
        <v>182</v>
      </c>
      <c r="D405" s="840"/>
      <c r="E405" s="840"/>
      <c r="F405" s="841">
        <v>1</v>
      </c>
      <c r="G405" s="841"/>
      <c r="H405" s="841" t="s">
        <v>207</v>
      </c>
      <c r="I405" s="842" t="str">
        <f>VLOOKUP(H405,tbl_KausiPitkaDivari[],2,FALSE)</f>
        <v>IV-Div</v>
      </c>
      <c r="J405" s="713"/>
      <c r="K405" s="524"/>
      <c r="L405" s="524"/>
      <c r="M405" s="524"/>
      <c r="N405" s="524"/>
      <c r="O405" s="524"/>
      <c r="P405" s="524"/>
      <c r="Q405" s="524"/>
      <c r="R405" s="524"/>
      <c r="S405" s="524"/>
      <c r="T405" s="524"/>
      <c r="U405" s="524"/>
      <c r="V405" s="524"/>
    </row>
    <row r="406" spans="1:22" s="56" customFormat="1" ht="15" customHeight="1" x14ac:dyDescent="0.3">
      <c r="A406" s="524"/>
      <c r="B406" s="529"/>
      <c r="C406" s="843" t="s">
        <v>56</v>
      </c>
      <c r="D406" s="844"/>
      <c r="E406" s="844"/>
      <c r="F406" s="845">
        <v>1</v>
      </c>
      <c r="G406" s="845"/>
      <c r="H406" s="845" t="s">
        <v>584</v>
      </c>
      <c r="I406" s="846" t="str">
        <f>VLOOKUP(H406,tbl_KausiPitkaDivari[],2,FALSE)</f>
        <v>IV-Div</v>
      </c>
      <c r="J406" s="357"/>
      <c r="K406" s="524"/>
      <c r="L406" s="524"/>
      <c r="M406" s="524"/>
      <c r="N406" s="524"/>
      <c r="O406" s="524"/>
      <c r="P406" s="524"/>
      <c r="Q406" s="524"/>
      <c r="R406" s="524"/>
      <c r="S406" s="524"/>
      <c r="T406" s="524"/>
      <c r="U406" s="524"/>
      <c r="V406" s="524"/>
    </row>
    <row r="407" spans="1:22" ht="15" customHeight="1" x14ac:dyDescent="0.3">
      <c r="B407" s="401"/>
      <c r="C407" s="357"/>
      <c r="D407" s="357"/>
      <c r="E407" s="357"/>
      <c r="F407" s="357"/>
      <c r="G407" s="358"/>
      <c r="H407" s="358"/>
      <c r="I407" s="357"/>
      <c r="J407" s="357"/>
      <c r="K407" s="357"/>
      <c r="L407" s="357"/>
      <c r="M407" s="377"/>
      <c r="N407" s="357"/>
      <c r="O407" s="357"/>
    </row>
    <row r="408" spans="1:22" ht="15" customHeight="1" x14ac:dyDescent="0.3">
      <c r="B408" s="401"/>
      <c r="C408" s="357"/>
      <c r="D408" s="357"/>
      <c r="E408" s="357"/>
      <c r="F408" s="357"/>
      <c r="G408" s="358"/>
      <c r="H408" s="358"/>
      <c r="I408" s="357"/>
      <c r="J408" s="357"/>
      <c r="K408" s="357"/>
      <c r="L408" s="357"/>
      <c r="M408" s="377"/>
      <c r="N408" s="357"/>
      <c r="O408" s="357"/>
    </row>
    <row r="409" spans="1:22" ht="15" customHeight="1" x14ac:dyDescent="0.3">
      <c r="B409" s="475" t="s">
        <v>1787</v>
      </c>
      <c r="D409" s="357"/>
      <c r="E409" s="357"/>
      <c r="F409" s="357"/>
      <c r="G409" s="358"/>
      <c r="H409" s="358"/>
      <c r="I409" s="357"/>
      <c r="J409" s="357"/>
      <c r="K409" s="357"/>
      <c r="L409" s="357"/>
      <c r="M409" s="377"/>
      <c r="N409" s="357"/>
      <c r="O409" s="357"/>
    </row>
    <row r="410" spans="1:22" ht="15" customHeight="1" x14ac:dyDescent="0.3">
      <c r="B410" s="401"/>
      <c r="C410" s="357"/>
      <c r="D410" s="357"/>
      <c r="E410" s="357"/>
      <c r="F410" s="357"/>
      <c r="G410" s="358"/>
      <c r="H410" s="358"/>
      <c r="I410" s="357"/>
      <c r="J410" s="357"/>
      <c r="K410" s="357"/>
      <c r="L410" s="357"/>
      <c r="M410" s="377"/>
      <c r="N410" s="357"/>
      <c r="O410" s="357"/>
    </row>
    <row r="411" spans="1:22" ht="15" customHeight="1" x14ac:dyDescent="0.3">
      <c r="B411" s="401"/>
      <c r="C411" s="831" t="s">
        <v>185</v>
      </c>
      <c r="D411" s="832"/>
      <c r="E411" s="832"/>
      <c r="F411" s="833" t="s">
        <v>770</v>
      </c>
      <c r="G411" s="833"/>
      <c r="H411" s="833" t="s">
        <v>754</v>
      </c>
      <c r="I411" s="834" t="str">
        <f>VLOOKUP(H411,tbl_KausiPitkaDivari[],2,FALSE)</f>
        <v>IV-Div</v>
      </c>
      <c r="J411" s="713"/>
      <c r="K411" s="357"/>
      <c r="L411" s="357"/>
      <c r="M411" s="377"/>
      <c r="N411" s="357"/>
      <c r="O411" s="357"/>
    </row>
    <row r="412" spans="1:22" ht="15" customHeight="1" x14ac:dyDescent="0.3">
      <c r="B412" s="401"/>
      <c r="C412" s="932" t="s">
        <v>1944</v>
      </c>
      <c r="D412" s="933"/>
      <c r="E412" s="933"/>
      <c r="F412" s="1052" t="s">
        <v>770</v>
      </c>
      <c r="G412" s="934"/>
      <c r="H412" s="934" t="s">
        <v>2006</v>
      </c>
      <c r="I412" s="1051" t="str">
        <f>VLOOKUP(H412,tbl_KausiPitkaDivari[],2,FALSE)</f>
        <v>IV-Div+Cup</v>
      </c>
      <c r="J412" s="713"/>
      <c r="K412" s="357"/>
      <c r="L412" s="357"/>
      <c r="M412" s="377"/>
      <c r="N412" s="357"/>
      <c r="O412" s="357"/>
    </row>
    <row r="413" spans="1:22" s="140" customFormat="1" ht="15" customHeight="1" x14ac:dyDescent="0.3">
      <c r="A413" s="519"/>
      <c r="B413" s="529"/>
      <c r="C413" s="839" t="s">
        <v>185</v>
      </c>
      <c r="D413" s="840"/>
      <c r="E413" s="840"/>
      <c r="F413" s="841" t="s">
        <v>582</v>
      </c>
      <c r="G413" s="841"/>
      <c r="H413" s="841" t="s">
        <v>584</v>
      </c>
      <c r="I413" s="842" t="str">
        <f>VLOOKUP(H413,tbl_KausiPitkaDivari[],2,FALSE)</f>
        <v>IV-Div</v>
      </c>
      <c r="J413" s="713"/>
      <c r="K413" s="519"/>
      <c r="L413" s="519"/>
      <c r="M413" s="421"/>
      <c r="N413" s="519"/>
      <c r="O413" s="519"/>
      <c r="P413" s="519"/>
      <c r="Q413" s="519"/>
      <c r="R413" s="519"/>
      <c r="S413" s="519"/>
      <c r="T413" s="519"/>
      <c r="U413" s="519"/>
      <c r="V413" s="519"/>
    </row>
    <row r="414" spans="1:22" s="140" customFormat="1" ht="15" customHeight="1" x14ac:dyDescent="0.3">
      <c r="A414" s="519"/>
      <c r="B414" s="529"/>
      <c r="C414" s="839" t="s">
        <v>50</v>
      </c>
      <c r="D414" s="840"/>
      <c r="E414" s="840"/>
      <c r="F414" s="841" t="s">
        <v>128</v>
      </c>
      <c r="G414" s="841"/>
      <c r="H414" s="841" t="s">
        <v>83</v>
      </c>
      <c r="I414" s="842" t="str">
        <f>VLOOKUP(H414,tbl_KausiPitkaDivari[],2,FALSE)</f>
        <v>V-Div</v>
      </c>
      <c r="J414" s="713"/>
      <c r="K414" s="519"/>
      <c r="L414" s="519"/>
      <c r="M414" s="421"/>
      <c r="N414" s="519"/>
      <c r="O414" s="519"/>
      <c r="P414" s="519"/>
      <c r="Q414" s="519"/>
      <c r="R414" s="519"/>
      <c r="S414" s="519"/>
      <c r="T414" s="519"/>
      <c r="U414" s="519"/>
      <c r="V414" s="519"/>
    </row>
    <row r="415" spans="1:22" s="140" customFormat="1" ht="15" customHeight="1" x14ac:dyDescent="0.3">
      <c r="A415" s="519"/>
      <c r="B415" s="529"/>
      <c r="C415" s="839" t="s">
        <v>185</v>
      </c>
      <c r="D415" s="840"/>
      <c r="E415" s="840"/>
      <c r="F415" s="841" t="s">
        <v>128</v>
      </c>
      <c r="G415" s="841"/>
      <c r="H415" s="841" t="s">
        <v>1102</v>
      </c>
      <c r="I415" s="842" t="str">
        <f>VLOOKUP(H415,tbl_KausiPitkaDivari[],2,FALSE)</f>
        <v>IV-Div</v>
      </c>
      <c r="J415" s="713"/>
      <c r="K415" s="519"/>
      <c r="L415" s="519"/>
      <c r="M415" s="421"/>
      <c r="N415" s="519"/>
      <c r="O415" s="519"/>
      <c r="P415" s="519"/>
      <c r="Q415" s="519"/>
      <c r="R415" s="519"/>
      <c r="S415" s="519"/>
      <c r="T415" s="519"/>
      <c r="U415" s="519"/>
      <c r="V415" s="519"/>
    </row>
    <row r="416" spans="1:22" s="140" customFormat="1" ht="15" customHeight="1" x14ac:dyDescent="0.3">
      <c r="A416" s="519"/>
      <c r="B416" s="529"/>
      <c r="C416" s="839" t="s">
        <v>1459</v>
      </c>
      <c r="D416" s="840"/>
      <c r="E416" s="840"/>
      <c r="F416" s="841" t="s">
        <v>128</v>
      </c>
      <c r="G416" s="841"/>
      <c r="H416" s="841" t="s">
        <v>1490</v>
      </c>
      <c r="I416" s="842" t="str">
        <f>VLOOKUP(H416,tbl_KausiPitkaDivari[],2,FALSE)</f>
        <v>IV-Div</v>
      </c>
      <c r="J416" s="713"/>
      <c r="K416" s="519"/>
      <c r="L416" s="519"/>
      <c r="M416" s="519"/>
      <c r="N416" s="519"/>
      <c r="O416" s="519"/>
      <c r="P416" s="519"/>
      <c r="Q416" s="519"/>
      <c r="R416" s="519"/>
      <c r="S416" s="519"/>
      <c r="T416" s="519"/>
      <c r="U416" s="519"/>
      <c r="V416" s="519"/>
    </row>
    <row r="417" spans="1:22" s="140" customFormat="1" ht="15" customHeight="1" x14ac:dyDescent="0.3">
      <c r="A417" s="519"/>
      <c r="B417" s="529"/>
      <c r="C417" s="839" t="s">
        <v>2444</v>
      </c>
      <c r="D417" s="840"/>
      <c r="E417" s="840"/>
      <c r="F417" s="1275" t="s">
        <v>128</v>
      </c>
      <c r="G417" s="841"/>
      <c r="H417" s="841" t="s">
        <v>2372</v>
      </c>
      <c r="I417" s="842" t="str">
        <f>VLOOKUP(H417,tbl_KausiPitkaDivari[],2,FALSE)</f>
        <v>IV-Div+Kars</v>
      </c>
      <c r="J417" s="713"/>
      <c r="K417" s="519"/>
      <c r="L417" s="519"/>
      <c r="M417" s="519"/>
      <c r="N417" s="519"/>
      <c r="O417" s="519"/>
      <c r="P417" s="519"/>
      <c r="Q417" s="519"/>
      <c r="R417" s="519"/>
      <c r="S417" s="519"/>
      <c r="T417" s="519"/>
      <c r="U417" s="519"/>
      <c r="V417" s="519"/>
    </row>
    <row r="418" spans="1:22" s="140" customFormat="1" ht="15" customHeight="1" x14ac:dyDescent="0.3">
      <c r="A418" s="519"/>
      <c r="B418" s="529"/>
      <c r="C418" s="839" t="s">
        <v>185</v>
      </c>
      <c r="D418" s="840"/>
      <c r="E418" s="840"/>
      <c r="F418" s="841" t="s">
        <v>128</v>
      </c>
      <c r="G418" s="841"/>
      <c r="H418" s="841" t="s">
        <v>1513</v>
      </c>
      <c r="I418" s="842" t="str">
        <f>VLOOKUP(H418,tbl_KausiPitkaDivari[],2,FALSE)</f>
        <v>IV-Div</v>
      </c>
      <c r="J418" s="713"/>
      <c r="K418" s="519"/>
      <c r="L418" s="519"/>
      <c r="M418" s="519"/>
      <c r="N418" s="519"/>
      <c r="O418" s="519"/>
      <c r="P418" s="519"/>
      <c r="Q418" s="519"/>
      <c r="R418" s="519"/>
      <c r="S418" s="519"/>
      <c r="T418" s="519"/>
      <c r="U418" s="519"/>
      <c r="V418" s="519"/>
    </row>
    <row r="419" spans="1:22" s="140" customFormat="1" ht="15" customHeight="1" x14ac:dyDescent="0.3">
      <c r="A419" s="519"/>
      <c r="B419" s="529"/>
      <c r="C419" s="839" t="s">
        <v>1075</v>
      </c>
      <c r="D419" s="840"/>
      <c r="E419" s="840"/>
      <c r="F419" s="841" t="s">
        <v>511</v>
      </c>
      <c r="G419" s="841"/>
      <c r="H419" s="841" t="s">
        <v>1513</v>
      </c>
      <c r="I419" s="842" t="str">
        <f>VLOOKUP(H419,tbl_KausiPitkaDivari[],2,FALSE)</f>
        <v>IV-Div</v>
      </c>
      <c r="J419" s="713"/>
      <c r="K419" s="519"/>
      <c r="L419" s="519"/>
      <c r="M419" s="519"/>
      <c r="N419" s="519"/>
      <c r="O419" s="519"/>
      <c r="P419" s="519"/>
      <c r="Q419" s="519"/>
      <c r="R419" s="519"/>
      <c r="S419" s="519"/>
      <c r="T419" s="519"/>
      <c r="U419" s="519"/>
      <c r="V419" s="519"/>
    </row>
    <row r="420" spans="1:22" s="140" customFormat="1" ht="15" customHeight="1" x14ac:dyDescent="0.3">
      <c r="A420" s="519"/>
      <c r="B420" s="529"/>
      <c r="C420" s="839" t="s">
        <v>185</v>
      </c>
      <c r="D420" s="840"/>
      <c r="E420" s="840"/>
      <c r="F420" s="841" t="s">
        <v>511</v>
      </c>
      <c r="G420" s="841"/>
      <c r="H420" s="841" t="s">
        <v>297</v>
      </c>
      <c r="I420" s="842" t="str">
        <f>VLOOKUP(H420,tbl_KausiPitkaDivari[],2,FALSE)</f>
        <v>V-Div</v>
      </c>
      <c r="J420" s="713"/>
      <c r="K420" s="519"/>
      <c r="L420" s="519"/>
      <c r="M420" s="421"/>
      <c r="N420" s="519"/>
      <c r="O420" s="519"/>
      <c r="P420" s="519"/>
      <c r="Q420" s="519"/>
      <c r="R420" s="519"/>
      <c r="S420" s="519"/>
      <c r="T420" s="519"/>
      <c r="U420" s="519"/>
      <c r="V420" s="519"/>
    </row>
    <row r="421" spans="1:22" s="140" customFormat="1" ht="15" customHeight="1" x14ac:dyDescent="0.3">
      <c r="A421" s="519"/>
      <c r="B421" s="529"/>
      <c r="C421" s="839" t="s">
        <v>185</v>
      </c>
      <c r="D421" s="840"/>
      <c r="E421" s="840"/>
      <c r="F421" s="841" t="s">
        <v>511</v>
      </c>
      <c r="G421" s="841"/>
      <c r="H421" s="841" t="s">
        <v>874</v>
      </c>
      <c r="I421" s="842" t="str">
        <f>VLOOKUP(H421,tbl_KausiPitkaDivari[],2,FALSE)</f>
        <v>IV-Div</v>
      </c>
      <c r="J421" s="713"/>
      <c r="K421" s="519"/>
      <c r="L421" s="519"/>
      <c r="M421" s="421"/>
      <c r="N421" s="519"/>
      <c r="O421" s="519"/>
      <c r="P421" s="519"/>
      <c r="Q421" s="519"/>
      <c r="R421" s="519"/>
      <c r="S421" s="519"/>
      <c r="T421" s="519"/>
      <c r="U421" s="519"/>
      <c r="V421" s="519"/>
    </row>
    <row r="422" spans="1:22" s="140" customFormat="1" ht="15" customHeight="1" x14ac:dyDescent="0.3">
      <c r="A422" s="519"/>
      <c r="B422" s="529"/>
      <c r="C422" s="839" t="s">
        <v>185</v>
      </c>
      <c r="D422" s="840"/>
      <c r="E422" s="840"/>
      <c r="F422" s="841" t="s">
        <v>511</v>
      </c>
      <c r="G422" s="841"/>
      <c r="H422" s="841" t="s">
        <v>977</v>
      </c>
      <c r="I422" s="842" t="str">
        <f>VLOOKUP(H422,tbl_KausiPitkaDivari[],2,FALSE)</f>
        <v>V-Div</v>
      </c>
      <c r="J422" s="713"/>
      <c r="K422" s="519"/>
      <c r="L422" s="519"/>
      <c r="M422" s="421"/>
      <c r="N422" s="519"/>
      <c r="O422" s="519"/>
      <c r="P422" s="519"/>
      <c r="Q422" s="519"/>
      <c r="R422" s="519"/>
      <c r="S422" s="519"/>
      <c r="T422" s="519"/>
      <c r="U422" s="519"/>
      <c r="V422" s="519"/>
    </row>
    <row r="423" spans="1:22" s="140" customFormat="1" ht="15" customHeight="1" x14ac:dyDescent="0.3">
      <c r="A423" s="519"/>
      <c r="B423" s="529"/>
      <c r="C423" s="839" t="s">
        <v>185</v>
      </c>
      <c r="D423" s="840"/>
      <c r="E423" s="840"/>
      <c r="F423" s="841" t="s">
        <v>511</v>
      </c>
      <c r="G423" s="841"/>
      <c r="H423" s="841" t="s">
        <v>1385</v>
      </c>
      <c r="I423" s="842" t="str">
        <f>VLOOKUP(H423,tbl_KausiPitkaDivari[],2,FALSE)</f>
        <v>IV-Div</v>
      </c>
      <c r="J423" s="713"/>
      <c r="K423" s="519"/>
      <c r="L423" s="519"/>
      <c r="M423" s="421"/>
      <c r="N423" s="519"/>
      <c r="O423" s="519"/>
      <c r="P423" s="519"/>
      <c r="Q423" s="519"/>
      <c r="R423" s="519"/>
      <c r="S423" s="519"/>
      <c r="T423" s="519"/>
      <c r="U423" s="519"/>
      <c r="V423" s="519"/>
    </row>
    <row r="424" spans="1:22" s="140" customFormat="1" ht="15" customHeight="1" x14ac:dyDescent="0.2">
      <c r="A424" s="519"/>
      <c r="B424" s="529"/>
      <c r="C424" s="946" t="s">
        <v>2184</v>
      </c>
      <c r="D424" s="947"/>
      <c r="E424" s="947"/>
      <c r="F424" s="948" t="s">
        <v>1439</v>
      </c>
      <c r="G424" s="948"/>
      <c r="H424" s="948" t="s">
        <v>2153</v>
      </c>
      <c r="I424" s="842" t="str">
        <f>VLOOKUP(H424,tbl_KausiPitkaDivari[],2,FALSE)</f>
        <v>IV-Div</v>
      </c>
      <c r="J424" s="519"/>
      <c r="K424" s="519"/>
      <c r="L424" s="519"/>
      <c r="M424" s="421"/>
      <c r="N424" s="519"/>
      <c r="O424" s="519"/>
      <c r="P424" s="519"/>
      <c r="Q424" s="519"/>
      <c r="R424" s="519"/>
      <c r="S424" s="519"/>
      <c r="T424" s="519"/>
      <c r="U424" s="519"/>
      <c r="V424" s="519"/>
    </row>
    <row r="425" spans="1:22" s="140" customFormat="1" ht="15" customHeight="1" x14ac:dyDescent="0.3">
      <c r="A425" s="519"/>
      <c r="B425" s="529"/>
      <c r="C425" s="946" t="s">
        <v>2806</v>
      </c>
      <c r="D425" s="947"/>
      <c r="E425" s="947"/>
      <c r="F425" s="1299" t="s">
        <v>105</v>
      </c>
      <c r="G425" s="948"/>
      <c r="H425" s="948" t="s">
        <v>2489</v>
      </c>
      <c r="I425" s="842" t="str">
        <f>VLOOKUP(H425,tbl_KausiPitkaDivari[],2,FALSE)</f>
        <v>III-Div</v>
      </c>
      <c r="J425" s="713" t="s">
        <v>1685</v>
      </c>
      <c r="K425" s="519"/>
      <c r="L425" s="519"/>
      <c r="M425" s="421"/>
      <c r="N425" s="519"/>
      <c r="O425" s="519"/>
      <c r="P425" s="519"/>
      <c r="Q425" s="519"/>
      <c r="R425" s="519"/>
      <c r="S425" s="519"/>
      <c r="T425" s="519"/>
      <c r="U425" s="519"/>
      <c r="V425" s="519"/>
    </row>
    <row r="426" spans="1:22" s="140" customFormat="1" ht="15" customHeight="1" x14ac:dyDescent="0.3">
      <c r="A426" s="519"/>
      <c r="B426" s="529"/>
      <c r="C426" s="946" t="s">
        <v>1944</v>
      </c>
      <c r="D426" s="947"/>
      <c r="E426" s="947"/>
      <c r="F426" s="948" t="s">
        <v>105</v>
      </c>
      <c r="G426" s="948"/>
      <c r="H426" s="948" t="s">
        <v>2152</v>
      </c>
      <c r="I426" s="842" t="str">
        <f>VLOOKUP(H426,tbl_KausiPitkaDivari[],2,FALSE)</f>
        <v>III-Div+Kars</v>
      </c>
      <c r="J426" s="713"/>
      <c r="K426" s="519"/>
      <c r="L426" s="519"/>
      <c r="M426" s="421"/>
      <c r="N426" s="519"/>
      <c r="O426" s="519"/>
      <c r="P426" s="519"/>
      <c r="Q426" s="519"/>
      <c r="R426" s="519"/>
      <c r="S426" s="519"/>
      <c r="T426" s="519"/>
      <c r="U426" s="519"/>
      <c r="V426" s="519"/>
    </row>
    <row r="427" spans="1:22" s="140" customFormat="1" ht="15" customHeight="1" x14ac:dyDescent="0.3">
      <c r="A427" s="519"/>
      <c r="B427" s="529"/>
      <c r="C427" s="946" t="s">
        <v>185</v>
      </c>
      <c r="D427" s="947"/>
      <c r="E427" s="947"/>
      <c r="F427" s="948" t="s">
        <v>105</v>
      </c>
      <c r="G427" s="948"/>
      <c r="H427" s="948" t="s">
        <v>1818</v>
      </c>
      <c r="I427" s="842" t="str">
        <f>VLOOKUP(H427,tbl_KausiPitkaDivari[],2,FALSE)</f>
        <v>IV-Div+Kars</v>
      </c>
      <c r="J427" s="713"/>
      <c r="K427" s="519"/>
      <c r="L427" s="519"/>
      <c r="M427" s="421"/>
      <c r="N427" s="519"/>
      <c r="O427" s="519"/>
      <c r="P427" s="519"/>
      <c r="Q427" s="519"/>
      <c r="R427" s="519"/>
      <c r="S427" s="519"/>
      <c r="T427" s="519"/>
      <c r="U427" s="519"/>
      <c r="V427" s="519"/>
    </row>
    <row r="428" spans="1:22" s="140" customFormat="1" ht="15" customHeight="1" x14ac:dyDescent="0.3">
      <c r="A428" s="519"/>
      <c r="B428" s="529"/>
      <c r="C428" s="843" t="s">
        <v>1753</v>
      </c>
      <c r="D428" s="844"/>
      <c r="E428" s="844"/>
      <c r="F428" s="845" t="s">
        <v>11</v>
      </c>
      <c r="G428" s="845"/>
      <c r="H428" s="845" t="s">
        <v>1635</v>
      </c>
      <c r="I428" s="846" t="str">
        <f>VLOOKUP(H428,tbl_KausiPitkaDivari[],2,FALSE)</f>
        <v>IV-Div</v>
      </c>
      <c r="J428" s="713"/>
      <c r="K428" s="519"/>
      <c r="L428" s="519"/>
      <c r="M428" s="421"/>
      <c r="N428" s="519"/>
      <c r="O428" s="519"/>
      <c r="P428" s="519"/>
      <c r="Q428" s="519"/>
      <c r="R428" s="519"/>
      <c r="S428" s="519"/>
      <c r="T428" s="519"/>
      <c r="U428" s="519"/>
      <c r="V428" s="519"/>
    </row>
    <row r="429" spans="1:22" ht="15" customHeight="1" x14ac:dyDescent="0.3">
      <c r="B429" s="401"/>
      <c r="C429" s="357"/>
      <c r="D429" s="357"/>
      <c r="E429" s="357"/>
      <c r="F429" s="357"/>
      <c r="G429" s="358"/>
      <c r="H429" s="358"/>
      <c r="I429" s="357"/>
      <c r="J429" s="357"/>
      <c r="K429" s="357"/>
      <c r="L429" s="357"/>
      <c r="M429" s="377"/>
      <c r="N429" s="357"/>
      <c r="O429" s="357"/>
    </row>
    <row r="430" spans="1:22" ht="15" customHeight="1" x14ac:dyDescent="0.3">
      <c r="B430" s="401"/>
      <c r="C430" s="357"/>
      <c r="D430" s="357"/>
      <c r="E430" s="357"/>
      <c r="F430" s="357"/>
      <c r="G430" s="358"/>
      <c r="H430" s="358"/>
      <c r="I430" s="357"/>
      <c r="J430" s="357"/>
      <c r="K430" s="357"/>
      <c r="L430" s="357"/>
      <c r="M430" s="377"/>
      <c r="N430" s="357"/>
      <c r="O430" s="357"/>
    </row>
    <row r="431" spans="1:22" ht="15" customHeight="1" x14ac:dyDescent="0.3">
      <c r="B431" s="475" t="s">
        <v>2244</v>
      </c>
      <c r="D431" s="357"/>
      <c r="E431" s="357"/>
      <c r="F431" s="357"/>
      <c r="G431" s="358"/>
      <c r="H431" s="358"/>
      <c r="I431" s="357"/>
      <c r="J431" s="357"/>
      <c r="K431" s="357"/>
      <c r="L431" s="357"/>
      <c r="M431" s="377"/>
      <c r="N431" s="357"/>
      <c r="O431" s="357"/>
    </row>
    <row r="432" spans="1:22" ht="15" customHeight="1" x14ac:dyDescent="0.3">
      <c r="B432" s="401"/>
      <c r="C432" s="357"/>
      <c r="D432" s="357"/>
      <c r="E432" s="357"/>
      <c r="F432" s="357"/>
      <c r="G432" s="358"/>
      <c r="H432" s="358"/>
      <c r="I432" s="357"/>
      <c r="J432" s="357"/>
      <c r="K432" s="357"/>
      <c r="L432" s="357"/>
      <c r="M432" s="377"/>
      <c r="N432" s="357"/>
      <c r="O432" s="357"/>
    </row>
    <row r="433" spans="1:22" ht="15" customHeight="1" x14ac:dyDescent="0.3">
      <c r="B433" s="401"/>
      <c r="C433" s="831" t="s">
        <v>1944</v>
      </c>
      <c r="D433" s="832"/>
      <c r="E433" s="832"/>
      <c r="F433" s="833">
        <v>6</v>
      </c>
      <c r="G433" s="833"/>
      <c r="H433" s="833" t="s">
        <v>2006</v>
      </c>
      <c r="I433" s="834" t="str">
        <f>VLOOKUP(H433,tbl_KausiPitkaDivari[],2,FALSE)</f>
        <v>IV-Div+Cup</v>
      </c>
      <c r="J433" s="713"/>
      <c r="K433" s="357"/>
      <c r="L433" s="357"/>
      <c r="M433" s="377"/>
      <c r="N433" s="357"/>
      <c r="O433" s="357"/>
    </row>
    <row r="434" spans="1:22" ht="15" customHeight="1" x14ac:dyDescent="0.3">
      <c r="B434" s="401"/>
      <c r="C434" s="839" t="s">
        <v>56</v>
      </c>
      <c r="D434" s="840"/>
      <c r="E434" s="840"/>
      <c r="F434" s="841">
        <v>5</v>
      </c>
      <c r="G434" s="841"/>
      <c r="H434" s="841" t="s">
        <v>83</v>
      </c>
      <c r="I434" s="842" t="str">
        <f>VLOOKUP(H434,tbl_KausiPitkaDivari[],2,FALSE)</f>
        <v>V-Div</v>
      </c>
      <c r="J434" s="713"/>
      <c r="K434" s="357"/>
      <c r="L434" s="357"/>
      <c r="M434" s="377"/>
      <c r="N434" s="357"/>
      <c r="O434" s="357"/>
    </row>
    <row r="435" spans="1:22" s="56" customFormat="1" ht="15" customHeight="1" x14ac:dyDescent="0.3">
      <c r="A435" s="524"/>
      <c r="B435" s="529"/>
      <c r="C435" s="839" t="s">
        <v>56</v>
      </c>
      <c r="D435" s="840"/>
      <c r="E435" s="840"/>
      <c r="F435" s="841">
        <v>4</v>
      </c>
      <c r="G435" s="841"/>
      <c r="H435" s="841" t="s">
        <v>83</v>
      </c>
      <c r="I435" s="842" t="str">
        <f>VLOOKUP(H435,tbl_KausiPitkaDivari[],2,FALSE)</f>
        <v>V-Div</v>
      </c>
      <c r="J435" s="713"/>
      <c r="K435" s="524"/>
      <c r="L435" s="524"/>
      <c r="M435" s="546"/>
      <c r="N435" s="524"/>
      <c r="O435" s="524"/>
      <c r="P435" s="524"/>
      <c r="Q435" s="524"/>
      <c r="R435" s="524"/>
      <c r="S435" s="524"/>
      <c r="T435" s="524"/>
      <c r="U435" s="524"/>
      <c r="V435" s="524"/>
    </row>
    <row r="436" spans="1:22" s="56" customFormat="1" ht="15" customHeight="1" x14ac:dyDescent="0.3">
      <c r="A436" s="524"/>
      <c r="B436" s="529"/>
      <c r="C436" s="839" t="s">
        <v>1075</v>
      </c>
      <c r="D436" s="840"/>
      <c r="E436" s="840"/>
      <c r="F436" s="841">
        <v>4</v>
      </c>
      <c r="G436" s="841"/>
      <c r="H436" s="841" t="s">
        <v>1102</v>
      </c>
      <c r="I436" s="842" t="str">
        <f>VLOOKUP(H436,tbl_KausiPitkaDivari[],2,FALSE)</f>
        <v>IV-Div</v>
      </c>
      <c r="J436" s="713"/>
      <c r="K436" s="524"/>
      <c r="L436" s="524"/>
      <c r="M436" s="546"/>
      <c r="N436" s="524"/>
      <c r="O436" s="524"/>
      <c r="P436" s="524"/>
      <c r="Q436" s="524"/>
      <c r="R436" s="524"/>
      <c r="S436" s="524"/>
      <c r="T436" s="524"/>
      <c r="U436" s="524"/>
      <c r="V436" s="524"/>
    </row>
    <row r="437" spans="1:22" s="56" customFormat="1" ht="15" customHeight="1" x14ac:dyDescent="0.3">
      <c r="A437" s="524"/>
      <c r="B437" s="529"/>
      <c r="C437" s="839" t="s">
        <v>50</v>
      </c>
      <c r="D437" s="840"/>
      <c r="E437" s="840"/>
      <c r="F437" s="841">
        <v>4</v>
      </c>
      <c r="G437" s="841"/>
      <c r="H437" s="841" t="s">
        <v>1490</v>
      </c>
      <c r="I437" s="842" t="str">
        <f>VLOOKUP(H437,tbl_KausiPitkaDivari[],2,FALSE)</f>
        <v>IV-Div</v>
      </c>
      <c r="J437" s="713"/>
      <c r="K437" s="524"/>
      <c r="L437" s="524"/>
      <c r="M437" s="546"/>
      <c r="N437" s="524"/>
      <c r="O437" s="524"/>
      <c r="P437" s="524"/>
      <c r="Q437" s="524"/>
      <c r="R437" s="524"/>
      <c r="S437" s="524"/>
      <c r="T437" s="524"/>
      <c r="U437" s="524"/>
      <c r="V437" s="524"/>
    </row>
    <row r="438" spans="1:22" s="56" customFormat="1" ht="15" customHeight="1" x14ac:dyDescent="0.3">
      <c r="A438" s="524"/>
      <c r="B438" s="529"/>
      <c r="C438" s="839" t="s">
        <v>1124</v>
      </c>
      <c r="D438" s="840"/>
      <c r="E438" s="840"/>
      <c r="F438" s="841">
        <v>4</v>
      </c>
      <c r="G438" s="841"/>
      <c r="H438" s="841" t="s">
        <v>1818</v>
      </c>
      <c r="I438" s="842" t="str">
        <f>VLOOKUP(H438,tbl_KausiPitkaDivari[],2,FALSE)</f>
        <v>IV-Div+Kars</v>
      </c>
      <c r="J438" s="713"/>
      <c r="K438" s="524"/>
      <c r="L438" s="524"/>
      <c r="M438" s="546"/>
      <c r="N438" s="524"/>
      <c r="O438" s="524"/>
      <c r="P438" s="524"/>
      <c r="Q438" s="524"/>
      <c r="R438" s="524"/>
      <c r="S438" s="524"/>
      <c r="T438" s="524"/>
      <c r="U438" s="524"/>
      <c r="V438" s="524"/>
    </row>
    <row r="439" spans="1:22" s="56" customFormat="1" ht="15" customHeight="1" x14ac:dyDescent="0.3">
      <c r="A439" s="524"/>
      <c r="B439" s="529"/>
      <c r="C439" s="839" t="s">
        <v>1791</v>
      </c>
      <c r="D439" s="840"/>
      <c r="E439" s="840"/>
      <c r="F439" s="841">
        <v>3</v>
      </c>
      <c r="G439" s="841"/>
      <c r="H439" s="841" t="s">
        <v>754</v>
      </c>
      <c r="I439" s="842" t="str">
        <f>VLOOKUP(H439,tbl_KausiPitkaDivari[],2,FALSE)</f>
        <v>IV-Div</v>
      </c>
      <c r="J439" s="713"/>
      <c r="K439" s="524"/>
      <c r="L439" s="524"/>
      <c r="M439" s="546"/>
      <c r="N439" s="524"/>
      <c r="O439" s="524"/>
      <c r="P439" s="524"/>
      <c r="Q439" s="524"/>
      <c r="R439" s="524"/>
      <c r="S439" s="524"/>
      <c r="T439" s="524"/>
      <c r="U439" s="524"/>
      <c r="V439" s="524"/>
    </row>
    <row r="440" spans="1:22" s="56" customFormat="1" ht="15" customHeight="1" x14ac:dyDescent="0.2">
      <c r="A440" s="524"/>
      <c r="B440" s="529"/>
      <c r="C440" s="839" t="s">
        <v>50</v>
      </c>
      <c r="D440" s="840"/>
      <c r="E440" s="840"/>
      <c r="F440" s="841">
        <v>3</v>
      </c>
      <c r="G440" s="841"/>
      <c r="H440" s="841" t="s">
        <v>2153</v>
      </c>
      <c r="I440" s="842" t="str">
        <f>VLOOKUP(H440,tbl_KausiPitkaDivari[],2,FALSE)</f>
        <v>IV-Div</v>
      </c>
      <c r="K440" s="524"/>
      <c r="L440" s="524"/>
      <c r="M440" s="546"/>
      <c r="N440" s="524"/>
      <c r="O440" s="524"/>
      <c r="P440" s="524"/>
      <c r="Q440" s="524"/>
      <c r="R440" s="524"/>
      <c r="S440" s="524"/>
      <c r="T440" s="524"/>
      <c r="U440" s="524"/>
      <c r="V440" s="524"/>
    </row>
    <row r="441" spans="1:22" s="56" customFormat="1" ht="15" customHeight="1" x14ac:dyDescent="0.3">
      <c r="A441" s="524"/>
      <c r="B441" s="529"/>
      <c r="C441" s="839" t="s">
        <v>2495</v>
      </c>
      <c r="D441" s="840"/>
      <c r="E441" s="840"/>
      <c r="F441" s="841">
        <v>3</v>
      </c>
      <c r="G441" s="841"/>
      <c r="H441" s="841" t="s">
        <v>2372</v>
      </c>
      <c r="I441" s="842" t="str">
        <f>VLOOKUP(H441,tbl_KausiPitkaDivari[],2,FALSE)</f>
        <v>IV-Div+Kars</v>
      </c>
      <c r="J441" s="713"/>
      <c r="K441" s="524"/>
      <c r="L441" s="524"/>
      <c r="M441" s="546"/>
      <c r="N441" s="524"/>
      <c r="O441" s="524"/>
      <c r="P441" s="524"/>
      <c r="Q441" s="524"/>
      <c r="R441" s="524"/>
      <c r="S441" s="524"/>
      <c r="T441" s="524"/>
      <c r="U441" s="524"/>
      <c r="V441" s="524"/>
    </row>
    <row r="442" spans="1:22" s="56" customFormat="1" ht="15" customHeight="1" x14ac:dyDescent="0.3">
      <c r="A442" s="524"/>
      <c r="B442" s="529"/>
      <c r="C442" s="839" t="s">
        <v>673</v>
      </c>
      <c r="D442" s="840"/>
      <c r="E442" s="840"/>
      <c r="F442" s="841">
        <v>3</v>
      </c>
      <c r="G442" s="841"/>
      <c r="H442" s="841" t="s">
        <v>977</v>
      </c>
      <c r="I442" s="842" t="str">
        <f>VLOOKUP(H442,tbl_KausiPitkaDivari[],2,FALSE)</f>
        <v>V-Div</v>
      </c>
      <c r="J442" s="713"/>
      <c r="K442" s="524"/>
      <c r="L442" s="524"/>
      <c r="M442" s="546"/>
      <c r="N442" s="524"/>
      <c r="O442" s="524"/>
      <c r="P442" s="524"/>
      <c r="Q442" s="524"/>
      <c r="R442" s="524"/>
      <c r="S442" s="524"/>
      <c r="T442" s="524"/>
      <c r="U442" s="524"/>
      <c r="V442" s="524"/>
    </row>
    <row r="443" spans="1:22" s="56" customFormat="1" ht="15" customHeight="1" x14ac:dyDescent="0.3">
      <c r="A443" s="524"/>
      <c r="B443" s="529"/>
      <c r="C443" s="839" t="s">
        <v>2500</v>
      </c>
      <c r="D443" s="840"/>
      <c r="E443" s="840"/>
      <c r="F443" s="841">
        <v>2</v>
      </c>
      <c r="G443" s="841"/>
      <c r="H443" s="841" t="s">
        <v>2489</v>
      </c>
      <c r="I443" s="842" t="str">
        <f>VLOOKUP(H443,tbl_KausiPitkaDivari[],2,FALSE)</f>
        <v>III-Div</v>
      </c>
      <c r="J443" s="713" t="s">
        <v>1685</v>
      </c>
      <c r="K443" s="524"/>
      <c r="L443" s="524"/>
      <c r="M443" s="546"/>
      <c r="N443" s="524"/>
      <c r="O443" s="524"/>
      <c r="P443" s="524"/>
      <c r="Q443" s="524"/>
      <c r="R443" s="524"/>
      <c r="S443" s="524"/>
      <c r="T443" s="524"/>
      <c r="U443" s="524"/>
      <c r="V443" s="524"/>
    </row>
    <row r="444" spans="1:22" s="56" customFormat="1" ht="15" customHeight="1" x14ac:dyDescent="0.3">
      <c r="A444" s="524"/>
      <c r="B444" s="529"/>
      <c r="C444" s="839" t="s">
        <v>50</v>
      </c>
      <c r="D444" s="840"/>
      <c r="E444" s="840"/>
      <c r="F444" s="841">
        <v>2</v>
      </c>
      <c r="G444" s="841"/>
      <c r="H444" s="841" t="s">
        <v>2152</v>
      </c>
      <c r="I444" s="842" t="str">
        <f>VLOOKUP(H444,tbl_KausiPitkaDivari[],2,FALSE)</f>
        <v>III-Div+Kars</v>
      </c>
      <c r="J444" s="713"/>
      <c r="K444" s="524"/>
      <c r="L444" s="524"/>
      <c r="M444" s="546"/>
      <c r="N444" s="524"/>
      <c r="O444" s="524"/>
      <c r="P444" s="524"/>
      <c r="Q444" s="524"/>
      <c r="R444" s="524"/>
      <c r="S444" s="524"/>
      <c r="T444" s="524"/>
      <c r="U444" s="524"/>
      <c r="V444" s="524"/>
    </row>
    <row r="445" spans="1:22" s="56" customFormat="1" ht="15" customHeight="1" x14ac:dyDescent="0.3">
      <c r="A445" s="524"/>
      <c r="B445" s="529"/>
      <c r="C445" s="839" t="s">
        <v>50</v>
      </c>
      <c r="D445" s="840"/>
      <c r="E445" s="840"/>
      <c r="F445" s="841">
        <v>2</v>
      </c>
      <c r="G445" s="841"/>
      <c r="H445" s="841" t="s">
        <v>1635</v>
      </c>
      <c r="I445" s="842" t="str">
        <f>VLOOKUP(H445,tbl_KausiPitkaDivari[],2,FALSE)</f>
        <v>IV-Div</v>
      </c>
      <c r="J445" s="713"/>
      <c r="K445" s="524"/>
      <c r="L445" s="524"/>
      <c r="M445" s="546"/>
      <c r="N445" s="524"/>
      <c r="O445" s="524"/>
      <c r="P445" s="524"/>
      <c r="Q445" s="524"/>
      <c r="R445" s="524"/>
      <c r="S445" s="524"/>
      <c r="T445" s="524"/>
      <c r="U445" s="524"/>
      <c r="V445" s="524"/>
    </row>
    <row r="446" spans="1:22" s="56" customFormat="1" ht="15" customHeight="1" x14ac:dyDescent="0.3">
      <c r="A446" s="524"/>
      <c r="B446" s="529"/>
      <c r="C446" s="839" t="s">
        <v>1788</v>
      </c>
      <c r="D446" s="840"/>
      <c r="E446" s="840"/>
      <c r="F446" s="841">
        <v>2</v>
      </c>
      <c r="G446" s="841"/>
      <c r="H446" s="841" t="s">
        <v>1513</v>
      </c>
      <c r="I446" s="842" t="str">
        <f>VLOOKUP(H446,tbl_KausiPitkaDivari[],2,FALSE)</f>
        <v>IV-Div</v>
      </c>
      <c r="J446" s="713"/>
      <c r="K446" s="524"/>
      <c r="L446" s="524"/>
      <c r="M446" s="546"/>
      <c r="N446" s="524"/>
      <c r="O446" s="524"/>
      <c r="P446" s="524"/>
      <c r="Q446" s="524"/>
      <c r="R446" s="524"/>
      <c r="S446" s="524"/>
      <c r="T446" s="524"/>
      <c r="U446" s="524"/>
      <c r="V446" s="524"/>
    </row>
    <row r="447" spans="1:22" s="56" customFormat="1" ht="15" customHeight="1" x14ac:dyDescent="0.3">
      <c r="A447" s="524"/>
      <c r="B447" s="529"/>
      <c r="C447" s="839" t="s">
        <v>48</v>
      </c>
      <c r="D447" s="840"/>
      <c r="E447" s="840"/>
      <c r="F447" s="841">
        <v>2</v>
      </c>
      <c r="G447" s="841"/>
      <c r="H447" s="841" t="s">
        <v>207</v>
      </c>
      <c r="I447" s="842" t="str">
        <f>VLOOKUP(H447,tbl_KausiPitkaDivari[],2,FALSE)</f>
        <v>IV-Div</v>
      </c>
      <c r="J447" s="713"/>
      <c r="K447" s="524"/>
      <c r="L447" s="524"/>
      <c r="M447" s="546"/>
      <c r="N447" s="524"/>
      <c r="O447" s="524"/>
      <c r="P447" s="524"/>
      <c r="Q447" s="524"/>
      <c r="R447" s="524"/>
      <c r="S447" s="524"/>
      <c r="T447" s="524"/>
      <c r="U447" s="524"/>
      <c r="V447" s="524"/>
    </row>
    <row r="448" spans="1:22" s="56" customFormat="1" ht="15" customHeight="1" x14ac:dyDescent="0.3">
      <c r="A448" s="524"/>
      <c r="B448" s="529"/>
      <c r="C448" s="839" t="s">
        <v>56</v>
      </c>
      <c r="D448" s="840"/>
      <c r="E448" s="840"/>
      <c r="F448" s="841">
        <v>2</v>
      </c>
      <c r="G448" s="841"/>
      <c r="H448" s="841" t="s">
        <v>584</v>
      </c>
      <c r="I448" s="842" t="str">
        <f>VLOOKUP(H448,tbl_KausiPitkaDivari[],2,FALSE)</f>
        <v>IV-Div</v>
      </c>
      <c r="J448" s="713"/>
      <c r="K448" s="524"/>
      <c r="L448" s="524"/>
      <c r="M448" s="546"/>
      <c r="N448" s="524"/>
      <c r="O448" s="524"/>
      <c r="P448" s="524"/>
      <c r="Q448" s="524"/>
      <c r="R448" s="524"/>
      <c r="S448" s="524"/>
      <c r="T448" s="524"/>
      <c r="U448" s="524"/>
      <c r="V448" s="524"/>
    </row>
    <row r="449" spans="1:22" s="56" customFormat="1" ht="15" customHeight="1" x14ac:dyDescent="0.3">
      <c r="A449" s="524"/>
      <c r="B449" s="529"/>
      <c r="C449" s="839" t="s">
        <v>1789</v>
      </c>
      <c r="D449" s="840"/>
      <c r="E449" s="840"/>
      <c r="F449" s="841">
        <v>2</v>
      </c>
      <c r="G449" s="841"/>
      <c r="H449" s="841" t="s">
        <v>1385</v>
      </c>
      <c r="I449" s="842" t="str">
        <f>VLOOKUP(H449,tbl_KausiPitkaDivari[],2,FALSE)</f>
        <v>IV-Div</v>
      </c>
      <c r="J449" s="713"/>
      <c r="K449" s="524"/>
      <c r="L449" s="524"/>
      <c r="M449" s="546"/>
      <c r="N449" s="524"/>
      <c r="O449" s="524"/>
      <c r="P449" s="524"/>
      <c r="Q449" s="524"/>
      <c r="R449" s="524"/>
      <c r="S449" s="524"/>
      <c r="T449" s="524"/>
      <c r="U449" s="524"/>
      <c r="V449" s="524"/>
    </row>
    <row r="450" spans="1:22" s="56" customFormat="1" ht="15" customHeight="1" x14ac:dyDescent="0.3">
      <c r="A450" s="524"/>
      <c r="B450" s="529"/>
      <c r="C450" s="860" t="s">
        <v>1790</v>
      </c>
      <c r="D450" s="844"/>
      <c r="E450" s="844"/>
      <c r="F450" s="845">
        <v>1</v>
      </c>
      <c r="G450" s="845"/>
      <c r="H450" s="845" t="s">
        <v>874</v>
      </c>
      <c r="I450" s="846" t="str">
        <f>VLOOKUP(H450,tbl_KausiPitkaDivari[],2,FALSE)</f>
        <v>IV-Div</v>
      </c>
      <c r="J450" s="713"/>
      <c r="K450" s="524"/>
      <c r="L450" s="524"/>
      <c r="M450" s="546"/>
      <c r="N450" s="524"/>
      <c r="O450" s="524"/>
      <c r="P450" s="524"/>
      <c r="Q450" s="524"/>
      <c r="R450" s="524"/>
      <c r="S450" s="524"/>
      <c r="T450" s="524"/>
      <c r="U450" s="524"/>
      <c r="V450" s="524"/>
    </row>
    <row r="451" spans="1:22" ht="15" customHeight="1" x14ac:dyDescent="0.3">
      <c r="B451" s="401"/>
      <c r="C451" s="357"/>
      <c r="D451" s="357"/>
      <c r="E451" s="357"/>
      <c r="F451" s="357"/>
      <c r="G451" s="358"/>
      <c r="H451" s="358"/>
      <c r="I451" s="357"/>
      <c r="J451" s="357"/>
      <c r="K451" s="357"/>
      <c r="L451" s="357"/>
      <c r="M451" s="377"/>
      <c r="N451" s="357"/>
      <c r="O451" s="357"/>
    </row>
    <row r="452" spans="1:22" ht="15" customHeight="1" x14ac:dyDescent="0.3">
      <c r="B452" s="401"/>
      <c r="C452" s="357"/>
      <c r="D452" s="357"/>
      <c r="E452" s="357"/>
      <c r="F452" s="357"/>
      <c r="G452" s="358"/>
      <c r="H452" s="358"/>
      <c r="I452" s="357"/>
      <c r="J452" s="357"/>
      <c r="K452" s="357"/>
      <c r="L452" s="357"/>
      <c r="M452" s="377"/>
      <c r="N452" s="357"/>
      <c r="O452" s="357"/>
    </row>
    <row r="453" spans="1:22" ht="15" customHeight="1" x14ac:dyDescent="0.3">
      <c r="B453" s="475" t="s">
        <v>1792</v>
      </c>
      <c r="D453" s="357"/>
      <c r="E453" s="357"/>
      <c r="F453" s="357"/>
      <c r="G453" s="358"/>
      <c r="H453" s="358"/>
      <c r="I453" s="357"/>
      <c r="J453" s="357"/>
      <c r="K453" s="357"/>
      <c r="L453" s="357"/>
      <c r="M453" s="377"/>
      <c r="N453" s="357"/>
      <c r="O453" s="357"/>
    </row>
    <row r="454" spans="1:22" ht="15" customHeight="1" x14ac:dyDescent="0.3">
      <c r="B454" s="401"/>
      <c r="C454" s="357"/>
      <c r="D454" s="357"/>
      <c r="E454" s="357"/>
      <c r="F454" s="357"/>
      <c r="G454" s="358"/>
      <c r="H454" s="358"/>
      <c r="I454" s="357"/>
      <c r="J454" s="357"/>
      <c r="K454" s="357"/>
      <c r="L454" s="357"/>
      <c r="M454" s="377"/>
      <c r="N454" s="357"/>
      <c r="O454" s="357"/>
    </row>
    <row r="455" spans="1:22" ht="15" customHeight="1" x14ac:dyDescent="0.3">
      <c r="B455" s="399"/>
      <c r="C455" s="831" t="s">
        <v>1793</v>
      </c>
      <c r="D455" s="832"/>
      <c r="E455" s="832"/>
      <c r="F455" s="833">
        <v>1</v>
      </c>
      <c r="G455" s="833"/>
      <c r="H455" s="833" t="s">
        <v>297</v>
      </c>
      <c r="I455" s="834" t="str">
        <f>VLOOKUP(H455,tbl_KausiPitkaDivari[],2,FALSE)</f>
        <v>V-Div</v>
      </c>
      <c r="J455" s="713"/>
      <c r="K455" s="357"/>
      <c r="L455" s="357"/>
      <c r="M455" s="377"/>
      <c r="N455" s="357"/>
      <c r="O455" s="357"/>
    </row>
    <row r="456" spans="1:22" ht="15" customHeight="1" x14ac:dyDescent="0.3">
      <c r="B456" s="399"/>
      <c r="C456" s="893" t="s">
        <v>48</v>
      </c>
      <c r="D456" s="894"/>
      <c r="E456" s="894"/>
      <c r="F456" s="895">
        <v>1</v>
      </c>
      <c r="G456" s="895"/>
      <c r="H456" s="895" t="s">
        <v>207</v>
      </c>
      <c r="I456" s="896" t="str">
        <f>VLOOKUP(H456,tbl_KausiPitkaDivari[],2,FALSE)</f>
        <v>IV-Div</v>
      </c>
      <c r="J456" s="713"/>
      <c r="K456" s="524"/>
      <c r="L456" s="357"/>
      <c r="M456" s="377"/>
      <c r="N456" s="357"/>
      <c r="O456" s="357"/>
    </row>
    <row r="457" spans="1:22" ht="15" customHeight="1" x14ac:dyDescent="0.3">
      <c r="B457" s="399"/>
      <c r="C457" s="893" t="s">
        <v>47</v>
      </c>
      <c r="D457" s="894"/>
      <c r="E457" s="894"/>
      <c r="F457" s="895">
        <v>1</v>
      </c>
      <c r="G457" s="895"/>
      <c r="H457" s="895" t="s">
        <v>1513</v>
      </c>
      <c r="I457" s="896" t="str">
        <f>VLOOKUP(H457,tbl_KausiPitkaDivari[],2,FALSE)</f>
        <v>IV-Div</v>
      </c>
      <c r="J457" s="713"/>
      <c r="K457" s="524"/>
      <c r="L457" s="357"/>
      <c r="M457" s="377"/>
      <c r="N457" s="357"/>
      <c r="O457" s="357"/>
    </row>
    <row r="458" spans="1:22" ht="15" customHeight="1" x14ac:dyDescent="0.3">
      <c r="B458" s="399"/>
      <c r="C458" s="893" t="s">
        <v>673</v>
      </c>
      <c r="D458" s="894"/>
      <c r="E458" s="894"/>
      <c r="F458" s="895">
        <v>1</v>
      </c>
      <c r="G458" s="895"/>
      <c r="H458" s="895" t="s">
        <v>977</v>
      </c>
      <c r="I458" s="896" t="str">
        <f>VLOOKUP(H458,tbl_KausiPitkaDivari[],2,FALSE)</f>
        <v>V-Div</v>
      </c>
      <c r="J458" s="713"/>
      <c r="K458" s="524"/>
      <c r="L458" s="357"/>
      <c r="M458" s="377"/>
      <c r="N458" s="357"/>
      <c r="O458" s="357"/>
    </row>
    <row r="459" spans="1:22" ht="15" customHeight="1" x14ac:dyDescent="0.3">
      <c r="B459" s="399"/>
      <c r="C459" s="893" t="s">
        <v>1075</v>
      </c>
      <c r="D459" s="894"/>
      <c r="E459" s="894"/>
      <c r="F459" s="895">
        <v>1</v>
      </c>
      <c r="G459" s="895"/>
      <c r="H459" s="895" t="s">
        <v>1102</v>
      </c>
      <c r="I459" s="896" t="str">
        <f>VLOOKUP(H459,tbl_KausiPitkaDivari[],2,FALSE)</f>
        <v>IV-Div</v>
      </c>
      <c r="J459" s="713"/>
      <c r="K459" s="524"/>
      <c r="L459" s="357"/>
      <c r="M459" s="377"/>
      <c r="N459" s="357"/>
      <c r="O459" s="357"/>
    </row>
    <row r="460" spans="1:22" ht="15" customHeight="1" x14ac:dyDescent="0.3">
      <c r="B460" s="399"/>
      <c r="C460" s="893" t="s">
        <v>1795</v>
      </c>
      <c r="D460" s="894"/>
      <c r="E460" s="894"/>
      <c r="F460" s="895">
        <v>1</v>
      </c>
      <c r="G460" s="895"/>
      <c r="H460" s="895" t="s">
        <v>1385</v>
      </c>
      <c r="I460" s="896" t="str">
        <f>VLOOKUP(H460,tbl_KausiPitkaDivari[],2,FALSE)</f>
        <v>IV-Div</v>
      </c>
      <c r="J460" s="713"/>
      <c r="K460" s="524"/>
      <c r="L460" s="357"/>
      <c r="M460" s="377"/>
      <c r="N460" s="357"/>
      <c r="O460" s="357"/>
    </row>
    <row r="461" spans="1:22" ht="15" customHeight="1" x14ac:dyDescent="0.3">
      <c r="B461" s="399"/>
      <c r="C461" s="893" t="s">
        <v>1794</v>
      </c>
      <c r="D461" s="894"/>
      <c r="E461" s="894"/>
      <c r="F461" s="895">
        <v>1</v>
      </c>
      <c r="G461" s="895"/>
      <c r="H461" s="895" t="s">
        <v>1635</v>
      </c>
      <c r="I461" s="896" t="str">
        <f>VLOOKUP(H461,tbl_KausiPitkaDivari[],2,FALSE)</f>
        <v>IV-Div</v>
      </c>
      <c r="J461" s="713"/>
      <c r="K461" s="524"/>
      <c r="L461" s="357"/>
      <c r="M461" s="377"/>
      <c r="N461" s="357"/>
      <c r="O461" s="357"/>
    </row>
    <row r="462" spans="1:22" ht="15" customHeight="1" x14ac:dyDescent="0.3">
      <c r="B462" s="399"/>
      <c r="C462" s="893" t="s">
        <v>1944</v>
      </c>
      <c r="D462" s="894"/>
      <c r="E462" s="894"/>
      <c r="F462" s="895">
        <v>1</v>
      </c>
      <c r="G462" s="895"/>
      <c r="H462" s="895" t="s">
        <v>1818</v>
      </c>
      <c r="I462" s="896" t="str">
        <f>VLOOKUP(H462,tbl_KausiPitkaDivari[],2,FALSE)</f>
        <v>IV-Div+Kars</v>
      </c>
      <c r="J462" s="713"/>
      <c r="K462" s="524"/>
      <c r="L462" s="357"/>
      <c r="M462" s="377"/>
      <c r="N462" s="357"/>
      <c r="O462" s="357"/>
    </row>
    <row r="463" spans="1:22" ht="15" customHeight="1" x14ac:dyDescent="0.3">
      <c r="B463" s="399"/>
      <c r="C463" s="893" t="s">
        <v>2530</v>
      </c>
      <c r="D463" s="894"/>
      <c r="E463" s="894"/>
      <c r="F463" s="895">
        <v>1</v>
      </c>
      <c r="G463" s="895"/>
      <c r="H463" s="895" t="s">
        <v>2372</v>
      </c>
      <c r="I463" s="896" t="str">
        <f>VLOOKUP(H463,tbl_KausiPitkaDivari[],2,FALSE)</f>
        <v>IV-Div+Kars</v>
      </c>
      <c r="J463" s="713"/>
      <c r="K463" s="524"/>
      <c r="L463" s="357"/>
      <c r="M463" s="377"/>
      <c r="N463" s="357"/>
      <c r="O463" s="357"/>
    </row>
    <row r="464" spans="1:22" ht="15" customHeight="1" x14ac:dyDescent="0.3">
      <c r="B464" s="399"/>
      <c r="C464" s="893" t="s">
        <v>2495</v>
      </c>
      <c r="D464" s="894"/>
      <c r="E464" s="894"/>
      <c r="F464" s="895">
        <v>1</v>
      </c>
      <c r="G464" s="895"/>
      <c r="H464" s="895" t="s">
        <v>2489</v>
      </c>
      <c r="I464" s="896" t="str">
        <f>VLOOKUP(H464,tbl_KausiPitkaDivari[],2,FALSE)</f>
        <v>III-Div</v>
      </c>
      <c r="J464" s="713" t="s">
        <v>1685</v>
      </c>
      <c r="K464" s="524"/>
      <c r="L464" s="357"/>
      <c r="M464" s="377"/>
      <c r="N464" s="357"/>
      <c r="O464" s="357"/>
    </row>
    <row r="465" spans="1:22" ht="15" customHeight="1" x14ac:dyDescent="0.3">
      <c r="B465" s="399"/>
      <c r="C465" s="893" t="s">
        <v>2279</v>
      </c>
      <c r="D465" s="894"/>
      <c r="E465" s="894"/>
      <c r="F465" s="895">
        <v>1</v>
      </c>
      <c r="G465" s="895"/>
      <c r="H465" s="895" t="s">
        <v>2153</v>
      </c>
      <c r="I465" s="896" t="str">
        <f>VLOOKUP(H465,tbl_KausiPitkaDivari[],2,FALSE)</f>
        <v>IV-Div</v>
      </c>
      <c r="K465" s="520"/>
      <c r="L465" s="357"/>
      <c r="M465" s="377"/>
      <c r="N465" s="357"/>
      <c r="O465" s="357"/>
    </row>
    <row r="466" spans="1:22" ht="15" customHeight="1" x14ac:dyDescent="0.3">
      <c r="B466" s="399"/>
      <c r="C466" s="893" t="s">
        <v>1075</v>
      </c>
      <c r="D466" s="894"/>
      <c r="E466" s="894"/>
      <c r="F466" s="895">
        <v>1</v>
      </c>
      <c r="G466" s="895"/>
      <c r="H466" s="895" t="s">
        <v>2006</v>
      </c>
      <c r="I466" s="896" t="str">
        <f>VLOOKUP(H466,tbl_KausiPitkaDivari[],2,FALSE)</f>
        <v>IV-Div+Cup</v>
      </c>
      <c r="J466" s="713"/>
      <c r="K466" s="524"/>
      <c r="L466" s="357"/>
      <c r="M466" s="377"/>
      <c r="N466" s="357"/>
      <c r="O466" s="357"/>
    </row>
    <row r="467" spans="1:22" ht="15" customHeight="1" x14ac:dyDescent="0.3">
      <c r="B467" s="399"/>
      <c r="C467" s="839" t="s">
        <v>512</v>
      </c>
      <c r="D467" s="840"/>
      <c r="E467" s="840"/>
      <c r="F467" s="841">
        <v>0</v>
      </c>
      <c r="G467" s="841"/>
      <c r="H467" s="841" t="s">
        <v>2152</v>
      </c>
      <c r="I467" s="842" t="str">
        <f>VLOOKUP(H467,tbl_KausiPitkaDivari[],2,FALSE)</f>
        <v>III-Div+Kars</v>
      </c>
      <c r="J467" s="713"/>
      <c r="K467" s="524"/>
      <c r="L467" s="357"/>
      <c r="M467" s="377"/>
      <c r="N467" s="357"/>
      <c r="O467" s="357"/>
    </row>
    <row r="468" spans="1:22" ht="15" customHeight="1" x14ac:dyDescent="0.3">
      <c r="B468" s="399"/>
      <c r="C468" s="839" t="s">
        <v>512</v>
      </c>
      <c r="D468" s="840"/>
      <c r="E468" s="840"/>
      <c r="F468" s="841">
        <v>0</v>
      </c>
      <c r="G468" s="841"/>
      <c r="H468" s="841" t="s">
        <v>1490</v>
      </c>
      <c r="I468" s="842" t="str">
        <f>VLOOKUP(H468,tbl_KausiPitkaDivari[],2,FALSE)</f>
        <v>IV-Div</v>
      </c>
      <c r="J468" s="713"/>
      <c r="K468" s="524"/>
      <c r="L468" s="357"/>
      <c r="M468" s="377"/>
      <c r="N468" s="357"/>
      <c r="O468" s="357"/>
    </row>
    <row r="469" spans="1:22" s="56" customFormat="1" ht="15" customHeight="1" x14ac:dyDescent="0.3">
      <c r="A469" s="524"/>
      <c r="B469" s="529"/>
      <c r="C469" s="839" t="s">
        <v>512</v>
      </c>
      <c r="D469" s="840"/>
      <c r="E469" s="840"/>
      <c r="F469" s="841">
        <v>0</v>
      </c>
      <c r="G469" s="841"/>
      <c r="H469" s="841" t="s">
        <v>874</v>
      </c>
      <c r="I469" s="842" t="str">
        <f>VLOOKUP(H469,tbl_KausiPitkaDivari[],2,FALSE)</f>
        <v>IV-Div</v>
      </c>
      <c r="J469" s="713"/>
      <c r="K469" s="524"/>
      <c r="L469" s="524"/>
      <c r="M469" s="546"/>
      <c r="N469" s="524"/>
      <c r="O469" s="524"/>
      <c r="P469" s="524"/>
      <c r="Q469" s="524"/>
      <c r="R469" s="524"/>
      <c r="S469" s="524"/>
      <c r="T469" s="524"/>
      <c r="U469" s="524"/>
      <c r="V469" s="524"/>
    </row>
    <row r="470" spans="1:22" s="56" customFormat="1" ht="15" customHeight="1" x14ac:dyDescent="0.3">
      <c r="A470" s="524"/>
      <c r="B470" s="529"/>
      <c r="C470" s="839" t="s">
        <v>512</v>
      </c>
      <c r="D470" s="840"/>
      <c r="E470" s="840"/>
      <c r="F470" s="841">
        <v>0</v>
      </c>
      <c r="G470" s="841"/>
      <c r="H470" s="841" t="s">
        <v>754</v>
      </c>
      <c r="I470" s="842" t="str">
        <f>VLOOKUP(H470,tbl_KausiPitkaDivari[],2,FALSE)</f>
        <v>IV-Div</v>
      </c>
      <c r="J470" s="713"/>
      <c r="K470" s="859"/>
      <c r="L470" s="524"/>
      <c r="M470" s="546"/>
      <c r="N470" s="524"/>
      <c r="O470" s="524"/>
      <c r="P470" s="524"/>
      <c r="Q470" s="524"/>
      <c r="R470" s="524"/>
      <c r="S470" s="524"/>
      <c r="T470" s="524"/>
      <c r="U470" s="524"/>
      <c r="V470" s="524"/>
    </row>
    <row r="471" spans="1:22" s="56" customFormat="1" ht="15" customHeight="1" x14ac:dyDescent="0.3">
      <c r="A471" s="524"/>
      <c r="B471" s="529"/>
      <c r="C471" s="839" t="s">
        <v>512</v>
      </c>
      <c r="D471" s="840"/>
      <c r="E471" s="840"/>
      <c r="F471" s="841">
        <v>0</v>
      </c>
      <c r="G471" s="841"/>
      <c r="H471" s="841" t="s">
        <v>584</v>
      </c>
      <c r="I471" s="842" t="str">
        <f>VLOOKUP(H471,tbl_KausiPitkaDivari[],2,FALSE)</f>
        <v>IV-Div</v>
      </c>
      <c r="J471" s="713"/>
      <c r="K471" s="859"/>
      <c r="L471" s="524"/>
      <c r="M471" s="546"/>
      <c r="N471" s="524"/>
      <c r="O471" s="524"/>
      <c r="P471" s="524"/>
      <c r="Q471" s="524"/>
      <c r="R471" s="524"/>
      <c r="S471" s="524"/>
      <c r="T471" s="524"/>
      <c r="U471" s="524"/>
      <c r="V471" s="524"/>
    </row>
    <row r="472" spans="1:22" s="56" customFormat="1" ht="15" customHeight="1" x14ac:dyDescent="0.3">
      <c r="A472" s="524"/>
      <c r="B472" s="529"/>
      <c r="C472" s="843" t="s">
        <v>512</v>
      </c>
      <c r="D472" s="844"/>
      <c r="E472" s="844"/>
      <c r="F472" s="845">
        <v>0</v>
      </c>
      <c r="G472" s="845"/>
      <c r="H472" s="845" t="s">
        <v>83</v>
      </c>
      <c r="I472" s="846" t="str">
        <f>VLOOKUP(H472,tbl_KausiPitkaDivari[],2,FALSE)</f>
        <v>V-Div</v>
      </c>
      <c r="J472" s="713"/>
      <c r="K472" s="524"/>
      <c r="L472" s="524"/>
      <c r="M472" s="546"/>
      <c r="N472" s="524"/>
      <c r="O472" s="524"/>
      <c r="P472" s="524"/>
      <c r="Q472" s="524"/>
      <c r="R472" s="524"/>
      <c r="S472" s="524"/>
      <c r="T472" s="524"/>
      <c r="U472" s="524"/>
      <c r="V472" s="524"/>
    </row>
    <row r="473" spans="1:22" ht="15" customHeight="1" x14ac:dyDescent="0.3">
      <c r="B473" s="401"/>
      <c r="C473" s="357"/>
      <c r="D473" s="357"/>
      <c r="E473" s="357"/>
      <c r="F473" s="357"/>
      <c r="G473" s="358"/>
      <c r="H473" s="358"/>
      <c r="I473" s="357"/>
      <c r="J473" s="357"/>
      <c r="K473" s="357"/>
      <c r="L473" s="357"/>
      <c r="M473" s="377"/>
      <c r="N473" s="357"/>
      <c r="O473" s="357"/>
    </row>
    <row r="474" spans="1:22" ht="15" customHeight="1" x14ac:dyDescent="0.3">
      <c r="B474" s="401"/>
      <c r="C474" s="357"/>
      <c r="D474" s="357"/>
      <c r="E474" s="357"/>
      <c r="F474" s="357"/>
      <c r="G474" s="358"/>
      <c r="H474" s="358"/>
      <c r="I474" s="357"/>
      <c r="J474" s="357"/>
      <c r="K474" s="357"/>
      <c r="L474" s="357"/>
      <c r="M474" s="377"/>
      <c r="N474" s="357"/>
      <c r="O474" s="357"/>
    </row>
    <row r="475" spans="1:22" ht="15" customHeight="1" x14ac:dyDescent="0.3">
      <c r="B475" s="401"/>
      <c r="C475" s="357"/>
      <c r="D475" s="357"/>
      <c r="E475" s="357"/>
      <c r="F475" s="357"/>
      <c r="G475" s="358"/>
      <c r="H475" s="358"/>
      <c r="I475" s="357"/>
      <c r="J475" s="357"/>
      <c r="K475" s="357"/>
      <c r="L475" s="357"/>
      <c r="M475" s="377"/>
      <c r="N475" s="357"/>
      <c r="O475" s="357"/>
    </row>
    <row r="476" spans="1:22" ht="15" customHeight="1" x14ac:dyDescent="0.3">
      <c r="B476" s="401"/>
      <c r="C476" s="357"/>
      <c r="D476" s="357"/>
      <c r="E476" s="357"/>
      <c r="F476" s="357"/>
      <c r="G476" s="358"/>
      <c r="H476" s="358"/>
      <c r="I476" s="357"/>
      <c r="J476" s="357"/>
      <c r="K476" s="357"/>
      <c r="L476" s="357"/>
      <c r="M476" s="377"/>
      <c r="N476" s="357"/>
      <c r="O476" s="357"/>
    </row>
    <row r="477" spans="1:22" ht="15" customHeight="1" x14ac:dyDescent="0.3">
      <c r="B477" s="442" t="s">
        <v>109</v>
      </c>
      <c r="C477" s="332"/>
      <c r="D477" s="567" t="s">
        <v>185</v>
      </c>
      <c r="E477" s="567"/>
      <c r="F477" s="567"/>
      <c r="G477" s="568">
        <v>83</v>
      </c>
      <c r="H477" s="568"/>
      <c r="I477" s="576" t="s">
        <v>297</v>
      </c>
      <c r="J477" s="848"/>
      <c r="K477" s="357" t="s">
        <v>599</v>
      </c>
      <c r="L477" s="357"/>
      <c r="M477" s="377"/>
      <c r="N477" s="357"/>
      <c r="O477" s="357"/>
    </row>
    <row r="478" spans="1:22" s="56" customFormat="1" ht="15" customHeight="1" x14ac:dyDescent="0.2">
      <c r="A478" s="524"/>
      <c r="B478" s="547"/>
      <c r="C478" s="577"/>
      <c r="D478" s="548" t="s">
        <v>48</v>
      </c>
      <c r="E478" s="548"/>
      <c r="F478" s="548"/>
      <c r="G478" s="549">
        <v>56</v>
      </c>
      <c r="H478" s="549"/>
      <c r="I478" s="550" t="s">
        <v>83</v>
      </c>
      <c r="J478" s="521"/>
      <c r="K478" s="524"/>
      <c r="L478" s="524"/>
      <c r="M478" s="546"/>
      <c r="N478" s="524"/>
      <c r="O478" s="524"/>
      <c r="P478" s="524"/>
      <c r="Q478" s="524"/>
      <c r="R478" s="524"/>
      <c r="S478" s="524"/>
      <c r="T478" s="524"/>
      <c r="U478" s="524"/>
      <c r="V478" s="524"/>
    </row>
    <row r="479" spans="1:22" s="56" customFormat="1" ht="15" customHeight="1" x14ac:dyDescent="0.2">
      <c r="A479" s="524"/>
      <c r="B479" s="551"/>
      <c r="C479" s="578"/>
      <c r="D479" s="552" t="s">
        <v>50</v>
      </c>
      <c r="E479" s="552"/>
      <c r="F479" s="552"/>
      <c r="G479" s="553">
        <v>39</v>
      </c>
      <c r="H479" s="553"/>
      <c r="I479" s="554" t="s">
        <v>207</v>
      </c>
      <c r="J479" s="532"/>
      <c r="K479" s="524"/>
      <c r="L479" s="524"/>
      <c r="M479" s="546"/>
      <c r="N479" s="524"/>
      <c r="O479" s="524"/>
      <c r="P479" s="524"/>
      <c r="Q479" s="524"/>
      <c r="R479" s="524"/>
      <c r="S479" s="524"/>
      <c r="T479" s="524"/>
      <c r="U479" s="524"/>
      <c r="V479" s="524"/>
    </row>
    <row r="480" spans="1:22" ht="15" customHeight="1" x14ac:dyDescent="0.3">
      <c r="B480" s="401"/>
      <c r="C480" s="357"/>
      <c r="D480" s="357"/>
      <c r="E480" s="357"/>
      <c r="F480" s="357"/>
      <c r="G480" s="358"/>
      <c r="H480" s="358"/>
      <c r="I480" s="357"/>
      <c r="J480" s="357"/>
      <c r="K480" s="357"/>
      <c r="L480" s="357"/>
      <c r="M480" s="377"/>
      <c r="N480" s="357"/>
      <c r="O480" s="357"/>
    </row>
    <row r="481" spans="1:22" ht="15" customHeight="1" x14ac:dyDescent="0.3">
      <c r="B481" s="442" t="s">
        <v>110</v>
      </c>
      <c r="C481" s="332"/>
      <c r="D481" s="567" t="s">
        <v>185</v>
      </c>
      <c r="E481" s="567"/>
      <c r="F481" s="567"/>
      <c r="G481" s="568">
        <v>35</v>
      </c>
      <c r="H481" s="568"/>
      <c r="I481" s="576" t="s">
        <v>297</v>
      </c>
      <c r="J481" s="848"/>
      <c r="K481" s="357" t="s">
        <v>599</v>
      </c>
      <c r="L481" s="357"/>
      <c r="M481" s="377"/>
      <c r="N481" s="357"/>
      <c r="O481" s="357"/>
    </row>
    <row r="482" spans="1:22" s="56" customFormat="1" ht="15" customHeight="1" x14ac:dyDescent="0.2">
      <c r="A482" s="524"/>
      <c r="B482" s="547"/>
      <c r="C482" s="577"/>
      <c r="D482" s="548" t="s">
        <v>48</v>
      </c>
      <c r="E482" s="548"/>
      <c r="F482" s="548"/>
      <c r="G482" s="549">
        <v>34</v>
      </c>
      <c r="H482" s="549"/>
      <c r="I482" s="550" t="s">
        <v>83</v>
      </c>
      <c r="J482" s="521"/>
      <c r="K482" s="524"/>
      <c r="L482" s="524"/>
      <c r="M482" s="546"/>
      <c r="N482" s="524"/>
      <c r="O482" s="524"/>
      <c r="P482" s="524"/>
      <c r="Q482" s="524"/>
      <c r="R482" s="524"/>
      <c r="S482" s="524"/>
      <c r="T482" s="524"/>
      <c r="U482" s="524"/>
      <c r="V482" s="524"/>
    </row>
    <row r="483" spans="1:22" s="56" customFormat="1" ht="15" customHeight="1" x14ac:dyDescent="0.2">
      <c r="A483" s="524"/>
      <c r="B483" s="551"/>
      <c r="C483" s="578"/>
      <c r="D483" s="552" t="s">
        <v>185</v>
      </c>
      <c r="E483" s="552"/>
      <c r="F483" s="552"/>
      <c r="G483" s="553">
        <v>34</v>
      </c>
      <c r="H483" s="553"/>
      <c r="I483" s="554" t="s">
        <v>207</v>
      </c>
      <c r="J483" s="532"/>
      <c r="K483" s="524"/>
      <c r="L483" s="524"/>
      <c r="M483" s="546"/>
      <c r="N483" s="524"/>
      <c r="O483" s="524"/>
      <c r="P483" s="524"/>
      <c r="Q483" s="524"/>
      <c r="R483" s="524"/>
      <c r="S483" s="524"/>
      <c r="T483" s="524"/>
      <c r="U483" s="524"/>
      <c r="V483" s="524"/>
    </row>
    <row r="484" spans="1:22" ht="15" customHeight="1" x14ac:dyDescent="0.3">
      <c r="B484" s="401"/>
      <c r="C484" s="357"/>
      <c r="D484" s="357"/>
      <c r="E484" s="357"/>
      <c r="F484" s="357"/>
      <c r="G484" s="358"/>
      <c r="H484" s="358"/>
      <c r="I484" s="357"/>
      <c r="J484" s="357"/>
      <c r="K484" s="357"/>
      <c r="L484" s="357"/>
      <c r="M484" s="377"/>
      <c r="N484" s="357"/>
      <c r="O484" s="357"/>
    </row>
    <row r="485" spans="1:22" ht="15" customHeight="1" x14ac:dyDescent="0.3">
      <c r="B485" s="442" t="s">
        <v>111</v>
      </c>
      <c r="C485" s="332"/>
      <c r="D485" s="567" t="s">
        <v>185</v>
      </c>
      <c r="E485" s="567"/>
      <c r="F485" s="567"/>
      <c r="G485" s="568">
        <v>48</v>
      </c>
      <c r="H485" s="568"/>
      <c r="I485" s="576" t="s">
        <v>297</v>
      </c>
      <c r="J485" s="848"/>
      <c r="K485" s="357" t="s">
        <v>599</v>
      </c>
      <c r="L485" s="357"/>
      <c r="M485" s="377"/>
      <c r="N485" s="357"/>
      <c r="O485" s="357"/>
    </row>
    <row r="486" spans="1:22" s="56" customFormat="1" ht="15" customHeight="1" x14ac:dyDescent="0.2">
      <c r="A486" s="524"/>
      <c r="B486" s="547"/>
      <c r="C486" s="577"/>
      <c r="D486" s="548" t="s">
        <v>49</v>
      </c>
      <c r="E486" s="548"/>
      <c r="F486" s="548"/>
      <c r="G486" s="549">
        <v>27</v>
      </c>
      <c r="H486" s="549"/>
      <c r="I486" s="550" t="s">
        <v>83</v>
      </c>
      <c r="J486" s="521"/>
      <c r="K486" s="524"/>
      <c r="L486" s="524"/>
      <c r="M486" s="546"/>
      <c r="N486" s="524"/>
      <c r="O486" s="524"/>
      <c r="P486" s="524"/>
      <c r="Q486" s="524"/>
      <c r="R486" s="524"/>
      <c r="S486" s="524"/>
      <c r="T486" s="524"/>
      <c r="U486" s="524"/>
      <c r="V486" s="524"/>
    </row>
    <row r="487" spans="1:22" s="56" customFormat="1" ht="15" customHeight="1" x14ac:dyDescent="0.2">
      <c r="A487" s="524"/>
      <c r="B487" s="551"/>
      <c r="C487" s="578"/>
      <c r="D487" s="552" t="s">
        <v>50</v>
      </c>
      <c r="E487" s="552"/>
      <c r="F487" s="552"/>
      <c r="G487" s="553">
        <v>13</v>
      </c>
      <c r="H487" s="553"/>
      <c r="I487" s="554" t="s">
        <v>207</v>
      </c>
      <c r="J487" s="532"/>
      <c r="K487" s="524"/>
      <c r="L487" s="524"/>
      <c r="M487" s="546"/>
      <c r="N487" s="524"/>
      <c r="O487" s="524"/>
      <c r="P487" s="524"/>
      <c r="Q487" s="524"/>
      <c r="R487" s="524"/>
      <c r="S487" s="524"/>
      <c r="T487" s="524"/>
      <c r="U487" s="524"/>
      <c r="V487" s="524"/>
    </row>
    <row r="488" spans="1:22" ht="15" customHeight="1" x14ac:dyDescent="0.3">
      <c r="B488" s="401"/>
      <c r="C488" s="357"/>
      <c r="D488" s="357"/>
      <c r="E488" s="357"/>
      <c r="F488" s="357"/>
      <c r="G488" s="358"/>
      <c r="H488" s="358"/>
      <c r="I488" s="357"/>
      <c r="J488" s="357"/>
      <c r="K488" s="357"/>
      <c r="L488" s="357"/>
      <c r="M488" s="377"/>
      <c r="N488" s="357"/>
      <c r="O488" s="357"/>
    </row>
    <row r="489" spans="1:22" ht="15" customHeight="1" x14ac:dyDescent="0.35">
      <c r="B489" s="528" t="s">
        <v>70</v>
      </c>
      <c r="C489" s="357"/>
      <c r="D489" s="357"/>
      <c r="E489" s="357"/>
      <c r="F489" s="357"/>
      <c r="G489" s="358"/>
      <c r="H489" s="358"/>
      <c r="I489" s="357"/>
      <c r="J489" s="357"/>
      <c r="K489" s="357"/>
      <c r="L489" s="357"/>
      <c r="M489" s="377"/>
      <c r="N489" s="357"/>
      <c r="O489" s="357"/>
    </row>
    <row r="490" spans="1:22" ht="15" customHeight="1" x14ac:dyDescent="0.3">
      <c r="B490" s="401"/>
      <c r="C490" s="357"/>
      <c r="D490" s="357"/>
      <c r="E490" s="357"/>
      <c r="F490" s="357"/>
      <c r="G490" s="358"/>
      <c r="H490" s="358"/>
      <c r="I490" s="357"/>
      <c r="J490" s="357"/>
      <c r="K490" s="357"/>
      <c r="L490" s="357"/>
      <c r="M490" s="377"/>
      <c r="N490" s="357"/>
      <c r="O490" s="357"/>
    </row>
    <row r="491" spans="1:22" ht="15" customHeight="1" x14ac:dyDescent="0.3">
      <c r="B491" s="436" t="s">
        <v>66</v>
      </c>
      <c r="C491" s="311"/>
      <c r="D491" s="1120" t="s">
        <v>2281</v>
      </c>
      <c r="E491" s="1120"/>
      <c r="F491" s="1120"/>
      <c r="G491" s="915">
        <v>2</v>
      </c>
      <c r="H491" s="915"/>
      <c r="I491" s="1160" t="s">
        <v>2153</v>
      </c>
      <c r="K491" s="357"/>
      <c r="L491" s="357"/>
      <c r="M491" s="377"/>
      <c r="N491" s="357"/>
      <c r="O491" s="357"/>
    </row>
    <row r="492" spans="1:22" ht="15" customHeight="1" x14ac:dyDescent="0.3">
      <c r="B492" s="401"/>
      <c r="C492" s="357"/>
      <c r="D492" s="1247" t="s">
        <v>100</v>
      </c>
      <c r="E492" s="931"/>
      <c r="F492" s="931"/>
      <c r="G492" s="768">
        <v>1</v>
      </c>
      <c r="H492" s="768"/>
      <c r="I492" s="1204" t="s">
        <v>297</v>
      </c>
      <c r="J492" s="850"/>
      <c r="K492" s="357"/>
      <c r="L492" s="357"/>
      <c r="M492" s="377"/>
      <c r="N492" s="357"/>
      <c r="O492" s="357"/>
    </row>
    <row r="493" spans="1:22" ht="15" customHeight="1" x14ac:dyDescent="0.3">
      <c r="B493" s="401"/>
      <c r="C493" s="357"/>
      <c r="D493" s="1276" t="s">
        <v>2281</v>
      </c>
      <c r="E493" s="1277"/>
      <c r="F493" s="1277"/>
      <c r="G493" s="785">
        <v>1</v>
      </c>
      <c r="H493" s="785"/>
      <c r="I493" s="1173" t="s">
        <v>2372</v>
      </c>
      <c r="J493" s="410"/>
      <c r="K493" s="357"/>
      <c r="L493" s="357"/>
      <c r="M493" s="377"/>
      <c r="N493" s="357"/>
      <c r="O493" s="357"/>
    </row>
    <row r="494" spans="1:22" ht="15" customHeight="1" x14ac:dyDescent="0.3">
      <c r="B494" s="401"/>
      <c r="C494" s="357"/>
      <c r="D494" s="1248" t="s">
        <v>100</v>
      </c>
      <c r="E494" s="1205"/>
      <c r="F494" s="1205"/>
      <c r="G494" s="764">
        <v>1</v>
      </c>
      <c r="H494" s="764"/>
      <c r="I494" s="1145" t="s">
        <v>754</v>
      </c>
      <c r="J494" s="849"/>
      <c r="K494" s="357"/>
      <c r="L494" s="357"/>
      <c r="M494" s="377"/>
      <c r="N494" s="357"/>
      <c r="O494" s="357"/>
    </row>
    <row r="495" spans="1:22" ht="15" customHeight="1" x14ac:dyDescent="0.3">
      <c r="B495" s="401"/>
      <c r="C495" s="357"/>
      <c r="D495" s="1248" t="s">
        <v>946</v>
      </c>
      <c r="E495" s="1205"/>
      <c r="F495" s="1205"/>
      <c r="G495" s="764">
        <v>1</v>
      </c>
      <c r="H495" s="764"/>
      <c r="I495" s="1145" t="s">
        <v>977</v>
      </c>
      <c r="J495" s="849"/>
      <c r="K495" s="357"/>
      <c r="L495" s="357"/>
      <c r="M495" s="377"/>
      <c r="N495" s="357"/>
      <c r="O495" s="357"/>
    </row>
    <row r="496" spans="1:22" ht="15" customHeight="1" x14ac:dyDescent="0.3">
      <c r="B496" s="401"/>
      <c r="C496" s="357"/>
      <c r="D496" s="1249" t="s">
        <v>946</v>
      </c>
      <c r="E496" s="1250"/>
      <c r="F496" s="1250"/>
      <c r="G496" s="1251">
        <v>1</v>
      </c>
      <c r="H496" s="1251"/>
      <c r="I496" s="1252" t="s">
        <v>1490</v>
      </c>
      <c r="J496" s="851"/>
      <c r="K496" s="357"/>
      <c r="L496" s="357"/>
      <c r="M496" s="377"/>
      <c r="N496" s="357"/>
      <c r="O496" s="357"/>
    </row>
    <row r="497" spans="1:22" ht="15" customHeight="1" x14ac:dyDescent="0.3">
      <c r="B497" s="401"/>
      <c r="C497" s="357"/>
      <c r="D497" s="357"/>
      <c r="E497" s="357"/>
      <c r="F497" s="357"/>
      <c r="G497" s="358"/>
      <c r="H497" s="358"/>
      <c r="I497" s="357"/>
      <c r="J497" s="357"/>
      <c r="K497" s="357"/>
      <c r="L497" s="357"/>
      <c r="M497" s="377"/>
      <c r="N497" s="357"/>
      <c r="O497" s="357"/>
    </row>
    <row r="498" spans="1:22" ht="15" customHeight="1" x14ac:dyDescent="0.3">
      <c r="B498" s="436" t="s">
        <v>71</v>
      </c>
      <c r="C498" s="311"/>
      <c r="D498" s="1154" t="s">
        <v>2281</v>
      </c>
      <c r="E498" s="1154"/>
      <c r="F498" s="1154"/>
      <c r="G498" s="1155">
        <v>3</v>
      </c>
      <c r="H498" s="1155"/>
      <c r="I498" s="1159" t="s">
        <v>2372</v>
      </c>
      <c r="J498" s="410"/>
      <c r="K498" s="357"/>
      <c r="L498" s="357"/>
      <c r="M498" s="377"/>
      <c r="N498" s="357"/>
      <c r="O498" s="357"/>
    </row>
    <row r="499" spans="1:22" s="140" customFormat="1" ht="15" customHeight="1" x14ac:dyDescent="0.2">
      <c r="A499" s="519"/>
      <c r="B499" s="529"/>
      <c r="C499" s="519"/>
      <c r="D499" s="1138" t="s">
        <v>946</v>
      </c>
      <c r="E499" s="1139"/>
      <c r="F499" s="1139"/>
      <c r="G499" s="1140">
        <v>2</v>
      </c>
      <c r="H499" s="1140"/>
      <c r="I499" s="1172" t="s">
        <v>1385</v>
      </c>
      <c r="J499" s="521"/>
      <c r="K499" s="519"/>
      <c r="L499" s="519"/>
      <c r="M499" s="421"/>
      <c r="N499" s="519"/>
      <c r="O499" s="519"/>
      <c r="P499" s="519"/>
      <c r="Q499" s="519"/>
      <c r="R499" s="519"/>
      <c r="S499" s="519"/>
      <c r="T499" s="519"/>
      <c r="U499" s="519"/>
      <c r="V499" s="519"/>
    </row>
    <row r="500" spans="1:22" s="140" customFormat="1" ht="15" customHeight="1" x14ac:dyDescent="0.2">
      <c r="A500" s="519"/>
      <c r="B500" s="529"/>
      <c r="C500" s="519"/>
      <c r="D500" s="1109" t="s">
        <v>100</v>
      </c>
      <c r="E500" s="1078"/>
      <c r="F500" s="1078"/>
      <c r="G500" s="1077">
        <v>1</v>
      </c>
      <c r="H500" s="1077"/>
      <c r="I500" s="1083" t="s">
        <v>83</v>
      </c>
      <c r="J500" s="521"/>
      <c r="K500" s="519"/>
      <c r="L500" s="519"/>
      <c r="M500" s="421"/>
      <c r="N500" s="519"/>
      <c r="O500" s="519"/>
      <c r="P500" s="519"/>
      <c r="Q500" s="519"/>
      <c r="R500" s="519"/>
      <c r="S500" s="519"/>
      <c r="T500" s="519"/>
      <c r="U500" s="519"/>
      <c r="V500" s="519"/>
    </row>
    <row r="501" spans="1:22" s="140" customFormat="1" ht="15" customHeight="1" x14ac:dyDescent="0.2">
      <c r="A501" s="519"/>
      <c r="B501" s="529"/>
      <c r="C501" s="519"/>
      <c r="D501" s="560" t="s">
        <v>100</v>
      </c>
      <c r="E501" s="555"/>
      <c r="F501" s="555"/>
      <c r="G501" s="556">
        <v>1</v>
      </c>
      <c r="H501" s="556"/>
      <c r="I501" s="916" t="s">
        <v>754</v>
      </c>
      <c r="J501" s="530"/>
      <c r="K501" s="519"/>
      <c r="L501" s="519"/>
      <c r="M501" s="421"/>
      <c r="N501" s="519"/>
      <c r="O501" s="519"/>
      <c r="P501" s="519"/>
      <c r="Q501" s="519"/>
      <c r="R501" s="519"/>
      <c r="S501" s="519"/>
      <c r="T501" s="519"/>
      <c r="U501" s="519"/>
      <c r="V501" s="519"/>
    </row>
    <row r="502" spans="1:22" s="140" customFormat="1" ht="15" customHeight="1" x14ac:dyDescent="0.2">
      <c r="A502" s="519"/>
      <c r="B502" s="529"/>
      <c r="C502" s="519"/>
      <c r="D502" s="560" t="s">
        <v>100</v>
      </c>
      <c r="E502" s="555"/>
      <c r="F502" s="555"/>
      <c r="G502" s="556">
        <v>1</v>
      </c>
      <c r="H502" s="556"/>
      <c r="I502" s="916" t="s">
        <v>874</v>
      </c>
      <c r="J502" s="829"/>
      <c r="K502" s="519"/>
      <c r="L502" s="519"/>
      <c r="M502" s="421"/>
      <c r="N502" s="519"/>
      <c r="O502" s="519"/>
      <c r="P502" s="519"/>
      <c r="Q502" s="519"/>
      <c r="R502" s="519"/>
      <c r="S502" s="519"/>
      <c r="T502" s="519"/>
      <c r="U502" s="519"/>
      <c r="V502" s="519"/>
    </row>
    <row r="503" spans="1:22" s="140" customFormat="1" ht="15" customHeight="1" x14ac:dyDescent="0.2">
      <c r="A503" s="519"/>
      <c r="B503" s="529"/>
      <c r="C503" s="519"/>
      <c r="D503" s="560" t="s">
        <v>1660</v>
      </c>
      <c r="E503" s="555"/>
      <c r="F503" s="555"/>
      <c r="G503" s="556">
        <v>1</v>
      </c>
      <c r="H503" s="556"/>
      <c r="I503" s="916" t="s">
        <v>2152</v>
      </c>
      <c r="J503" s="949"/>
      <c r="K503" s="519"/>
      <c r="L503" s="519"/>
      <c r="M503" s="421"/>
      <c r="N503" s="519"/>
      <c r="O503" s="519"/>
      <c r="P503" s="519"/>
      <c r="Q503" s="519"/>
      <c r="R503" s="519"/>
      <c r="S503" s="519"/>
      <c r="T503" s="519"/>
      <c r="U503" s="519"/>
      <c r="V503" s="519"/>
    </row>
    <row r="504" spans="1:22" s="140" customFormat="1" ht="15" customHeight="1" x14ac:dyDescent="0.2">
      <c r="A504" s="519"/>
      <c r="B504" s="529"/>
      <c r="C504" s="519"/>
      <c r="D504" s="560" t="s">
        <v>2281</v>
      </c>
      <c r="E504" s="555"/>
      <c r="F504" s="555"/>
      <c r="G504" s="556">
        <v>1</v>
      </c>
      <c r="H504" s="556"/>
      <c r="I504" s="916" t="s">
        <v>2153</v>
      </c>
      <c r="J504" s="949"/>
      <c r="K504" s="519"/>
      <c r="L504" s="519"/>
      <c r="M504" s="421"/>
      <c r="N504" s="519"/>
      <c r="O504" s="519"/>
      <c r="P504" s="519"/>
      <c r="Q504" s="519"/>
      <c r="R504" s="519"/>
      <c r="S504" s="519"/>
      <c r="T504" s="519"/>
      <c r="U504" s="519"/>
      <c r="V504" s="519"/>
    </row>
    <row r="505" spans="1:22" s="140" customFormat="1" ht="15" customHeight="1" x14ac:dyDescent="0.2">
      <c r="A505" s="519"/>
      <c r="B505" s="529"/>
      <c r="C505" s="519"/>
      <c r="D505" s="560" t="s">
        <v>980</v>
      </c>
      <c r="E505" s="555"/>
      <c r="F505" s="555"/>
      <c r="G505" s="556">
        <v>1</v>
      </c>
      <c r="H505" s="556"/>
      <c r="I505" s="916" t="s">
        <v>977</v>
      </c>
      <c r="J505" s="852"/>
      <c r="K505" s="519"/>
      <c r="L505" s="519"/>
      <c r="M505" s="421"/>
      <c r="N505" s="519"/>
      <c r="O505" s="519"/>
      <c r="P505" s="519"/>
      <c r="Q505" s="519"/>
      <c r="R505" s="519"/>
      <c r="S505" s="519"/>
      <c r="T505" s="519"/>
      <c r="U505" s="519"/>
      <c r="V505" s="519"/>
    </row>
    <row r="506" spans="1:22" s="140" customFormat="1" ht="15" customHeight="1" x14ac:dyDescent="0.2">
      <c r="A506" s="519"/>
      <c r="B506" s="529"/>
      <c r="C506" s="519"/>
      <c r="D506" s="1253" t="s">
        <v>1104</v>
      </c>
      <c r="E506" s="1036"/>
      <c r="F506" s="1036"/>
      <c r="G506" s="1035">
        <v>1</v>
      </c>
      <c r="H506" s="1035"/>
      <c r="I506" s="1211" t="s">
        <v>1102</v>
      </c>
      <c r="J506" s="853"/>
      <c r="K506" s="519"/>
      <c r="L506" s="519"/>
      <c r="M506" s="421"/>
      <c r="N506" s="519"/>
      <c r="O506" s="519"/>
      <c r="P506" s="519"/>
      <c r="Q506" s="519"/>
      <c r="R506" s="519"/>
      <c r="S506" s="519"/>
      <c r="T506" s="519"/>
      <c r="U506" s="519"/>
      <c r="V506" s="519"/>
    </row>
    <row r="507" spans="1:22" s="140" customFormat="1" ht="15" customHeight="1" x14ac:dyDescent="0.3">
      <c r="A507" s="519"/>
      <c r="B507" s="529"/>
      <c r="C507" s="519"/>
      <c r="D507" s="1253" t="s">
        <v>1754</v>
      </c>
      <c r="E507" s="1036"/>
      <c r="F507" s="1036"/>
      <c r="G507" s="1035">
        <v>0</v>
      </c>
      <c r="H507" s="1035"/>
      <c r="I507" s="1211" t="s">
        <v>2489</v>
      </c>
      <c r="J507" s="410" t="s">
        <v>1685</v>
      </c>
      <c r="K507" s="519"/>
      <c r="L507" s="519"/>
      <c r="M507" s="421"/>
      <c r="N507" s="519"/>
      <c r="O507" s="519"/>
      <c r="P507" s="519"/>
      <c r="Q507" s="519"/>
      <c r="R507" s="519"/>
      <c r="S507" s="519"/>
      <c r="T507" s="519"/>
      <c r="U507" s="519"/>
      <c r="V507" s="519"/>
    </row>
    <row r="508" spans="1:22" s="140" customFormat="1" ht="15" customHeight="1" x14ac:dyDescent="0.2">
      <c r="A508" s="519"/>
      <c r="B508" s="529"/>
      <c r="C508" s="519"/>
      <c r="D508" s="560" t="s">
        <v>1754</v>
      </c>
      <c r="E508" s="555"/>
      <c r="F508" s="555"/>
      <c r="G508" s="556">
        <v>0</v>
      </c>
      <c r="H508" s="556"/>
      <c r="I508" s="916" t="s">
        <v>2006</v>
      </c>
      <c r="J508" s="949"/>
      <c r="K508" s="519"/>
      <c r="L508" s="519"/>
      <c r="M508" s="421"/>
      <c r="N508" s="519"/>
      <c r="O508" s="519"/>
      <c r="P508" s="519"/>
      <c r="Q508" s="519"/>
      <c r="R508" s="519"/>
      <c r="S508" s="519"/>
      <c r="T508" s="519"/>
      <c r="U508" s="519"/>
      <c r="V508" s="519"/>
    </row>
    <row r="509" spans="1:22" s="140" customFormat="1" ht="15" customHeight="1" x14ac:dyDescent="0.2">
      <c r="A509" s="519"/>
      <c r="B509" s="529"/>
      <c r="C509" s="519"/>
      <c r="D509" s="560" t="s">
        <v>1754</v>
      </c>
      <c r="E509" s="555"/>
      <c r="F509" s="555"/>
      <c r="G509" s="556">
        <v>0</v>
      </c>
      <c r="H509" s="556"/>
      <c r="I509" s="916" t="s">
        <v>1818</v>
      </c>
      <c r="J509" s="949"/>
      <c r="K509" s="519"/>
      <c r="L509" s="519"/>
      <c r="M509" s="421"/>
      <c r="N509" s="519"/>
      <c r="O509" s="519"/>
      <c r="P509" s="519"/>
      <c r="Q509" s="519"/>
      <c r="R509" s="519"/>
      <c r="S509" s="519"/>
      <c r="T509" s="519"/>
      <c r="U509" s="519"/>
      <c r="V509" s="519"/>
    </row>
    <row r="510" spans="1:22" s="140" customFormat="1" ht="15" customHeight="1" x14ac:dyDescent="0.2">
      <c r="A510" s="519"/>
      <c r="B510" s="529"/>
      <c r="C510" s="519"/>
      <c r="D510" s="563" t="s">
        <v>1754</v>
      </c>
      <c r="E510" s="558"/>
      <c r="F510" s="558"/>
      <c r="G510" s="559">
        <v>0</v>
      </c>
      <c r="H510" s="559"/>
      <c r="I510" s="1118" t="s">
        <v>1635</v>
      </c>
      <c r="J510" s="853"/>
      <c r="K510" s="519"/>
      <c r="L510" s="519"/>
      <c r="M510" s="421"/>
      <c r="N510" s="519"/>
      <c r="O510" s="519"/>
      <c r="P510" s="519"/>
      <c r="Q510" s="519"/>
      <c r="R510" s="519"/>
      <c r="S510" s="519"/>
      <c r="T510" s="519"/>
      <c r="U510" s="519"/>
      <c r="V510" s="519"/>
    </row>
    <row r="511" spans="1:22" ht="15" customHeight="1" x14ac:dyDescent="0.3">
      <c r="B511" s="401"/>
      <c r="C511" s="357"/>
      <c r="D511" s="357"/>
      <c r="E511" s="357"/>
      <c r="F511" s="357"/>
      <c r="G511" s="358"/>
      <c r="H511" s="358"/>
      <c r="I511" s="357"/>
      <c r="J511" s="357"/>
      <c r="K511" s="357"/>
      <c r="L511" s="357"/>
      <c r="M511" s="377"/>
      <c r="N511" s="357"/>
      <c r="O511" s="357"/>
    </row>
    <row r="512" spans="1:22" ht="15" customHeight="1" x14ac:dyDescent="0.3">
      <c r="B512" s="436" t="s">
        <v>112</v>
      </c>
      <c r="C512" s="311"/>
      <c r="D512" s="1104" t="s">
        <v>100</v>
      </c>
      <c r="E512" s="1104"/>
      <c r="F512" s="1104"/>
      <c r="G512" s="745" t="s">
        <v>758</v>
      </c>
      <c r="H512" s="745"/>
      <c r="I512" s="1148" t="s">
        <v>754</v>
      </c>
      <c r="J512" s="850"/>
      <c r="K512" s="357"/>
      <c r="L512" s="357"/>
      <c r="M512" s="377"/>
      <c r="N512" s="357"/>
      <c r="O512" s="357"/>
    </row>
    <row r="513" spans="1:22" s="140" customFormat="1" ht="15" customHeight="1" x14ac:dyDescent="0.2">
      <c r="A513" s="519"/>
      <c r="B513" s="529"/>
      <c r="C513" s="519"/>
      <c r="D513" s="1149" t="s">
        <v>946</v>
      </c>
      <c r="E513" s="924"/>
      <c r="F513" s="924"/>
      <c r="G513" s="1171" t="s">
        <v>770</v>
      </c>
      <c r="H513" s="1171"/>
      <c r="I513" s="925" t="s">
        <v>1490</v>
      </c>
      <c r="J513" s="854"/>
      <c r="K513" s="519"/>
      <c r="L513" s="519"/>
      <c r="M513" s="519"/>
      <c r="N513" s="519"/>
      <c r="O513" s="519"/>
      <c r="P513" s="519"/>
      <c r="Q513" s="519"/>
      <c r="R513" s="519"/>
      <c r="S513" s="519"/>
      <c r="T513" s="519"/>
      <c r="U513" s="519"/>
      <c r="V513" s="519"/>
    </row>
    <row r="514" spans="1:22" s="31" customFormat="1" ht="15" customHeight="1" x14ac:dyDescent="0.2">
      <c r="A514" s="520"/>
      <c r="B514" s="529"/>
      <c r="C514" s="520"/>
      <c r="D514" s="560" t="s">
        <v>100</v>
      </c>
      <c r="E514" s="555"/>
      <c r="F514" s="555"/>
      <c r="G514" s="579" t="s">
        <v>770</v>
      </c>
      <c r="H514" s="579"/>
      <c r="I514" s="916" t="s">
        <v>874</v>
      </c>
      <c r="J514" s="520"/>
      <c r="K514" s="520"/>
      <c r="L514" s="520"/>
      <c r="M514" s="531"/>
      <c r="N514" s="520"/>
      <c r="O514" s="520"/>
      <c r="P514" s="520"/>
      <c r="Q514" s="520"/>
      <c r="R514" s="520"/>
      <c r="S514" s="520"/>
      <c r="T514" s="520"/>
      <c r="U514" s="520"/>
      <c r="V514" s="520"/>
    </row>
    <row r="515" spans="1:22" s="31" customFormat="1" ht="15" customHeight="1" x14ac:dyDescent="0.2">
      <c r="A515" s="520"/>
      <c r="B515" s="529"/>
      <c r="C515" s="520"/>
      <c r="D515" s="560" t="s">
        <v>1660</v>
      </c>
      <c r="E515" s="555"/>
      <c r="F515" s="555"/>
      <c r="G515" s="579" t="s">
        <v>582</v>
      </c>
      <c r="H515" s="579"/>
      <c r="I515" s="916" t="s">
        <v>1818</v>
      </c>
      <c r="J515" s="829"/>
      <c r="K515" s="520"/>
      <c r="L515" s="520"/>
      <c r="M515" s="531"/>
      <c r="N515" s="520"/>
      <c r="O515" s="520"/>
      <c r="P515" s="520"/>
      <c r="Q515" s="520"/>
      <c r="R515" s="520"/>
      <c r="S515" s="520"/>
      <c r="T515" s="520"/>
      <c r="U515" s="520"/>
      <c r="V515" s="520"/>
    </row>
    <row r="516" spans="1:22" s="31" customFormat="1" ht="15" customHeight="1" x14ac:dyDescent="0.2">
      <c r="A516" s="520"/>
      <c r="B516" s="529"/>
      <c r="C516" s="520"/>
      <c r="D516" s="560" t="s">
        <v>100</v>
      </c>
      <c r="E516" s="555"/>
      <c r="F516" s="555"/>
      <c r="G516" s="579" t="s">
        <v>582</v>
      </c>
      <c r="H516" s="579"/>
      <c r="I516" s="916" t="s">
        <v>584</v>
      </c>
      <c r="J516" s="949"/>
      <c r="K516" s="520"/>
      <c r="L516" s="520"/>
      <c r="M516" s="531"/>
      <c r="N516" s="520"/>
      <c r="O516" s="520"/>
      <c r="P516" s="520"/>
      <c r="Q516" s="520"/>
      <c r="R516" s="520"/>
      <c r="S516" s="520"/>
      <c r="T516" s="520"/>
      <c r="U516" s="520"/>
      <c r="V516" s="520"/>
    </row>
    <row r="517" spans="1:22" s="31" customFormat="1" ht="15" customHeight="1" x14ac:dyDescent="0.2">
      <c r="A517" s="520"/>
      <c r="B517" s="529"/>
      <c r="C517" s="520"/>
      <c r="D517" s="560" t="s">
        <v>2281</v>
      </c>
      <c r="E517" s="555"/>
      <c r="F517" s="555"/>
      <c r="G517" s="579" t="s">
        <v>582</v>
      </c>
      <c r="H517" s="579"/>
      <c r="I517" s="916" t="s">
        <v>2153</v>
      </c>
      <c r="J517" s="949"/>
      <c r="K517" s="520"/>
      <c r="L517" s="520"/>
      <c r="M517" s="531"/>
      <c r="N517" s="520"/>
      <c r="O517" s="520"/>
      <c r="P517" s="520"/>
      <c r="Q517" s="520"/>
      <c r="R517" s="520"/>
      <c r="S517" s="520"/>
      <c r="T517" s="520"/>
      <c r="U517" s="520"/>
      <c r="V517" s="520"/>
    </row>
    <row r="518" spans="1:22" ht="15" customHeight="1" x14ac:dyDescent="0.3">
      <c r="B518" s="401"/>
      <c r="C518" s="357"/>
      <c r="D518" s="560" t="s">
        <v>275</v>
      </c>
      <c r="E518" s="555"/>
      <c r="F518" s="555"/>
      <c r="G518" s="579" t="s">
        <v>128</v>
      </c>
      <c r="H518" s="579"/>
      <c r="I518" s="916" t="s">
        <v>297</v>
      </c>
      <c r="J518" s="855"/>
      <c r="K518" s="357"/>
      <c r="L518" s="357"/>
      <c r="M518" s="377"/>
      <c r="N518" s="357"/>
      <c r="O518" s="357"/>
    </row>
    <row r="519" spans="1:22" ht="15" customHeight="1" x14ac:dyDescent="0.3">
      <c r="B519" s="401"/>
      <c r="C519" s="357"/>
      <c r="D519" s="560" t="s">
        <v>57</v>
      </c>
      <c r="E519" s="555"/>
      <c r="F519" s="555"/>
      <c r="G519" s="579" t="s">
        <v>128</v>
      </c>
      <c r="H519" s="579"/>
      <c r="I519" s="916" t="s">
        <v>207</v>
      </c>
      <c r="J519" s="532"/>
      <c r="K519" s="357"/>
      <c r="L519" s="357"/>
      <c r="M519" s="377"/>
      <c r="N519" s="357"/>
      <c r="O519" s="357"/>
    </row>
    <row r="520" spans="1:22" ht="15" customHeight="1" x14ac:dyDescent="0.3">
      <c r="B520" s="401"/>
      <c r="C520" s="357"/>
      <c r="D520" s="560" t="s">
        <v>1597</v>
      </c>
      <c r="E520" s="555"/>
      <c r="F520" s="555"/>
      <c r="G520" s="579" t="s">
        <v>511</v>
      </c>
      <c r="H520" s="579"/>
      <c r="I520" s="916" t="s">
        <v>1513</v>
      </c>
      <c r="J520" s="532"/>
      <c r="K520" s="357"/>
      <c r="L520" s="357"/>
      <c r="M520" s="377"/>
      <c r="N520" s="357"/>
      <c r="O520" s="357"/>
    </row>
    <row r="521" spans="1:22" ht="15" customHeight="1" x14ac:dyDescent="0.3">
      <c r="B521" s="401"/>
      <c r="C521" s="357"/>
      <c r="D521" s="560" t="s">
        <v>1660</v>
      </c>
      <c r="E521" s="555"/>
      <c r="F521" s="555"/>
      <c r="G521" s="1085" t="s">
        <v>113</v>
      </c>
      <c r="H521" s="579"/>
      <c r="I521" s="916" t="s">
        <v>2152</v>
      </c>
      <c r="J521" s="949"/>
      <c r="K521" s="357"/>
      <c r="L521" s="357"/>
      <c r="M521" s="377"/>
      <c r="N521" s="357"/>
      <c r="O521" s="357"/>
    </row>
    <row r="522" spans="1:22" ht="15" customHeight="1" x14ac:dyDescent="0.3">
      <c r="B522" s="401"/>
      <c r="C522" s="357"/>
      <c r="D522" s="560" t="s">
        <v>946</v>
      </c>
      <c r="E522" s="555"/>
      <c r="F522" s="555"/>
      <c r="G522" s="579" t="s">
        <v>105</v>
      </c>
      <c r="H522" s="579"/>
      <c r="I522" s="916" t="s">
        <v>1385</v>
      </c>
      <c r="J522" s="523"/>
      <c r="K522" s="357"/>
      <c r="L522" s="357"/>
      <c r="M522" s="377"/>
      <c r="N522" s="357"/>
      <c r="O522" s="357"/>
    </row>
    <row r="523" spans="1:22" ht="15" customHeight="1" x14ac:dyDescent="0.3">
      <c r="B523" s="401"/>
      <c r="C523" s="357"/>
      <c r="D523" s="560" t="s">
        <v>981</v>
      </c>
      <c r="E523" s="555"/>
      <c r="F523" s="555"/>
      <c r="G523" s="579" t="s">
        <v>11</v>
      </c>
      <c r="H523" s="579"/>
      <c r="I523" s="916" t="s">
        <v>2006</v>
      </c>
      <c r="J523" s="949"/>
      <c r="K523" s="357"/>
      <c r="L523" s="357"/>
      <c r="M523" s="377"/>
      <c r="N523" s="357"/>
      <c r="O523" s="357"/>
    </row>
    <row r="524" spans="1:22" ht="15" customHeight="1" x14ac:dyDescent="0.3">
      <c r="B524" s="401"/>
      <c r="C524" s="357"/>
      <c r="D524" s="560" t="s">
        <v>981</v>
      </c>
      <c r="E524" s="555"/>
      <c r="F524" s="555"/>
      <c r="G524" s="579" t="s">
        <v>11</v>
      </c>
      <c r="H524" s="579"/>
      <c r="I524" s="916" t="s">
        <v>2489</v>
      </c>
      <c r="J524" s="410" t="s">
        <v>1685</v>
      </c>
      <c r="K524" s="357"/>
      <c r="L524" s="357"/>
      <c r="M524" s="377"/>
      <c r="N524" s="357"/>
      <c r="O524" s="357"/>
    </row>
    <row r="525" spans="1:22" ht="15" customHeight="1" x14ac:dyDescent="0.3">
      <c r="B525" s="401"/>
      <c r="C525" s="357"/>
      <c r="D525" s="560" t="s">
        <v>981</v>
      </c>
      <c r="E525" s="555"/>
      <c r="F525" s="555"/>
      <c r="G525" s="579" t="s">
        <v>11</v>
      </c>
      <c r="H525" s="579"/>
      <c r="I525" s="916" t="s">
        <v>2372</v>
      </c>
      <c r="J525" s="410"/>
      <c r="K525" s="357"/>
      <c r="L525" s="357"/>
      <c r="M525" s="377"/>
      <c r="N525" s="357"/>
      <c r="O525" s="357"/>
    </row>
    <row r="526" spans="1:22" ht="15" customHeight="1" x14ac:dyDescent="0.3">
      <c r="B526" s="401"/>
      <c r="C526" s="357"/>
      <c r="D526" s="560" t="s">
        <v>981</v>
      </c>
      <c r="E526" s="555"/>
      <c r="F526" s="555"/>
      <c r="G526" s="579" t="s">
        <v>11</v>
      </c>
      <c r="H526" s="579"/>
      <c r="I526" s="916" t="s">
        <v>1635</v>
      </c>
      <c r="J526" s="523"/>
      <c r="K526" s="357"/>
      <c r="L526" s="357"/>
      <c r="M526" s="377"/>
      <c r="N526" s="357"/>
      <c r="O526" s="357"/>
    </row>
    <row r="527" spans="1:22" ht="15" customHeight="1" x14ac:dyDescent="0.3">
      <c r="B527" s="401"/>
      <c r="C527" s="357"/>
      <c r="D527" s="560" t="s">
        <v>981</v>
      </c>
      <c r="E527" s="555"/>
      <c r="F527" s="555"/>
      <c r="G527" s="579" t="s">
        <v>11</v>
      </c>
      <c r="H527" s="579"/>
      <c r="I527" s="916" t="s">
        <v>977</v>
      </c>
      <c r="J527" s="852"/>
      <c r="K527" s="357"/>
      <c r="L527" s="357"/>
      <c r="M527" s="377"/>
      <c r="N527" s="357"/>
      <c r="O527" s="357"/>
    </row>
    <row r="528" spans="1:22" ht="15" customHeight="1" x14ac:dyDescent="0.3">
      <c r="B528" s="401"/>
      <c r="C528" s="357"/>
      <c r="D528" s="563" t="s">
        <v>981</v>
      </c>
      <c r="E528" s="558"/>
      <c r="F528" s="558"/>
      <c r="G528" s="1176" t="s">
        <v>11</v>
      </c>
      <c r="H528" s="1176"/>
      <c r="I528" s="1118" t="s">
        <v>1102</v>
      </c>
      <c r="J528" s="853"/>
      <c r="K528" s="357"/>
      <c r="L528" s="357"/>
      <c r="M528" s="377"/>
      <c r="N528" s="357"/>
      <c r="O528" s="357"/>
    </row>
    <row r="529" spans="1:22" ht="15" customHeight="1" x14ac:dyDescent="0.3">
      <c r="B529" s="401"/>
      <c r="C529" s="357"/>
      <c r="D529" s="357"/>
      <c r="E529" s="357"/>
      <c r="F529" s="357"/>
      <c r="G529" s="358"/>
      <c r="H529" s="358"/>
      <c r="I529" s="357"/>
      <c r="J529" s="357"/>
      <c r="K529" s="357"/>
      <c r="L529" s="357"/>
      <c r="M529" s="377"/>
      <c r="N529" s="357"/>
      <c r="O529" s="357"/>
    </row>
    <row r="530" spans="1:22" ht="15" customHeight="1" x14ac:dyDescent="0.3">
      <c r="B530" s="427" t="s">
        <v>212</v>
      </c>
      <c r="C530" s="332"/>
      <c r="D530" s="1258" t="s">
        <v>2041</v>
      </c>
      <c r="E530" s="1258"/>
      <c r="F530" s="1259" t="s">
        <v>2098</v>
      </c>
      <c r="G530" s="1260">
        <f>2/2</f>
        <v>1</v>
      </c>
      <c r="H530" s="1260"/>
      <c r="I530" s="1261" t="s">
        <v>2006</v>
      </c>
      <c r="J530" s="357"/>
      <c r="K530" s="357"/>
      <c r="L530" s="357"/>
      <c r="M530" s="377"/>
      <c r="N530" s="357"/>
      <c r="O530" s="357"/>
    </row>
    <row r="531" spans="1:22" ht="15" customHeight="1" x14ac:dyDescent="0.3">
      <c r="B531" s="580"/>
      <c r="C531" s="319"/>
      <c r="D531" s="452" t="s">
        <v>2281</v>
      </c>
      <c r="E531" s="452"/>
      <c r="F531" s="1053" t="s">
        <v>2496</v>
      </c>
      <c r="G531" s="450" t="s">
        <v>2497</v>
      </c>
      <c r="H531" s="450"/>
      <c r="I531" s="453" t="s">
        <v>2372</v>
      </c>
      <c r="J531" s="357"/>
      <c r="K531" s="357"/>
      <c r="L531" s="357"/>
      <c r="M531" s="377"/>
      <c r="N531" s="357"/>
      <c r="O531" s="357"/>
    </row>
    <row r="532" spans="1:22" ht="15" customHeight="1" x14ac:dyDescent="0.3">
      <c r="B532" s="580"/>
      <c r="C532" s="319"/>
      <c r="D532" s="452" t="s">
        <v>600</v>
      </c>
      <c r="E532" s="452"/>
      <c r="F532" s="1053" t="s">
        <v>607</v>
      </c>
      <c r="G532" s="450" t="s">
        <v>601</v>
      </c>
      <c r="H532" s="450"/>
      <c r="I532" s="453" t="s">
        <v>584</v>
      </c>
      <c r="J532" s="848"/>
      <c r="K532" s="357"/>
      <c r="L532" s="357"/>
      <c r="M532" s="377"/>
      <c r="N532" s="357"/>
      <c r="O532" s="357"/>
    </row>
    <row r="533" spans="1:22" s="56" customFormat="1" ht="15" customHeight="1" x14ac:dyDescent="0.3">
      <c r="A533" s="524"/>
      <c r="B533" s="580"/>
      <c r="C533" s="319"/>
      <c r="D533" s="452" t="s">
        <v>100</v>
      </c>
      <c r="E533" s="452"/>
      <c r="F533" s="1053" t="s">
        <v>497</v>
      </c>
      <c r="G533" s="450" t="s">
        <v>498</v>
      </c>
      <c r="H533" s="450"/>
      <c r="I533" s="453" t="s">
        <v>297</v>
      </c>
      <c r="J533" s="538"/>
      <c r="K533" s="524"/>
      <c r="L533" s="524"/>
      <c r="M533" s="546"/>
      <c r="N533" s="524"/>
      <c r="O533" s="524"/>
      <c r="P533" s="524"/>
      <c r="Q533" s="524"/>
      <c r="R533" s="524"/>
      <c r="S533" s="524"/>
      <c r="T533" s="524"/>
      <c r="U533" s="524"/>
      <c r="V533" s="524"/>
    </row>
    <row r="534" spans="1:22" s="56" customFormat="1" ht="15" customHeight="1" x14ac:dyDescent="0.2">
      <c r="A534" s="524"/>
      <c r="B534" s="547"/>
      <c r="C534" s="577"/>
      <c r="D534" s="950" t="s">
        <v>100</v>
      </c>
      <c r="E534" s="950"/>
      <c r="F534" s="951" t="s">
        <v>499</v>
      </c>
      <c r="G534" s="582" t="s">
        <v>148</v>
      </c>
      <c r="H534" s="582"/>
      <c r="I534" s="952" t="s">
        <v>83</v>
      </c>
      <c r="J534" s="953"/>
      <c r="K534" s="520"/>
      <c r="L534" s="524"/>
      <c r="M534" s="546"/>
      <c r="N534" s="524"/>
      <c r="O534" s="524"/>
      <c r="P534" s="524"/>
      <c r="Q534" s="524"/>
      <c r="R534" s="524"/>
      <c r="S534" s="524"/>
      <c r="T534" s="524"/>
      <c r="U534" s="524"/>
      <c r="V534" s="524"/>
    </row>
    <row r="535" spans="1:22" s="56" customFormat="1" ht="15" customHeight="1" x14ac:dyDescent="0.2">
      <c r="A535" s="524"/>
      <c r="B535" s="547"/>
      <c r="C535" s="577"/>
      <c r="D535" s="950" t="s">
        <v>1660</v>
      </c>
      <c r="E535" s="950"/>
      <c r="F535" s="951" t="s">
        <v>1962</v>
      </c>
      <c r="G535" s="954">
        <f>70/24</f>
        <v>2.9166666666666665</v>
      </c>
      <c r="H535" s="582"/>
      <c r="I535" s="952" t="s">
        <v>1818</v>
      </c>
      <c r="J535" s="536"/>
      <c r="K535" s="524"/>
      <c r="L535" s="524"/>
      <c r="M535" s="546"/>
      <c r="N535" s="524"/>
      <c r="O535" s="524"/>
      <c r="P535" s="524"/>
      <c r="Q535" s="524"/>
      <c r="R535" s="524"/>
      <c r="S535" s="524"/>
      <c r="T535" s="524"/>
      <c r="U535" s="524"/>
      <c r="V535" s="524"/>
    </row>
    <row r="536" spans="1:22" s="56" customFormat="1" ht="15" customHeight="1" x14ac:dyDescent="0.2">
      <c r="A536" s="524"/>
      <c r="B536" s="547"/>
      <c r="C536" s="577"/>
      <c r="D536" s="950" t="s">
        <v>100</v>
      </c>
      <c r="E536" s="950"/>
      <c r="F536" s="951" t="s">
        <v>760</v>
      </c>
      <c r="G536" s="582" t="s">
        <v>761</v>
      </c>
      <c r="H536" s="582"/>
      <c r="I536" s="952" t="s">
        <v>754</v>
      </c>
      <c r="J536" s="530"/>
      <c r="K536" s="524"/>
      <c r="L536" s="524"/>
      <c r="M536" s="524"/>
      <c r="N536" s="524"/>
      <c r="O536" s="524"/>
      <c r="P536" s="524"/>
      <c r="Q536" s="524"/>
      <c r="R536" s="524"/>
      <c r="S536" s="524"/>
      <c r="T536" s="524"/>
      <c r="U536" s="524"/>
      <c r="V536" s="524"/>
    </row>
    <row r="537" spans="1:22" s="56" customFormat="1" ht="15" customHeight="1" x14ac:dyDescent="0.3">
      <c r="A537" s="524"/>
      <c r="B537" s="547"/>
      <c r="C537" s="577"/>
      <c r="D537" s="950" t="s">
        <v>2281</v>
      </c>
      <c r="E537" s="950"/>
      <c r="F537" s="951" t="s">
        <v>2807</v>
      </c>
      <c r="G537" s="582" t="s">
        <v>2808</v>
      </c>
      <c r="H537" s="582"/>
      <c r="I537" s="952" t="s">
        <v>2489</v>
      </c>
      <c r="J537" s="357" t="s">
        <v>1685</v>
      </c>
      <c r="K537" s="524"/>
      <c r="L537" s="524"/>
      <c r="M537" s="524"/>
      <c r="N537" s="524"/>
      <c r="O537" s="524"/>
      <c r="P537" s="524"/>
      <c r="Q537" s="524"/>
      <c r="R537" s="524"/>
      <c r="S537" s="524"/>
      <c r="T537" s="524"/>
      <c r="U537" s="524"/>
      <c r="V537" s="524"/>
    </row>
    <row r="538" spans="1:22" s="56" customFormat="1" ht="15" customHeight="1" x14ac:dyDescent="0.3">
      <c r="A538" s="524"/>
      <c r="B538" s="547"/>
      <c r="C538" s="577"/>
      <c r="D538" s="1163" t="s">
        <v>680</v>
      </c>
      <c r="E538" s="1163"/>
      <c r="F538" s="1164" t="s">
        <v>759</v>
      </c>
      <c r="G538" s="1165" t="s">
        <v>762</v>
      </c>
      <c r="H538" s="1165"/>
      <c r="I538" s="1166" t="s">
        <v>754</v>
      </c>
      <c r="J538" s="357"/>
      <c r="K538" s="524"/>
      <c r="L538" s="524"/>
      <c r="M538" s="524"/>
      <c r="N538" s="524"/>
      <c r="O538" s="524"/>
      <c r="P538" s="524"/>
      <c r="Q538" s="524"/>
      <c r="R538" s="524"/>
      <c r="S538" s="524"/>
      <c r="T538" s="524"/>
      <c r="U538" s="524"/>
      <c r="V538" s="524"/>
    </row>
    <row r="539" spans="1:22" s="56" customFormat="1" ht="15" customHeight="1" x14ac:dyDescent="0.2">
      <c r="A539" s="524"/>
      <c r="B539" s="547"/>
      <c r="C539" s="577"/>
      <c r="D539" s="1163" t="s">
        <v>2281</v>
      </c>
      <c r="E539" s="1163"/>
      <c r="F539" s="1164" t="s">
        <v>2356</v>
      </c>
      <c r="G539" s="1165" t="s">
        <v>2357</v>
      </c>
      <c r="H539" s="1165"/>
      <c r="I539" s="1166" t="s">
        <v>2153</v>
      </c>
      <c r="K539" s="524"/>
      <c r="L539" s="524"/>
      <c r="M539" s="524"/>
      <c r="N539" s="524"/>
      <c r="O539" s="524"/>
      <c r="P539" s="524"/>
      <c r="Q539" s="524"/>
      <c r="R539" s="524"/>
      <c r="S539" s="524"/>
      <c r="T539" s="524"/>
      <c r="U539" s="524"/>
      <c r="V539" s="524"/>
    </row>
    <row r="540" spans="1:22" ht="15" customHeight="1" x14ac:dyDescent="0.3">
      <c r="B540" s="547"/>
      <c r="C540" s="577"/>
      <c r="D540" s="1163" t="s">
        <v>100</v>
      </c>
      <c r="E540" s="1163"/>
      <c r="F540" s="1164" t="s">
        <v>774</v>
      </c>
      <c r="G540" s="1165" t="s">
        <v>775</v>
      </c>
      <c r="H540" s="1165"/>
      <c r="I540" s="1166" t="s">
        <v>754</v>
      </c>
      <c r="J540" s="856"/>
      <c r="K540" s="357"/>
      <c r="L540" s="357"/>
      <c r="M540" s="377"/>
      <c r="N540" s="357"/>
      <c r="O540" s="357"/>
    </row>
    <row r="541" spans="1:22" ht="15" customHeight="1" x14ac:dyDescent="0.3">
      <c r="B541" s="581"/>
      <c r="C541" s="319"/>
      <c r="D541" s="950" t="s">
        <v>602</v>
      </c>
      <c r="E541" s="950"/>
      <c r="F541" s="1254" t="s">
        <v>603</v>
      </c>
      <c r="G541" s="582" t="s">
        <v>605</v>
      </c>
      <c r="H541" s="582"/>
      <c r="I541" s="952" t="s">
        <v>584</v>
      </c>
      <c r="J541" s="856"/>
      <c r="K541" s="357"/>
      <c r="L541" s="357"/>
      <c r="M541" s="377"/>
      <c r="N541" s="357"/>
      <c r="O541" s="357"/>
    </row>
    <row r="542" spans="1:22" s="357" customFormat="1" ht="15" customHeight="1" x14ac:dyDescent="0.3">
      <c r="B542" s="448"/>
      <c r="C542" s="319"/>
      <c r="D542" s="950" t="s">
        <v>1660</v>
      </c>
      <c r="E542" s="950"/>
      <c r="F542" s="951" t="s">
        <v>2245</v>
      </c>
      <c r="G542" s="582" t="s">
        <v>2246</v>
      </c>
      <c r="H542" s="582"/>
      <c r="I542" s="952" t="s">
        <v>2152</v>
      </c>
      <c r="M542" s="377"/>
    </row>
    <row r="543" spans="1:22" s="357" customFormat="1" ht="15" customHeight="1" x14ac:dyDescent="0.3">
      <c r="B543" s="454"/>
      <c r="C543" s="335"/>
      <c r="D543" s="1255" t="s">
        <v>100</v>
      </c>
      <c r="E543" s="1255"/>
      <c r="F543" s="1256" t="s">
        <v>604</v>
      </c>
      <c r="G543" s="583" t="s">
        <v>606</v>
      </c>
      <c r="H543" s="583"/>
      <c r="I543" s="1257" t="s">
        <v>584</v>
      </c>
      <c r="M543" s="377"/>
    </row>
    <row r="544" spans="1:22" s="357" customFormat="1" ht="15" customHeight="1" x14ac:dyDescent="0.3">
      <c r="B544" s="401"/>
      <c r="M544" s="377"/>
    </row>
    <row r="545" spans="2:13" s="357" customFormat="1" ht="15" customHeight="1" x14ac:dyDescent="0.3">
      <c r="B545" s="401"/>
      <c r="M545" s="377"/>
    </row>
    <row r="546" spans="2:13" s="357" customFormat="1" ht="15" customHeight="1" x14ac:dyDescent="0.3">
      <c r="B546" s="399" t="s">
        <v>2099</v>
      </c>
      <c r="M546" s="377"/>
    </row>
    <row r="547" spans="2:13" s="357" customFormat="1" ht="15" customHeight="1" x14ac:dyDescent="0.3">
      <c r="B547" s="401"/>
      <c r="C547" s="955" t="s">
        <v>1660</v>
      </c>
      <c r="D547" s="956"/>
      <c r="E547" s="963">
        <v>372</v>
      </c>
      <c r="F547" s="959"/>
      <c r="G547" s="964" t="s">
        <v>2152</v>
      </c>
      <c r="M547" s="377"/>
    </row>
    <row r="548" spans="2:13" s="357" customFormat="1" ht="15" customHeight="1" x14ac:dyDescent="0.3">
      <c r="B548" s="401"/>
      <c r="C548" s="955" t="s">
        <v>1660</v>
      </c>
      <c r="D548" s="956"/>
      <c r="E548" s="963">
        <v>265</v>
      </c>
      <c r="F548" s="959"/>
      <c r="G548" s="964" t="s">
        <v>1818</v>
      </c>
      <c r="M548" s="377"/>
    </row>
    <row r="549" spans="2:13" s="357" customFormat="1" ht="15" customHeight="1" x14ac:dyDescent="0.3">
      <c r="B549" s="401"/>
      <c r="C549" s="955" t="s">
        <v>2281</v>
      </c>
      <c r="D549" s="956"/>
      <c r="E549" s="963">
        <v>265</v>
      </c>
      <c r="F549" s="959"/>
      <c r="G549" s="964" t="s">
        <v>2489</v>
      </c>
      <c r="H549" s="357" t="s">
        <v>1685</v>
      </c>
      <c r="J549" s="357" t="s">
        <v>2809</v>
      </c>
      <c r="M549" s="377"/>
    </row>
    <row r="550" spans="2:13" s="357" customFormat="1" ht="15" customHeight="1" x14ac:dyDescent="0.3">
      <c r="B550" s="401"/>
      <c r="C550" s="955" t="s">
        <v>2281</v>
      </c>
      <c r="D550" s="956"/>
      <c r="E550" s="963">
        <v>211</v>
      </c>
      <c r="F550" s="959"/>
      <c r="G550" s="964" t="s">
        <v>2372</v>
      </c>
      <c r="M550" s="377"/>
    </row>
    <row r="551" spans="2:13" s="357" customFormat="1" ht="15" customHeight="1" x14ac:dyDescent="0.3">
      <c r="B551" s="401"/>
      <c r="C551" s="955" t="s">
        <v>2281</v>
      </c>
      <c r="D551" s="956"/>
      <c r="E551" s="963">
        <v>195</v>
      </c>
      <c r="F551" s="959"/>
      <c r="G551" s="964" t="s">
        <v>2153</v>
      </c>
      <c r="M551" s="377"/>
    </row>
    <row r="552" spans="2:13" s="357" customFormat="1" ht="15" customHeight="1" x14ac:dyDescent="0.3">
      <c r="B552" s="401"/>
      <c r="C552" s="955" t="s">
        <v>1660</v>
      </c>
      <c r="D552" s="956"/>
      <c r="E552" s="963">
        <v>177</v>
      </c>
      <c r="F552" s="959"/>
      <c r="G552" s="964" t="s">
        <v>2006</v>
      </c>
      <c r="M552" s="377"/>
    </row>
    <row r="553" spans="2:13" s="357" customFormat="1" ht="15" customHeight="1" x14ac:dyDescent="0.3">
      <c r="B553" s="401"/>
      <c r="M553" s="377"/>
    </row>
    <row r="554" spans="2:13" s="357" customFormat="1" ht="15" customHeight="1" x14ac:dyDescent="0.3">
      <c r="B554" s="399" t="s">
        <v>1964</v>
      </c>
      <c r="M554" s="377"/>
    </row>
    <row r="555" spans="2:13" s="357" customFormat="1" ht="15" customHeight="1" x14ac:dyDescent="0.3">
      <c r="B555" s="401"/>
      <c r="C555" s="955" t="s">
        <v>1660</v>
      </c>
      <c r="D555" s="963">
        <v>31</v>
      </c>
      <c r="E555" s="957" t="s">
        <v>2152</v>
      </c>
      <c r="F555" s="962">
        <v>44611</v>
      </c>
      <c r="G555" s="959"/>
      <c r="H555" s="956" t="s">
        <v>1454</v>
      </c>
      <c r="I555" s="956"/>
      <c r="J555" s="961" t="s">
        <v>906</v>
      </c>
      <c r="K555" s="960" t="s">
        <v>150</v>
      </c>
      <c r="M555" s="377"/>
    </row>
    <row r="556" spans="2:13" s="357" customFormat="1" ht="15" customHeight="1" x14ac:dyDescent="0.3">
      <c r="B556" s="401"/>
      <c r="C556" s="955" t="s">
        <v>2281</v>
      </c>
      <c r="D556" s="963">
        <v>29</v>
      </c>
      <c r="E556" s="957" t="s">
        <v>2489</v>
      </c>
      <c r="F556" s="962">
        <v>45555</v>
      </c>
      <c r="G556" s="959"/>
      <c r="H556" s="956" t="s">
        <v>2198</v>
      </c>
      <c r="I556" s="956"/>
      <c r="J556" s="961" t="s">
        <v>909</v>
      </c>
      <c r="K556" s="960" t="s">
        <v>579</v>
      </c>
      <c r="L556" s="357" t="s">
        <v>1685</v>
      </c>
      <c r="M556" s="377" t="s">
        <v>2810</v>
      </c>
    </row>
    <row r="557" spans="2:13" s="357" customFormat="1" ht="15" customHeight="1" x14ac:dyDescent="0.3">
      <c r="B557" s="401"/>
      <c r="C557" s="955" t="s">
        <v>2281</v>
      </c>
      <c r="D557" s="963">
        <v>27</v>
      </c>
      <c r="E557" s="957" t="s">
        <v>2372</v>
      </c>
      <c r="F557" s="962">
        <v>45389</v>
      </c>
      <c r="G557" s="959"/>
      <c r="H557" s="956" t="s">
        <v>2492</v>
      </c>
      <c r="I557" s="956"/>
      <c r="J557" s="961" t="s">
        <v>2425</v>
      </c>
      <c r="K557" s="960" t="s">
        <v>1147</v>
      </c>
      <c r="M557" s="377"/>
    </row>
    <row r="558" spans="2:13" s="357" customFormat="1" ht="15" customHeight="1" x14ac:dyDescent="0.3">
      <c r="B558" s="401"/>
      <c r="C558" s="955" t="s">
        <v>2281</v>
      </c>
      <c r="D558" s="963">
        <v>27</v>
      </c>
      <c r="E558" s="957" t="s">
        <v>2372</v>
      </c>
      <c r="F558" s="962">
        <v>45388</v>
      </c>
      <c r="G558" s="959"/>
      <c r="H558" s="956" t="s">
        <v>2498</v>
      </c>
      <c r="I558" s="956"/>
      <c r="J558" s="961" t="s">
        <v>2499</v>
      </c>
      <c r="K558" s="960" t="s">
        <v>579</v>
      </c>
      <c r="M558" s="377"/>
    </row>
    <row r="559" spans="2:13" s="357" customFormat="1" ht="15" customHeight="1" x14ac:dyDescent="0.3">
      <c r="B559" s="401"/>
      <c r="C559" s="955" t="s">
        <v>1660</v>
      </c>
      <c r="D559" s="963">
        <v>24</v>
      </c>
      <c r="E559" s="957" t="s">
        <v>2006</v>
      </c>
      <c r="F559" s="962">
        <v>43856</v>
      </c>
      <c r="G559" s="959"/>
      <c r="H559" s="956" t="s">
        <v>2051</v>
      </c>
      <c r="I559" s="956"/>
      <c r="J559" s="961" t="s">
        <v>2052</v>
      </c>
      <c r="K559" s="960" t="s">
        <v>579</v>
      </c>
      <c r="M559" s="377"/>
    </row>
    <row r="560" spans="2:13" s="357" customFormat="1" ht="15" customHeight="1" x14ac:dyDescent="0.3">
      <c r="B560" s="401"/>
      <c r="C560" s="955" t="s">
        <v>1660</v>
      </c>
      <c r="D560" s="963">
        <v>23</v>
      </c>
      <c r="E560" s="957" t="s">
        <v>1818</v>
      </c>
      <c r="F560" s="962">
        <v>43470</v>
      </c>
      <c r="G560" s="959"/>
      <c r="H560" s="956" t="s">
        <v>1965</v>
      </c>
      <c r="I560" s="956"/>
      <c r="J560" s="961" t="s">
        <v>1966</v>
      </c>
      <c r="K560" s="960" t="s">
        <v>1147</v>
      </c>
      <c r="M560" s="377"/>
    </row>
    <row r="561" spans="2:13" s="357" customFormat="1" ht="15" customHeight="1" x14ac:dyDescent="0.3">
      <c r="B561" s="401"/>
      <c r="C561" s="955" t="s">
        <v>2281</v>
      </c>
      <c r="D561" s="963">
        <v>22</v>
      </c>
      <c r="E561" s="957" t="s">
        <v>2153</v>
      </c>
      <c r="F561" s="962">
        <v>44969</v>
      </c>
      <c r="G561" s="959"/>
      <c r="H561" s="956" t="s">
        <v>2320</v>
      </c>
      <c r="I561" s="956"/>
      <c r="J561" s="961" t="s">
        <v>903</v>
      </c>
      <c r="K561" s="960" t="s">
        <v>579</v>
      </c>
      <c r="M561" s="377"/>
    </row>
    <row r="562" spans="2:13" s="357" customFormat="1" ht="15" customHeight="1" x14ac:dyDescent="0.3">
      <c r="B562" s="401"/>
      <c r="M562" s="377"/>
    </row>
    <row r="563" spans="2:13" s="357" customFormat="1" ht="15" customHeight="1" x14ac:dyDescent="0.3">
      <c r="B563" s="399" t="s">
        <v>1963</v>
      </c>
      <c r="M563" s="377"/>
    </row>
    <row r="564" spans="2:13" s="357" customFormat="1" ht="15" customHeight="1" x14ac:dyDescent="0.3">
      <c r="B564" s="401"/>
      <c r="C564" s="955" t="s">
        <v>2041</v>
      </c>
      <c r="D564" s="956"/>
      <c r="E564" s="1086">
        <v>0.92300000000000004</v>
      </c>
      <c r="F564" s="958"/>
      <c r="G564" s="959"/>
      <c r="H564" s="960" t="s">
        <v>2006</v>
      </c>
      <c r="M564" s="377"/>
    </row>
    <row r="565" spans="2:13" s="357" customFormat="1" ht="15" customHeight="1" x14ac:dyDescent="0.3">
      <c r="B565" s="401"/>
      <c r="C565" s="955" t="s">
        <v>2281</v>
      </c>
      <c r="D565" s="956"/>
      <c r="E565" s="1086">
        <f>1-20/211</f>
        <v>0.90521327014218012</v>
      </c>
      <c r="F565" s="958"/>
      <c r="G565" s="959"/>
      <c r="H565" s="960" t="s">
        <v>2372</v>
      </c>
      <c r="M565" s="377"/>
    </row>
    <row r="566" spans="2:13" s="357" customFormat="1" ht="15" customHeight="1" x14ac:dyDescent="0.3">
      <c r="B566" s="401"/>
      <c r="C566" s="955" t="s">
        <v>2281</v>
      </c>
      <c r="D566" s="956"/>
      <c r="E566" s="1086">
        <v>0.82</v>
      </c>
      <c r="F566" s="958"/>
      <c r="G566" s="959"/>
      <c r="H566" s="960" t="s">
        <v>2489</v>
      </c>
      <c r="I566" s="357" t="s">
        <v>1685</v>
      </c>
      <c r="M566" s="377"/>
    </row>
    <row r="567" spans="2:13" s="357" customFormat="1" ht="15" customHeight="1" x14ac:dyDescent="0.3">
      <c r="B567" s="401"/>
      <c r="C567" s="955" t="s">
        <v>2281</v>
      </c>
      <c r="D567" s="956"/>
      <c r="E567" s="1086">
        <v>0.81589999999999996</v>
      </c>
      <c r="F567" s="958"/>
      <c r="G567" s="959"/>
      <c r="H567" s="960" t="s">
        <v>2153</v>
      </c>
      <c r="M567" s="377"/>
    </row>
    <row r="568" spans="2:13" s="357" customFormat="1" ht="15" customHeight="1" x14ac:dyDescent="0.3">
      <c r="B568" s="401"/>
      <c r="C568" s="955" t="s">
        <v>1660</v>
      </c>
      <c r="D568" s="956"/>
      <c r="E568" s="1086">
        <v>0.79300000000000004</v>
      </c>
      <c r="F568" s="958"/>
      <c r="G568" s="959"/>
      <c r="H568" s="960" t="s">
        <v>2152</v>
      </c>
      <c r="M568" s="377"/>
    </row>
    <row r="569" spans="2:13" s="357" customFormat="1" ht="15" customHeight="1" x14ac:dyDescent="0.3">
      <c r="B569" s="401"/>
      <c r="C569" s="955" t="s">
        <v>1660</v>
      </c>
      <c r="D569" s="956"/>
      <c r="E569" s="1086">
        <f>1-(70/(265+70))</f>
        <v>0.79104477611940305</v>
      </c>
      <c r="F569" s="958"/>
      <c r="G569" s="959"/>
      <c r="H569" s="960" t="s">
        <v>1818</v>
      </c>
      <c r="M569" s="377"/>
    </row>
    <row r="570" spans="2:13" s="357" customFormat="1" ht="15" customHeight="1" x14ac:dyDescent="0.3">
      <c r="B570" s="401"/>
      <c r="M570" s="377"/>
    </row>
    <row r="571" spans="2:13" s="357" customFormat="1" ht="15" customHeight="1" x14ac:dyDescent="0.3">
      <c r="B571" s="401"/>
      <c r="M571" s="377"/>
    </row>
    <row r="572" spans="2:13" s="357" customFormat="1" ht="15" customHeight="1" x14ac:dyDescent="0.3">
      <c r="B572" s="401"/>
      <c r="M572" s="377"/>
    </row>
    <row r="573" spans="2:13" s="357" customFormat="1" ht="15" customHeight="1" x14ac:dyDescent="0.3">
      <c r="B573" s="401"/>
      <c r="M573" s="377"/>
    </row>
    <row r="574" spans="2:13" s="357" customFormat="1" ht="15" customHeight="1" x14ac:dyDescent="0.3">
      <c r="B574" s="401"/>
      <c r="M574" s="377"/>
    </row>
    <row r="575" spans="2:13" s="357" customFormat="1" ht="15" customHeight="1" x14ac:dyDescent="0.3">
      <c r="B575" s="401"/>
      <c r="M575" s="377"/>
    </row>
    <row r="576" spans="2:13" s="357" customFormat="1" ht="15" customHeight="1" x14ac:dyDescent="0.3">
      <c r="B576" s="401"/>
      <c r="M576" s="377"/>
    </row>
    <row r="577" spans="2:15" s="357" customFormat="1" ht="15" customHeight="1" x14ac:dyDescent="0.3">
      <c r="B577" s="401"/>
      <c r="M577" s="377"/>
    </row>
    <row r="578" spans="2:15" s="357" customFormat="1" ht="15" customHeight="1" x14ac:dyDescent="0.3">
      <c r="B578" s="401"/>
      <c r="M578" s="377"/>
    </row>
    <row r="579" spans="2:15" s="357" customFormat="1" ht="15" customHeight="1" x14ac:dyDescent="0.3">
      <c r="B579" s="401"/>
      <c r="M579" s="377"/>
    </row>
    <row r="580" spans="2:15" s="357" customFormat="1" ht="15" customHeight="1" x14ac:dyDescent="0.3">
      <c r="B580" s="401"/>
      <c r="M580" s="377"/>
    </row>
    <row r="581" spans="2:15" s="357" customFormat="1" ht="15" customHeight="1" x14ac:dyDescent="0.3">
      <c r="B581" s="401"/>
      <c r="M581" s="377"/>
    </row>
    <row r="582" spans="2:15" s="357" customFormat="1" ht="15" customHeight="1" x14ac:dyDescent="0.3">
      <c r="B582" s="401"/>
      <c r="M582" s="377"/>
    </row>
    <row r="583" spans="2:15" s="357" customFormat="1" ht="15" customHeight="1" x14ac:dyDescent="0.3">
      <c r="B583" s="401"/>
      <c r="M583" s="377"/>
    </row>
    <row r="584" spans="2:15" s="357" customFormat="1" ht="15" customHeight="1" x14ac:dyDescent="0.3">
      <c r="B584" s="401"/>
      <c r="M584" s="377"/>
    </row>
    <row r="585" spans="2:15" s="357" customFormat="1" ht="15" customHeight="1" x14ac:dyDescent="0.3">
      <c r="B585" s="401"/>
      <c r="M585" s="377"/>
    </row>
    <row r="586" spans="2:15" ht="15" customHeight="1" x14ac:dyDescent="0.3">
      <c r="B586" s="816" t="s">
        <v>67</v>
      </c>
      <c r="C586" s="817"/>
      <c r="D586" s="818" t="s">
        <v>50</v>
      </c>
      <c r="E586" s="818"/>
      <c r="F586" s="818"/>
      <c r="G586" s="819">
        <v>112</v>
      </c>
      <c r="H586" s="819"/>
      <c r="I586" s="820" t="s">
        <v>979</v>
      </c>
      <c r="J586" s="857"/>
      <c r="K586" s="544"/>
      <c r="L586" s="544" t="s">
        <v>1498</v>
      </c>
      <c r="M586" s="377"/>
      <c r="N586" s="357"/>
      <c r="O586" s="357"/>
    </row>
    <row r="587" spans="2:15" ht="15" customHeight="1" x14ac:dyDescent="0.3">
      <c r="B587" s="542"/>
      <c r="C587" s="543"/>
      <c r="D587" s="543"/>
      <c r="E587" s="543"/>
      <c r="F587" s="543"/>
      <c r="G587" s="545"/>
      <c r="H587" s="545"/>
      <c r="I587" s="543"/>
      <c r="J587" s="543"/>
      <c r="K587" s="544"/>
      <c r="L587" s="544"/>
      <c r="M587" s="377"/>
      <c r="N587" s="357"/>
      <c r="O587" s="357"/>
    </row>
    <row r="588" spans="2:15" ht="15" customHeight="1" x14ac:dyDescent="0.3">
      <c r="B588" s="571" t="s">
        <v>68</v>
      </c>
      <c r="C588" s="572"/>
      <c r="D588" s="573" t="s">
        <v>90</v>
      </c>
      <c r="E588" s="573"/>
      <c r="F588" s="573"/>
      <c r="G588" s="574" t="s">
        <v>92</v>
      </c>
      <c r="H588" s="574"/>
      <c r="I588" s="575" t="s">
        <v>83</v>
      </c>
      <c r="J588" s="858"/>
      <c r="K588" s="544"/>
      <c r="L588" s="544" t="s">
        <v>1498</v>
      </c>
      <c r="M588" s="377"/>
      <c r="N588" s="357"/>
      <c r="O588" s="357"/>
    </row>
    <row r="589" spans="2:15" ht="15" customHeight="1" x14ac:dyDescent="0.3">
      <c r="B589" s="542"/>
      <c r="C589" s="543"/>
      <c r="D589" s="543"/>
      <c r="E589" s="543"/>
      <c r="F589" s="543"/>
      <c r="G589" s="545"/>
      <c r="H589" s="545"/>
      <c r="I589" s="543"/>
      <c r="J589" s="543"/>
      <c r="K589" s="544"/>
      <c r="L589" s="544"/>
      <c r="M589" s="377"/>
      <c r="N589" s="357"/>
      <c r="O589" s="357"/>
    </row>
    <row r="590" spans="2:15" ht="15" customHeight="1" x14ac:dyDescent="0.3">
      <c r="B590" s="811" t="s">
        <v>69</v>
      </c>
      <c r="C590" s="812"/>
      <c r="D590" s="813" t="s">
        <v>91</v>
      </c>
      <c r="E590" s="813"/>
      <c r="F590" s="813"/>
      <c r="G590" s="814" t="s">
        <v>93</v>
      </c>
      <c r="H590" s="814"/>
      <c r="I590" s="815" t="s">
        <v>83</v>
      </c>
      <c r="J590" s="858"/>
      <c r="K590" s="544"/>
      <c r="L590" s="544" t="s">
        <v>1498</v>
      </c>
      <c r="M590" s="377"/>
      <c r="N590" s="357"/>
      <c r="O590" s="357"/>
    </row>
    <row r="591" spans="2:15" s="357" customFormat="1" ht="15" customHeight="1" x14ac:dyDescent="0.3">
      <c r="B591" s="401"/>
      <c r="M591" s="377"/>
    </row>
    <row r="592" spans="2:15" s="357" customFormat="1" ht="15" customHeight="1" x14ac:dyDescent="0.3">
      <c r="B592" s="401"/>
      <c r="M592" s="377"/>
    </row>
    <row r="593" spans="2:13" s="357" customFormat="1" ht="15" customHeight="1" x14ac:dyDescent="0.3">
      <c r="B593" s="401"/>
      <c r="M593" s="377"/>
    </row>
    <row r="594" spans="2:13" s="357" customFormat="1" x14ac:dyDescent="0.3">
      <c r="B594" s="401"/>
      <c r="M594" s="377"/>
    </row>
    <row r="595" spans="2:13" s="357" customFormat="1" x14ac:dyDescent="0.3">
      <c r="B595" s="401"/>
      <c r="M595" s="377"/>
    </row>
    <row r="596" spans="2:13" s="357" customFormat="1" x14ac:dyDescent="0.3">
      <c r="B596" s="401"/>
      <c r="M596" s="377"/>
    </row>
    <row r="597" spans="2:13" s="357" customFormat="1" x14ac:dyDescent="0.3">
      <c r="B597" s="401"/>
      <c r="M597" s="377"/>
    </row>
    <row r="598" spans="2:13" s="357" customFormat="1" x14ac:dyDescent="0.3">
      <c r="B598" s="401"/>
      <c r="M598" s="377"/>
    </row>
    <row r="599" spans="2:13" s="357" customFormat="1" x14ac:dyDescent="0.3">
      <c r="B599" s="401"/>
      <c r="M599" s="377"/>
    </row>
    <row r="600" spans="2:13" s="357" customFormat="1" x14ac:dyDescent="0.3">
      <c r="B600" s="401"/>
      <c r="M600" s="377"/>
    </row>
    <row r="601" spans="2:13" s="357" customFormat="1" x14ac:dyDescent="0.3">
      <c r="B601" s="401"/>
      <c r="M601" s="377"/>
    </row>
    <row r="602" spans="2:13" s="357" customFormat="1" x14ac:dyDescent="0.3">
      <c r="B602" s="401"/>
      <c r="G602" s="358" t="s">
        <v>877</v>
      </c>
      <c r="H602" s="358" t="s">
        <v>991</v>
      </c>
      <c r="I602" s="358" t="s">
        <v>993</v>
      </c>
      <c r="J602" s="358" t="s">
        <v>1969</v>
      </c>
      <c r="K602" s="358" t="s">
        <v>1970</v>
      </c>
      <c r="L602" s="358" t="s">
        <v>1971</v>
      </c>
      <c r="M602" s="377"/>
    </row>
    <row r="603" spans="2:13" s="357" customFormat="1" x14ac:dyDescent="0.3">
      <c r="B603" s="401"/>
      <c r="D603" s="357" t="s">
        <v>1968</v>
      </c>
      <c r="E603" s="357" t="s">
        <v>1818</v>
      </c>
      <c r="F603" s="357" t="s">
        <v>1660</v>
      </c>
      <c r="G603" s="358">
        <v>21</v>
      </c>
      <c r="H603" s="358">
        <v>218</v>
      </c>
      <c r="I603" s="358">
        <v>59</v>
      </c>
      <c r="J603" s="965">
        <f>H603/G603</f>
        <v>10.380952380952381</v>
      </c>
      <c r="K603" s="385">
        <f>I603/G603</f>
        <v>2.8095238095238093</v>
      </c>
      <c r="L603" s="358">
        <f>1-I603/(H603+I603)</f>
        <v>0.78700361010830322</v>
      </c>
      <c r="M603" s="377"/>
    </row>
    <row r="604" spans="2:13" s="357" customFormat="1" x14ac:dyDescent="0.3">
      <c r="B604" s="401"/>
      <c r="M604" s="377"/>
    </row>
    <row r="605" spans="2:13" s="357" customFormat="1" x14ac:dyDescent="0.3">
      <c r="B605" s="401"/>
      <c r="M605" s="377"/>
    </row>
    <row r="606" spans="2:13" s="357" customFormat="1" x14ac:dyDescent="0.3">
      <c r="B606" s="401"/>
      <c r="M606" s="377"/>
    </row>
    <row r="607" spans="2:13" s="357" customFormat="1" x14ac:dyDescent="0.3">
      <c r="B607" s="401"/>
      <c r="M607" s="377"/>
    </row>
    <row r="608" spans="2:13" s="357" customFormat="1" x14ac:dyDescent="0.3">
      <c r="B608" s="401"/>
      <c r="M608" s="377"/>
    </row>
    <row r="609" spans="2:13" s="357" customFormat="1" x14ac:dyDescent="0.3">
      <c r="B609" s="401"/>
      <c r="M609" s="377"/>
    </row>
    <row r="610" spans="2:13" s="357" customFormat="1" x14ac:dyDescent="0.3">
      <c r="B610" s="401"/>
      <c r="M610" s="377"/>
    </row>
    <row r="611" spans="2:13" s="357" customFormat="1" x14ac:dyDescent="0.3">
      <c r="B611" s="401"/>
      <c r="M611" s="377"/>
    </row>
    <row r="612" spans="2:13" s="357" customFormat="1" x14ac:dyDescent="0.3">
      <c r="B612" s="401"/>
      <c r="M612" s="377"/>
    </row>
    <row r="613" spans="2:13" s="357" customFormat="1" x14ac:dyDescent="0.3">
      <c r="B613" s="401"/>
      <c r="M613" s="377"/>
    </row>
    <row r="614" spans="2:13" s="357" customFormat="1" x14ac:dyDescent="0.3">
      <c r="B614" s="401"/>
      <c r="M614" s="377"/>
    </row>
    <row r="615" spans="2:13" s="357" customFormat="1" x14ac:dyDescent="0.3">
      <c r="B615" s="401"/>
      <c r="M615" s="377"/>
    </row>
    <row r="616" spans="2:13" s="357" customFormat="1" x14ac:dyDescent="0.3">
      <c r="B616" s="401"/>
      <c r="M616" s="377"/>
    </row>
    <row r="617" spans="2:13" s="357" customFormat="1" x14ac:dyDescent="0.3">
      <c r="B617" s="401"/>
      <c r="M617" s="377"/>
    </row>
    <row r="618" spans="2:13" s="357" customFormat="1" x14ac:dyDescent="0.3">
      <c r="B618" s="401"/>
      <c r="M618" s="377"/>
    </row>
    <row r="619" spans="2:13" s="357" customFormat="1" x14ac:dyDescent="0.3">
      <c r="B619" s="401"/>
      <c r="M619" s="377"/>
    </row>
    <row r="620" spans="2:13" s="357" customFormat="1" x14ac:dyDescent="0.3">
      <c r="B620" s="401"/>
      <c r="M620" s="377"/>
    </row>
    <row r="621" spans="2:13" s="357" customFormat="1" x14ac:dyDescent="0.3">
      <c r="B621" s="401"/>
      <c r="M621" s="377"/>
    </row>
    <row r="622" spans="2:13" s="357" customFormat="1" x14ac:dyDescent="0.3">
      <c r="B622" s="401"/>
      <c r="M622" s="377"/>
    </row>
    <row r="623" spans="2:13" s="357" customFormat="1" x14ac:dyDescent="0.3">
      <c r="B623" s="401"/>
      <c r="M623" s="377"/>
    </row>
    <row r="624" spans="2:13" s="357" customFormat="1" x14ac:dyDescent="0.3">
      <c r="B624" s="401"/>
      <c r="M624" s="377"/>
    </row>
    <row r="625" spans="2:13" s="357" customFormat="1" x14ac:dyDescent="0.3">
      <c r="B625" s="401"/>
      <c r="M625" s="377"/>
    </row>
    <row r="626" spans="2:13" s="357" customFormat="1" x14ac:dyDescent="0.3">
      <c r="B626" s="401"/>
      <c r="M626" s="377"/>
    </row>
    <row r="627" spans="2:13" s="357" customFormat="1" x14ac:dyDescent="0.3">
      <c r="B627" s="401"/>
      <c r="M627" s="377"/>
    </row>
    <row r="628" spans="2:13" s="357" customFormat="1" x14ac:dyDescent="0.3">
      <c r="B628" s="401"/>
      <c r="M628" s="377"/>
    </row>
    <row r="629" spans="2:13" s="357" customFormat="1" x14ac:dyDescent="0.3">
      <c r="B629" s="401"/>
      <c r="M629" s="377"/>
    </row>
    <row r="630" spans="2:13" s="357" customFormat="1" x14ac:dyDescent="0.3">
      <c r="B630" s="401"/>
      <c r="M630" s="377"/>
    </row>
    <row r="631" spans="2:13" s="357" customFormat="1" x14ac:dyDescent="0.3">
      <c r="B631" s="401"/>
      <c r="M631" s="377"/>
    </row>
    <row r="632" spans="2:13" s="357" customFormat="1" x14ac:dyDescent="0.3">
      <c r="B632" s="401"/>
      <c r="M632" s="377"/>
    </row>
    <row r="633" spans="2:13" s="357" customFormat="1" x14ac:dyDescent="0.3">
      <c r="B633" s="401"/>
      <c r="M633" s="377"/>
    </row>
    <row r="634" spans="2:13" s="357" customFormat="1" x14ac:dyDescent="0.3">
      <c r="B634" s="401"/>
      <c r="M634" s="377"/>
    </row>
    <row r="635" spans="2:13" s="357" customFormat="1" x14ac:dyDescent="0.3">
      <c r="B635" s="401"/>
      <c r="M635" s="377"/>
    </row>
    <row r="636" spans="2:13" s="357" customFormat="1" x14ac:dyDescent="0.3">
      <c r="B636" s="401"/>
      <c r="M636" s="377"/>
    </row>
    <row r="637" spans="2:13" s="357" customFormat="1" x14ac:dyDescent="0.3">
      <c r="B637" s="401"/>
      <c r="M637" s="377"/>
    </row>
  </sheetData>
  <phoneticPr fontId="10" type="noConversion"/>
  <pageMargins left="0.25" right="0.25" top="0.75" bottom="0.75" header="0.3" footer="0.3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F4 F6 F14 F16 F18 F56 F34 F28 G533:G535 G543" twoDigitTextYear="1"/>
    <ignoredError sqref="F428 F347 G523:G528" numberStoredAsText="1"/>
    <ignoredError sqref="G538:G542 G536" twoDigitTextYear="1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/>
  </sheetPr>
  <dimension ref="B2:AL54"/>
  <sheetViews>
    <sheetView workbookViewId="0">
      <selection activeCell="E28" sqref="E28"/>
    </sheetView>
  </sheetViews>
  <sheetFormatPr defaultRowHeight="14.4" x14ac:dyDescent="0.3"/>
  <cols>
    <col min="1" max="1" width="2.88671875" customWidth="1"/>
    <col min="2" max="2" width="5.5546875" style="8" customWidth="1"/>
    <col min="3" max="3" width="23.44140625" customWidth="1"/>
    <col min="4" max="4" width="2.88671875" customWidth="1"/>
    <col min="5" max="5" width="32.88671875" bestFit="1" customWidth="1"/>
    <col min="6" max="6" width="2.88671875" customWidth="1"/>
    <col min="8" max="8" width="2.88671875" customWidth="1"/>
    <col min="9" max="9" width="11.109375" customWidth="1"/>
    <col min="10" max="10" width="15.109375" customWidth="1"/>
    <col min="11" max="11" width="2.88671875" customWidth="1"/>
    <col min="12" max="12" width="12.33203125" customWidth="1"/>
    <col min="13" max="13" width="11" customWidth="1"/>
    <col min="14" max="14" width="2.88671875" customWidth="1"/>
    <col min="15" max="15" width="9.44140625" customWidth="1"/>
    <col min="16" max="16" width="16" customWidth="1"/>
    <col min="17" max="17" width="2.88671875" customWidth="1"/>
    <col min="18" max="18" width="12.109375" bestFit="1" customWidth="1"/>
    <col min="19" max="19" width="2.88671875" customWidth="1"/>
    <col min="20" max="20" width="12.88671875" bestFit="1" customWidth="1"/>
    <col min="21" max="21" width="2.88671875" customWidth="1"/>
    <col min="22" max="22" width="12.44140625" bestFit="1" customWidth="1"/>
    <col min="23" max="23" width="2.88671875" customWidth="1"/>
    <col min="24" max="24" width="12.33203125" customWidth="1"/>
    <col min="25" max="25" width="2.88671875" customWidth="1"/>
    <col min="27" max="27" width="2.88671875" customWidth="1"/>
    <col min="29" max="29" width="2.88671875" customWidth="1"/>
    <col min="31" max="31" width="2.88671875" customWidth="1"/>
    <col min="33" max="33" width="2.88671875" customWidth="1"/>
    <col min="35" max="35" width="2.88671875" customWidth="1"/>
    <col min="36" max="36" width="11.33203125" customWidth="1"/>
    <col min="37" max="37" width="2.88671875" customWidth="1"/>
  </cols>
  <sheetData>
    <row r="2" spans="2:38" ht="15" thickBot="1" x14ac:dyDescent="0.35">
      <c r="B2" s="116" t="s">
        <v>1393</v>
      </c>
      <c r="C2" t="s">
        <v>517</v>
      </c>
      <c r="E2" t="s">
        <v>1397</v>
      </c>
      <c r="G2" t="s">
        <v>1408</v>
      </c>
      <c r="I2" t="s">
        <v>682</v>
      </c>
      <c r="J2" t="s">
        <v>1695</v>
      </c>
      <c r="L2" s="822" t="s">
        <v>1755</v>
      </c>
      <c r="M2" s="821" t="s">
        <v>1695</v>
      </c>
      <c r="O2" t="s">
        <v>1512</v>
      </c>
      <c r="P2" t="s">
        <v>1518</v>
      </c>
      <c r="R2" t="s">
        <v>2524</v>
      </c>
      <c r="T2" t="s">
        <v>1820</v>
      </c>
      <c r="V2" t="s">
        <v>1637</v>
      </c>
      <c r="X2" t="s">
        <v>1517</v>
      </c>
      <c r="Z2" t="s">
        <v>1530</v>
      </c>
      <c r="AB2" t="s">
        <v>1568</v>
      </c>
      <c r="AD2" t="s">
        <v>1569</v>
      </c>
      <c r="AF2" t="s">
        <v>1570</v>
      </c>
      <c r="AH2" t="s">
        <v>1571</v>
      </c>
      <c r="AJ2" t="s">
        <v>1572</v>
      </c>
      <c r="AL2" t="s">
        <v>1573</v>
      </c>
    </row>
    <row r="3" spans="2:38" ht="15" thickTop="1" x14ac:dyDescent="0.3">
      <c r="B3" s="8" t="s">
        <v>778</v>
      </c>
      <c r="C3" t="s">
        <v>946</v>
      </c>
      <c r="E3" t="s">
        <v>149</v>
      </c>
      <c r="G3" t="s">
        <v>1409</v>
      </c>
      <c r="I3" s="1" t="s">
        <v>178</v>
      </c>
      <c r="J3" t="s">
        <v>703</v>
      </c>
      <c r="L3" s="824" t="s">
        <v>83</v>
      </c>
      <c r="M3" s="823" t="s">
        <v>703</v>
      </c>
      <c r="O3" t="s">
        <v>83</v>
      </c>
      <c r="P3" t="s">
        <v>1520</v>
      </c>
      <c r="R3" t="s">
        <v>2276</v>
      </c>
      <c r="T3" t="s">
        <v>1897</v>
      </c>
      <c r="V3" t="s">
        <v>1638</v>
      </c>
      <c r="X3" t="s">
        <v>1007</v>
      </c>
      <c r="Z3" t="s">
        <v>1531</v>
      </c>
      <c r="AJ3" t="s">
        <v>1574</v>
      </c>
    </row>
    <row r="4" spans="2:38" x14ac:dyDescent="0.3">
      <c r="B4" s="8" t="s">
        <v>518</v>
      </c>
      <c r="C4" t="s">
        <v>48</v>
      </c>
      <c r="E4" t="s">
        <v>579</v>
      </c>
      <c r="G4" t="s">
        <v>1410</v>
      </c>
      <c r="I4" s="1" t="s">
        <v>177</v>
      </c>
      <c r="J4" t="s">
        <v>702</v>
      </c>
      <c r="L4" s="826" t="s">
        <v>207</v>
      </c>
      <c r="M4" s="825" t="s">
        <v>702</v>
      </c>
      <c r="O4" t="s">
        <v>207</v>
      </c>
      <c r="P4" t="s">
        <v>1521</v>
      </c>
      <c r="R4" t="s">
        <v>2376</v>
      </c>
      <c r="T4" t="s">
        <v>1002</v>
      </c>
      <c r="V4" t="s">
        <v>1403</v>
      </c>
      <c r="X4" t="s">
        <v>1402</v>
      </c>
      <c r="Z4" t="s">
        <v>1532</v>
      </c>
      <c r="AJ4" t="s">
        <v>1575</v>
      </c>
    </row>
    <row r="5" spans="2:38" x14ac:dyDescent="0.3">
      <c r="B5" s="8" t="s">
        <v>519</v>
      </c>
      <c r="C5" t="s">
        <v>54</v>
      </c>
      <c r="E5" t="s">
        <v>242</v>
      </c>
      <c r="G5" t="s">
        <v>1411</v>
      </c>
      <c r="I5" s="1" t="s">
        <v>261</v>
      </c>
      <c r="J5" t="s">
        <v>703</v>
      </c>
      <c r="L5" s="824" t="s">
        <v>297</v>
      </c>
      <c r="M5" s="823" t="s">
        <v>703</v>
      </c>
      <c r="O5" t="s">
        <v>297</v>
      </c>
      <c r="P5" t="s">
        <v>1522</v>
      </c>
      <c r="R5" t="s">
        <v>2275</v>
      </c>
      <c r="T5" t="s">
        <v>1394</v>
      </c>
      <c r="V5" t="s">
        <v>1584</v>
      </c>
      <c r="X5" t="s">
        <v>1403</v>
      </c>
      <c r="Z5" t="s">
        <v>1533</v>
      </c>
      <c r="AJ5" t="s">
        <v>1576</v>
      </c>
    </row>
    <row r="6" spans="2:38" x14ac:dyDescent="0.3">
      <c r="B6" s="8" t="s">
        <v>520</v>
      </c>
      <c r="C6" t="s">
        <v>50</v>
      </c>
      <c r="E6" t="s">
        <v>568</v>
      </c>
      <c r="I6" s="1" t="s">
        <v>580</v>
      </c>
      <c r="J6" t="s">
        <v>702</v>
      </c>
      <c r="L6" s="826" t="s">
        <v>584</v>
      </c>
      <c r="M6" s="825" t="s">
        <v>702</v>
      </c>
      <c r="O6" t="s">
        <v>584</v>
      </c>
      <c r="P6" t="s">
        <v>1523</v>
      </c>
      <c r="R6" t="s">
        <v>1405</v>
      </c>
      <c r="T6" t="s">
        <v>1404</v>
      </c>
      <c r="V6" t="s">
        <v>1396</v>
      </c>
      <c r="X6" t="s">
        <v>1583</v>
      </c>
      <c r="Z6" t="s">
        <v>1534</v>
      </c>
      <c r="AJ6" t="s">
        <v>1577</v>
      </c>
    </row>
    <row r="7" spans="2:38" x14ac:dyDescent="0.3">
      <c r="B7" s="8" t="s">
        <v>521</v>
      </c>
      <c r="C7" t="s">
        <v>53</v>
      </c>
      <c r="E7" t="s">
        <v>2521</v>
      </c>
      <c r="I7" s="1" t="s">
        <v>701</v>
      </c>
      <c r="J7" t="s">
        <v>702</v>
      </c>
      <c r="L7" s="824" t="s">
        <v>754</v>
      </c>
      <c r="M7" s="823" t="s">
        <v>702</v>
      </c>
      <c r="O7" t="s">
        <v>754</v>
      </c>
      <c r="P7" t="s">
        <v>1524</v>
      </c>
      <c r="R7" t="s">
        <v>2402</v>
      </c>
      <c r="T7" t="s">
        <v>1884</v>
      </c>
      <c r="V7" t="s">
        <v>1639</v>
      </c>
      <c r="X7" t="s">
        <v>1584</v>
      </c>
      <c r="AJ7" t="s">
        <v>1578</v>
      </c>
    </row>
    <row r="8" spans="2:38" x14ac:dyDescent="0.3">
      <c r="B8" s="8" t="s">
        <v>1840</v>
      </c>
      <c r="C8" t="s">
        <v>185</v>
      </c>
      <c r="E8" t="s">
        <v>1049</v>
      </c>
      <c r="G8" t="s">
        <v>1510</v>
      </c>
      <c r="I8" s="1" t="s">
        <v>844</v>
      </c>
      <c r="J8" t="s">
        <v>702</v>
      </c>
      <c r="L8" s="826" t="s">
        <v>874</v>
      </c>
      <c r="M8" s="825" t="s">
        <v>702</v>
      </c>
      <c r="O8" t="s">
        <v>874</v>
      </c>
      <c r="P8" t="s">
        <v>1525</v>
      </c>
      <c r="R8" t="s">
        <v>2175</v>
      </c>
      <c r="T8" t="s">
        <v>1583</v>
      </c>
      <c r="V8" t="s">
        <v>1394</v>
      </c>
      <c r="X8" t="s">
        <v>1585</v>
      </c>
      <c r="AJ8" t="s">
        <v>1579</v>
      </c>
    </row>
    <row r="9" spans="2:38" x14ac:dyDescent="0.3">
      <c r="B9" s="8" t="s">
        <v>1841</v>
      </c>
      <c r="C9" t="s">
        <v>47</v>
      </c>
      <c r="E9" t="s">
        <v>2522</v>
      </c>
      <c r="G9" t="s">
        <v>1508</v>
      </c>
      <c r="I9" s="1" t="s">
        <v>884</v>
      </c>
      <c r="J9" t="s">
        <v>703</v>
      </c>
      <c r="L9" s="824" t="s">
        <v>977</v>
      </c>
      <c r="M9" s="823" t="s">
        <v>703</v>
      </c>
      <c r="O9" t="s">
        <v>977</v>
      </c>
      <c r="P9" t="s">
        <v>1526</v>
      </c>
      <c r="R9" t="s">
        <v>1279</v>
      </c>
      <c r="T9" t="s">
        <v>1007</v>
      </c>
      <c r="V9" t="s">
        <v>1220</v>
      </c>
      <c r="X9" t="s">
        <v>996</v>
      </c>
      <c r="AJ9" t="s">
        <v>1580</v>
      </c>
    </row>
    <row r="10" spans="2:38" x14ac:dyDescent="0.3">
      <c r="B10" s="8" t="s">
        <v>944</v>
      </c>
      <c r="C10" t="s">
        <v>52</v>
      </c>
      <c r="E10" t="s">
        <v>249</v>
      </c>
      <c r="G10" t="s">
        <v>1505</v>
      </c>
      <c r="I10" s="1" t="s">
        <v>1079</v>
      </c>
      <c r="J10" t="s">
        <v>702</v>
      </c>
      <c r="L10" s="826" t="s">
        <v>1102</v>
      </c>
      <c r="M10" s="825" t="s">
        <v>702</v>
      </c>
      <c r="O10" t="s">
        <v>1102</v>
      </c>
      <c r="P10" t="s">
        <v>1527</v>
      </c>
      <c r="R10" t="s">
        <v>2403</v>
      </c>
      <c r="V10" t="s">
        <v>1245</v>
      </c>
      <c r="X10" t="s">
        <v>1245</v>
      </c>
      <c r="AJ10" t="s">
        <v>1581</v>
      </c>
    </row>
    <row r="11" spans="2:38" x14ac:dyDescent="0.3">
      <c r="B11" s="8" t="s">
        <v>522</v>
      </c>
      <c r="C11" t="s">
        <v>181</v>
      </c>
      <c r="E11" t="s">
        <v>1343</v>
      </c>
      <c r="G11" t="s">
        <v>1509</v>
      </c>
      <c r="I11" s="1" t="s">
        <v>1146</v>
      </c>
      <c r="J11" t="s">
        <v>702</v>
      </c>
      <c r="L11" s="824" t="s">
        <v>1385</v>
      </c>
      <c r="M11" s="823" t="s">
        <v>702</v>
      </c>
      <c r="O11" t="s">
        <v>1385</v>
      </c>
      <c r="P11" t="s">
        <v>1528</v>
      </c>
      <c r="R11" t="s">
        <v>2404</v>
      </c>
      <c r="AJ11" t="s">
        <v>1582</v>
      </c>
    </row>
    <row r="12" spans="2:38" x14ac:dyDescent="0.3">
      <c r="B12" s="8" t="s">
        <v>523</v>
      </c>
      <c r="C12" t="s">
        <v>279</v>
      </c>
      <c r="E12" t="s">
        <v>246</v>
      </c>
      <c r="I12" s="1" t="s">
        <v>1406</v>
      </c>
      <c r="J12" t="s">
        <v>702</v>
      </c>
      <c r="L12" s="826" t="s">
        <v>1490</v>
      </c>
      <c r="M12" s="825" t="s">
        <v>702</v>
      </c>
      <c r="O12" t="s">
        <v>1490</v>
      </c>
      <c r="P12" t="s">
        <v>1529</v>
      </c>
      <c r="R12" t="s">
        <v>1195</v>
      </c>
    </row>
    <row r="13" spans="2:38" x14ac:dyDescent="0.3">
      <c r="B13" s="8" t="s">
        <v>676</v>
      </c>
      <c r="C13" t="s">
        <v>530</v>
      </c>
      <c r="E13" t="s">
        <v>150</v>
      </c>
      <c r="I13" s="1" t="s">
        <v>1589</v>
      </c>
      <c r="J13" t="s">
        <v>702</v>
      </c>
      <c r="L13" s="824" t="s">
        <v>1513</v>
      </c>
      <c r="M13" s="823" t="s">
        <v>702</v>
      </c>
      <c r="O13" t="s">
        <v>1513</v>
      </c>
      <c r="P13" t="s">
        <v>1519</v>
      </c>
      <c r="R13" t="s">
        <v>2405</v>
      </c>
    </row>
    <row r="14" spans="2:38" x14ac:dyDescent="0.3">
      <c r="B14" s="8" t="s">
        <v>1842</v>
      </c>
      <c r="C14" t="s">
        <v>278</v>
      </c>
      <c r="E14" t="s">
        <v>794</v>
      </c>
      <c r="G14" s="612" t="s">
        <v>1514</v>
      </c>
      <c r="I14" s="1" t="s">
        <v>1662</v>
      </c>
      <c r="J14" t="s">
        <v>702</v>
      </c>
      <c r="L14" s="827" t="s">
        <v>1635</v>
      </c>
      <c r="M14" s="828" t="s">
        <v>702</v>
      </c>
      <c r="O14" t="s">
        <v>1635</v>
      </c>
      <c r="P14" t="s">
        <v>1636</v>
      </c>
      <c r="R14" t="s">
        <v>2272</v>
      </c>
    </row>
    <row r="15" spans="2:38" x14ac:dyDescent="0.3">
      <c r="B15" s="8" t="s">
        <v>1460</v>
      </c>
      <c r="C15" t="s">
        <v>55</v>
      </c>
      <c r="E15" t="s">
        <v>731</v>
      </c>
      <c r="G15" s="338" t="s">
        <v>1515</v>
      </c>
      <c r="I15" s="1" t="s">
        <v>1817</v>
      </c>
      <c r="J15" t="s">
        <v>2082</v>
      </c>
      <c r="L15" s="827" t="s">
        <v>1818</v>
      </c>
      <c r="M15" s="828" t="s">
        <v>2082</v>
      </c>
      <c r="O15" t="s">
        <v>1818</v>
      </c>
      <c r="P15" t="s">
        <v>1819</v>
      </c>
    </row>
    <row r="16" spans="2:38" x14ac:dyDescent="0.3">
      <c r="B16" s="8" t="s">
        <v>672</v>
      </c>
      <c r="C16" t="s">
        <v>59</v>
      </c>
      <c r="E16" t="s">
        <v>736</v>
      </c>
      <c r="I16" s="1" t="s">
        <v>2047</v>
      </c>
      <c r="J16" t="s">
        <v>2081</v>
      </c>
      <c r="L16" s="1050" t="s">
        <v>2006</v>
      </c>
      <c r="M16" s="828" t="s">
        <v>2081</v>
      </c>
      <c r="O16" t="s">
        <v>2006</v>
      </c>
      <c r="P16" t="s">
        <v>2231</v>
      </c>
    </row>
    <row r="17" spans="2:16" x14ac:dyDescent="0.3">
      <c r="B17" s="8" t="s">
        <v>1843</v>
      </c>
      <c r="C17" t="s">
        <v>56</v>
      </c>
      <c r="E17" t="s">
        <v>1027</v>
      </c>
      <c r="I17" s="1" t="s">
        <v>2079</v>
      </c>
      <c r="J17" t="s">
        <v>2080</v>
      </c>
      <c r="L17" s="1050" t="s">
        <v>2115</v>
      </c>
      <c r="M17" s="828" t="s">
        <v>2080</v>
      </c>
      <c r="O17" t="s">
        <v>2115</v>
      </c>
      <c r="P17" t="s">
        <v>2232</v>
      </c>
    </row>
    <row r="18" spans="2:16" x14ac:dyDescent="0.3">
      <c r="B18" s="8" t="s">
        <v>1844</v>
      </c>
      <c r="C18" t="s">
        <v>675</v>
      </c>
      <c r="E18" t="s">
        <v>2523</v>
      </c>
      <c r="I18" s="1" t="s">
        <v>2187</v>
      </c>
      <c r="J18" t="s">
        <v>2235</v>
      </c>
      <c r="L18" s="1050" t="s">
        <v>2152</v>
      </c>
      <c r="M18" s="828" t="s">
        <v>2235</v>
      </c>
      <c r="O18" t="s">
        <v>2152</v>
      </c>
      <c r="P18" t="s">
        <v>2233</v>
      </c>
    </row>
    <row r="19" spans="2:16" x14ac:dyDescent="0.3">
      <c r="B19" s="8" t="s">
        <v>524</v>
      </c>
      <c r="C19" t="s">
        <v>673</v>
      </c>
      <c r="E19" t="s">
        <v>1593</v>
      </c>
      <c r="I19" s="1" t="s">
        <v>2230</v>
      </c>
      <c r="J19" t="s">
        <v>702</v>
      </c>
      <c r="L19" s="1050" t="s">
        <v>2153</v>
      </c>
      <c r="M19" s="828" t="s">
        <v>702</v>
      </c>
      <c r="O19" t="s">
        <v>2153</v>
      </c>
      <c r="P19" t="s">
        <v>2234</v>
      </c>
    </row>
    <row r="20" spans="2:16" x14ac:dyDescent="0.3">
      <c r="B20" s="8" t="s">
        <v>1845</v>
      </c>
      <c r="C20" t="s">
        <v>680</v>
      </c>
      <c r="E20" t="s">
        <v>1906</v>
      </c>
      <c r="I20" s="1" t="s">
        <v>2409</v>
      </c>
      <c r="J20" t="s">
        <v>2082</v>
      </c>
      <c r="L20" s="827" t="s">
        <v>2372</v>
      </c>
      <c r="M20" s="828" t="s">
        <v>2082</v>
      </c>
      <c r="O20" t="s">
        <v>2372</v>
      </c>
      <c r="P20" t="s">
        <v>2490</v>
      </c>
    </row>
    <row r="21" spans="2:16" x14ac:dyDescent="0.3">
      <c r="B21" s="8" t="s">
        <v>525</v>
      </c>
      <c r="C21" t="s">
        <v>677</v>
      </c>
      <c r="E21" t="s">
        <v>2173</v>
      </c>
      <c r="I21" s="1" t="s">
        <v>2437</v>
      </c>
      <c r="J21" t="s">
        <v>2080</v>
      </c>
      <c r="L21" s="827" t="s">
        <v>2489</v>
      </c>
      <c r="M21" s="828" t="s">
        <v>2080</v>
      </c>
      <c r="O21" t="s">
        <v>2489</v>
      </c>
      <c r="P21" t="s">
        <v>2491</v>
      </c>
    </row>
    <row r="22" spans="2:16" x14ac:dyDescent="0.3">
      <c r="B22" s="8" t="s">
        <v>1462</v>
      </c>
      <c r="C22" t="s">
        <v>942</v>
      </c>
      <c r="E22" t="s">
        <v>2174</v>
      </c>
    </row>
    <row r="23" spans="2:16" x14ac:dyDescent="0.3">
      <c r="B23" s="8" t="s">
        <v>1846</v>
      </c>
      <c r="C23" t="s">
        <v>60</v>
      </c>
      <c r="E23" t="s">
        <v>2341</v>
      </c>
    </row>
    <row r="24" spans="2:16" x14ac:dyDescent="0.3">
      <c r="B24" s="8" t="s">
        <v>786</v>
      </c>
      <c r="C24" t="s">
        <v>1075</v>
      </c>
    </row>
    <row r="25" spans="2:16" x14ac:dyDescent="0.3">
      <c r="B25" s="8" t="s">
        <v>674</v>
      </c>
      <c r="C25" t="s">
        <v>49</v>
      </c>
    </row>
    <row r="26" spans="2:16" x14ac:dyDescent="0.3">
      <c r="B26" s="8" t="s">
        <v>1847</v>
      </c>
      <c r="C26" t="s">
        <v>1077</v>
      </c>
    </row>
    <row r="27" spans="2:16" x14ac:dyDescent="0.3">
      <c r="B27" s="8" t="s">
        <v>1463</v>
      </c>
      <c r="C27" t="s">
        <v>57</v>
      </c>
    </row>
    <row r="28" spans="2:16" x14ac:dyDescent="0.3">
      <c r="B28" s="8" t="s">
        <v>1848</v>
      </c>
      <c r="C28" t="s">
        <v>58</v>
      </c>
    </row>
    <row r="29" spans="2:16" x14ac:dyDescent="0.3">
      <c r="B29" s="8" t="s">
        <v>1849</v>
      </c>
      <c r="C29" t="s">
        <v>51</v>
      </c>
    </row>
    <row r="30" spans="2:16" x14ac:dyDescent="0.3">
      <c r="B30" s="8" t="s">
        <v>1850</v>
      </c>
      <c r="C30" t="s">
        <v>1076</v>
      </c>
    </row>
    <row r="31" spans="2:16" x14ac:dyDescent="0.3">
      <c r="B31" s="8" t="s">
        <v>1851</v>
      </c>
      <c r="C31" t="s">
        <v>182</v>
      </c>
    </row>
    <row r="32" spans="2:16" x14ac:dyDescent="0.3">
      <c r="B32" s="8" t="s">
        <v>1852</v>
      </c>
      <c r="C32" t="s">
        <v>1124</v>
      </c>
    </row>
    <row r="33" spans="2:3" x14ac:dyDescent="0.3">
      <c r="B33" s="8" t="s">
        <v>1853</v>
      </c>
      <c r="C33" t="s">
        <v>1172</v>
      </c>
    </row>
    <row r="34" spans="2:3" x14ac:dyDescent="0.3">
      <c r="B34" s="8" t="s">
        <v>1663</v>
      </c>
      <c r="C34" t="s">
        <v>1379</v>
      </c>
    </row>
    <row r="35" spans="2:3" x14ac:dyDescent="0.3">
      <c r="B35" s="8" t="s">
        <v>1854</v>
      </c>
      <c r="C35" t="s">
        <v>1164</v>
      </c>
    </row>
    <row r="36" spans="2:3" x14ac:dyDescent="0.3">
      <c r="B36" s="8" t="s">
        <v>1855</v>
      </c>
      <c r="C36" t="s">
        <v>62</v>
      </c>
    </row>
    <row r="37" spans="2:3" x14ac:dyDescent="0.3">
      <c r="B37" s="8" t="s">
        <v>1856</v>
      </c>
      <c r="C37" t="s">
        <v>186</v>
      </c>
    </row>
    <row r="38" spans="2:3" x14ac:dyDescent="0.3">
      <c r="B38" s="8" t="s">
        <v>1857</v>
      </c>
      <c r="C38" t="s">
        <v>945</v>
      </c>
    </row>
    <row r="39" spans="2:3" x14ac:dyDescent="0.3">
      <c r="B39" s="8" t="s">
        <v>1858</v>
      </c>
      <c r="C39" t="s">
        <v>61</v>
      </c>
    </row>
    <row r="40" spans="2:3" x14ac:dyDescent="0.3">
      <c r="B40" s="8" t="s">
        <v>1859</v>
      </c>
      <c r="C40" t="s">
        <v>949</v>
      </c>
    </row>
    <row r="41" spans="2:3" x14ac:dyDescent="0.3">
      <c r="B41" s="8" t="s">
        <v>1860</v>
      </c>
      <c r="C41" t="s">
        <v>63</v>
      </c>
    </row>
    <row r="42" spans="2:3" x14ac:dyDescent="0.3">
      <c r="B42" s="8" t="s">
        <v>1861</v>
      </c>
      <c r="C42" t="s">
        <v>818</v>
      </c>
    </row>
    <row r="43" spans="2:3" x14ac:dyDescent="0.3">
      <c r="B43" s="8" t="s">
        <v>1862</v>
      </c>
      <c r="C43" t="s">
        <v>187</v>
      </c>
    </row>
    <row r="44" spans="2:3" x14ac:dyDescent="0.3">
      <c r="B44" s="8" t="s">
        <v>1863</v>
      </c>
      <c r="C44" t="s">
        <v>64</v>
      </c>
    </row>
    <row r="45" spans="2:3" x14ac:dyDescent="0.3">
      <c r="B45" s="8" t="s">
        <v>1864</v>
      </c>
      <c r="C45" t="s">
        <v>1591</v>
      </c>
    </row>
    <row r="46" spans="2:3" x14ac:dyDescent="0.3">
      <c r="B46" s="8" t="s">
        <v>526</v>
      </c>
      <c r="C46" t="s">
        <v>1659</v>
      </c>
    </row>
    <row r="47" spans="2:3" x14ac:dyDescent="0.3">
      <c r="B47" s="8" t="s">
        <v>546</v>
      </c>
      <c r="C47" t="s">
        <v>1660</v>
      </c>
    </row>
    <row r="48" spans="2:3" x14ac:dyDescent="0.3">
      <c r="B48" s="8" t="s">
        <v>1865</v>
      </c>
      <c r="C48" t="s">
        <v>1597</v>
      </c>
    </row>
    <row r="49" spans="2:3" x14ac:dyDescent="0.3">
      <c r="B49" s="8" t="s">
        <v>2517</v>
      </c>
      <c r="C49" t="s">
        <v>2283</v>
      </c>
    </row>
    <row r="50" spans="2:3" x14ac:dyDescent="0.3">
      <c r="B50" s="8" t="s">
        <v>2518</v>
      </c>
      <c r="C50" t="s">
        <v>2184</v>
      </c>
    </row>
    <row r="51" spans="2:3" x14ac:dyDescent="0.3">
      <c r="B51" s="8" t="s">
        <v>2519</v>
      </c>
      <c r="C51" t="s">
        <v>2441</v>
      </c>
    </row>
    <row r="52" spans="2:3" x14ac:dyDescent="0.3">
      <c r="B52" s="8" t="s">
        <v>679</v>
      </c>
      <c r="C52" t="s">
        <v>2443</v>
      </c>
    </row>
    <row r="53" spans="2:3" x14ac:dyDescent="0.3">
      <c r="B53" s="8" t="s">
        <v>2520</v>
      </c>
      <c r="C53" t="s">
        <v>2442</v>
      </c>
    </row>
    <row r="54" spans="2:3" x14ac:dyDescent="0.3">
      <c r="B54" s="8" t="s">
        <v>948</v>
      </c>
      <c r="C54" t="s">
        <v>2444</v>
      </c>
    </row>
  </sheetData>
  <phoneticPr fontId="98" type="noConversion"/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29"/>
  <sheetViews>
    <sheetView workbookViewId="0">
      <selection activeCell="I104" sqref="I104"/>
    </sheetView>
  </sheetViews>
  <sheetFormatPr defaultColWidth="12.33203125" defaultRowHeight="14.4" x14ac:dyDescent="0.3"/>
  <cols>
    <col min="4" max="4" width="7.88671875" customWidth="1"/>
    <col min="8" max="8" width="7.109375" customWidth="1"/>
  </cols>
  <sheetData>
    <row r="1" spans="1:11" s="1" customFormat="1" ht="36.6" x14ac:dyDescent="0.85">
      <c r="A1" s="18" t="s">
        <v>0</v>
      </c>
      <c r="D1" s="4" t="s">
        <v>2</v>
      </c>
    </row>
    <row r="2" spans="1:11" s="1" customFormat="1" ht="21" x14ac:dyDescent="0.4">
      <c r="A2" s="4" t="s">
        <v>233</v>
      </c>
      <c r="C2" s="4" t="s">
        <v>232</v>
      </c>
      <c r="E2" s="6"/>
    </row>
    <row r="3" spans="1:11" s="1" customFormat="1" ht="12.75" customHeight="1" x14ac:dyDescent="0.35">
      <c r="C3" s="1" t="s">
        <v>272</v>
      </c>
      <c r="D3" s="7"/>
    </row>
    <row r="4" spans="1:11" s="1" customFormat="1" ht="15.6" x14ac:dyDescent="0.3">
      <c r="A4" s="3" t="s">
        <v>46</v>
      </c>
    </row>
    <row r="5" spans="1:11" s="1" customFormat="1" ht="15" thickBot="1" x14ac:dyDescent="0.35"/>
    <row r="6" spans="1:11" x14ac:dyDescent="0.3">
      <c r="A6" s="25" t="s">
        <v>3</v>
      </c>
      <c r="B6" s="20"/>
      <c r="C6" s="26"/>
      <c r="E6" s="25" t="s">
        <v>97</v>
      </c>
      <c r="F6" s="21"/>
      <c r="G6" s="27"/>
      <c r="I6" s="50" t="s">
        <v>65</v>
      </c>
      <c r="J6" s="51"/>
      <c r="K6" s="52" t="s">
        <v>178</v>
      </c>
    </row>
    <row r="7" spans="1:11" x14ac:dyDescent="0.3">
      <c r="A7" s="12" t="s">
        <v>56</v>
      </c>
      <c r="C7" s="39" t="s">
        <v>383</v>
      </c>
      <c r="E7" s="12" t="s">
        <v>278</v>
      </c>
      <c r="G7" s="13" t="s">
        <v>389</v>
      </c>
      <c r="I7" s="45" t="s">
        <v>47</v>
      </c>
      <c r="J7" s="53"/>
      <c r="K7" s="39">
        <v>153</v>
      </c>
    </row>
    <row r="8" spans="1:11" x14ac:dyDescent="0.3">
      <c r="A8" s="12" t="s">
        <v>50</v>
      </c>
      <c r="C8" s="39" t="s">
        <v>366</v>
      </c>
      <c r="E8" s="12" t="s">
        <v>60</v>
      </c>
      <c r="G8" s="39" t="s">
        <v>391</v>
      </c>
      <c r="I8" s="45" t="s">
        <v>48</v>
      </c>
      <c r="J8" s="53"/>
      <c r="K8" s="39">
        <v>120</v>
      </c>
    </row>
    <row r="9" spans="1:11" x14ac:dyDescent="0.3">
      <c r="A9" s="12" t="s">
        <v>185</v>
      </c>
      <c r="C9" s="39" t="s">
        <v>369</v>
      </c>
      <c r="E9" s="12" t="s">
        <v>53</v>
      </c>
      <c r="G9" s="39" t="s">
        <v>395</v>
      </c>
      <c r="I9" s="45" t="s">
        <v>56</v>
      </c>
      <c r="J9" s="53"/>
      <c r="K9" s="39">
        <v>111</v>
      </c>
    </row>
    <row r="10" spans="1:11" x14ac:dyDescent="0.3">
      <c r="A10" s="12" t="s">
        <v>47</v>
      </c>
      <c r="C10" s="39" t="s">
        <v>376</v>
      </c>
      <c r="E10" s="12" t="s">
        <v>50</v>
      </c>
      <c r="G10" s="39" t="s">
        <v>393</v>
      </c>
      <c r="I10" s="45" t="s">
        <v>50</v>
      </c>
      <c r="J10" s="53"/>
      <c r="K10" s="39">
        <v>98</v>
      </c>
    </row>
    <row r="11" spans="1:11" x14ac:dyDescent="0.3">
      <c r="A11" s="12" t="s">
        <v>278</v>
      </c>
      <c r="C11" s="13" t="s">
        <v>387</v>
      </c>
      <c r="E11" s="12" t="s">
        <v>185</v>
      </c>
      <c r="G11" s="39" t="s">
        <v>393</v>
      </c>
      <c r="I11" s="45" t="s">
        <v>51</v>
      </c>
      <c r="J11" s="53"/>
      <c r="K11" s="39">
        <v>91</v>
      </c>
    </row>
    <row r="12" spans="1:11" x14ac:dyDescent="0.3">
      <c r="A12" s="12" t="s">
        <v>181</v>
      </c>
      <c r="C12" s="39" t="s">
        <v>368</v>
      </c>
      <c r="E12" s="12" t="s">
        <v>52</v>
      </c>
      <c r="G12" s="39" t="s">
        <v>398</v>
      </c>
      <c r="I12" s="45" t="s">
        <v>55</v>
      </c>
      <c r="J12" s="53"/>
      <c r="K12" s="39">
        <v>82</v>
      </c>
    </row>
    <row r="13" spans="1:11" x14ac:dyDescent="0.3">
      <c r="A13" s="12" t="s">
        <v>279</v>
      </c>
      <c r="C13" s="13" t="s">
        <v>388</v>
      </c>
      <c r="E13" s="12" t="s">
        <v>47</v>
      </c>
      <c r="G13" s="39" t="s">
        <v>397</v>
      </c>
      <c r="I13" s="45" t="s">
        <v>58</v>
      </c>
      <c r="J13" s="53"/>
      <c r="K13" s="39">
        <v>74</v>
      </c>
    </row>
    <row r="14" spans="1:11" x14ac:dyDescent="0.3">
      <c r="A14" s="12" t="s">
        <v>53</v>
      </c>
      <c r="C14" s="39" t="s">
        <v>367</v>
      </c>
      <c r="E14" s="12" t="s">
        <v>182</v>
      </c>
      <c r="G14" s="39" t="s">
        <v>396</v>
      </c>
      <c r="I14" s="45" t="s">
        <v>53</v>
      </c>
      <c r="J14" s="53"/>
      <c r="K14" s="39">
        <v>70</v>
      </c>
    </row>
    <row r="15" spans="1:11" x14ac:dyDescent="0.3">
      <c r="A15" s="12" t="s">
        <v>54</v>
      </c>
      <c r="C15" s="39" t="s">
        <v>365</v>
      </c>
      <c r="E15" s="12" t="s">
        <v>55</v>
      </c>
      <c r="G15" s="39" t="s">
        <v>402</v>
      </c>
      <c r="I15" s="45" t="s">
        <v>49</v>
      </c>
      <c r="J15" s="53"/>
      <c r="K15" s="39">
        <v>55</v>
      </c>
    </row>
    <row r="16" spans="1:11" x14ac:dyDescent="0.3">
      <c r="A16" s="12" t="s">
        <v>60</v>
      </c>
      <c r="C16" s="39" t="s">
        <v>374</v>
      </c>
      <c r="E16" s="12" t="s">
        <v>279</v>
      </c>
      <c r="G16" s="39" t="s">
        <v>403</v>
      </c>
      <c r="I16" s="45" t="s">
        <v>54</v>
      </c>
      <c r="J16" s="53"/>
      <c r="K16" s="39">
        <v>40</v>
      </c>
    </row>
    <row r="17" spans="1:11" x14ac:dyDescent="0.3">
      <c r="A17" s="12" t="s">
        <v>182</v>
      </c>
      <c r="C17" s="39" t="s">
        <v>372</v>
      </c>
      <c r="E17" s="12" t="s">
        <v>48</v>
      </c>
      <c r="G17" s="39" t="s">
        <v>404</v>
      </c>
      <c r="I17" s="45" t="s">
        <v>61</v>
      </c>
      <c r="J17" s="53"/>
      <c r="K17" s="39">
        <v>40</v>
      </c>
    </row>
    <row r="18" spans="1:11" x14ac:dyDescent="0.3">
      <c r="A18" s="12" t="s">
        <v>52</v>
      </c>
      <c r="C18" s="39" t="s">
        <v>379</v>
      </c>
      <c r="E18" s="12" t="s">
        <v>56</v>
      </c>
      <c r="G18" s="39" t="s">
        <v>401</v>
      </c>
      <c r="I18" s="45" t="s">
        <v>52</v>
      </c>
      <c r="J18" s="53"/>
      <c r="K18" s="39">
        <v>38</v>
      </c>
    </row>
    <row r="19" spans="1:11" x14ac:dyDescent="0.3">
      <c r="A19" s="12" t="s">
        <v>55</v>
      </c>
      <c r="C19" s="39" t="s">
        <v>382</v>
      </c>
      <c r="E19" s="45" t="s">
        <v>186</v>
      </c>
      <c r="G19" s="39" t="s">
        <v>352</v>
      </c>
      <c r="I19" s="45" t="s">
        <v>60</v>
      </c>
      <c r="J19" s="53"/>
      <c r="K19" s="39">
        <v>27</v>
      </c>
    </row>
    <row r="20" spans="1:11" x14ac:dyDescent="0.3">
      <c r="A20" s="12" t="s">
        <v>48</v>
      </c>
      <c r="C20" s="39" t="s">
        <v>371</v>
      </c>
      <c r="E20" s="45" t="s">
        <v>58</v>
      </c>
      <c r="G20" s="41" t="s">
        <v>394</v>
      </c>
      <c r="I20" s="45" t="s">
        <v>57</v>
      </c>
      <c r="J20" s="53"/>
      <c r="K20" s="39">
        <v>26</v>
      </c>
    </row>
    <row r="21" spans="1:11" x14ac:dyDescent="0.3">
      <c r="A21" s="45" t="s">
        <v>51</v>
      </c>
      <c r="C21" s="39" t="s">
        <v>377</v>
      </c>
      <c r="E21" s="45" t="s">
        <v>62</v>
      </c>
      <c r="G21" s="39" t="s">
        <v>399</v>
      </c>
      <c r="I21" s="45" t="s">
        <v>62</v>
      </c>
      <c r="J21" s="53"/>
      <c r="K21" s="39">
        <v>18</v>
      </c>
    </row>
    <row r="22" spans="1:11" x14ac:dyDescent="0.3">
      <c r="A22" s="45" t="s">
        <v>49</v>
      </c>
      <c r="C22" s="39" t="s">
        <v>370</v>
      </c>
      <c r="E22" s="45" t="s">
        <v>59</v>
      </c>
      <c r="G22" s="39" t="s">
        <v>400</v>
      </c>
      <c r="I22" s="45" t="s">
        <v>59</v>
      </c>
      <c r="J22" s="53"/>
      <c r="K22" s="39">
        <v>13</v>
      </c>
    </row>
    <row r="23" spans="1:11" x14ac:dyDescent="0.3">
      <c r="A23" s="45" t="s">
        <v>186</v>
      </c>
      <c r="C23" s="39" t="s">
        <v>375</v>
      </c>
      <c r="E23" s="45" t="s">
        <v>51</v>
      </c>
      <c r="G23" s="39" t="s">
        <v>392</v>
      </c>
      <c r="I23" s="45" t="s">
        <v>63</v>
      </c>
      <c r="J23" s="53"/>
      <c r="K23" s="39">
        <v>10</v>
      </c>
    </row>
    <row r="24" spans="1:11" ht="15" thickBot="1" x14ac:dyDescent="0.35">
      <c r="A24" s="45" t="s">
        <v>62</v>
      </c>
      <c r="C24" s="39" t="s">
        <v>380</v>
      </c>
      <c r="E24" s="45" t="s">
        <v>63</v>
      </c>
      <c r="G24" s="39" t="s">
        <v>400</v>
      </c>
      <c r="I24" s="46" t="s">
        <v>64</v>
      </c>
      <c r="J24" s="54"/>
      <c r="K24" s="40">
        <v>4</v>
      </c>
    </row>
    <row r="25" spans="1:11" ht="15" thickBot="1" x14ac:dyDescent="0.35">
      <c r="A25" s="45" t="s">
        <v>187</v>
      </c>
      <c r="C25" s="39" t="s">
        <v>381</v>
      </c>
      <c r="E25" s="46" t="s">
        <v>49</v>
      </c>
      <c r="F25" s="15"/>
      <c r="G25" s="40" t="s">
        <v>390</v>
      </c>
    </row>
    <row r="26" spans="1:11" x14ac:dyDescent="0.3">
      <c r="A26" s="45" t="s">
        <v>57</v>
      </c>
      <c r="C26" s="39" t="s">
        <v>378</v>
      </c>
      <c r="I26" s="25" t="s">
        <v>8</v>
      </c>
      <c r="J26" s="21"/>
      <c r="K26" s="27"/>
    </row>
    <row r="27" spans="1:11" ht="15" thickBot="1" x14ac:dyDescent="0.35">
      <c r="A27" s="45" t="s">
        <v>58</v>
      </c>
      <c r="C27" s="39" t="s">
        <v>373</v>
      </c>
      <c r="I27" s="12" t="s">
        <v>185</v>
      </c>
      <c r="K27" s="102" t="s">
        <v>608</v>
      </c>
    </row>
    <row r="28" spans="1:11" x14ac:dyDescent="0.3">
      <c r="A28" s="45" t="s">
        <v>59</v>
      </c>
      <c r="C28" s="39" t="s">
        <v>384</v>
      </c>
      <c r="E28" s="25" t="s">
        <v>101</v>
      </c>
      <c r="F28" s="21"/>
      <c r="G28" s="27"/>
      <c r="I28" s="12" t="s">
        <v>181</v>
      </c>
      <c r="K28" s="48" t="s">
        <v>609</v>
      </c>
    </row>
    <row r="29" spans="1:11" x14ac:dyDescent="0.3">
      <c r="A29" s="45" t="s">
        <v>61</v>
      </c>
      <c r="C29" s="39" t="s">
        <v>385</v>
      </c>
      <c r="E29" s="12" t="s">
        <v>181</v>
      </c>
      <c r="G29" s="39" t="s">
        <v>335</v>
      </c>
      <c r="I29" s="12" t="s">
        <v>50</v>
      </c>
      <c r="K29" s="47" t="s">
        <v>405</v>
      </c>
    </row>
    <row r="30" spans="1:11" x14ac:dyDescent="0.3">
      <c r="A30" s="45" t="s">
        <v>63</v>
      </c>
      <c r="C30" s="39" t="s">
        <v>386</v>
      </c>
      <c r="E30" s="12" t="s">
        <v>182</v>
      </c>
      <c r="G30" s="39" t="s">
        <v>335</v>
      </c>
      <c r="I30" s="12" t="s">
        <v>47</v>
      </c>
      <c r="K30" s="47" t="s">
        <v>406</v>
      </c>
    </row>
    <row r="31" spans="1:11" ht="15" thickBot="1" x14ac:dyDescent="0.35">
      <c r="A31" s="46" t="s">
        <v>64</v>
      </c>
      <c r="B31" s="15"/>
      <c r="C31" s="40" t="s">
        <v>341</v>
      </c>
      <c r="E31" s="14" t="s">
        <v>55</v>
      </c>
      <c r="F31" s="15"/>
      <c r="G31" s="40" t="s">
        <v>408</v>
      </c>
      <c r="I31" s="14" t="s">
        <v>55</v>
      </c>
      <c r="J31" s="15"/>
      <c r="K31" s="49" t="s">
        <v>406</v>
      </c>
    </row>
    <row r="32" spans="1:11" x14ac:dyDescent="0.3">
      <c r="A32" s="53"/>
      <c r="C32" s="53"/>
      <c r="G32" s="53"/>
      <c r="K32" s="59"/>
    </row>
    <row r="33" spans="1:11" ht="15" thickBot="1" x14ac:dyDescent="0.35">
      <c r="A33" s="53"/>
      <c r="C33" s="53"/>
      <c r="G33" s="53"/>
      <c r="K33" s="59"/>
    </row>
    <row r="34" spans="1:11" x14ac:dyDescent="0.3">
      <c r="A34" s="25" t="s">
        <v>184</v>
      </c>
      <c r="B34" s="21"/>
      <c r="C34" s="27"/>
      <c r="E34" s="25" t="s">
        <v>183</v>
      </c>
      <c r="F34" s="21"/>
      <c r="G34" s="27"/>
      <c r="I34" s="25" t="s">
        <v>14</v>
      </c>
      <c r="J34" s="21"/>
      <c r="K34" s="27"/>
    </row>
    <row r="35" spans="1:11" ht="15" thickBot="1" x14ac:dyDescent="0.35">
      <c r="A35" s="12" t="s">
        <v>48</v>
      </c>
      <c r="C35" s="35" t="s">
        <v>273</v>
      </c>
      <c r="E35" s="12" t="s">
        <v>275</v>
      </c>
      <c r="G35" s="35" t="s">
        <v>276</v>
      </c>
      <c r="I35" s="14" t="s">
        <v>100</v>
      </c>
      <c r="J35" s="15"/>
      <c r="K35" s="40" t="s">
        <v>407</v>
      </c>
    </row>
    <row r="36" spans="1:11" ht="15" thickBot="1" x14ac:dyDescent="0.35">
      <c r="A36" s="14" t="s">
        <v>185</v>
      </c>
      <c r="B36" s="15"/>
      <c r="C36" s="36" t="s">
        <v>274</v>
      </c>
      <c r="E36" s="46" t="s">
        <v>57</v>
      </c>
      <c r="F36" s="15"/>
      <c r="G36" s="36" t="s">
        <v>277</v>
      </c>
    </row>
    <row r="37" spans="1:11" ht="15" thickBot="1" x14ac:dyDescent="0.35"/>
    <row r="38" spans="1:11" x14ac:dyDescent="0.3">
      <c r="A38" s="25" t="s">
        <v>94</v>
      </c>
      <c r="B38" s="21"/>
      <c r="C38" s="27"/>
      <c r="E38" s="25" t="s">
        <v>95</v>
      </c>
      <c r="F38" s="21"/>
      <c r="G38" s="27"/>
      <c r="I38" s="25" t="s">
        <v>96</v>
      </c>
      <c r="J38" s="21"/>
      <c r="K38" s="27"/>
    </row>
    <row r="39" spans="1:11" x14ac:dyDescent="0.3">
      <c r="A39" s="12" t="s">
        <v>185</v>
      </c>
      <c r="C39" s="39" t="s">
        <v>304</v>
      </c>
      <c r="E39" s="12" t="s">
        <v>56</v>
      </c>
      <c r="G39" s="39" t="s">
        <v>337</v>
      </c>
      <c r="I39" s="12" t="s">
        <v>185</v>
      </c>
      <c r="K39" s="39" t="s">
        <v>342</v>
      </c>
    </row>
    <row r="40" spans="1:11" x14ac:dyDescent="0.3">
      <c r="A40" s="12" t="s">
        <v>56</v>
      </c>
      <c r="C40" s="39" t="s">
        <v>319</v>
      </c>
      <c r="E40" s="12" t="s">
        <v>47</v>
      </c>
      <c r="G40" s="39" t="s">
        <v>330</v>
      </c>
      <c r="I40" s="12" t="s">
        <v>182</v>
      </c>
      <c r="K40" s="39" t="s">
        <v>345</v>
      </c>
    </row>
    <row r="41" spans="1:11" x14ac:dyDescent="0.3">
      <c r="A41" s="12" t="s">
        <v>47</v>
      </c>
      <c r="C41" s="39" t="s">
        <v>308</v>
      </c>
      <c r="E41" s="12" t="s">
        <v>181</v>
      </c>
      <c r="G41" s="39" t="s">
        <v>333</v>
      </c>
      <c r="I41" s="12" t="s">
        <v>47</v>
      </c>
      <c r="K41" s="39" t="s">
        <v>350</v>
      </c>
    </row>
    <row r="42" spans="1:11" x14ac:dyDescent="0.3">
      <c r="A42" s="12" t="s">
        <v>50</v>
      </c>
      <c r="C42" s="39" t="s">
        <v>303</v>
      </c>
      <c r="E42" s="12" t="s">
        <v>185</v>
      </c>
      <c r="G42" s="39" t="s">
        <v>324</v>
      </c>
      <c r="I42" s="12" t="s">
        <v>50</v>
      </c>
      <c r="K42" s="39" t="s">
        <v>343</v>
      </c>
    </row>
    <row r="43" spans="1:11" x14ac:dyDescent="0.3">
      <c r="A43" s="12" t="s">
        <v>181</v>
      </c>
      <c r="C43" s="39" t="s">
        <v>310</v>
      </c>
      <c r="E43" s="12" t="s">
        <v>50</v>
      </c>
      <c r="G43" s="39" t="s">
        <v>325</v>
      </c>
      <c r="I43" s="12" t="s">
        <v>55</v>
      </c>
      <c r="K43" s="39" t="s">
        <v>357</v>
      </c>
    </row>
    <row r="44" spans="1:11" x14ac:dyDescent="0.3">
      <c r="A44" s="12" t="s">
        <v>182</v>
      </c>
      <c r="C44" s="39" t="s">
        <v>307</v>
      </c>
      <c r="E44" s="12" t="s">
        <v>53</v>
      </c>
      <c r="G44" s="39" t="s">
        <v>326</v>
      </c>
      <c r="I44" s="12" t="s">
        <v>56</v>
      </c>
      <c r="K44" s="39" t="s">
        <v>360</v>
      </c>
    </row>
    <row r="45" spans="1:11" x14ac:dyDescent="0.3">
      <c r="A45" s="12" t="s">
        <v>55</v>
      </c>
      <c r="C45" s="39" t="s">
        <v>320</v>
      </c>
      <c r="E45" s="12" t="s">
        <v>55</v>
      </c>
      <c r="G45" s="39" t="s">
        <v>338</v>
      </c>
      <c r="I45" s="12" t="s">
        <v>279</v>
      </c>
      <c r="K45" s="13" t="s">
        <v>364</v>
      </c>
    </row>
    <row r="46" spans="1:11" x14ac:dyDescent="0.3">
      <c r="A46" s="12" t="s">
        <v>53</v>
      </c>
      <c r="C46" s="39" t="s">
        <v>306</v>
      </c>
      <c r="E46" s="12" t="s">
        <v>279</v>
      </c>
      <c r="G46" s="13" t="s">
        <v>363</v>
      </c>
      <c r="I46" s="12" t="s">
        <v>278</v>
      </c>
      <c r="K46" s="13" t="s">
        <v>364</v>
      </c>
    </row>
    <row r="47" spans="1:11" x14ac:dyDescent="0.3">
      <c r="A47" s="12" t="s">
        <v>279</v>
      </c>
      <c r="C47" s="13" t="s">
        <v>361</v>
      </c>
      <c r="E47" s="12" t="s">
        <v>182</v>
      </c>
      <c r="G47" s="39" t="s">
        <v>329</v>
      </c>
      <c r="I47" s="12" t="s">
        <v>53</v>
      </c>
      <c r="K47" s="39" t="s">
        <v>348</v>
      </c>
    </row>
    <row r="48" spans="1:11" x14ac:dyDescent="0.3">
      <c r="A48" s="12" t="s">
        <v>278</v>
      </c>
      <c r="C48" s="13" t="s">
        <v>362</v>
      </c>
      <c r="E48" s="12" t="s">
        <v>60</v>
      </c>
      <c r="G48" s="39" t="s">
        <v>332</v>
      </c>
      <c r="I48" s="12" t="s">
        <v>181</v>
      </c>
      <c r="K48" s="39" t="s">
        <v>346</v>
      </c>
    </row>
    <row r="49" spans="1:11" x14ac:dyDescent="0.3">
      <c r="A49" s="12" t="s">
        <v>60</v>
      </c>
      <c r="C49" s="39" t="s">
        <v>311</v>
      </c>
      <c r="E49" s="12" t="s">
        <v>54</v>
      </c>
      <c r="G49" s="39" t="s">
        <v>301</v>
      </c>
      <c r="I49" s="12" t="s">
        <v>60</v>
      </c>
      <c r="K49" s="39" t="s">
        <v>349</v>
      </c>
    </row>
    <row r="50" spans="1:11" x14ac:dyDescent="0.3">
      <c r="A50" s="12" t="s">
        <v>54</v>
      </c>
      <c r="C50" s="39" t="s">
        <v>312</v>
      </c>
      <c r="E50" s="12" t="s">
        <v>278</v>
      </c>
      <c r="G50" s="13" t="s">
        <v>364</v>
      </c>
      <c r="I50" s="12" t="s">
        <v>54</v>
      </c>
      <c r="K50" s="39" t="s">
        <v>302</v>
      </c>
    </row>
    <row r="51" spans="1:11" x14ac:dyDescent="0.3">
      <c r="A51" s="12" t="s">
        <v>52</v>
      </c>
      <c r="C51" s="39" t="s">
        <v>318</v>
      </c>
      <c r="E51" s="12" t="s">
        <v>48</v>
      </c>
      <c r="G51" s="39" t="s">
        <v>331</v>
      </c>
      <c r="I51" s="12" t="s">
        <v>52</v>
      </c>
      <c r="K51" s="39" t="s">
        <v>353</v>
      </c>
    </row>
    <row r="52" spans="1:11" x14ac:dyDescent="0.3">
      <c r="A52" s="12" t="s">
        <v>48</v>
      </c>
      <c r="C52" s="39" t="s">
        <v>313</v>
      </c>
      <c r="E52" s="12" t="s">
        <v>52</v>
      </c>
      <c r="G52" s="39" t="s">
        <v>339</v>
      </c>
      <c r="I52" s="12" t="s">
        <v>48</v>
      </c>
      <c r="K52" s="39" t="s">
        <v>355</v>
      </c>
    </row>
    <row r="53" spans="1:11" x14ac:dyDescent="0.3">
      <c r="A53" s="45" t="s">
        <v>49</v>
      </c>
      <c r="C53" s="39" t="s">
        <v>315</v>
      </c>
      <c r="E53" s="45" t="s">
        <v>49</v>
      </c>
      <c r="G53" s="39" t="s">
        <v>317</v>
      </c>
      <c r="I53" s="45" t="s">
        <v>57</v>
      </c>
      <c r="K53" s="39" t="s">
        <v>351</v>
      </c>
    </row>
    <row r="54" spans="1:11" x14ac:dyDescent="0.3">
      <c r="A54" s="45" t="s">
        <v>62</v>
      </c>
      <c r="C54" s="39" t="s">
        <v>316</v>
      </c>
      <c r="E54" s="45" t="s">
        <v>186</v>
      </c>
      <c r="G54" s="39" t="s">
        <v>334</v>
      </c>
      <c r="I54" s="45" t="s">
        <v>51</v>
      </c>
      <c r="K54" s="39" t="s">
        <v>344</v>
      </c>
    </row>
    <row r="55" spans="1:11" x14ac:dyDescent="0.3">
      <c r="A55" s="45" t="s">
        <v>57</v>
      </c>
      <c r="C55" s="39" t="s">
        <v>317</v>
      </c>
      <c r="E55" s="45" t="s">
        <v>57</v>
      </c>
      <c r="G55" s="39" t="s">
        <v>335</v>
      </c>
      <c r="I55" s="45" t="s">
        <v>62</v>
      </c>
      <c r="K55" s="39" t="s">
        <v>352</v>
      </c>
    </row>
    <row r="56" spans="1:11" x14ac:dyDescent="0.3">
      <c r="A56" s="45" t="s">
        <v>58</v>
      </c>
      <c r="C56" s="39" t="s">
        <v>309</v>
      </c>
      <c r="E56" s="45" t="s">
        <v>62</v>
      </c>
      <c r="G56" s="39" t="s">
        <v>336</v>
      </c>
      <c r="I56" s="45" t="s">
        <v>58</v>
      </c>
      <c r="K56" s="39" t="s">
        <v>356</v>
      </c>
    </row>
    <row r="57" spans="1:11" x14ac:dyDescent="0.3">
      <c r="A57" s="45" t="s">
        <v>51</v>
      </c>
      <c r="C57" s="39" t="s">
        <v>305</v>
      </c>
      <c r="E57" s="45" t="s">
        <v>58</v>
      </c>
      <c r="G57" s="39" t="s">
        <v>327</v>
      </c>
      <c r="I57" s="45" t="s">
        <v>59</v>
      </c>
      <c r="K57" s="39" t="s">
        <v>358</v>
      </c>
    </row>
    <row r="58" spans="1:11" x14ac:dyDescent="0.3">
      <c r="A58" s="45" t="s">
        <v>186</v>
      </c>
      <c r="C58" s="39" t="s">
        <v>314</v>
      </c>
      <c r="E58" s="45" t="s">
        <v>51</v>
      </c>
      <c r="G58" s="39" t="s">
        <v>328</v>
      </c>
      <c r="I58" s="45" t="s">
        <v>186</v>
      </c>
      <c r="K58" s="39" t="s">
        <v>347</v>
      </c>
    </row>
    <row r="59" spans="1:11" x14ac:dyDescent="0.3">
      <c r="A59" s="45" t="s">
        <v>59</v>
      </c>
      <c r="C59" s="39" t="s">
        <v>321</v>
      </c>
      <c r="E59" s="45" t="s">
        <v>59</v>
      </c>
      <c r="G59" s="39" t="s">
        <v>341</v>
      </c>
      <c r="I59" s="45" t="s">
        <v>61</v>
      </c>
      <c r="K59" s="39" t="s">
        <v>359</v>
      </c>
    </row>
    <row r="60" spans="1:11" x14ac:dyDescent="0.3">
      <c r="A60" s="45" t="s">
        <v>61</v>
      </c>
      <c r="C60" s="39" t="s">
        <v>322</v>
      </c>
      <c r="E60" s="45" t="s">
        <v>61</v>
      </c>
      <c r="G60" s="39" t="s">
        <v>340</v>
      </c>
      <c r="I60" s="45" t="s">
        <v>49</v>
      </c>
      <c r="K60" s="39" t="s">
        <v>354</v>
      </c>
    </row>
    <row r="61" spans="1:11" ht="15" thickBot="1" x14ac:dyDescent="0.35">
      <c r="A61" s="46" t="s">
        <v>63</v>
      </c>
      <c r="B61" s="15"/>
      <c r="C61" s="40" t="s">
        <v>323</v>
      </c>
      <c r="E61" s="46" t="s">
        <v>63</v>
      </c>
      <c r="F61" s="15"/>
      <c r="G61" s="40" t="s">
        <v>340</v>
      </c>
      <c r="I61" s="46" t="s">
        <v>63</v>
      </c>
      <c r="J61" s="15"/>
      <c r="K61" s="40" t="s">
        <v>341</v>
      </c>
    </row>
    <row r="68" spans="1:11" ht="15" thickBot="1" x14ac:dyDescent="0.35"/>
    <row r="69" spans="1:11" x14ac:dyDescent="0.3">
      <c r="A69" s="25" t="s">
        <v>98</v>
      </c>
      <c r="B69" s="21"/>
      <c r="C69" s="27"/>
      <c r="E69" s="25" t="s">
        <v>99</v>
      </c>
      <c r="F69" s="21"/>
      <c r="G69" s="27"/>
      <c r="I69" s="29" t="s">
        <v>210</v>
      </c>
      <c r="J69" s="21"/>
      <c r="K69" s="27"/>
    </row>
    <row r="70" spans="1:11" x14ac:dyDescent="0.3">
      <c r="A70" s="12" t="s">
        <v>56</v>
      </c>
      <c r="C70" s="39" t="s">
        <v>417</v>
      </c>
      <c r="E70" s="12" t="s">
        <v>56</v>
      </c>
      <c r="G70" s="39" t="s">
        <v>409</v>
      </c>
      <c r="I70" s="12" t="s">
        <v>100</v>
      </c>
      <c r="K70" s="48" t="s">
        <v>493</v>
      </c>
    </row>
    <row r="71" spans="1:11" x14ac:dyDescent="0.3">
      <c r="A71" s="12" t="s">
        <v>181</v>
      </c>
      <c r="C71" s="13" t="s">
        <v>411</v>
      </c>
      <c r="E71" s="12" t="s">
        <v>181</v>
      </c>
      <c r="G71" s="13" t="s">
        <v>411</v>
      </c>
      <c r="I71" s="12" t="s">
        <v>279</v>
      </c>
      <c r="K71" s="57" t="s">
        <v>494</v>
      </c>
    </row>
    <row r="72" spans="1:11" x14ac:dyDescent="0.3">
      <c r="A72" s="12" t="s">
        <v>53</v>
      </c>
      <c r="C72" s="13" t="s">
        <v>411</v>
      </c>
      <c r="E72" s="12" t="s">
        <v>185</v>
      </c>
      <c r="G72" s="13" t="s">
        <v>412</v>
      </c>
      <c r="I72" s="12" t="s">
        <v>52</v>
      </c>
      <c r="K72" s="57" t="s">
        <v>494</v>
      </c>
    </row>
    <row r="73" spans="1:11" x14ac:dyDescent="0.3">
      <c r="A73" s="12" t="s">
        <v>278</v>
      </c>
      <c r="C73" s="13" t="s">
        <v>412</v>
      </c>
      <c r="E73" s="12" t="s">
        <v>182</v>
      </c>
      <c r="G73" s="39" t="s">
        <v>335</v>
      </c>
      <c r="I73" s="12" t="s">
        <v>275</v>
      </c>
      <c r="K73" s="57" t="s">
        <v>494</v>
      </c>
    </row>
    <row r="74" spans="1:11" x14ac:dyDescent="0.3">
      <c r="A74" s="12" t="s">
        <v>182</v>
      </c>
      <c r="C74" s="13" t="s">
        <v>412</v>
      </c>
      <c r="E74" s="12" t="s">
        <v>51</v>
      </c>
      <c r="G74" s="39" t="s">
        <v>401</v>
      </c>
      <c r="I74" s="45" t="s">
        <v>57</v>
      </c>
      <c r="K74" s="48" t="s">
        <v>495</v>
      </c>
    </row>
    <row r="75" spans="1:11" ht="15" thickBot="1" x14ac:dyDescent="0.35">
      <c r="A75" s="12" t="s">
        <v>48</v>
      </c>
      <c r="C75" s="39" t="s">
        <v>414</v>
      </c>
      <c r="E75" s="12" t="s">
        <v>55</v>
      </c>
      <c r="G75" s="39" t="s">
        <v>401</v>
      </c>
      <c r="I75" s="46" t="s">
        <v>211</v>
      </c>
      <c r="J75" s="15"/>
      <c r="K75" s="58" t="s">
        <v>496</v>
      </c>
    </row>
    <row r="76" spans="1:11" ht="15" thickBot="1" x14ac:dyDescent="0.35">
      <c r="A76" s="12" t="s">
        <v>47</v>
      </c>
      <c r="C76" s="39" t="s">
        <v>415</v>
      </c>
      <c r="E76" s="14" t="s">
        <v>53</v>
      </c>
      <c r="F76" s="15"/>
      <c r="G76" s="40" t="s">
        <v>410</v>
      </c>
    </row>
    <row r="77" spans="1:11" ht="15" thickBot="1" x14ac:dyDescent="0.35">
      <c r="A77" s="12" t="s">
        <v>55</v>
      </c>
      <c r="C77" s="39" t="s">
        <v>419</v>
      </c>
    </row>
    <row r="78" spans="1:11" x14ac:dyDescent="0.3">
      <c r="A78" s="12" t="s">
        <v>60</v>
      </c>
      <c r="C78" s="39" t="s">
        <v>410</v>
      </c>
      <c r="E78" s="25" t="s">
        <v>103</v>
      </c>
      <c r="F78" s="21"/>
      <c r="G78" s="27"/>
    </row>
    <row r="79" spans="1:11" x14ac:dyDescent="0.3">
      <c r="A79" s="12" t="s">
        <v>54</v>
      </c>
      <c r="C79" s="39" t="s">
        <v>416</v>
      </c>
      <c r="E79" s="12" t="s">
        <v>50</v>
      </c>
      <c r="G79" s="39" t="s">
        <v>413</v>
      </c>
    </row>
    <row r="80" spans="1:11" x14ac:dyDescent="0.3">
      <c r="A80" s="12" t="s">
        <v>50</v>
      </c>
      <c r="C80" s="39" t="s">
        <v>413</v>
      </c>
      <c r="E80" s="12" t="s">
        <v>60</v>
      </c>
      <c r="G80" s="39" t="s">
        <v>413</v>
      </c>
    </row>
    <row r="81" spans="1:7" x14ac:dyDescent="0.3">
      <c r="A81" s="45" t="s">
        <v>58</v>
      </c>
      <c r="C81" s="39" t="s">
        <v>410</v>
      </c>
      <c r="E81" s="12" t="s">
        <v>55</v>
      </c>
      <c r="G81" s="39" t="s">
        <v>410</v>
      </c>
    </row>
    <row r="82" spans="1:7" ht="15" thickBot="1" x14ac:dyDescent="0.35">
      <c r="A82" s="46" t="s">
        <v>51</v>
      </c>
      <c r="B82" s="15"/>
      <c r="C82" s="40" t="s">
        <v>418</v>
      </c>
      <c r="E82" s="12" t="s">
        <v>53</v>
      </c>
      <c r="G82" s="39" t="s">
        <v>407</v>
      </c>
    </row>
    <row r="83" spans="1:7" ht="15" thickBot="1" x14ac:dyDescent="0.35">
      <c r="E83" s="12" t="s">
        <v>52</v>
      </c>
      <c r="G83" s="39" t="s">
        <v>340</v>
      </c>
    </row>
    <row r="84" spans="1:7" ht="15" thickBot="1" x14ac:dyDescent="0.35">
      <c r="A84" s="25" t="s">
        <v>102</v>
      </c>
      <c r="B84" s="21"/>
      <c r="C84" s="27"/>
      <c r="E84" s="46" t="s">
        <v>58</v>
      </c>
      <c r="F84" s="15"/>
      <c r="G84" s="40" t="s">
        <v>407</v>
      </c>
    </row>
    <row r="85" spans="1:7" x14ac:dyDescent="0.3">
      <c r="A85" s="12" t="s">
        <v>56</v>
      </c>
      <c r="C85" s="13" t="s">
        <v>491</v>
      </c>
    </row>
    <row r="86" spans="1:7" x14ac:dyDescent="0.3">
      <c r="A86" s="12" t="s">
        <v>47</v>
      </c>
      <c r="C86" s="39" t="s">
        <v>492</v>
      </c>
    </row>
    <row r="87" spans="1:7" x14ac:dyDescent="0.3">
      <c r="A87" s="12" t="s">
        <v>278</v>
      </c>
      <c r="C87" s="13" t="s">
        <v>412</v>
      </c>
    </row>
    <row r="88" spans="1:7" x14ac:dyDescent="0.3">
      <c r="A88" s="12" t="s">
        <v>55</v>
      </c>
      <c r="C88" s="39" t="s">
        <v>490</v>
      </c>
    </row>
    <row r="89" spans="1:7" x14ac:dyDescent="0.3">
      <c r="A89" s="12" t="s">
        <v>50</v>
      </c>
      <c r="C89" s="39" t="s">
        <v>489</v>
      </c>
    </row>
    <row r="90" spans="1:7" x14ac:dyDescent="0.3">
      <c r="A90" s="12" t="s">
        <v>181</v>
      </c>
      <c r="C90" s="13" t="s">
        <v>412</v>
      </c>
    </row>
    <row r="91" spans="1:7" x14ac:dyDescent="0.3">
      <c r="A91" s="12" t="s">
        <v>60</v>
      </c>
      <c r="C91" s="13" t="s">
        <v>412</v>
      </c>
    </row>
    <row r="92" spans="1:7" x14ac:dyDescent="0.3">
      <c r="A92" s="12" t="s">
        <v>54</v>
      </c>
      <c r="C92" s="39" t="s">
        <v>413</v>
      </c>
    </row>
    <row r="93" spans="1:7" x14ac:dyDescent="0.3">
      <c r="A93" s="12" t="s">
        <v>48</v>
      </c>
      <c r="C93" s="39" t="s">
        <v>400</v>
      </c>
    </row>
    <row r="94" spans="1:7" x14ac:dyDescent="0.3">
      <c r="A94" s="12" t="s">
        <v>182</v>
      </c>
      <c r="C94" s="39" t="s">
        <v>488</v>
      </c>
    </row>
    <row r="95" spans="1:7" x14ac:dyDescent="0.3">
      <c r="A95" s="45" t="s">
        <v>51</v>
      </c>
      <c r="C95" s="39" t="s">
        <v>487</v>
      </c>
    </row>
    <row r="96" spans="1:7" x14ac:dyDescent="0.3">
      <c r="A96" s="45" t="s">
        <v>58</v>
      </c>
      <c r="C96" s="39" t="s">
        <v>407</v>
      </c>
    </row>
    <row r="97" spans="1:11" ht="15" thickBot="1" x14ac:dyDescent="0.35">
      <c r="A97" s="46" t="s">
        <v>62</v>
      </c>
      <c r="B97" s="15"/>
      <c r="C97" s="40" t="s">
        <v>407</v>
      </c>
    </row>
    <row r="103" spans="1:11" ht="15" thickBot="1" x14ac:dyDescent="0.35"/>
    <row r="104" spans="1:11" x14ac:dyDescent="0.3">
      <c r="A104" s="28" t="s">
        <v>106</v>
      </c>
      <c r="B104" s="21"/>
      <c r="C104" s="27"/>
      <c r="E104" s="28" t="s">
        <v>107</v>
      </c>
      <c r="F104" s="21"/>
      <c r="G104" s="27"/>
      <c r="I104" s="17" t="s">
        <v>108</v>
      </c>
      <c r="J104" s="21"/>
      <c r="K104" s="27"/>
    </row>
    <row r="105" spans="1:11" x14ac:dyDescent="0.3">
      <c r="A105" s="12" t="s">
        <v>185</v>
      </c>
      <c r="C105" s="39" t="s">
        <v>420</v>
      </c>
      <c r="E105" s="12" t="s">
        <v>185</v>
      </c>
      <c r="G105" s="39" t="s">
        <v>444</v>
      </c>
      <c r="I105" s="12" t="s">
        <v>185</v>
      </c>
      <c r="K105" s="42" t="s">
        <v>465</v>
      </c>
    </row>
    <row r="106" spans="1:11" x14ac:dyDescent="0.3">
      <c r="A106" s="12" t="s">
        <v>182</v>
      </c>
      <c r="C106" s="39" t="s">
        <v>424</v>
      </c>
      <c r="E106" s="12" t="s">
        <v>47</v>
      </c>
      <c r="G106" s="39" t="s">
        <v>455</v>
      </c>
      <c r="I106" s="12" t="s">
        <v>182</v>
      </c>
      <c r="K106" s="42" t="s">
        <v>476</v>
      </c>
    </row>
    <row r="107" spans="1:11" x14ac:dyDescent="0.3">
      <c r="A107" s="12" t="s">
        <v>50</v>
      </c>
      <c r="C107" s="39" t="s">
        <v>422</v>
      </c>
      <c r="E107" s="12" t="s">
        <v>56</v>
      </c>
      <c r="G107" s="39" t="s">
        <v>459</v>
      </c>
      <c r="I107" s="12" t="s">
        <v>181</v>
      </c>
      <c r="K107" s="42" t="s">
        <v>480</v>
      </c>
    </row>
    <row r="108" spans="1:11" x14ac:dyDescent="0.3">
      <c r="A108" s="12" t="s">
        <v>56</v>
      </c>
      <c r="C108" s="39" t="s">
        <v>437</v>
      </c>
      <c r="E108" s="12" t="s">
        <v>182</v>
      </c>
      <c r="G108" s="39" t="s">
        <v>449</v>
      </c>
      <c r="I108" s="12" t="s">
        <v>50</v>
      </c>
      <c r="K108" s="42" t="s">
        <v>466</v>
      </c>
    </row>
    <row r="109" spans="1:11" x14ac:dyDescent="0.3">
      <c r="A109" s="12" t="s">
        <v>181</v>
      </c>
      <c r="C109" s="39" t="s">
        <v>432</v>
      </c>
      <c r="E109" s="12" t="s">
        <v>50</v>
      </c>
      <c r="G109" s="39" t="s">
        <v>448</v>
      </c>
      <c r="I109" s="12" t="s">
        <v>279</v>
      </c>
      <c r="K109" s="13" t="s">
        <v>475</v>
      </c>
    </row>
    <row r="110" spans="1:11" x14ac:dyDescent="0.3">
      <c r="A110" s="12" t="s">
        <v>47</v>
      </c>
      <c r="C110" s="39" t="s">
        <v>430</v>
      </c>
      <c r="E110" s="12" t="s">
        <v>278</v>
      </c>
      <c r="G110" s="13" t="s">
        <v>388</v>
      </c>
      <c r="I110" s="12" t="s">
        <v>56</v>
      </c>
      <c r="K110" s="42" t="s">
        <v>474</v>
      </c>
    </row>
    <row r="111" spans="1:11" x14ac:dyDescent="0.3">
      <c r="A111" s="12" t="s">
        <v>279</v>
      </c>
      <c r="C111" s="13" t="s">
        <v>442</v>
      </c>
      <c r="E111" s="12" t="s">
        <v>279</v>
      </c>
      <c r="G111" s="13" t="s">
        <v>463</v>
      </c>
      <c r="I111" s="12" t="s">
        <v>47</v>
      </c>
      <c r="K111" s="42" t="s">
        <v>468</v>
      </c>
    </row>
    <row r="112" spans="1:11" x14ac:dyDescent="0.3">
      <c r="A112" s="12" t="s">
        <v>60</v>
      </c>
      <c r="C112" s="39" t="s">
        <v>425</v>
      </c>
      <c r="E112" s="12" t="s">
        <v>60</v>
      </c>
      <c r="G112" s="39" t="s">
        <v>452</v>
      </c>
      <c r="I112" s="12" t="s">
        <v>60</v>
      </c>
      <c r="K112" s="42" t="s">
        <v>470</v>
      </c>
    </row>
    <row r="113" spans="1:11" x14ac:dyDescent="0.3">
      <c r="A113" s="12" t="s">
        <v>278</v>
      </c>
      <c r="C113" s="13" t="s">
        <v>443</v>
      </c>
      <c r="E113" s="12" t="s">
        <v>53</v>
      </c>
      <c r="G113" s="39" t="s">
        <v>464</v>
      </c>
      <c r="I113" s="12" t="s">
        <v>55</v>
      </c>
      <c r="K113" s="42" t="s">
        <v>473</v>
      </c>
    </row>
    <row r="114" spans="1:11" x14ac:dyDescent="0.3">
      <c r="A114" s="12" t="s">
        <v>55</v>
      </c>
      <c r="C114" s="39" t="s">
        <v>438</v>
      </c>
      <c r="E114" s="12" t="s">
        <v>54</v>
      </c>
      <c r="G114" s="41" t="s">
        <v>451</v>
      </c>
      <c r="I114" s="12" t="s">
        <v>53</v>
      </c>
      <c r="K114" s="44" t="s">
        <v>482</v>
      </c>
    </row>
    <row r="115" spans="1:11" x14ac:dyDescent="0.3">
      <c r="A115" s="12" t="s">
        <v>53</v>
      </c>
      <c r="C115" s="39" t="s">
        <v>423</v>
      </c>
      <c r="E115" s="12" t="s">
        <v>52</v>
      </c>
      <c r="G115" s="39" t="s">
        <v>453</v>
      </c>
      <c r="I115" s="12" t="s">
        <v>278</v>
      </c>
      <c r="K115" s="13" t="s">
        <v>362</v>
      </c>
    </row>
    <row r="116" spans="1:11" x14ac:dyDescent="0.3">
      <c r="A116" s="12" t="s">
        <v>54</v>
      </c>
      <c r="C116" s="39" t="s">
        <v>431</v>
      </c>
      <c r="E116" s="12" t="s">
        <v>181</v>
      </c>
      <c r="G116" s="39" t="s">
        <v>450</v>
      </c>
      <c r="I116" s="12" t="s">
        <v>48</v>
      </c>
      <c r="K116" s="42" t="s">
        <v>467</v>
      </c>
    </row>
    <row r="117" spans="1:11" x14ac:dyDescent="0.3">
      <c r="A117" s="12" t="s">
        <v>52</v>
      </c>
      <c r="C117" s="39" t="s">
        <v>434</v>
      </c>
      <c r="E117" s="12" t="s">
        <v>55</v>
      </c>
      <c r="G117" s="39" t="s">
        <v>458</v>
      </c>
      <c r="I117" s="12" t="s">
        <v>54</v>
      </c>
      <c r="K117" s="44" t="s">
        <v>479</v>
      </c>
    </row>
    <row r="118" spans="1:11" x14ac:dyDescent="0.3">
      <c r="A118" s="12" t="s">
        <v>48</v>
      </c>
      <c r="C118" s="39" t="s">
        <v>421</v>
      </c>
      <c r="E118" s="12" t="s">
        <v>48</v>
      </c>
      <c r="G118" s="39" t="s">
        <v>446</v>
      </c>
      <c r="I118" s="12" t="s">
        <v>52</v>
      </c>
      <c r="K118" s="42" t="s">
        <v>486</v>
      </c>
    </row>
    <row r="119" spans="1:11" x14ac:dyDescent="0.3">
      <c r="A119" s="45" t="s">
        <v>49</v>
      </c>
      <c r="C119" s="39" t="s">
        <v>426</v>
      </c>
      <c r="E119" s="45" t="s">
        <v>186</v>
      </c>
      <c r="G119" s="39" t="s">
        <v>454</v>
      </c>
      <c r="I119" s="45" t="s">
        <v>64</v>
      </c>
      <c r="K119" s="39" t="s">
        <v>472</v>
      </c>
    </row>
    <row r="120" spans="1:11" x14ac:dyDescent="0.3">
      <c r="A120" s="45" t="s">
        <v>58</v>
      </c>
      <c r="C120" s="39" t="s">
        <v>427</v>
      </c>
      <c r="E120" s="45" t="s">
        <v>51</v>
      </c>
      <c r="G120" s="39" t="s">
        <v>445</v>
      </c>
      <c r="I120" s="45" t="s">
        <v>57</v>
      </c>
      <c r="K120" s="42" t="s">
        <v>477</v>
      </c>
    </row>
    <row r="121" spans="1:11" x14ac:dyDescent="0.3">
      <c r="A121" s="45" t="s">
        <v>51</v>
      </c>
      <c r="C121" s="39" t="s">
        <v>428</v>
      </c>
      <c r="E121" s="45" t="s">
        <v>57</v>
      </c>
      <c r="G121" s="39" t="s">
        <v>456</v>
      </c>
      <c r="I121" s="45" t="s">
        <v>62</v>
      </c>
      <c r="K121" s="44" t="s">
        <v>478</v>
      </c>
    </row>
    <row r="122" spans="1:11" x14ac:dyDescent="0.3">
      <c r="A122" s="45" t="s">
        <v>186</v>
      </c>
      <c r="C122" s="39" t="s">
        <v>429</v>
      </c>
      <c r="E122" s="45" t="s">
        <v>62</v>
      </c>
      <c r="G122" s="39" t="s">
        <v>378</v>
      </c>
      <c r="I122" s="45" t="s">
        <v>61</v>
      </c>
      <c r="K122" s="42" t="s">
        <v>358</v>
      </c>
    </row>
    <row r="123" spans="1:11" x14ac:dyDescent="0.3">
      <c r="A123" s="45" t="s">
        <v>57</v>
      </c>
      <c r="C123" s="39" t="s">
        <v>433</v>
      </c>
      <c r="E123" s="45" t="s">
        <v>187</v>
      </c>
      <c r="G123" s="39" t="s">
        <v>457</v>
      </c>
      <c r="I123" s="45" t="s">
        <v>59</v>
      </c>
      <c r="K123" s="42" t="s">
        <v>471</v>
      </c>
    </row>
    <row r="124" spans="1:11" x14ac:dyDescent="0.3">
      <c r="A124" s="45" t="s">
        <v>62</v>
      </c>
      <c r="C124" s="39" t="s">
        <v>435</v>
      </c>
      <c r="E124" s="45" t="s">
        <v>49</v>
      </c>
      <c r="G124" s="39" t="s">
        <v>445</v>
      </c>
      <c r="I124" s="45" t="s">
        <v>187</v>
      </c>
      <c r="K124" s="42" t="s">
        <v>481</v>
      </c>
    </row>
    <row r="125" spans="1:11" x14ac:dyDescent="0.3">
      <c r="A125" s="45" t="s">
        <v>187</v>
      </c>
      <c r="C125" s="39" t="s">
        <v>436</v>
      </c>
      <c r="E125" s="45" t="s">
        <v>58</v>
      </c>
      <c r="G125" s="39" t="s">
        <v>447</v>
      </c>
      <c r="I125" s="45" t="s">
        <v>63</v>
      </c>
      <c r="K125" s="42" t="s">
        <v>386</v>
      </c>
    </row>
    <row r="126" spans="1:11" x14ac:dyDescent="0.3">
      <c r="A126" s="45" t="s">
        <v>61</v>
      </c>
      <c r="C126" s="39" t="s">
        <v>439</v>
      </c>
      <c r="E126" s="45" t="s">
        <v>61</v>
      </c>
      <c r="G126" s="39" t="s">
        <v>460</v>
      </c>
      <c r="I126" s="45" t="s">
        <v>186</v>
      </c>
      <c r="K126" s="42" t="s">
        <v>469</v>
      </c>
    </row>
    <row r="127" spans="1:11" x14ac:dyDescent="0.3">
      <c r="A127" s="45" t="s">
        <v>59</v>
      </c>
      <c r="C127" s="39" t="s">
        <v>440</v>
      </c>
      <c r="E127" s="45" t="s">
        <v>59</v>
      </c>
      <c r="G127" s="39" t="s">
        <v>461</v>
      </c>
      <c r="I127" s="45" t="s">
        <v>58</v>
      </c>
      <c r="K127" s="42" t="s">
        <v>483</v>
      </c>
    </row>
    <row r="128" spans="1:11" ht="15" thickBot="1" x14ac:dyDescent="0.35">
      <c r="A128" s="46" t="s">
        <v>63</v>
      </c>
      <c r="B128" s="15"/>
      <c r="C128" s="40" t="s">
        <v>441</v>
      </c>
      <c r="E128" s="45" t="s">
        <v>63</v>
      </c>
      <c r="G128" s="39" t="s">
        <v>462</v>
      </c>
      <c r="I128" s="45" t="s">
        <v>49</v>
      </c>
      <c r="K128" s="42" t="s">
        <v>484</v>
      </c>
    </row>
    <row r="129" spans="5:11" ht="15" thickBot="1" x14ac:dyDescent="0.35">
      <c r="E129" s="46" t="s">
        <v>64</v>
      </c>
      <c r="F129" s="15"/>
      <c r="G129" s="40" t="s">
        <v>407</v>
      </c>
      <c r="I129" s="46" t="s">
        <v>51</v>
      </c>
      <c r="J129" s="15"/>
      <c r="K129" s="43" t="s">
        <v>485</v>
      </c>
    </row>
  </sheetData>
  <phoneticPr fontId="10" type="noConversion"/>
  <pageMargins left="0.31496062992125984" right="0.31496062992125984" top="0.55118110236220474" bottom="0.55118110236220474" header="0.31496062992125984" footer="0.31496062992125984"/>
  <pageSetup paperSize="9" orientation="landscape" horizontalDpi="4294967293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9"/>
  <sheetViews>
    <sheetView workbookViewId="0">
      <selection activeCell="E23" sqref="E23"/>
    </sheetView>
  </sheetViews>
  <sheetFormatPr defaultRowHeight="14.4" x14ac:dyDescent="0.3"/>
  <cols>
    <col min="1" max="1" width="5" customWidth="1"/>
    <col min="2" max="2" width="18.88671875" customWidth="1"/>
  </cols>
  <sheetData>
    <row r="1" spans="1:11" ht="15" thickBot="1" x14ac:dyDescent="0.35">
      <c r="B1" s="93"/>
      <c r="C1" s="103" t="s">
        <v>516</v>
      </c>
      <c r="D1" s="103" t="s">
        <v>533</v>
      </c>
      <c r="E1" s="103" t="s">
        <v>534</v>
      </c>
      <c r="F1" s="76" t="s">
        <v>535</v>
      </c>
      <c r="G1" s="76" t="s">
        <v>610</v>
      </c>
      <c r="H1" s="103" t="s">
        <v>540</v>
      </c>
      <c r="I1" s="103" t="s">
        <v>611</v>
      </c>
      <c r="J1" s="103" t="s">
        <v>612</v>
      </c>
      <c r="K1" s="103" t="s">
        <v>613</v>
      </c>
    </row>
    <row r="2" spans="1:11" ht="15" thickBot="1" x14ac:dyDescent="0.35">
      <c r="A2" s="104" t="s">
        <v>518</v>
      </c>
      <c r="B2" s="105" t="s">
        <v>48</v>
      </c>
      <c r="C2" s="112">
        <v>16</v>
      </c>
      <c r="D2" s="127">
        <v>2</v>
      </c>
      <c r="E2" s="127">
        <v>8</v>
      </c>
      <c r="F2" s="127">
        <v>6</v>
      </c>
      <c r="G2" s="127">
        <f>D2+E2</f>
        <v>10</v>
      </c>
      <c r="H2" s="106"/>
      <c r="I2" s="106"/>
      <c r="J2" s="106"/>
      <c r="K2" s="113"/>
    </row>
    <row r="3" spans="1:11" ht="15" thickBot="1" x14ac:dyDescent="0.35">
      <c r="A3" s="107" t="s">
        <v>519</v>
      </c>
      <c r="B3" s="108" t="s">
        <v>54</v>
      </c>
      <c r="C3" s="114">
        <v>8</v>
      </c>
      <c r="D3" s="128">
        <v>2</v>
      </c>
      <c r="E3" s="128">
        <v>1</v>
      </c>
      <c r="F3" s="128">
        <v>0</v>
      </c>
      <c r="G3" s="127">
        <f t="shared" ref="G3:G18" si="0">D3+E3</f>
        <v>3</v>
      </c>
      <c r="H3" s="109"/>
      <c r="I3" s="109"/>
      <c r="J3" s="109"/>
      <c r="K3" s="111"/>
    </row>
    <row r="4" spans="1:11" ht="15" thickBot="1" x14ac:dyDescent="0.35">
      <c r="A4" s="107" t="s">
        <v>520</v>
      </c>
      <c r="B4" s="108" t="s">
        <v>530</v>
      </c>
      <c r="C4" s="114">
        <v>16</v>
      </c>
      <c r="D4" s="128">
        <v>1</v>
      </c>
      <c r="E4" s="128">
        <v>8</v>
      </c>
      <c r="F4" s="128">
        <v>8</v>
      </c>
      <c r="G4" s="127">
        <f t="shared" si="0"/>
        <v>9</v>
      </c>
      <c r="H4" s="109"/>
      <c r="I4" s="109"/>
      <c r="J4" s="109"/>
      <c r="K4" s="111"/>
    </row>
    <row r="5" spans="1:11" ht="15" thickBot="1" x14ac:dyDescent="0.35">
      <c r="A5" s="107" t="s">
        <v>521</v>
      </c>
      <c r="B5" s="108" t="s">
        <v>181</v>
      </c>
      <c r="C5" s="114">
        <v>16</v>
      </c>
      <c r="D5" s="128">
        <v>5</v>
      </c>
      <c r="E5" s="128">
        <v>1</v>
      </c>
      <c r="F5" s="128">
        <v>2</v>
      </c>
      <c r="G5" s="127">
        <f t="shared" si="0"/>
        <v>6</v>
      </c>
      <c r="H5" s="109"/>
      <c r="I5" s="109"/>
      <c r="J5" s="109"/>
      <c r="K5" s="111"/>
    </row>
    <row r="6" spans="1:11" ht="15" thickBot="1" x14ac:dyDescent="0.35">
      <c r="A6" s="107" t="s">
        <v>522</v>
      </c>
      <c r="B6" s="108" t="s">
        <v>185</v>
      </c>
      <c r="C6" s="114">
        <v>18</v>
      </c>
      <c r="D6" s="128">
        <v>20</v>
      </c>
      <c r="E6" s="128">
        <v>20</v>
      </c>
      <c r="F6" s="128">
        <v>14</v>
      </c>
      <c r="G6" s="127">
        <f t="shared" si="0"/>
        <v>40</v>
      </c>
      <c r="H6" s="109">
        <v>2</v>
      </c>
      <c r="I6" s="110" t="s">
        <v>770</v>
      </c>
      <c r="J6" s="109">
        <v>3</v>
      </c>
      <c r="K6" s="111">
        <v>6</v>
      </c>
    </row>
    <row r="7" spans="1:11" ht="15" thickBot="1" x14ac:dyDescent="0.35">
      <c r="A7" s="107" t="s">
        <v>523</v>
      </c>
      <c r="B7" s="108" t="s">
        <v>52</v>
      </c>
      <c r="C7" s="114">
        <v>13</v>
      </c>
      <c r="D7" s="128">
        <v>2</v>
      </c>
      <c r="E7" s="128">
        <v>0</v>
      </c>
      <c r="F7" s="128">
        <v>2</v>
      </c>
      <c r="G7" s="127">
        <f t="shared" si="0"/>
        <v>2</v>
      </c>
      <c r="H7" s="109"/>
      <c r="I7" s="109" t="s">
        <v>105</v>
      </c>
      <c r="J7" s="109"/>
      <c r="K7" s="111"/>
    </row>
    <row r="8" spans="1:11" ht="15" thickBot="1" x14ac:dyDescent="0.35">
      <c r="A8" s="107" t="s">
        <v>676</v>
      </c>
      <c r="B8" s="108" t="s">
        <v>677</v>
      </c>
      <c r="C8" s="114">
        <v>10</v>
      </c>
      <c r="D8" s="128">
        <v>5</v>
      </c>
      <c r="E8" s="128">
        <v>5</v>
      </c>
      <c r="F8" s="128">
        <v>0</v>
      </c>
      <c r="G8" s="127">
        <f t="shared" si="0"/>
        <v>10</v>
      </c>
      <c r="H8" s="109"/>
      <c r="I8" s="109"/>
      <c r="J8" s="109">
        <v>1</v>
      </c>
      <c r="K8" s="111">
        <v>1</v>
      </c>
    </row>
    <row r="9" spans="1:11" ht="15" thickBot="1" x14ac:dyDescent="0.35">
      <c r="A9" s="107" t="s">
        <v>672</v>
      </c>
      <c r="B9" s="108" t="s">
        <v>673</v>
      </c>
      <c r="C9" s="114">
        <v>15</v>
      </c>
      <c r="D9" s="128">
        <v>11</v>
      </c>
      <c r="E9" s="128">
        <v>1</v>
      </c>
      <c r="F9" s="128">
        <v>10</v>
      </c>
      <c r="G9" s="127">
        <f t="shared" si="0"/>
        <v>12</v>
      </c>
      <c r="H9" s="109"/>
      <c r="I9" s="109"/>
      <c r="J9" s="109">
        <v>1</v>
      </c>
      <c r="K9" s="111"/>
    </row>
    <row r="10" spans="1:11" ht="15" thickBot="1" x14ac:dyDescent="0.35">
      <c r="A10" s="107" t="s">
        <v>524</v>
      </c>
      <c r="B10" s="108" t="s">
        <v>53</v>
      </c>
      <c r="C10" s="114">
        <v>16</v>
      </c>
      <c r="D10" s="128">
        <v>3</v>
      </c>
      <c r="E10" s="128">
        <v>2</v>
      </c>
      <c r="F10" s="128">
        <v>0</v>
      </c>
      <c r="G10" s="127">
        <f t="shared" si="0"/>
        <v>5</v>
      </c>
      <c r="H10" s="109"/>
      <c r="I10" s="109"/>
      <c r="J10" s="109"/>
      <c r="K10" s="111"/>
    </row>
    <row r="11" spans="1:11" ht="15" thickBot="1" x14ac:dyDescent="0.35">
      <c r="A11" s="107" t="s">
        <v>525</v>
      </c>
      <c r="B11" s="108" t="s">
        <v>50</v>
      </c>
      <c r="C11" s="114">
        <v>18</v>
      </c>
      <c r="D11" s="128">
        <v>16</v>
      </c>
      <c r="E11" s="128">
        <v>8</v>
      </c>
      <c r="F11" s="128">
        <v>4</v>
      </c>
      <c r="G11" s="127">
        <f t="shared" si="0"/>
        <v>24</v>
      </c>
      <c r="H11" s="109">
        <v>4</v>
      </c>
      <c r="I11" s="109"/>
      <c r="J11" s="109">
        <v>3</v>
      </c>
      <c r="K11" s="111">
        <v>2</v>
      </c>
    </row>
    <row r="12" spans="1:11" ht="15" thickBot="1" x14ac:dyDescent="0.35">
      <c r="A12" s="107" t="s">
        <v>674</v>
      </c>
      <c r="B12" s="108" t="s">
        <v>675</v>
      </c>
      <c r="C12" s="114">
        <v>15</v>
      </c>
      <c r="D12" s="128">
        <v>5</v>
      </c>
      <c r="E12" s="128">
        <v>10</v>
      </c>
      <c r="F12" s="128">
        <v>2</v>
      </c>
      <c r="G12" s="127">
        <f t="shared" si="0"/>
        <v>15</v>
      </c>
      <c r="H12" s="109"/>
      <c r="I12" s="109"/>
      <c r="J12" s="109"/>
      <c r="K12" s="111">
        <v>1</v>
      </c>
    </row>
    <row r="13" spans="1:11" ht="15" thickBot="1" x14ac:dyDescent="0.35">
      <c r="A13" s="107" t="s">
        <v>526</v>
      </c>
      <c r="B13" s="108" t="s">
        <v>278</v>
      </c>
      <c r="C13" s="114">
        <v>16</v>
      </c>
      <c r="D13" s="128">
        <v>5</v>
      </c>
      <c r="E13" s="128">
        <v>4</v>
      </c>
      <c r="F13" s="128">
        <v>8</v>
      </c>
      <c r="G13" s="127">
        <f t="shared" si="0"/>
        <v>9</v>
      </c>
      <c r="H13" s="109"/>
      <c r="I13" s="109"/>
      <c r="J13" s="109">
        <v>1</v>
      </c>
      <c r="K13" s="111"/>
    </row>
    <row r="14" spans="1:11" ht="15" thickBot="1" x14ac:dyDescent="0.35">
      <c r="A14" s="107" t="s">
        <v>679</v>
      </c>
      <c r="B14" s="108" t="s">
        <v>680</v>
      </c>
      <c r="C14" s="114">
        <v>14</v>
      </c>
      <c r="D14" s="128">
        <v>0</v>
      </c>
      <c r="E14" s="128">
        <v>4</v>
      </c>
      <c r="F14" s="128">
        <v>2</v>
      </c>
      <c r="G14" s="127">
        <f t="shared" si="0"/>
        <v>4</v>
      </c>
      <c r="H14" s="109"/>
      <c r="I14" s="109"/>
      <c r="J14" s="109"/>
      <c r="K14" s="111"/>
    </row>
    <row r="15" spans="1:11" ht="15" thickBot="1" x14ac:dyDescent="0.35">
      <c r="A15" s="107" t="s">
        <v>527</v>
      </c>
      <c r="B15" s="108" t="s">
        <v>56</v>
      </c>
      <c r="C15" s="114">
        <v>8</v>
      </c>
      <c r="D15" s="128">
        <v>7</v>
      </c>
      <c r="E15" s="128">
        <v>2</v>
      </c>
      <c r="F15" s="128">
        <v>2</v>
      </c>
      <c r="G15" s="127">
        <f t="shared" si="0"/>
        <v>9</v>
      </c>
      <c r="H15" s="109"/>
      <c r="I15" s="109"/>
      <c r="J15" s="109">
        <v>1</v>
      </c>
      <c r="K15" s="111"/>
    </row>
    <row r="16" spans="1:11" ht="15" thickBot="1" x14ac:dyDescent="0.35">
      <c r="A16" s="107" t="s">
        <v>678</v>
      </c>
      <c r="B16" s="108" t="s">
        <v>55</v>
      </c>
      <c r="C16" s="114">
        <v>2</v>
      </c>
      <c r="D16" s="128">
        <v>0</v>
      </c>
      <c r="E16" s="128">
        <v>0</v>
      </c>
      <c r="F16" s="128">
        <v>0</v>
      </c>
      <c r="G16" s="127">
        <f t="shared" si="0"/>
        <v>0</v>
      </c>
      <c r="H16" s="109"/>
      <c r="I16" s="109"/>
      <c r="J16" s="109"/>
      <c r="K16" s="111"/>
    </row>
    <row r="17" spans="1:11" ht="15" thickBot="1" x14ac:dyDescent="0.35">
      <c r="A17" s="107" t="s">
        <v>528</v>
      </c>
      <c r="B17" s="108" t="s">
        <v>279</v>
      </c>
      <c r="C17" s="114">
        <v>14</v>
      </c>
      <c r="D17" s="128">
        <v>7</v>
      </c>
      <c r="E17" s="128">
        <v>3</v>
      </c>
      <c r="F17" s="128">
        <v>0</v>
      </c>
      <c r="G17" s="127">
        <f t="shared" si="0"/>
        <v>10</v>
      </c>
      <c r="H17" s="109">
        <v>1</v>
      </c>
      <c r="I17" s="109"/>
      <c r="J17" s="109">
        <v>1</v>
      </c>
      <c r="K17" s="111"/>
    </row>
    <row r="18" spans="1:11" ht="15" thickBot="1" x14ac:dyDescent="0.35">
      <c r="A18" s="107" t="s">
        <v>529</v>
      </c>
      <c r="B18" s="108" t="s">
        <v>532</v>
      </c>
      <c r="C18" s="114">
        <v>8</v>
      </c>
      <c r="D18" s="128">
        <v>4</v>
      </c>
      <c r="E18" s="128">
        <v>2</v>
      </c>
      <c r="F18" s="128">
        <v>2</v>
      </c>
      <c r="G18" s="127">
        <f t="shared" si="0"/>
        <v>6</v>
      </c>
      <c r="H18" s="109"/>
      <c r="I18" s="109"/>
      <c r="J18" s="109"/>
      <c r="K18" s="111"/>
    </row>
    <row r="19" spans="1:11" x14ac:dyDescent="0.3">
      <c r="A19" s="107" t="s">
        <v>546</v>
      </c>
      <c r="B19" s="108" t="s">
        <v>531</v>
      </c>
      <c r="C19" s="114">
        <v>16</v>
      </c>
      <c r="D19" s="141" t="s">
        <v>681</v>
      </c>
      <c r="E19" s="141">
        <v>1</v>
      </c>
      <c r="F19" s="141">
        <v>0</v>
      </c>
      <c r="G19" s="127">
        <v>1</v>
      </c>
      <c r="H19" s="109"/>
      <c r="I19" s="109" t="s">
        <v>739</v>
      </c>
      <c r="J19" s="109"/>
      <c r="K19" s="111"/>
    </row>
  </sheetData>
  <phoneticPr fontId="10" type="noConversion"/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24"/>
  <sheetViews>
    <sheetView workbookViewId="0">
      <selection activeCell="V22" sqref="V22"/>
    </sheetView>
  </sheetViews>
  <sheetFormatPr defaultRowHeight="14.4" x14ac:dyDescent="0.3"/>
  <cols>
    <col min="1" max="1" width="6.109375" customWidth="1"/>
    <col min="2" max="2" width="20.88671875" customWidth="1"/>
    <col min="3" max="19" width="4.33203125" customWidth="1"/>
  </cols>
  <sheetData>
    <row r="1" spans="1:14" ht="36.6" x14ac:dyDescent="0.85">
      <c r="A1" s="18" t="s">
        <v>0</v>
      </c>
      <c r="B1" s="1"/>
      <c r="C1" s="1"/>
      <c r="D1" s="4" t="s">
        <v>2</v>
      </c>
    </row>
    <row r="2" spans="1:14" ht="21" x14ac:dyDescent="0.4">
      <c r="A2" s="4" t="s">
        <v>711</v>
      </c>
      <c r="C2" s="4"/>
      <c r="D2" s="4" t="s">
        <v>740</v>
      </c>
    </row>
    <row r="6" spans="1:14" s="129" customFormat="1" ht="134.25" customHeight="1" thickBot="1" x14ac:dyDescent="0.35">
      <c r="C6" s="134" t="s">
        <v>516</v>
      </c>
      <c r="D6" s="134" t="s">
        <v>741</v>
      </c>
      <c r="E6" s="134" t="s">
        <v>742</v>
      </c>
      <c r="F6" s="134" t="s">
        <v>743</v>
      </c>
      <c r="G6" s="134" t="s">
        <v>686</v>
      </c>
      <c r="H6" s="134" t="s">
        <v>747</v>
      </c>
      <c r="I6" s="134" t="s">
        <v>611</v>
      </c>
      <c r="J6" s="135" t="s">
        <v>744</v>
      </c>
      <c r="K6" s="135" t="s">
        <v>695</v>
      </c>
      <c r="L6" s="135" t="s">
        <v>745</v>
      </c>
      <c r="M6" s="135" t="s">
        <v>746</v>
      </c>
    </row>
    <row r="7" spans="1:14" ht="22.5" customHeight="1" x14ac:dyDescent="0.3">
      <c r="A7" s="130" t="s">
        <v>518</v>
      </c>
      <c r="B7" s="131" t="s">
        <v>48</v>
      </c>
      <c r="C7" s="112">
        <v>16</v>
      </c>
      <c r="D7" s="142">
        <v>2</v>
      </c>
      <c r="E7" s="142">
        <v>8</v>
      </c>
      <c r="F7" s="137">
        <f>D7+E7</f>
        <v>10</v>
      </c>
      <c r="G7" s="142">
        <v>6</v>
      </c>
      <c r="H7" s="136">
        <v>0</v>
      </c>
      <c r="I7" s="136" t="s">
        <v>107</v>
      </c>
      <c r="J7" s="136" t="s">
        <v>107</v>
      </c>
      <c r="K7" s="136" t="s">
        <v>107</v>
      </c>
      <c r="L7" s="136">
        <v>0</v>
      </c>
      <c r="M7" s="136">
        <v>0</v>
      </c>
      <c r="N7" s="34"/>
    </row>
    <row r="8" spans="1:14" ht="22.5" customHeight="1" x14ac:dyDescent="0.3">
      <c r="A8" s="132" t="s">
        <v>519</v>
      </c>
      <c r="B8" s="133" t="s">
        <v>54</v>
      </c>
      <c r="C8" s="114">
        <v>8</v>
      </c>
      <c r="D8" s="143">
        <v>2</v>
      </c>
      <c r="E8" s="143">
        <v>1</v>
      </c>
      <c r="F8" s="138">
        <f t="shared" ref="F8:F23" si="0">D8+E8</f>
        <v>3</v>
      </c>
      <c r="G8" s="143">
        <v>0</v>
      </c>
      <c r="H8" s="138">
        <v>0</v>
      </c>
      <c r="I8" s="138" t="s">
        <v>107</v>
      </c>
      <c r="J8" s="138" t="s">
        <v>107</v>
      </c>
      <c r="K8" s="138" t="s">
        <v>107</v>
      </c>
      <c r="L8" s="138">
        <v>0</v>
      </c>
      <c r="M8" s="138">
        <v>0</v>
      </c>
    </row>
    <row r="9" spans="1:14" ht="22.5" customHeight="1" x14ac:dyDescent="0.3">
      <c r="A9" s="132" t="s">
        <v>520</v>
      </c>
      <c r="B9" s="133" t="s">
        <v>530</v>
      </c>
      <c r="C9" s="114">
        <v>16</v>
      </c>
      <c r="D9" s="143">
        <v>1</v>
      </c>
      <c r="E9" s="143">
        <v>8</v>
      </c>
      <c r="F9" s="138">
        <f t="shared" si="0"/>
        <v>9</v>
      </c>
      <c r="G9" s="143">
        <v>8</v>
      </c>
      <c r="H9" s="138">
        <v>0</v>
      </c>
      <c r="I9" s="138" t="s">
        <v>107</v>
      </c>
      <c r="J9" s="138" t="s">
        <v>107</v>
      </c>
      <c r="K9" s="138" t="s">
        <v>107</v>
      </c>
      <c r="L9" s="138">
        <v>0</v>
      </c>
      <c r="M9" s="138">
        <v>0</v>
      </c>
    </row>
    <row r="10" spans="1:14" ht="22.5" customHeight="1" x14ac:dyDescent="0.3">
      <c r="A10" s="132" t="s">
        <v>521</v>
      </c>
      <c r="B10" s="133" t="s">
        <v>181</v>
      </c>
      <c r="C10" s="114">
        <v>16</v>
      </c>
      <c r="D10" s="143">
        <v>5</v>
      </c>
      <c r="E10" s="143">
        <v>1</v>
      </c>
      <c r="F10" s="138">
        <f t="shared" si="0"/>
        <v>6</v>
      </c>
      <c r="G10" s="143">
        <v>2</v>
      </c>
      <c r="H10" s="138">
        <v>0</v>
      </c>
      <c r="I10" s="138" t="s">
        <v>107</v>
      </c>
      <c r="J10" s="138" t="s">
        <v>107</v>
      </c>
      <c r="K10" s="138" t="s">
        <v>107</v>
      </c>
      <c r="L10" s="138">
        <v>0</v>
      </c>
      <c r="M10" s="138">
        <v>0</v>
      </c>
    </row>
    <row r="11" spans="1:14" ht="22.5" customHeight="1" x14ac:dyDescent="0.3">
      <c r="A11" s="132" t="s">
        <v>522</v>
      </c>
      <c r="B11" s="133" t="s">
        <v>185</v>
      </c>
      <c r="C11" s="147">
        <v>18</v>
      </c>
      <c r="D11" s="144">
        <v>20</v>
      </c>
      <c r="E11" s="144">
        <v>20</v>
      </c>
      <c r="F11" s="145">
        <f t="shared" si="0"/>
        <v>40</v>
      </c>
      <c r="G11" s="144">
        <v>14</v>
      </c>
      <c r="H11" s="138">
        <v>2</v>
      </c>
      <c r="I11" s="146" t="s">
        <v>773</v>
      </c>
      <c r="J11" s="138" t="s">
        <v>107</v>
      </c>
      <c r="K11" s="138" t="s">
        <v>107</v>
      </c>
      <c r="L11" s="145">
        <v>3</v>
      </c>
      <c r="M11" s="145">
        <v>4</v>
      </c>
    </row>
    <row r="12" spans="1:14" ht="22.5" customHeight="1" x14ac:dyDescent="0.3">
      <c r="A12" s="132" t="s">
        <v>523</v>
      </c>
      <c r="B12" s="133" t="s">
        <v>52</v>
      </c>
      <c r="C12" s="114">
        <v>13</v>
      </c>
      <c r="D12" s="143">
        <v>2</v>
      </c>
      <c r="E12" s="143">
        <v>0</v>
      </c>
      <c r="F12" s="138">
        <f t="shared" si="0"/>
        <v>2</v>
      </c>
      <c r="G12" s="143">
        <v>2</v>
      </c>
      <c r="H12" s="138">
        <v>0</v>
      </c>
      <c r="I12" s="138" t="s">
        <v>706</v>
      </c>
      <c r="J12" s="138" t="s">
        <v>107</v>
      </c>
      <c r="K12" s="138" t="s">
        <v>107</v>
      </c>
      <c r="L12" s="138">
        <v>0</v>
      </c>
      <c r="M12" s="138">
        <v>0</v>
      </c>
    </row>
    <row r="13" spans="1:14" ht="22.5" customHeight="1" x14ac:dyDescent="0.3">
      <c r="A13" s="132" t="s">
        <v>676</v>
      </c>
      <c r="B13" s="133" t="s">
        <v>677</v>
      </c>
      <c r="C13" s="114">
        <v>10</v>
      </c>
      <c r="D13" s="143">
        <v>5</v>
      </c>
      <c r="E13" s="143">
        <v>5</v>
      </c>
      <c r="F13" s="138">
        <f t="shared" si="0"/>
        <v>10</v>
      </c>
      <c r="G13" s="143">
        <v>0</v>
      </c>
      <c r="H13" s="138">
        <v>0</v>
      </c>
      <c r="I13" s="138" t="s">
        <v>107</v>
      </c>
      <c r="J13" s="138" t="s">
        <v>107</v>
      </c>
      <c r="K13" s="138" t="s">
        <v>107</v>
      </c>
      <c r="L13" s="138">
        <v>1</v>
      </c>
      <c r="M13" s="138">
        <v>1</v>
      </c>
    </row>
    <row r="14" spans="1:14" ht="22.5" customHeight="1" x14ac:dyDescent="0.3">
      <c r="A14" s="132" t="s">
        <v>672</v>
      </c>
      <c r="B14" s="133" t="s">
        <v>673</v>
      </c>
      <c r="C14" s="114">
        <v>15</v>
      </c>
      <c r="D14" s="143">
        <v>11</v>
      </c>
      <c r="E14" s="143">
        <v>1</v>
      </c>
      <c r="F14" s="138">
        <f t="shared" si="0"/>
        <v>12</v>
      </c>
      <c r="G14" s="143">
        <v>10</v>
      </c>
      <c r="H14" s="138">
        <v>0</v>
      </c>
      <c r="I14" s="138" t="s">
        <v>107</v>
      </c>
      <c r="J14" s="138" t="s">
        <v>107</v>
      </c>
      <c r="K14" s="138" t="s">
        <v>107</v>
      </c>
      <c r="L14" s="138">
        <v>1</v>
      </c>
      <c r="M14" s="138">
        <v>0</v>
      </c>
    </row>
    <row r="15" spans="1:14" ht="22.5" customHeight="1" x14ac:dyDescent="0.3">
      <c r="A15" s="132" t="s">
        <v>524</v>
      </c>
      <c r="B15" s="133" t="s">
        <v>53</v>
      </c>
      <c r="C15" s="114">
        <v>16</v>
      </c>
      <c r="D15" s="143">
        <v>3</v>
      </c>
      <c r="E15" s="143">
        <v>2</v>
      </c>
      <c r="F15" s="138">
        <f t="shared" si="0"/>
        <v>5</v>
      </c>
      <c r="G15" s="143">
        <v>0</v>
      </c>
      <c r="H15" s="138">
        <v>0</v>
      </c>
      <c r="I15" s="138" t="s">
        <v>107</v>
      </c>
      <c r="J15" s="138" t="s">
        <v>107</v>
      </c>
      <c r="K15" s="138" t="s">
        <v>107</v>
      </c>
      <c r="L15" s="138">
        <v>0</v>
      </c>
      <c r="M15" s="138">
        <v>0</v>
      </c>
    </row>
    <row r="16" spans="1:14" ht="22.5" customHeight="1" x14ac:dyDescent="0.3">
      <c r="A16" s="132" t="s">
        <v>525</v>
      </c>
      <c r="B16" s="133" t="s">
        <v>50</v>
      </c>
      <c r="C16" s="147">
        <v>18</v>
      </c>
      <c r="D16" s="143">
        <v>16</v>
      </c>
      <c r="E16" s="143">
        <v>8</v>
      </c>
      <c r="F16" s="138">
        <f t="shared" si="0"/>
        <v>24</v>
      </c>
      <c r="G16" s="143">
        <v>4</v>
      </c>
      <c r="H16" s="145">
        <v>4</v>
      </c>
      <c r="I16" s="138" t="s">
        <v>107</v>
      </c>
      <c r="J16" s="138" t="s">
        <v>107</v>
      </c>
      <c r="K16" s="138" t="s">
        <v>107</v>
      </c>
      <c r="L16" s="145">
        <v>3</v>
      </c>
      <c r="M16" s="145">
        <v>2</v>
      </c>
    </row>
    <row r="17" spans="1:13" ht="22.5" customHeight="1" x14ac:dyDescent="0.3">
      <c r="A17" s="132" t="s">
        <v>674</v>
      </c>
      <c r="B17" s="133" t="s">
        <v>675</v>
      </c>
      <c r="C17" s="114">
        <v>15</v>
      </c>
      <c r="D17" s="143">
        <v>5</v>
      </c>
      <c r="E17" s="143">
        <v>10</v>
      </c>
      <c r="F17" s="138">
        <f t="shared" si="0"/>
        <v>15</v>
      </c>
      <c r="G17" s="143">
        <v>2</v>
      </c>
      <c r="H17" s="138">
        <v>0</v>
      </c>
      <c r="I17" s="138" t="s">
        <v>107</v>
      </c>
      <c r="J17" s="138" t="s">
        <v>107</v>
      </c>
      <c r="K17" s="138" t="s">
        <v>107</v>
      </c>
      <c r="L17" s="138">
        <v>0</v>
      </c>
      <c r="M17" s="138">
        <v>1</v>
      </c>
    </row>
    <row r="18" spans="1:13" ht="22.5" customHeight="1" x14ac:dyDescent="0.3">
      <c r="A18" s="132" t="s">
        <v>526</v>
      </c>
      <c r="B18" s="133" t="s">
        <v>278</v>
      </c>
      <c r="C18" s="114">
        <v>16</v>
      </c>
      <c r="D18" s="143">
        <v>5</v>
      </c>
      <c r="E18" s="143">
        <v>4</v>
      </c>
      <c r="F18" s="138">
        <f t="shared" si="0"/>
        <v>9</v>
      </c>
      <c r="G18" s="143">
        <v>8</v>
      </c>
      <c r="H18" s="138">
        <v>0</v>
      </c>
      <c r="I18" s="138" t="s">
        <v>107</v>
      </c>
      <c r="J18" s="138" t="s">
        <v>107</v>
      </c>
      <c r="K18" s="138" t="s">
        <v>107</v>
      </c>
      <c r="L18" s="138">
        <v>1</v>
      </c>
      <c r="M18" s="138">
        <v>0</v>
      </c>
    </row>
    <row r="19" spans="1:13" ht="22.5" customHeight="1" x14ac:dyDescent="0.3">
      <c r="A19" s="132" t="s">
        <v>679</v>
      </c>
      <c r="B19" s="133" t="s">
        <v>680</v>
      </c>
      <c r="C19" s="114">
        <v>14</v>
      </c>
      <c r="D19" s="143">
        <v>0</v>
      </c>
      <c r="E19" s="143">
        <v>4</v>
      </c>
      <c r="F19" s="138">
        <f t="shared" si="0"/>
        <v>4</v>
      </c>
      <c r="G19" s="143">
        <v>2</v>
      </c>
      <c r="H19" s="138">
        <v>0</v>
      </c>
      <c r="I19" s="138" t="s">
        <v>107</v>
      </c>
      <c r="J19" s="138" t="s">
        <v>107</v>
      </c>
      <c r="K19" s="138" t="s">
        <v>107</v>
      </c>
      <c r="L19" s="138">
        <v>0</v>
      </c>
      <c r="M19" s="138">
        <v>0</v>
      </c>
    </row>
    <row r="20" spans="1:13" ht="22.5" customHeight="1" x14ac:dyDescent="0.3">
      <c r="A20" s="132" t="s">
        <v>527</v>
      </c>
      <c r="B20" s="133" t="s">
        <v>56</v>
      </c>
      <c r="C20" s="114">
        <v>8</v>
      </c>
      <c r="D20" s="143">
        <v>7</v>
      </c>
      <c r="E20" s="143">
        <v>2</v>
      </c>
      <c r="F20" s="138">
        <f t="shared" si="0"/>
        <v>9</v>
      </c>
      <c r="G20" s="143">
        <v>2</v>
      </c>
      <c r="H20" s="138">
        <v>0</v>
      </c>
      <c r="I20" s="138" t="s">
        <v>107</v>
      </c>
      <c r="J20" s="138" t="s">
        <v>107</v>
      </c>
      <c r="K20" s="138" t="s">
        <v>107</v>
      </c>
      <c r="L20" s="138">
        <v>1</v>
      </c>
      <c r="M20" s="138">
        <v>0</v>
      </c>
    </row>
    <row r="21" spans="1:13" ht="22.5" customHeight="1" x14ac:dyDescent="0.3">
      <c r="A21" s="132" t="s">
        <v>678</v>
      </c>
      <c r="B21" s="133" t="s">
        <v>55</v>
      </c>
      <c r="C21" s="114">
        <v>2</v>
      </c>
      <c r="D21" s="143">
        <v>0</v>
      </c>
      <c r="E21" s="143">
        <v>0</v>
      </c>
      <c r="F21" s="138">
        <f t="shared" si="0"/>
        <v>0</v>
      </c>
      <c r="G21" s="143">
        <v>0</v>
      </c>
      <c r="H21" s="138">
        <v>0</v>
      </c>
      <c r="I21" s="138" t="s">
        <v>107</v>
      </c>
      <c r="J21" s="138" t="s">
        <v>107</v>
      </c>
      <c r="K21" s="138" t="s">
        <v>107</v>
      </c>
      <c r="L21" s="138">
        <v>0</v>
      </c>
      <c r="M21" s="138">
        <v>0</v>
      </c>
    </row>
    <row r="22" spans="1:13" ht="22.5" customHeight="1" x14ac:dyDescent="0.3">
      <c r="A22" s="132" t="s">
        <v>528</v>
      </c>
      <c r="B22" s="133" t="s">
        <v>279</v>
      </c>
      <c r="C22" s="114">
        <v>14</v>
      </c>
      <c r="D22" s="143">
        <v>7</v>
      </c>
      <c r="E22" s="143">
        <v>3</v>
      </c>
      <c r="F22" s="138">
        <f t="shared" si="0"/>
        <v>10</v>
      </c>
      <c r="G22" s="143">
        <v>0</v>
      </c>
      <c r="H22" s="138">
        <v>1</v>
      </c>
      <c r="I22" s="138" t="s">
        <v>107</v>
      </c>
      <c r="J22" s="138" t="s">
        <v>107</v>
      </c>
      <c r="K22" s="138" t="s">
        <v>107</v>
      </c>
      <c r="L22" s="138">
        <v>1</v>
      </c>
      <c r="M22" s="138">
        <v>0</v>
      </c>
    </row>
    <row r="23" spans="1:13" ht="22.5" customHeight="1" x14ac:dyDescent="0.3">
      <c r="A23" s="132" t="s">
        <v>529</v>
      </c>
      <c r="B23" s="133" t="s">
        <v>532</v>
      </c>
      <c r="C23" s="114">
        <v>8</v>
      </c>
      <c r="D23" s="143">
        <v>4</v>
      </c>
      <c r="E23" s="143">
        <v>2</v>
      </c>
      <c r="F23" s="139">
        <f t="shared" si="0"/>
        <v>6</v>
      </c>
      <c r="G23" s="143">
        <v>2</v>
      </c>
      <c r="H23" s="138">
        <v>0</v>
      </c>
      <c r="I23" s="138" t="s">
        <v>107</v>
      </c>
      <c r="J23" s="138" t="s">
        <v>107</v>
      </c>
      <c r="K23" s="138" t="s">
        <v>107</v>
      </c>
      <c r="L23" s="138">
        <v>0</v>
      </c>
      <c r="M23" s="138">
        <v>0</v>
      </c>
    </row>
    <row r="24" spans="1:13" ht="22.5" customHeight="1" x14ac:dyDescent="0.3">
      <c r="A24" s="132" t="s">
        <v>546</v>
      </c>
      <c r="B24" s="133" t="s">
        <v>531</v>
      </c>
      <c r="C24" s="114">
        <v>16</v>
      </c>
      <c r="D24" s="138">
        <v>0</v>
      </c>
      <c r="E24" s="138">
        <v>1</v>
      </c>
      <c r="F24" s="138">
        <v>1</v>
      </c>
      <c r="G24" s="138">
        <v>0</v>
      </c>
      <c r="H24" s="138">
        <v>0</v>
      </c>
      <c r="I24" s="138" t="s">
        <v>107</v>
      </c>
      <c r="J24" s="146" t="s">
        <v>748</v>
      </c>
      <c r="K24" s="145">
        <v>1</v>
      </c>
      <c r="L24" s="138">
        <v>0</v>
      </c>
      <c r="M24" s="138">
        <v>0</v>
      </c>
    </row>
  </sheetData>
  <phoneticPr fontId="10" type="noConversion"/>
  <pageMargins left="0.75" right="0.75" top="1" bottom="1" header="0.4921259845" footer="0.4921259845"/>
  <pageSetup paperSize="9" orientation="portrait" r:id="rId1"/>
  <headerFooter alignWithMargins="0"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150"/>
  <sheetViews>
    <sheetView topLeftCell="A6" workbookViewId="0">
      <selection activeCell="E37" sqref="E37"/>
    </sheetView>
  </sheetViews>
  <sheetFormatPr defaultRowHeight="14.4" x14ac:dyDescent="0.3"/>
  <cols>
    <col min="1" max="1" width="4" customWidth="1"/>
    <col min="2" max="2" width="21.33203125" customWidth="1"/>
    <col min="3" max="5" width="7.109375" customWidth="1"/>
    <col min="6" max="6" width="0.6640625" style="66" customWidth="1"/>
    <col min="7" max="9" width="7.109375" customWidth="1"/>
    <col min="10" max="10" width="0.6640625" style="66" customWidth="1"/>
    <col min="11" max="13" width="7.109375" customWidth="1"/>
    <col min="14" max="14" width="0.6640625" style="66" customWidth="1"/>
    <col min="15" max="17" width="7.109375" customWidth="1"/>
    <col min="18" max="18" width="0.6640625" style="66" customWidth="1"/>
    <col min="19" max="21" width="7.109375" customWidth="1"/>
    <col min="22" max="22" width="0.6640625" style="66" customWidth="1"/>
    <col min="23" max="25" width="7.109375" customWidth="1"/>
    <col min="26" max="26" width="0.6640625" style="66" customWidth="1"/>
  </cols>
  <sheetData>
    <row r="1" spans="1:26" ht="21" x14ac:dyDescent="0.4">
      <c r="A1" s="94" t="s">
        <v>0</v>
      </c>
      <c r="B1" s="94"/>
      <c r="F1"/>
      <c r="J1"/>
      <c r="N1"/>
      <c r="R1"/>
      <c r="V1"/>
      <c r="Z1"/>
    </row>
    <row r="2" spans="1:26" ht="21" x14ac:dyDescent="0.4">
      <c r="A2" s="94" t="s">
        <v>614</v>
      </c>
      <c r="B2" s="94"/>
      <c r="F2"/>
      <c r="J2"/>
      <c r="N2"/>
      <c r="R2"/>
      <c r="V2"/>
      <c r="Z2"/>
    </row>
    <row r="3" spans="1:26" x14ac:dyDescent="0.3">
      <c r="F3"/>
      <c r="J3"/>
      <c r="N3"/>
      <c r="R3"/>
      <c r="V3"/>
      <c r="Z3"/>
    </row>
    <row r="4" spans="1:26" x14ac:dyDescent="0.3">
      <c r="B4" s="16" t="s">
        <v>516</v>
      </c>
      <c r="C4">
        <v>18</v>
      </c>
      <c r="F4"/>
      <c r="J4"/>
      <c r="M4" s="86"/>
      <c r="N4"/>
      <c r="R4"/>
      <c r="V4"/>
      <c r="Z4"/>
    </row>
    <row r="5" spans="1:26" x14ac:dyDescent="0.3">
      <c r="B5" s="16" t="s">
        <v>135</v>
      </c>
      <c r="C5">
        <v>11</v>
      </c>
      <c r="E5" s="16" t="s">
        <v>553</v>
      </c>
      <c r="F5"/>
      <c r="H5">
        <v>23</v>
      </c>
      <c r="J5"/>
      <c r="N5"/>
      <c r="R5"/>
      <c r="V5"/>
      <c r="Z5"/>
    </row>
    <row r="6" spans="1:26" x14ac:dyDescent="0.3">
      <c r="B6" s="16" t="s">
        <v>137</v>
      </c>
      <c r="C6">
        <v>3</v>
      </c>
      <c r="E6" s="16" t="s">
        <v>554</v>
      </c>
      <c r="F6"/>
      <c r="H6">
        <v>16</v>
      </c>
      <c r="J6"/>
      <c r="N6"/>
      <c r="O6" s="87"/>
      <c r="R6"/>
      <c r="V6"/>
      <c r="Z6"/>
    </row>
    <row r="7" spans="1:26" x14ac:dyDescent="0.3">
      <c r="B7" s="16" t="s">
        <v>136</v>
      </c>
      <c r="C7">
        <v>4</v>
      </c>
      <c r="E7" s="16" t="s">
        <v>555</v>
      </c>
      <c r="F7"/>
      <c r="H7">
        <v>15</v>
      </c>
      <c r="J7"/>
      <c r="N7"/>
      <c r="R7"/>
      <c r="V7"/>
      <c r="Z7"/>
    </row>
    <row r="8" spans="1:26" ht="15" thickBot="1" x14ac:dyDescent="0.35">
      <c r="F8"/>
      <c r="J8"/>
      <c r="N8"/>
      <c r="R8"/>
      <c r="V8"/>
      <c r="Z8"/>
    </row>
    <row r="9" spans="1:26" s="16" customFormat="1" x14ac:dyDescent="0.3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3">
      <c r="C10" s="16" t="s">
        <v>615</v>
      </c>
      <c r="F10" s="67"/>
      <c r="G10" s="16" t="s">
        <v>618</v>
      </c>
      <c r="J10" s="67"/>
      <c r="K10" s="16" t="s">
        <v>625</v>
      </c>
      <c r="N10" s="67"/>
      <c r="O10" s="16" t="s">
        <v>628</v>
      </c>
      <c r="R10" s="67"/>
      <c r="S10" s="16" t="s">
        <v>631</v>
      </c>
      <c r="V10" s="67"/>
      <c r="W10" s="16" t="s">
        <v>634</v>
      </c>
      <c r="Z10" s="67"/>
    </row>
    <row r="11" spans="1:26" s="1" customFormat="1" x14ac:dyDescent="0.3">
      <c r="C11" s="74" t="s">
        <v>616</v>
      </c>
      <c r="D11" s="85" t="s">
        <v>617</v>
      </c>
      <c r="F11" s="68"/>
      <c r="G11" s="74" t="s">
        <v>619</v>
      </c>
      <c r="H11" s="85" t="s">
        <v>620</v>
      </c>
      <c r="J11" s="68"/>
      <c r="K11" s="74" t="s">
        <v>626</v>
      </c>
      <c r="L11" s="1" t="s">
        <v>627</v>
      </c>
      <c r="N11" s="68"/>
      <c r="O11" s="38" t="s">
        <v>629</v>
      </c>
      <c r="P11" s="1" t="s">
        <v>630</v>
      </c>
      <c r="R11" s="68"/>
      <c r="S11" s="74" t="s">
        <v>632</v>
      </c>
      <c r="T11" s="1" t="s">
        <v>633</v>
      </c>
      <c r="V11" s="68"/>
      <c r="W11" s="73" t="s">
        <v>635</v>
      </c>
      <c r="X11" s="1" t="s">
        <v>636</v>
      </c>
      <c r="Z11" s="68"/>
    </row>
    <row r="13" spans="1:26" x14ac:dyDescent="0.3">
      <c r="C13" t="s">
        <v>537</v>
      </c>
      <c r="G13" t="s">
        <v>537</v>
      </c>
      <c r="K13" t="s">
        <v>537</v>
      </c>
      <c r="O13" t="s">
        <v>537</v>
      </c>
      <c r="S13" t="s">
        <v>537</v>
      </c>
      <c r="W13" t="s">
        <v>537</v>
      </c>
    </row>
    <row r="14" spans="1:26" x14ac:dyDescent="0.3">
      <c r="C14" s="116">
        <v>2</v>
      </c>
      <c r="G14" t="s">
        <v>107</v>
      </c>
      <c r="I14" t="s">
        <v>540</v>
      </c>
      <c r="K14" t="s">
        <v>107</v>
      </c>
      <c r="O14" s="116">
        <v>2</v>
      </c>
      <c r="S14" t="s">
        <v>107</v>
      </c>
      <c r="U14" t="s">
        <v>540</v>
      </c>
      <c r="W14" s="116">
        <v>2</v>
      </c>
    </row>
    <row r="16" spans="1:26" x14ac:dyDescent="0.3">
      <c r="C16" t="s">
        <v>543</v>
      </c>
      <c r="G16" t="s">
        <v>543</v>
      </c>
      <c r="K16" t="s">
        <v>543</v>
      </c>
      <c r="O16" t="s">
        <v>543</v>
      </c>
      <c r="S16" t="s">
        <v>543</v>
      </c>
      <c r="W16" t="s">
        <v>543</v>
      </c>
    </row>
    <row r="17" spans="1:26" x14ac:dyDescent="0.3">
      <c r="C17" s="116">
        <v>2</v>
      </c>
      <c r="G17" t="s">
        <v>539</v>
      </c>
      <c r="K17" s="116">
        <v>2</v>
      </c>
      <c r="O17" t="s">
        <v>107</v>
      </c>
      <c r="S17" t="s">
        <v>538</v>
      </c>
      <c r="W17" s="116">
        <v>2</v>
      </c>
      <c r="Y17" t="s">
        <v>637</v>
      </c>
    </row>
    <row r="20" spans="1:26" s="60" customFormat="1" ht="15" thickBot="1" x14ac:dyDescent="0.35">
      <c r="A20" s="60" t="s">
        <v>517</v>
      </c>
      <c r="C20" s="61" t="s">
        <v>533</v>
      </c>
      <c r="D20" s="61" t="s">
        <v>534</v>
      </c>
      <c r="E20" s="61" t="s">
        <v>535</v>
      </c>
      <c r="F20" s="69"/>
      <c r="G20" s="61" t="s">
        <v>533</v>
      </c>
      <c r="H20" s="61" t="s">
        <v>534</v>
      </c>
      <c r="I20" s="61" t="s">
        <v>535</v>
      </c>
      <c r="J20" s="69"/>
      <c r="K20" s="61" t="s">
        <v>533</v>
      </c>
      <c r="L20" s="61" t="s">
        <v>534</v>
      </c>
      <c r="M20" s="61" t="s">
        <v>535</v>
      </c>
      <c r="N20" s="69"/>
      <c r="O20" s="61" t="s">
        <v>533</v>
      </c>
      <c r="P20" s="61" t="s">
        <v>534</v>
      </c>
      <c r="Q20" s="61" t="s">
        <v>535</v>
      </c>
      <c r="R20" s="69"/>
      <c r="S20" s="61" t="s">
        <v>533</v>
      </c>
      <c r="T20" s="61" t="s">
        <v>534</v>
      </c>
      <c r="U20" s="61" t="s">
        <v>535</v>
      </c>
      <c r="V20" s="69"/>
      <c r="W20" s="61" t="s">
        <v>533</v>
      </c>
      <c r="X20" s="61" t="s">
        <v>534</v>
      </c>
      <c r="Y20" s="61" t="s">
        <v>535</v>
      </c>
      <c r="Z20" s="67"/>
    </row>
    <row r="21" spans="1:26" s="62" customFormat="1" ht="3.75" customHeight="1" thickBot="1" x14ac:dyDescent="0.35">
      <c r="C21" s="63"/>
      <c r="D21" s="63"/>
      <c r="E21" s="63"/>
      <c r="F21" s="64"/>
      <c r="G21" s="63"/>
      <c r="H21" s="63"/>
      <c r="I21" s="63"/>
      <c r="J21" s="64"/>
      <c r="K21" s="63"/>
      <c r="L21" s="63"/>
      <c r="M21" s="63"/>
      <c r="N21" s="64"/>
      <c r="O21" s="63"/>
      <c r="P21" s="63"/>
      <c r="Q21" s="63"/>
      <c r="R21" s="64"/>
      <c r="S21" s="63"/>
      <c r="T21" s="63"/>
      <c r="U21" s="63"/>
      <c r="V21" s="64"/>
      <c r="W21" s="63"/>
      <c r="X21" s="63"/>
      <c r="Y21" s="63"/>
      <c r="Z21" s="65"/>
    </row>
    <row r="22" spans="1:26" s="34" customFormat="1" x14ac:dyDescent="0.3">
      <c r="A22" s="78" t="s">
        <v>518</v>
      </c>
      <c r="B22" s="78" t="s">
        <v>48</v>
      </c>
      <c r="C22" s="79">
        <v>0</v>
      </c>
      <c r="D22" s="79">
        <v>1</v>
      </c>
      <c r="E22" s="79">
        <v>0</v>
      </c>
      <c r="F22" s="80"/>
      <c r="G22" s="79">
        <v>0</v>
      </c>
      <c r="H22" s="79">
        <v>0</v>
      </c>
      <c r="I22" s="79">
        <v>0</v>
      </c>
      <c r="J22" s="80"/>
      <c r="K22" s="91"/>
      <c r="L22" s="91"/>
      <c r="M22" s="91"/>
      <c r="N22" s="80"/>
      <c r="O22" s="91"/>
      <c r="P22" s="91"/>
      <c r="Q22" s="91"/>
      <c r="R22" s="80"/>
      <c r="S22" s="79">
        <v>0</v>
      </c>
      <c r="T22" s="79">
        <v>1</v>
      </c>
      <c r="U22" s="79">
        <v>0</v>
      </c>
      <c r="V22" s="80"/>
      <c r="W22" s="82">
        <v>0</v>
      </c>
      <c r="X22" s="82">
        <v>0</v>
      </c>
      <c r="Y22" s="82">
        <v>0</v>
      </c>
      <c r="Z22" s="72"/>
    </row>
    <row r="23" spans="1:26" x14ac:dyDescent="0.3">
      <c r="A23" s="81" t="s">
        <v>519</v>
      </c>
      <c r="B23" s="81" t="s">
        <v>54</v>
      </c>
      <c r="C23" s="91"/>
      <c r="D23" s="91"/>
      <c r="E23" s="91"/>
      <c r="F23" s="83"/>
      <c r="G23" s="91"/>
      <c r="H23" s="91"/>
      <c r="I23" s="91"/>
      <c r="J23" s="83"/>
      <c r="K23" s="91"/>
      <c r="L23" s="91"/>
      <c r="M23" s="91"/>
      <c r="N23" s="83"/>
      <c r="O23" s="91"/>
      <c r="P23" s="91"/>
      <c r="Q23" s="91"/>
      <c r="R23" s="83"/>
      <c r="S23" s="91"/>
      <c r="T23" s="91"/>
      <c r="U23" s="91"/>
      <c r="V23" s="83"/>
      <c r="W23" s="91"/>
      <c r="X23" s="91"/>
      <c r="Y23" s="91"/>
    </row>
    <row r="24" spans="1:26" x14ac:dyDescent="0.3">
      <c r="A24" s="81" t="s">
        <v>520</v>
      </c>
      <c r="B24" s="81" t="s">
        <v>530</v>
      </c>
      <c r="C24" s="82">
        <v>0</v>
      </c>
      <c r="D24" s="82">
        <v>1</v>
      </c>
      <c r="E24" s="82">
        <v>0</v>
      </c>
      <c r="F24" s="83"/>
      <c r="G24" s="82">
        <v>0</v>
      </c>
      <c r="H24" s="82">
        <v>0</v>
      </c>
      <c r="I24" s="82">
        <v>0</v>
      </c>
      <c r="J24" s="83"/>
      <c r="K24" s="82">
        <v>0</v>
      </c>
      <c r="L24" s="82">
        <v>1</v>
      </c>
      <c r="M24" s="82">
        <v>0</v>
      </c>
      <c r="N24" s="83"/>
      <c r="O24" s="82">
        <v>0</v>
      </c>
      <c r="P24" s="82">
        <v>0</v>
      </c>
      <c r="Q24" s="82">
        <v>0</v>
      </c>
      <c r="R24" s="83"/>
      <c r="S24" s="82">
        <v>1</v>
      </c>
      <c r="T24" s="82">
        <v>1</v>
      </c>
      <c r="U24" s="82">
        <v>0</v>
      </c>
      <c r="V24" s="83"/>
      <c r="W24" s="82">
        <v>0</v>
      </c>
      <c r="X24" s="82">
        <v>0</v>
      </c>
      <c r="Y24" s="82">
        <v>0</v>
      </c>
    </row>
    <row r="25" spans="1:26" x14ac:dyDescent="0.3">
      <c r="A25" s="81" t="s">
        <v>521</v>
      </c>
      <c r="B25" s="81" t="s">
        <v>181</v>
      </c>
      <c r="C25" s="82">
        <v>1</v>
      </c>
      <c r="D25" s="82">
        <v>0</v>
      </c>
      <c r="E25" s="82">
        <v>0</v>
      </c>
      <c r="F25" s="83"/>
      <c r="G25" s="82">
        <v>1</v>
      </c>
      <c r="H25" s="82">
        <v>0</v>
      </c>
      <c r="I25" s="82">
        <v>0</v>
      </c>
      <c r="J25" s="83"/>
      <c r="K25" s="82">
        <v>0</v>
      </c>
      <c r="L25" s="82">
        <v>0</v>
      </c>
      <c r="M25" s="82">
        <v>0</v>
      </c>
      <c r="N25" s="83"/>
      <c r="O25" s="82">
        <v>0</v>
      </c>
      <c r="P25" s="82">
        <v>0</v>
      </c>
      <c r="Q25" s="82">
        <v>0</v>
      </c>
      <c r="R25" s="83"/>
      <c r="S25" s="82">
        <v>0</v>
      </c>
      <c r="T25" s="82">
        <v>0</v>
      </c>
      <c r="U25" s="82">
        <v>0</v>
      </c>
      <c r="V25" s="83"/>
      <c r="W25" s="82">
        <v>0</v>
      </c>
      <c r="X25" s="82">
        <v>0</v>
      </c>
      <c r="Y25" s="84">
        <v>0</v>
      </c>
    </row>
    <row r="26" spans="1:26" x14ac:dyDescent="0.3">
      <c r="A26" s="81" t="s">
        <v>522</v>
      </c>
      <c r="B26" s="81" t="s">
        <v>185</v>
      </c>
      <c r="C26" s="82">
        <v>3</v>
      </c>
      <c r="D26" s="82">
        <v>1</v>
      </c>
      <c r="E26" s="82">
        <v>0</v>
      </c>
      <c r="F26" s="83"/>
      <c r="G26" s="82">
        <v>1</v>
      </c>
      <c r="H26" s="82">
        <v>2</v>
      </c>
      <c r="I26" s="82">
        <v>0</v>
      </c>
      <c r="J26" s="83"/>
      <c r="K26" s="82">
        <v>1</v>
      </c>
      <c r="L26" s="82">
        <v>1</v>
      </c>
      <c r="M26" s="82">
        <v>0</v>
      </c>
      <c r="N26" s="83"/>
      <c r="O26" s="82">
        <v>0</v>
      </c>
      <c r="P26" s="82">
        <v>2</v>
      </c>
      <c r="Q26" s="82">
        <v>0</v>
      </c>
      <c r="R26" s="83"/>
      <c r="S26" s="82">
        <v>2</v>
      </c>
      <c r="T26" s="82">
        <v>2</v>
      </c>
      <c r="U26" s="82">
        <v>0</v>
      </c>
      <c r="V26" s="83"/>
      <c r="W26" s="82">
        <v>0</v>
      </c>
      <c r="X26" s="82">
        <v>0</v>
      </c>
      <c r="Y26" s="84">
        <v>0</v>
      </c>
    </row>
    <row r="27" spans="1:26" x14ac:dyDescent="0.3">
      <c r="A27" s="81" t="s">
        <v>523</v>
      </c>
      <c r="B27" s="81" t="s">
        <v>52</v>
      </c>
      <c r="C27" s="82">
        <v>0</v>
      </c>
      <c r="D27" s="82">
        <v>0</v>
      </c>
      <c r="E27" s="82">
        <v>0</v>
      </c>
      <c r="F27" s="83"/>
      <c r="G27" s="82">
        <v>0</v>
      </c>
      <c r="H27" s="82">
        <v>0</v>
      </c>
      <c r="I27" s="82">
        <v>0</v>
      </c>
      <c r="J27" s="83"/>
      <c r="K27" s="91"/>
      <c r="L27" s="91"/>
      <c r="M27" s="91"/>
      <c r="N27" s="83"/>
      <c r="O27" s="91"/>
      <c r="P27" s="91"/>
      <c r="Q27" s="91"/>
      <c r="R27" s="83"/>
      <c r="S27" s="82">
        <v>0</v>
      </c>
      <c r="T27" s="82">
        <v>0</v>
      </c>
      <c r="U27" s="82">
        <v>0</v>
      </c>
      <c r="V27" s="83"/>
      <c r="W27" s="82">
        <v>0</v>
      </c>
      <c r="X27" s="82">
        <v>0</v>
      </c>
      <c r="Y27" s="84">
        <v>0</v>
      </c>
    </row>
    <row r="28" spans="1:26" x14ac:dyDescent="0.3">
      <c r="A28" s="81" t="s">
        <v>676</v>
      </c>
      <c r="B28" s="81" t="s">
        <v>677</v>
      </c>
      <c r="C28" s="91"/>
      <c r="D28" s="91"/>
      <c r="E28" s="91"/>
      <c r="F28" s="83"/>
      <c r="G28" s="82">
        <v>0</v>
      </c>
      <c r="H28" s="82">
        <v>1</v>
      </c>
      <c r="I28" s="82">
        <v>0</v>
      </c>
      <c r="J28" s="83"/>
      <c r="K28" s="82">
        <v>0</v>
      </c>
      <c r="L28" s="82">
        <v>0</v>
      </c>
      <c r="M28" s="82">
        <v>0</v>
      </c>
      <c r="N28" s="83"/>
      <c r="O28" s="82">
        <v>0</v>
      </c>
      <c r="P28" s="82">
        <v>0</v>
      </c>
      <c r="Q28" s="82">
        <v>0</v>
      </c>
      <c r="R28" s="83"/>
      <c r="S28" s="82">
        <v>2</v>
      </c>
      <c r="T28" s="82">
        <v>1</v>
      </c>
      <c r="U28" s="82">
        <v>0</v>
      </c>
      <c r="V28" s="83"/>
      <c r="W28" s="82">
        <v>0</v>
      </c>
      <c r="X28" s="82">
        <v>0</v>
      </c>
      <c r="Y28" s="84">
        <v>0</v>
      </c>
    </row>
    <row r="29" spans="1:26" x14ac:dyDescent="0.3">
      <c r="A29" s="81" t="s">
        <v>672</v>
      </c>
      <c r="B29" s="81" t="s">
        <v>673</v>
      </c>
      <c r="C29" s="82">
        <v>1</v>
      </c>
      <c r="D29" s="82">
        <v>0</v>
      </c>
      <c r="E29" s="82">
        <v>2</v>
      </c>
      <c r="F29" s="83"/>
      <c r="G29" s="82">
        <v>0</v>
      </c>
      <c r="H29" s="82">
        <v>0</v>
      </c>
      <c r="I29" s="82">
        <v>0</v>
      </c>
      <c r="J29" s="83"/>
      <c r="K29" s="82">
        <v>2</v>
      </c>
      <c r="L29" s="82">
        <v>0</v>
      </c>
      <c r="M29" s="82">
        <v>0</v>
      </c>
      <c r="N29" s="83"/>
      <c r="O29" s="82">
        <v>0</v>
      </c>
      <c r="P29" s="82">
        <v>0</v>
      </c>
      <c r="Q29" s="82">
        <v>2</v>
      </c>
      <c r="R29" s="83"/>
      <c r="S29" s="82">
        <v>2</v>
      </c>
      <c r="T29" s="82">
        <v>0</v>
      </c>
      <c r="U29" s="82">
        <v>0</v>
      </c>
      <c r="V29" s="83"/>
      <c r="W29" s="82">
        <v>0</v>
      </c>
      <c r="X29" s="82">
        <v>0</v>
      </c>
      <c r="Y29" s="84">
        <v>0</v>
      </c>
    </row>
    <row r="30" spans="1:26" x14ac:dyDescent="0.3">
      <c r="A30" s="81" t="s">
        <v>524</v>
      </c>
      <c r="B30" s="81" t="s">
        <v>53</v>
      </c>
      <c r="C30" s="82">
        <v>0</v>
      </c>
      <c r="D30" s="82">
        <v>1</v>
      </c>
      <c r="E30" s="82">
        <v>0</v>
      </c>
      <c r="F30" s="83"/>
      <c r="G30" s="82">
        <v>0</v>
      </c>
      <c r="H30" s="82">
        <v>0</v>
      </c>
      <c r="I30" s="82">
        <v>0</v>
      </c>
      <c r="J30" s="83"/>
      <c r="K30" s="82">
        <v>0</v>
      </c>
      <c r="L30" s="82">
        <v>0</v>
      </c>
      <c r="M30" s="82">
        <v>0</v>
      </c>
      <c r="N30" s="83"/>
      <c r="O30" s="82">
        <v>0</v>
      </c>
      <c r="P30" s="82">
        <v>0</v>
      </c>
      <c r="Q30" s="82">
        <v>0</v>
      </c>
      <c r="R30" s="83"/>
      <c r="S30" s="82">
        <v>0</v>
      </c>
      <c r="T30" s="82">
        <v>0</v>
      </c>
      <c r="U30" s="82">
        <v>0</v>
      </c>
      <c r="V30" s="83"/>
      <c r="W30" s="82">
        <v>0</v>
      </c>
      <c r="X30" s="82">
        <v>0</v>
      </c>
      <c r="Y30" s="84">
        <v>0</v>
      </c>
    </row>
    <row r="31" spans="1:26" x14ac:dyDescent="0.3">
      <c r="A31" s="81" t="s">
        <v>525</v>
      </c>
      <c r="B31" s="81" t="s">
        <v>50</v>
      </c>
      <c r="C31" s="82">
        <v>0</v>
      </c>
      <c r="D31" s="82">
        <v>0</v>
      </c>
      <c r="E31" s="82">
        <v>0</v>
      </c>
      <c r="F31" s="83"/>
      <c r="G31" s="82">
        <v>0</v>
      </c>
      <c r="H31" s="82">
        <v>0</v>
      </c>
      <c r="I31" s="82">
        <v>0</v>
      </c>
      <c r="J31" s="83"/>
      <c r="K31" s="82">
        <v>2</v>
      </c>
      <c r="L31" s="82">
        <v>1</v>
      </c>
      <c r="M31" s="82">
        <v>0</v>
      </c>
      <c r="N31" s="83"/>
      <c r="O31" s="82">
        <v>1</v>
      </c>
      <c r="P31" s="82">
        <v>0</v>
      </c>
      <c r="Q31" s="82">
        <v>0</v>
      </c>
      <c r="R31" s="83"/>
      <c r="S31" s="82">
        <v>3</v>
      </c>
      <c r="T31" s="82">
        <v>1</v>
      </c>
      <c r="U31" s="82">
        <v>0</v>
      </c>
      <c r="V31" s="83"/>
      <c r="W31" s="82">
        <v>0</v>
      </c>
      <c r="X31" s="82">
        <v>1</v>
      </c>
      <c r="Y31" s="84">
        <v>0</v>
      </c>
    </row>
    <row r="32" spans="1:26" x14ac:dyDescent="0.3">
      <c r="A32" s="81" t="s">
        <v>674</v>
      </c>
      <c r="B32" s="81" t="s">
        <v>675</v>
      </c>
      <c r="C32" s="82">
        <v>0</v>
      </c>
      <c r="D32" s="82">
        <v>0</v>
      </c>
      <c r="E32" s="82">
        <v>0</v>
      </c>
      <c r="F32" s="83"/>
      <c r="G32" s="82">
        <v>0</v>
      </c>
      <c r="H32" s="82">
        <v>0</v>
      </c>
      <c r="I32" s="82">
        <v>0</v>
      </c>
      <c r="J32" s="83"/>
      <c r="K32" s="82">
        <v>0</v>
      </c>
      <c r="L32" s="82">
        <v>1</v>
      </c>
      <c r="M32" s="82">
        <v>0</v>
      </c>
      <c r="N32" s="83"/>
      <c r="O32" s="82">
        <v>1</v>
      </c>
      <c r="P32" s="82">
        <v>1</v>
      </c>
      <c r="Q32" s="82">
        <v>0</v>
      </c>
      <c r="R32" s="83"/>
      <c r="S32" s="82">
        <v>0</v>
      </c>
      <c r="T32" s="82">
        <v>2</v>
      </c>
      <c r="U32" s="82">
        <v>0</v>
      </c>
      <c r="V32" s="83"/>
      <c r="W32" s="82">
        <v>0</v>
      </c>
      <c r="X32" s="82">
        <v>0</v>
      </c>
      <c r="Y32" s="84">
        <v>0</v>
      </c>
    </row>
    <row r="33" spans="1:25" x14ac:dyDescent="0.3">
      <c r="A33" s="81" t="s">
        <v>526</v>
      </c>
      <c r="B33" s="81" t="s">
        <v>278</v>
      </c>
      <c r="C33" s="82">
        <v>0</v>
      </c>
      <c r="D33" s="82">
        <v>0</v>
      </c>
      <c r="E33" s="82">
        <v>0</v>
      </c>
      <c r="F33" s="83"/>
      <c r="G33" s="82">
        <v>0</v>
      </c>
      <c r="H33" s="82">
        <v>0</v>
      </c>
      <c r="I33" s="82">
        <v>0</v>
      </c>
      <c r="J33" s="83"/>
      <c r="K33" s="82">
        <v>1</v>
      </c>
      <c r="L33" s="82">
        <v>1</v>
      </c>
      <c r="M33" s="82">
        <v>0</v>
      </c>
      <c r="N33" s="83"/>
      <c r="O33" s="82">
        <v>0</v>
      </c>
      <c r="P33" s="82">
        <v>0</v>
      </c>
      <c r="Q33" s="82">
        <v>0</v>
      </c>
      <c r="R33" s="83"/>
      <c r="S33" s="82">
        <v>1</v>
      </c>
      <c r="T33" s="82">
        <v>1</v>
      </c>
      <c r="U33" s="82">
        <v>0</v>
      </c>
      <c r="V33" s="83"/>
      <c r="W33" s="82">
        <v>0</v>
      </c>
      <c r="X33" s="82">
        <v>0</v>
      </c>
      <c r="Y33" s="84">
        <v>2</v>
      </c>
    </row>
    <row r="34" spans="1:25" x14ac:dyDescent="0.3">
      <c r="A34" s="81" t="s">
        <v>679</v>
      </c>
      <c r="B34" s="81" t="s">
        <v>680</v>
      </c>
      <c r="C34" s="82">
        <v>0</v>
      </c>
      <c r="D34" s="82">
        <v>0</v>
      </c>
      <c r="E34" s="82">
        <v>0</v>
      </c>
      <c r="F34" s="83"/>
      <c r="G34" s="82">
        <v>0</v>
      </c>
      <c r="H34" s="82">
        <v>0</v>
      </c>
      <c r="I34" s="82">
        <v>0</v>
      </c>
      <c r="J34" s="83"/>
      <c r="K34" s="82">
        <v>0</v>
      </c>
      <c r="L34" s="82">
        <v>0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0</v>
      </c>
      <c r="T34" s="82">
        <v>2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5" x14ac:dyDescent="0.3">
      <c r="A35" s="81" t="s">
        <v>527</v>
      </c>
      <c r="B35" s="81" t="s">
        <v>56</v>
      </c>
      <c r="C35" s="82">
        <v>0</v>
      </c>
      <c r="D35" s="82">
        <v>1</v>
      </c>
      <c r="E35" s="82">
        <v>0</v>
      </c>
      <c r="F35" s="83"/>
      <c r="G35" s="82">
        <v>2</v>
      </c>
      <c r="H35" s="82">
        <v>0</v>
      </c>
      <c r="I35" s="82">
        <v>0</v>
      </c>
      <c r="J35" s="83"/>
      <c r="K35" s="82">
        <v>0</v>
      </c>
      <c r="L35" s="82">
        <v>0</v>
      </c>
      <c r="M35" s="82">
        <v>0</v>
      </c>
      <c r="N35" s="83"/>
      <c r="O35" s="82">
        <v>1</v>
      </c>
      <c r="P35" s="82">
        <v>0</v>
      </c>
      <c r="Q35" s="82">
        <v>0</v>
      </c>
      <c r="R35" s="83"/>
      <c r="S35" s="91"/>
      <c r="T35" s="91"/>
      <c r="U35" s="91"/>
      <c r="V35" s="83"/>
      <c r="W35" s="91"/>
      <c r="X35" s="91"/>
      <c r="Y35" s="91"/>
    </row>
    <row r="36" spans="1:25" x14ac:dyDescent="0.3">
      <c r="A36" s="81" t="s">
        <v>678</v>
      </c>
      <c r="B36" s="81" t="s">
        <v>55</v>
      </c>
      <c r="C36" s="82">
        <v>0</v>
      </c>
      <c r="D36" s="82">
        <v>0</v>
      </c>
      <c r="E36" s="82">
        <v>0</v>
      </c>
      <c r="F36" s="83"/>
      <c r="G36" s="82">
        <v>0</v>
      </c>
      <c r="H36" s="82">
        <v>0</v>
      </c>
      <c r="I36" s="82">
        <v>0</v>
      </c>
      <c r="J36" s="83"/>
      <c r="K36" s="91"/>
      <c r="L36" s="91"/>
      <c r="M36" s="91"/>
      <c r="N36" s="83"/>
      <c r="O36" s="91"/>
      <c r="P36" s="91"/>
      <c r="Q36" s="91"/>
      <c r="R36" s="83"/>
      <c r="S36" s="91"/>
      <c r="T36" s="91"/>
      <c r="U36" s="91"/>
      <c r="V36" s="83"/>
      <c r="W36" s="91"/>
      <c r="X36" s="91"/>
      <c r="Y36" s="91"/>
    </row>
    <row r="37" spans="1:25" x14ac:dyDescent="0.3">
      <c r="A37" s="81" t="s">
        <v>528</v>
      </c>
      <c r="B37" s="81" t="s">
        <v>279</v>
      </c>
      <c r="C37" s="91"/>
      <c r="D37" s="91"/>
      <c r="E37" s="91"/>
      <c r="F37" s="83"/>
      <c r="G37" s="91"/>
      <c r="H37" s="91"/>
      <c r="I37" s="91"/>
      <c r="J37" s="83"/>
      <c r="K37" s="82">
        <v>0</v>
      </c>
      <c r="L37" s="82">
        <v>0</v>
      </c>
      <c r="M37" s="82">
        <v>0</v>
      </c>
      <c r="N37" s="83"/>
      <c r="O37" s="82">
        <v>0</v>
      </c>
      <c r="P37" s="82">
        <v>0</v>
      </c>
      <c r="Q37" s="82">
        <v>0</v>
      </c>
      <c r="R37" s="83"/>
      <c r="S37" s="82">
        <v>1</v>
      </c>
      <c r="T37" s="82">
        <v>1</v>
      </c>
      <c r="U37" s="82">
        <v>0</v>
      </c>
      <c r="V37" s="83"/>
      <c r="W37" s="82">
        <v>1</v>
      </c>
      <c r="X37" s="82">
        <v>0</v>
      </c>
      <c r="Y37" s="84">
        <v>0</v>
      </c>
    </row>
    <row r="38" spans="1:25" x14ac:dyDescent="0.3">
      <c r="A38" s="81" t="s">
        <v>529</v>
      </c>
      <c r="B38" s="81" t="s">
        <v>532</v>
      </c>
      <c r="C38" s="82">
        <v>1</v>
      </c>
      <c r="D38" s="82">
        <v>0</v>
      </c>
      <c r="E38" s="82">
        <v>0</v>
      </c>
      <c r="F38" s="83"/>
      <c r="G38" s="82">
        <v>0</v>
      </c>
      <c r="H38" s="82">
        <v>0</v>
      </c>
      <c r="I38" s="82">
        <v>0</v>
      </c>
      <c r="J38" s="83"/>
      <c r="K38" s="91"/>
      <c r="L38" s="91"/>
      <c r="M38" s="91"/>
      <c r="N38" s="83"/>
      <c r="O38" s="91"/>
      <c r="P38" s="91"/>
      <c r="Q38" s="91"/>
      <c r="R38" s="83"/>
      <c r="S38" s="82">
        <v>1</v>
      </c>
      <c r="T38" s="82">
        <v>1</v>
      </c>
      <c r="U38" s="82">
        <v>0</v>
      </c>
      <c r="V38" s="83"/>
      <c r="W38" s="82">
        <v>0</v>
      </c>
      <c r="X38" s="82">
        <v>0</v>
      </c>
      <c r="Y38" s="84">
        <v>0</v>
      </c>
    </row>
    <row r="39" spans="1:25" x14ac:dyDescent="0.3">
      <c r="A39" s="81" t="s">
        <v>546</v>
      </c>
      <c r="B39" s="81" t="s">
        <v>531</v>
      </c>
      <c r="C39" s="82" t="s">
        <v>681</v>
      </c>
      <c r="D39" s="82">
        <v>0</v>
      </c>
      <c r="E39" s="82">
        <v>0</v>
      </c>
      <c r="F39" s="83"/>
      <c r="G39" s="82" t="s">
        <v>681</v>
      </c>
      <c r="H39" s="82">
        <v>1</v>
      </c>
      <c r="I39" s="82">
        <v>0</v>
      </c>
      <c r="J39" s="83"/>
      <c r="K39" s="82" t="s">
        <v>681</v>
      </c>
      <c r="L39" s="82">
        <v>0</v>
      </c>
      <c r="M39" s="82">
        <v>0</v>
      </c>
      <c r="N39" s="83"/>
      <c r="O39" s="82" t="s">
        <v>681</v>
      </c>
      <c r="P39" s="82">
        <v>0</v>
      </c>
      <c r="Q39" s="82">
        <v>0</v>
      </c>
      <c r="R39" s="83"/>
      <c r="S39" s="82" t="s">
        <v>681</v>
      </c>
      <c r="T39" s="82">
        <v>0</v>
      </c>
      <c r="U39" s="82">
        <v>0</v>
      </c>
      <c r="V39" s="83"/>
      <c r="W39" s="82" t="s">
        <v>681</v>
      </c>
      <c r="X39" s="82">
        <v>0</v>
      </c>
      <c r="Y39" s="82">
        <v>0</v>
      </c>
    </row>
    <row r="40" spans="1:25" x14ac:dyDescent="0.3">
      <c r="C40" s="8"/>
      <c r="D40" s="8"/>
      <c r="E40" s="8"/>
      <c r="F40" s="71"/>
      <c r="G40" s="8"/>
      <c r="H40" s="8"/>
      <c r="I40" s="8"/>
      <c r="J40" s="71"/>
      <c r="K40" s="8"/>
      <c r="L40" s="8"/>
      <c r="M40" s="8"/>
      <c r="N40" s="71"/>
      <c r="O40" s="8"/>
      <c r="P40" s="8"/>
      <c r="Q40" s="8"/>
      <c r="R40" s="71"/>
      <c r="S40" s="8"/>
      <c r="T40" s="8"/>
      <c r="U40" s="8"/>
      <c r="V40" s="71"/>
      <c r="W40" s="8"/>
      <c r="X40" s="8"/>
      <c r="Y40" s="8"/>
    </row>
    <row r="50" spans="1:27" ht="15" thickBot="1" x14ac:dyDescent="0.35"/>
    <row r="51" spans="1:27" x14ac:dyDescent="0.3">
      <c r="A51" s="16"/>
      <c r="B51" s="16" t="s">
        <v>547</v>
      </c>
      <c r="C51" s="76">
        <v>7</v>
      </c>
      <c r="D51" s="76"/>
      <c r="E51" s="76"/>
      <c r="F51" s="77"/>
      <c r="G51" s="76">
        <v>8</v>
      </c>
      <c r="H51" s="76"/>
      <c r="I51" s="76"/>
      <c r="J51" s="77"/>
      <c r="K51" s="76">
        <v>9</v>
      </c>
      <c r="L51" s="76"/>
      <c r="M51" s="76"/>
      <c r="N51" s="77"/>
      <c r="O51" s="76">
        <v>10</v>
      </c>
      <c r="P51" s="76"/>
      <c r="Q51" s="76"/>
      <c r="R51" s="77"/>
      <c r="S51" s="76">
        <v>11</v>
      </c>
      <c r="T51" s="76"/>
      <c r="U51" s="76"/>
      <c r="V51" s="77"/>
      <c r="W51" s="76">
        <v>12</v>
      </c>
      <c r="X51" s="16"/>
      <c r="Y51" s="16"/>
      <c r="Z51" s="75"/>
      <c r="AA51" s="16"/>
    </row>
    <row r="52" spans="1:27" x14ac:dyDescent="0.3">
      <c r="A52" s="16"/>
      <c r="B52" s="16"/>
      <c r="C52" s="16" t="s">
        <v>638</v>
      </c>
      <c r="D52" s="16"/>
      <c r="E52" s="16"/>
      <c r="F52" s="67"/>
      <c r="G52" s="16" t="s">
        <v>641</v>
      </c>
      <c r="H52" s="16"/>
      <c r="I52" s="16"/>
      <c r="J52" s="67"/>
      <c r="K52" s="16" t="s">
        <v>644</v>
      </c>
      <c r="L52" s="16"/>
      <c r="M52" s="16"/>
      <c r="N52" s="67"/>
      <c r="O52" s="16" t="s">
        <v>648</v>
      </c>
      <c r="P52" s="16"/>
      <c r="Q52" s="16"/>
      <c r="R52" s="67"/>
      <c r="S52" s="16" t="s">
        <v>621</v>
      </c>
      <c r="T52" s="16"/>
      <c r="U52" s="16"/>
      <c r="V52" s="67"/>
      <c r="W52" s="16" t="s">
        <v>653</v>
      </c>
      <c r="X52" s="16"/>
      <c r="Y52" s="16"/>
      <c r="Z52" s="67"/>
      <c r="AA52" s="16"/>
    </row>
    <row r="53" spans="1:27" x14ac:dyDescent="0.3">
      <c r="A53" s="1"/>
      <c r="B53" s="1"/>
      <c r="C53" s="73" t="s">
        <v>639</v>
      </c>
      <c r="D53" s="85" t="s">
        <v>640</v>
      </c>
      <c r="E53" s="1"/>
      <c r="F53" s="68"/>
      <c r="G53" s="74" t="s">
        <v>642</v>
      </c>
      <c r="H53" s="85" t="s">
        <v>643</v>
      </c>
      <c r="I53" s="1"/>
      <c r="J53" s="68"/>
      <c r="K53" s="74" t="s">
        <v>645</v>
      </c>
      <c r="L53" s="1" t="s">
        <v>646</v>
      </c>
      <c r="M53" s="1"/>
      <c r="N53" s="68"/>
      <c r="O53" s="55" t="s">
        <v>649</v>
      </c>
      <c r="P53" s="85" t="s">
        <v>650</v>
      </c>
      <c r="Q53" s="1"/>
      <c r="R53" s="68"/>
      <c r="S53" s="74" t="s">
        <v>623</v>
      </c>
      <c r="T53" s="1" t="s">
        <v>622</v>
      </c>
      <c r="U53" s="1"/>
      <c r="V53" s="68"/>
      <c r="W53" s="74" t="s">
        <v>654</v>
      </c>
      <c r="X53" s="85" t="s">
        <v>655</v>
      </c>
      <c r="Y53" s="1"/>
      <c r="Z53" s="68"/>
      <c r="AA53" s="1"/>
    </row>
    <row r="55" spans="1:27" x14ac:dyDescent="0.3">
      <c r="C55" t="s">
        <v>537</v>
      </c>
      <c r="G55" t="s">
        <v>537</v>
      </c>
      <c r="K55" t="s">
        <v>537</v>
      </c>
      <c r="O55" t="s">
        <v>537</v>
      </c>
      <c r="S55" t="s">
        <v>537</v>
      </c>
      <c r="W55" t="s">
        <v>537</v>
      </c>
    </row>
    <row r="56" spans="1:27" x14ac:dyDescent="0.3">
      <c r="C56" t="s">
        <v>539</v>
      </c>
      <c r="G56" s="116">
        <v>2</v>
      </c>
      <c r="K56" s="116">
        <v>2</v>
      </c>
      <c r="M56" t="s">
        <v>647</v>
      </c>
      <c r="O56" t="s">
        <v>624</v>
      </c>
      <c r="S56" t="s">
        <v>624</v>
      </c>
      <c r="W56" t="s">
        <v>539</v>
      </c>
    </row>
    <row r="57" spans="1:27" x14ac:dyDescent="0.3">
      <c r="M57" t="s">
        <v>556</v>
      </c>
    </row>
    <row r="58" spans="1:27" x14ac:dyDescent="0.3">
      <c r="C58" t="s">
        <v>543</v>
      </c>
      <c r="G58" t="s">
        <v>543</v>
      </c>
      <c r="K58" t="s">
        <v>543</v>
      </c>
      <c r="O58" t="s">
        <v>543</v>
      </c>
      <c r="S58" t="s">
        <v>543</v>
      </c>
      <c r="W58" t="s">
        <v>543</v>
      </c>
    </row>
    <row r="59" spans="1:27" x14ac:dyDescent="0.3">
      <c r="C59" s="116">
        <v>2</v>
      </c>
      <c r="E59" t="s">
        <v>557</v>
      </c>
      <c r="K59" t="s">
        <v>539</v>
      </c>
      <c r="O59" t="s">
        <v>538</v>
      </c>
      <c r="Q59" t="s">
        <v>651</v>
      </c>
      <c r="S59" s="116">
        <v>5</v>
      </c>
      <c r="U59" t="s">
        <v>556</v>
      </c>
      <c r="W59" s="116">
        <v>2</v>
      </c>
    </row>
    <row r="60" spans="1:27" x14ac:dyDescent="0.3">
      <c r="E60" t="s">
        <v>540</v>
      </c>
      <c r="Q60" t="s">
        <v>652</v>
      </c>
    </row>
    <row r="62" spans="1:27" ht="15" thickBot="1" x14ac:dyDescent="0.35">
      <c r="A62" s="60" t="s">
        <v>517</v>
      </c>
      <c r="B62" s="60"/>
      <c r="C62" s="61" t="s">
        <v>533</v>
      </c>
      <c r="D62" s="61" t="s">
        <v>534</v>
      </c>
      <c r="E62" s="61" t="s">
        <v>535</v>
      </c>
      <c r="F62" s="69"/>
      <c r="G62" s="61" t="s">
        <v>533</v>
      </c>
      <c r="H62" s="61" t="s">
        <v>534</v>
      </c>
      <c r="I62" s="61" t="s">
        <v>535</v>
      </c>
      <c r="J62" s="69"/>
      <c r="K62" s="61" t="s">
        <v>533</v>
      </c>
      <c r="L62" s="61" t="s">
        <v>534</v>
      </c>
      <c r="M62" s="61" t="s">
        <v>535</v>
      </c>
      <c r="N62" s="69"/>
      <c r="O62" s="61" t="s">
        <v>533</v>
      </c>
      <c r="P62" s="61" t="s">
        <v>534</v>
      </c>
      <c r="Q62" s="61" t="s">
        <v>535</v>
      </c>
      <c r="R62" s="69"/>
      <c r="S62" s="61" t="s">
        <v>533</v>
      </c>
      <c r="T62" s="61" t="s">
        <v>534</v>
      </c>
      <c r="U62" s="61" t="s">
        <v>535</v>
      </c>
      <c r="V62" s="69"/>
      <c r="W62" s="61" t="s">
        <v>533</v>
      </c>
      <c r="X62" s="61" t="s">
        <v>534</v>
      </c>
      <c r="Y62" s="61" t="s">
        <v>535</v>
      </c>
      <c r="Z62" s="67"/>
      <c r="AA62" s="60"/>
    </row>
    <row r="63" spans="1:27" ht="3.75" customHeight="1" thickBot="1" x14ac:dyDescent="0.35">
      <c r="A63" s="62"/>
      <c r="B63" s="62"/>
      <c r="C63" s="63"/>
      <c r="D63" s="63"/>
      <c r="E63" s="63"/>
      <c r="F63" s="64"/>
      <c r="G63" s="63"/>
      <c r="H63" s="63"/>
      <c r="I63" s="63"/>
      <c r="J63" s="64"/>
      <c r="K63" s="63"/>
      <c r="L63" s="63"/>
      <c r="M63" s="63"/>
      <c r="N63" s="64"/>
      <c r="O63" s="63"/>
      <c r="P63" s="63"/>
      <c r="Q63" s="63"/>
      <c r="R63" s="64"/>
      <c r="S63" s="63"/>
      <c r="T63" s="63"/>
      <c r="U63" s="63"/>
      <c r="V63" s="64"/>
      <c r="W63" s="63"/>
      <c r="X63" s="63"/>
      <c r="Y63" s="63"/>
      <c r="Z63" s="65"/>
      <c r="AA63" s="62"/>
    </row>
    <row r="64" spans="1:27" x14ac:dyDescent="0.3">
      <c r="A64" s="32" t="s">
        <v>518</v>
      </c>
      <c r="B64" s="32" t="s">
        <v>48</v>
      </c>
      <c r="C64" s="33">
        <v>0</v>
      </c>
      <c r="D64" s="33">
        <v>0</v>
      </c>
      <c r="E64" s="33">
        <v>0</v>
      </c>
      <c r="F64" s="70"/>
      <c r="G64" s="33">
        <v>0</v>
      </c>
      <c r="H64" s="33">
        <v>0</v>
      </c>
      <c r="I64" s="33">
        <v>0</v>
      </c>
      <c r="J64" s="70"/>
      <c r="K64" s="33">
        <v>0</v>
      </c>
      <c r="L64" s="33">
        <v>0</v>
      </c>
      <c r="M64" s="33">
        <v>0</v>
      </c>
      <c r="N64" s="70"/>
      <c r="O64" s="33">
        <v>0</v>
      </c>
      <c r="P64" s="33">
        <v>0</v>
      </c>
      <c r="Q64" s="33">
        <v>2</v>
      </c>
      <c r="R64" s="70"/>
      <c r="S64" s="33">
        <v>0</v>
      </c>
      <c r="T64" s="33">
        <v>2</v>
      </c>
      <c r="U64" s="33">
        <v>0</v>
      </c>
      <c r="V64" s="70"/>
      <c r="W64" s="8">
        <v>0</v>
      </c>
      <c r="X64" s="8">
        <v>0</v>
      </c>
      <c r="Y64" s="8">
        <v>0</v>
      </c>
      <c r="Z64" s="72"/>
      <c r="AA64" s="34"/>
    </row>
    <row r="65" spans="1:25" x14ac:dyDescent="0.3">
      <c r="A65" s="16" t="s">
        <v>519</v>
      </c>
      <c r="B65" s="16" t="s">
        <v>54</v>
      </c>
      <c r="C65" s="8">
        <v>0</v>
      </c>
      <c r="D65" s="8">
        <v>0</v>
      </c>
      <c r="E65" s="8">
        <v>0</v>
      </c>
      <c r="F65" s="71"/>
      <c r="G65" s="8">
        <v>1</v>
      </c>
      <c r="H65" s="8">
        <v>0</v>
      </c>
      <c r="I65" s="8">
        <v>0</v>
      </c>
      <c r="J65" s="71"/>
      <c r="K65" s="8">
        <v>0</v>
      </c>
      <c r="L65" s="8">
        <v>0</v>
      </c>
      <c r="M65" s="8">
        <v>0</v>
      </c>
      <c r="N65" s="71"/>
      <c r="O65" s="8">
        <v>0</v>
      </c>
      <c r="P65" s="8">
        <v>0</v>
      </c>
      <c r="Q65" s="8">
        <v>0</v>
      </c>
      <c r="R65" s="71"/>
      <c r="S65" s="92"/>
      <c r="T65" s="92"/>
      <c r="U65" s="92"/>
      <c r="V65" s="71"/>
      <c r="W65" s="92"/>
      <c r="X65" s="92"/>
      <c r="Y65" s="92"/>
    </row>
    <row r="66" spans="1:25" x14ac:dyDescent="0.3">
      <c r="A66" s="16" t="s">
        <v>520</v>
      </c>
      <c r="B66" s="16" t="s">
        <v>530</v>
      </c>
      <c r="C66" s="8">
        <v>0</v>
      </c>
      <c r="D66" s="8">
        <v>0</v>
      </c>
      <c r="E66" s="8">
        <v>2</v>
      </c>
      <c r="F66" s="71"/>
      <c r="G66" s="8">
        <v>0</v>
      </c>
      <c r="H66" s="8">
        <v>1</v>
      </c>
      <c r="I66" s="8">
        <v>0</v>
      </c>
      <c r="J66" s="71"/>
      <c r="K66" s="8">
        <v>0</v>
      </c>
      <c r="L66" s="8">
        <v>0</v>
      </c>
      <c r="M66" s="8">
        <v>0</v>
      </c>
      <c r="N66" s="71"/>
      <c r="O66" s="8">
        <v>0</v>
      </c>
      <c r="P66" s="8">
        <v>0</v>
      </c>
      <c r="Q66" s="8">
        <v>0</v>
      </c>
      <c r="R66" s="71"/>
      <c r="S66" s="8">
        <v>0</v>
      </c>
      <c r="T66" s="8">
        <v>0</v>
      </c>
      <c r="U66" s="8">
        <v>2</v>
      </c>
      <c r="V66" s="71"/>
      <c r="W66" s="8">
        <v>0</v>
      </c>
      <c r="X66" s="8">
        <v>1</v>
      </c>
      <c r="Y66" s="8">
        <v>0</v>
      </c>
    </row>
    <row r="67" spans="1:25" x14ac:dyDescent="0.3">
      <c r="A67" s="16" t="s">
        <v>521</v>
      </c>
      <c r="B67" s="16" t="s">
        <v>181</v>
      </c>
      <c r="C67" s="92"/>
      <c r="D67" s="92"/>
      <c r="E67" s="92"/>
      <c r="F67" s="71"/>
      <c r="G67" s="92"/>
      <c r="H67" s="92"/>
      <c r="I67" s="92"/>
      <c r="J67" s="71"/>
      <c r="K67" s="8">
        <v>0</v>
      </c>
      <c r="L67" s="8">
        <v>0</v>
      </c>
      <c r="M67" s="8">
        <v>0</v>
      </c>
      <c r="N67" s="71"/>
      <c r="O67" s="8">
        <v>0</v>
      </c>
      <c r="P67" s="8">
        <v>0</v>
      </c>
      <c r="Q67" s="8">
        <v>0</v>
      </c>
      <c r="R67" s="71"/>
      <c r="S67" s="8">
        <v>0</v>
      </c>
      <c r="T67" s="8">
        <v>0</v>
      </c>
      <c r="U67" s="8">
        <v>2</v>
      </c>
      <c r="V67" s="71"/>
      <c r="W67" s="8">
        <v>0</v>
      </c>
      <c r="X67" s="8">
        <v>0</v>
      </c>
      <c r="Y67" s="8">
        <v>0</v>
      </c>
    </row>
    <row r="68" spans="1:25" x14ac:dyDescent="0.3">
      <c r="A68" s="16" t="s">
        <v>522</v>
      </c>
      <c r="B68" s="16" t="s">
        <v>185</v>
      </c>
      <c r="C68" s="8">
        <v>0</v>
      </c>
      <c r="D68" s="8">
        <v>0</v>
      </c>
      <c r="E68" s="8">
        <v>0</v>
      </c>
      <c r="F68" s="71"/>
      <c r="G68" s="8">
        <v>1</v>
      </c>
      <c r="H68" s="8">
        <v>0</v>
      </c>
      <c r="I68" s="8">
        <v>2</v>
      </c>
      <c r="J68" s="71"/>
      <c r="K68" s="8">
        <v>3</v>
      </c>
      <c r="L68" s="8">
        <v>2</v>
      </c>
      <c r="M68" s="8">
        <v>2</v>
      </c>
      <c r="N68" s="71"/>
      <c r="O68" s="8">
        <v>0</v>
      </c>
      <c r="P68" s="8">
        <v>1</v>
      </c>
      <c r="Q68" s="8">
        <v>0</v>
      </c>
      <c r="R68" s="71"/>
      <c r="S68" s="8">
        <v>0</v>
      </c>
      <c r="T68" s="8">
        <v>1</v>
      </c>
      <c r="U68" s="8">
        <v>2</v>
      </c>
      <c r="V68" s="71"/>
      <c r="W68" s="8">
        <v>0</v>
      </c>
      <c r="X68" s="8">
        <v>1</v>
      </c>
      <c r="Y68" s="8">
        <v>0</v>
      </c>
    </row>
    <row r="69" spans="1:25" x14ac:dyDescent="0.3">
      <c r="A69" s="16" t="s">
        <v>523</v>
      </c>
      <c r="B69" s="16" t="s">
        <v>52</v>
      </c>
      <c r="C69" s="8">
        <v>0</v>
      </c>
      <c r="D69" s="8">
        <v>0</v>
      </c>
      <c r="E69" s="8">
        <v>0</v>
      </c>
      <c r="F69" s="71"/>
      <c r="G69" s="92"/>
      <c r="H69" s="92"/>
      <c r="I69" s="92"/>
      <c r="J69" s="71"/>
      <c r="K69" s="92"/>
      <c r="L69" s="92"/>
      <c r="M69" s="92"/>
      <c r="N69" s="71"/>
      <c r="O69" s="92"/>
      <c r="P69" s="92"/>
      <c r="Q69" s="92"/>
      <c r="R69" s="71"/>
      <c r="S69" s="8">
        <v>0</v>
      </c>
      <c r="T69" s="8">
        <v>0</v>
      </c>
      <c r="U69" s="8">
        <v>0</v>
      </c>
      <c r="V69" s="71"/>
      <c r="W69" s="8">
        <v>0</v>
      </c>
      <c r="X69" s="8">
        <v>0</v>
      </c>
      <c r="Y69" s="8">
        <v>0</v>
      </c>
    </row>
    <row r="70" spans="1:25" x14ac:dyDescent="0.3">
      <c r="A70" s="16" t="s">
        <v>676</v>
      </c>
      <c r="B70" s="16" t="s">
        <v>677</v>
      </c>
      <c r="C70" s="8">
        <v>0</v>
      </c>
      <c r="D70" s="8">
        <v>1</v>
      </c>
      <c r="E70" s="8">
        <v>0</v>
      </c>
      <c r="F70" s="71"/>
      <c r="G70" s="8">
        <v>0</v>
      </c>
      <c r="H70" s="8">
        <v>2</v>
      </c>
      <c r="I70" s="8">
        <v>0</v>
      </c>
      <c r="J70" s="71"/>
      <c r="K70" s="8">
        <v>0</v>
      </c>
      <c r="L70" s="8">
        <v>0</v>
      </c>
      <c r="M70" s="8">
        <v>0</v>
      </c>
      <c r="N70" s="71"/>
      <c r="O70" s="92"/>
      <c r="P70" s="92"/>
      <c r="Q70" s="92"/>
      <c r="R70" s="71"/>
      <c r="S70" s="8">
        <v>3</v>
      </c>
      <c r="T70" s="8">
        <v>0</v>
      </c>
      <c r="U70" s="8">
        <v>0</v>
      </c>
      <c r="V70" s="71"/>
      <c r="W70" s="8">
        <v>0</v>
      </c>
      <c r="X70" s="8">
        <v>0</v>
      </c>
      <c r="Y70" s="8">
        <v>0</v>
      </c>
    </row>
    <row r="71" spans="1:25" x14ac:dyDescent="0.3">
      <c r="A71" s="16" t="s">
        <v>672</v>
      </c>
      <c r="B71" s="16" t="s">
        <v>673</v>
      </c>
      <c r="C71" s="8">
        <v>0</v>
      </c>
      <c r="D71" s="8">
        <v>0</v>
      </c>
      <c r="E71" s="8">
        <v>0</v>
      </c>
      <c r="F71" s="71"/>
      <c r="G71" s="8">
        <v>0</v>
      </c>
      <c r="H71" s="8">
        <v>0</v>
      </c>
      <c r="I71" s="8">
        <v>0</v>
      </c>
      <c r="J71" s="71"/>
      <c r="K71" s="8">
        <v>0</v>
      </c>
      <c r="L71" s="8">
        <v>0</v>
      </c>
      <c r="M71" s="8">
        <v>0</v>
      </c>
      <c r="N71" s="71"/>
      <c r="O71" s="8">
        <v>0</v>
      </c>
      <c r="P71" s="8">
        <v>0</v>
      </c>
      <c r="Q71" s="8">
        <v>0</v>
      </c>
      <c r="R71" s="71"/>
      <c r="S71" s="92"/>
      <c r="T71" s="92"/>
      <c r="U71" s="92"/>
      <c r="V71" s="71"/>
      <c r="W71" s="92"/>
      <c r="X71" s="92"/>
      <c r="Y71" s="92"/>
    </row>
    <row r="72" spans="1:25" x14ac:dyDescent="0.3">
      <c r="A72" s="16" t="s">
        <v>524</v>
      </c>
      <c r="B72" s="16" t="s">
        <v>53</v>
      </c>
      <c r="C72" s="8">
        <v>0</v>
      </c>
      <c r="D72" s="8">
        <v>0</v>
      </c>
      <c r="E72" s="8">
        <v>0</v>
      </c>
      <c r="F72" s="71"/>
      <c r="G72" s="8">
        <v>2</v>
      </c>
      <c r="H72" s="8">
        <v>0</v>
      </c>
      <c r="I72" s="8">
        <v>0</v>
      </c>
      <c r="J72" s="71"/>
      <c r="K72" s="92"/>
      <c r="L72" s="92"/>
      <c r="M72" s="92"/>
      <c r="N72" s="71"/>
      <c r="O72" s="92"/>
      <c r="P72" s="92"/>
      <c r="Q72" s="92"/>
      <c r="R72" s="71"/>
      <c r="S72" s="8">
        <v>0</v>
      </c>
      <c r="T72" s="8">
        <v>0</v>
      </c>
      <c r="U72" s="8">
        <v>0</v>
      </c>
      <c r="V72" s="71"/>
      <c r="W72" s="8">
        <v>0</v>
      </c>
      <c r="X72" s="8">
        <v>0</v>
      </c>
      <c r="Y72" s="8">
        <v>0</v>
      </c>
    </row>
    <row r="73" spans="1:25" x14ac:dyDescent="0.3">
      <c r="A73" s="16" t="s">
        <v>525</v>
      </c>
      <c r="B73" s="16" t="s">
        <v>50</v>
      </c>
      <c r="C73" s="8">
        <v>1</v>
      </c>
      <c r="D73" s="8">
        <v>0</v>
      </c>
      <c r="E73" s="8">
        <v>0</v>
      </c>
      <c r="F73" s="71"/>
      <c r="G73" s="8">
        <v>0</v>
      </c>
      <c r="H73" s="8">
        <v>3</v>
      </c>
      <c r="I73" s="8">
        <v>0</v>
      </c>
      <c r="J73" s="71"/>
      <c r="K73" s="8">
        <v>3</v>
      </c>
      <c r="L73" s="8">
        <v>0</v>
      </c>
      <c r="M73" s="8">
        <v>0</v>
      </c>
      <c r="N73" s="71"/>
      <c r="O73" s="8">
        <v>1</v>
      </c>
      <c r="P73" s="8">
        <v>0</v>
      </c>
      <c r="Q73" s="8">
        <v>2</v>
      </c>
      <c r="R73" s="71"/>
      <c r="S73" s="8">
        <v>0</v>
      </c>
      <c r="T73" s="8">
        <v>1</v>
      </c>
      <c r="U73" s="8">
        <v>0</v>
      </c>
      <c r="V73" s="71"/>
      <c r="W73" s="8">
        <v>2</v>
      </c>
      <c r="X73" s="8">
        <v>1</v>
      </c>
      <c r="Y73" s="8">
        <v>2</v>
      </c>
    </row>
    <row r="74" spans="1:25" x14ac:dyDescent="0.3">
      <c r="A74" s="16" t="s">
        <v>674</v>
      </c>
      <c r="B74" s="16" t="s">
        <v>675</v>
      </c>
      <c r="C74" s="8">
        <v>0</v>
      </c>
      <c r="D74" s="8">
        <v>1</v>
      </c>
      <c r="E74" s="8">
        <v>0</v>
      </c>
      <c r="F74" s="71"/>
      <c r="G74" s="8">
        <v>0</v>
      </c>
      <c r="H74" s="8">
        <v>1</v>
      </c>
      <c r="I74" s="8">
        <v>0</v>
      </c>
      <c r="J74" s="71"/>
      <c r="K74" s="92"/>
      <c r="L74" s="92"/>
      <c r="M74" s="92"/>
      <c r="N74" s="71"/>
      <c r="O74" s="92"/>
      <c r="P74" s="92"/>
      <c r="Q74" s="92"/>
      <c r="R74" s="71"/>
      <c r="S74" s="8">
        <v>0</v>
      </c>
      <c r="T74" s="8">
        <v>0</v>
      </c>
      <c r="U74" s="8">
        <v>0</v>
      </c>
      <c r="V74" s="71"/>
      <c r="W74" s="8">
        <v>3</v>
      </c>
      <c r="X74" s="8">
        <v>2</v>
      </c>
      <c r="Y74" s="8">
        <v>0</v>
      </c>
    </row>
    <row r="75" spans="1:25" x14ac:dyDescent="0.3">
      <c r="A75" s="16" t="s">
        <v>526</v>
      </c>
      <c r="B75" s="16" t="s">
        <v>278</v>
      </c>
      <c r="C75" s="8">
        <v>0</v>
      </c>
      <c r="D75" s="8">
        <v>0</v>
      </c>
      <c r="E75" s="8">
        <v>2</v>
      </c>
      <c r="F75" s="71"/>
      <c r="G75" s="8">
        <v>2</v>
      </c>
      <c r="H75" s="8">
        <v>0</v>
      </c>
      <c r="I75" s="8">
        <v>0</v>
      </c>
      <c r="J75" s="71"/>
      <c r="K75" s="8">
        <v>0</v>
      </c>
      <c r="L75" s="8">
        <v>0</v>
      </c>
      <c r="M75" s="8">
        <v>0</v>
      </c>
      <c r="N75" s="71"/>
      <c r="O75" s="8">
        <v>0</v>
      </c>
      <c r="P75" s="8">
        <v>0</v>
      </c>
      <c r="Q75" s="8">
        <v>0</v>
      </c>
      <c r="R75" s="71"/>
      <c r="S75" s="8">
        <v>0</v>
      </c>
      <c r="T75" s="8">
        <v>0</v>
      </c>
      <c r="U75" s="8">
        <v>0</v>
      </c>
      <c r="V75" s="71"/>
      <c r="W75" s="8">
        <v>0</v>
      </c>
      <c r="X75" s="8">
        <v>0</v>
      </c>
      <c r="Y75" s="8">
        <v>2</v>
      </c>
    </row>
    <row r="76" spans="1:25" x14ac:dyDescent="0.3">
      <c r="A76" s="16" t="s">
        <v>679</v>
      </c>
      <c r="B76" s="16" t="s">
        <v>680</v>
      </c>
      <c r="C76" s="8"/>
      <c r="D76" s="8">
        <v>0</v>
      </c>
      <c r="E76" s="8">
        <v>0</v>
      </c>
      <c r="F76" s="71"/>
      <c r="G76" s="8"/>
      <c r="H76" s="8">
        <v>0</v>
      </c>
      <c r="I76" s="8">
        <v>0</v>
      </c>
      <c r="J76" s="71"/>
      <c r="K76" s="8">
        <v>0</v>
      </c>
      <c r="L76" s="8">
        <v>0</v>
      </c>
      <c r="M76" s="8">
        <v>0</v>
      </c>
      <c r="N76" s="71"/>
      <c r="O76" s="8">
        <v>0</v>
      </c>
      <c r="P76" s="8">
        <v>0</v>
      </c>
      <c r="Q76" s="8">
        <v>0</v>
      </c>
      <c r="R76" s="71"/>
      <c r="S76" s="8">
        <v>0</v>
      </c>
      <c r="T76" s="8">
        <v>0</v>
      </c>
      <c r="U76" s="8">
        <v>2</v>
      </c>
      <c r="V76" s="71"/>
      <c r="W76" s="8">
        <v>0</v>
      </c>
      <c r="X76" s="8">
        <v>0</v>
      </c>
      <c r="Y76" s="8">
        <v>0</v>
      </c>
    </row>
    <row r="77" spans="1:25" x14ac:dyDescent="0.3">
      <c r="A77" s="16" t="s">
        <v>527</v>
      </c>
      <c r="B77" s="16" t="s">
        <v>56</v>
      </c>
      <c r="C77" s="8">
        <v>2</v>
      </c>
      <c r="D77" s="8">
        <v>0</v>
      </c>
      <c r="E77" s="8">
        <v>0</v>
      </c>
      <c r="F77" s="71"/>
      <c r="G77" s="8">
        <v>1</v>
      </c>
      <c r="H77" s="8">
        <v>1</v>
      </c>
      <c r="I77" s="8">
        <v>0</v>
      </c>
      <c r="J77" s="71"/>
      <c r="K77" s="8">
        <v>0</v>
      </c>
      <c r="L77" s="8">
        <v>0</v>
      </c>
      <c r="M77" s="8">
        <v>0</v>
      </c>
      <c r="N77" s="71"/>
      <c r="O77" s="8">
        <v>1</v>
      </c>
      <c r="P77" s="8">
        <v>0</v>
      </c>
      <c r="Q77" s="8">
        <v>2</v>
      </c>
      <c r="R77" s="71"/>
      <c r="S77" s="92"/>
      <c r="T77" s="92"/>
      <c r="U77" s="92"/>
      <c r="V77" s="71"/>
      <c r="W77" s="92"/>
      <c r="X77" s="92"/>
      <c r="Y77" s="92"/>
    </row>
    <row r="78" spans="1:25" x14ac:dyDescent="0.3">
      <c r="A78" s="16" t="s">
        <v>678</v>
      </c>
      <c r="B78" s="16" t="s">
        <v>55</v>
      </c>
      <c r="C78" s="92"/>
      <c r="D78" s="92"/>
      <c r="E78" s="92"/>
      <c r="F78" s="71"/>
      <c r="G78" s="92"/>
      <c r="H78" s="92"/>
      <c r="I78" s="92"/>
      <c r="J78" s="71"/>
      <c r="K78" s="92"/>
      <c r="L78" s="92"/>
      <c r="M78" s="92"/>
      <c r="N78" s="71"/>
      <c r="O78" s="92"/>
      <c r="P78" s="92"/>
      <c r="Q78" s="92"/>
      <c r="R78" s="71"/>
      <c r="S78" s="92"/>
      <c r="T78" s="92"/>
      <c r="U78" s="92"/>
      <c r="V78" s="71"/>
      <c r="W78" s="92"/>
      <c r="X78" s="92"/>
      <c r="Y78" s="92"/>
    </row>
    <row r="79" spans="1:25" x14ac:dyDescent="0.3">
      <c r="A79" s="16" t="s">
        <v>528</v>
      </c>
      <c r="B79" s="16" t="s">
        <v>279</v>
      </c>
      <c r="C79" s="8">
        <v>0</v>
      </c>
      <c r="D79" s="8">
        <v>0</v>
      </c>
      <c r="E79" s="8">
        <v>0</v>
      </c>
      <c r="F79" s="71"/>
      <c r="G79" s="8">
        <v>1</v>
      </c>
      <c r="H79" s="8">
        <v>0</v>
      </c>
      <c r="I79" s="8">
        <v>0</v>
      </c>
      <c r="J79" s="71"/>
      <c r="K79" s="8">
        <v>0</v>
      </c>
      <c r="L79" s="8">
        <v>0</v>
      </c>
      <c r="M79" s="8">
        <v>0</v>
      </c>
      <c r="N79" s="71"/>
      <c r="O79" s="8">
        <v>1</v>
      </c>
      <c r="P79" s="8">
        <v>1</v>
      </c>
      <c r="Q79" s="8">
        <v>0</v>
      </c>
      <c r="R79" s="71"/>
      <c r="S79" s="8">
        <v>1</v>
      </c>
      <c r="T79" s="8">
        <v>0</v>
      </c>
      <c r="U79" s="8">
        <v>0</v>
      </c>
      <c r="V79" s="71"/>
      <c r="W79" s="8">
        <v>1</v>
      </c>
      <c r="X79" s="8">
        <v>0</v>
      </c>
      <c r="Y79" s="8">
        <v>0</v>
      </c>
    </row>
    <row r="80" spans="1:25" x14ac:dyDescent="0.3">
      <c r="A80" s="16" t="s">
        <v>529</v>
      </c>
      <c r="B80" s="16" t="s">
        <v>532</v>
      </c>
      <c r="C80" s="92"/>
      <c r="D80" s="92"/>
      <c r="E80" s="92"/>
      <c r="F80" s="71"/>
      <c r="G80" s="92"/>
      <c r="H80" s="92"/>
      <c r="I80" s="92"/>
      <c r="J80" s="71"/>
      <c r="K80" s="8">
        <v>0</v>
      </c>
      <c r="L80" s="8">
        <v>0</v>
      </c>
      <c r="M80" s="8">
        <v>0</v>
      </c>
      <c r="N80" s="71"/>
      <c r="O80" s="8">
        <v>1</v>
      </c>
      <c r="P80" s="8">
        <v>1</v>
      </c>
      <c r="Q80" s="8">
        <v>2</v>
      </c>
      <c r="R80" s="71"/>
      <c r="S80" s="92"/>
      <c r="T80" s="92"/>
      <c r="U80" s="92"/>
      <c r="V80" s="71"/>
      <c r="W80" s="92"/>
      <c r="X80" s="92"/>
      <c r="Y80" s="92"/>
    </row>
    <row r="81" spans="1:25" x14ac:dyDescent="0.3">
      <c r="A81" s="16" t="s">
        <v>546</v>
      </c>
      <c r="B81" s="16" t="s">
        <v>531</v>
      </c>
      <c r="C81" s="92"/>
      <c r="D81" s="92"/>
      <c r="E81" s="92"/>
      <c r="F81" s="71"/>
      <c r="G81" s="92"/>
      <c r="H81" s="92"/>
      <c r="I81" s="92"/>
      <c r="J81" s="71"/>
      <c r="K81" s="8" t="s">
        <v>681</v>
      </c>
      <c r="L81" s="8">
        <v>0</v>
      </c>
      <c r="M81" s="8">
        <v>0</v>
      </c>
      <c r="N81" s="71"/>
      <c r="O81" s="8" t="s">
        <v>681</v>
      </c>
      <c r="P81" s="8">
        <v>0</v>
      </c>
      <c r="Q81" s="8">
        <v>0</v>
      </c>
      <c r="R81" s="71"/>
      <c r="S81" s="8" t="s">
        <v>681</v>
      </c>
      <c r="T81" s="8">
        <v>0</v>
      </c>
      <c r="U81" s="8">
        <v>0</v>
      </c>
      <c r="V81" s="71"/>
      <c r="W81" s="8" t="s">
        <v>681</v>
      </c>
      <c r="X81" s="8">
        <v>0</v>
      </c>
      <c r="Y81" s="8">
        <v>0</v>
      </c>
    </row>
    <row r="82" spans="1:25" x14ac:dyDescent="0.3">
      <c r="C82" s="8"/>
      <c r="D82" s="8"/>
      <c r="E82" s="8"/>
      <c r="F82" s="71"/>
      <c r="G82" s="8"/>
      <c r="H82" s="8"/>
      <c r="I82" s="8"/>
      <c r="J82" s="71"/>
      <c r="K82" s="8"/>
      <c r="L82" s="8"/>
      <c r="M82" s="8"/>
      <c r="N82" s="71"/>
      <c r="O82" s="8"/>
      <c r="P82" s="8"/>
      <c r="Q82" s="8"/>
      <c r="R82" s="71"/>
      <c r="S82" s="8"/>
      <c r="T82" s="8"/>
      <c r="U82" s="8"/>
      <c r="V82" s="71"/>
      <c r="W82" s="8"/>
      <c r="X82" s="8"/>
      <c r="Y82" s="8"/>
    </row>
    <row r="97" spans="1:27" ht="15" thickBot="1" x14ac:dyDescent="0.35"/>
    <row r="98" spans="1:27" x14ac:dyDescent="0.3">
      <c r="A98" s="16"/>
      <c r="B98" s="16" t="s">
        <v>547</v>
      </c>
      <c r="C98" s="76">
        <v>13</v>
      </c>
      <c r="D98" s="76"/>
      <c r="E98" s="76"/>
      <c r="F98" s="77"/>
      <c r="G98" s="76">
        <v>14</v>
      </c>
      <c r="H98" s="76"/>
      <c r="I98" s="76"/>
      <c r="J98" s="77"/>
      <c r="K98" s="76">
        <v>15</v>
      </c>
      <c r="L98" s="76"/>
      <c r="M98" s="76"/>
      <c r="N98" s="77"/>
      <c r="O98" s="76">
        <v>16</v>
      </c>
      <c r="P98" s="76"/>
      <c r="Q98" s="76"/>
      <c r="R98" s="77"/>
      <c r="S98" s="76">
        <v>17</v>
      </c>
      <c r="T98" s="76"/>
      <c r="U98" s="76"/>
      <c r="V98" s="77"/>
      <c r="W98" s="76">
        <v>18</v>
      </c>
      <c r="X98" s="16"/>
      <c r="Y98" s="16"/>
      <c r="Z98" s="75"/>
      <c r="AA98" s="16"/>
    </row>
    <row r="99" spans="1:27" x14ac:dyDescent="0.3">
      <c r="A99" s="16"/>
      <c r="B99" s="16"/>
      <c r="C99" s="16" t="s">
        <v>656</v>
      </c>
      <c r="D99" s="16"/>
      <c r="E99" s="16"/>
      <c r="F99" s="67"/>
      <c r="G99" s="16" t="s">
        <v>659</v>
      </c>
      <c r="H99" s="16"/>
      <c r="I99" s="16"/>
      <c r="J99" s="67"/>
      <c r="K99" s="16" t="s">
        <v>664</v>
      </c>
      <c r="L99" s="16"/>
      <c r="M99" s="16"/>
      <c r="N99" s="67"/>
      <c r="O99" s="16" t="s">
        <v>666</v>
      </c>
      <c r="P99" s="16"/>
      <c r="Q99" s="16"/>
      <c r="R99" s="67"/>
      <c r="S99" s="16" t="s">
        <v>671</v>
      </c>
      <c r="T99" s="16"/>
      <c r="U99" s="16"/>
      <c r="V99" s="67"/>
      <c r="W99" s="16" t="s">
        <v>670</v>
      </c>
      <c r="X99" s="16"/>
      <c r="Y99" s="16"/>
      <c r="Z99" s="67"/>
      <c r="AA99" s="16"/>
    </row>
    <row r="100" spans="1:27" x14ac:dyDescent="0.3">
      <c r="A100" s="1"/>
      <c r="B100" s="1"/>
      <c r="C100" s="88" t="s">
        <v>657</v>
      </c>
      <c r="D100" s="85" t="s">
        <v>658</v>
      </c>
      <c r="E100" s="1"/>
      <c r="F100" s="68"/>
      <c r="G100" s="74" t="s">
        <v>660</v>
      </c>
      <c r="H100" s="85" t="s">
        <v>661</v>
      </c>
      <c r="I100" s="1"/>
      <c r="J100" s="68"/>
      <c r="K100" s="74" t="s">
        <v>660</v>
      </c>
      <c r="L100" s="85" t="s">
        <v>665</v>
      </c>
      <c r="M100" s="1"/>
      <c r="N100" s="68"/>
      <c r="O100" s="38" t="s">
        <v>667</v>
      </c>
      <c r="P100" s="1" t="s">
        <v>668</v>
      </c>
      <c r="Q100" s="1"/>
      <c r="R100" s="68"/>
      <c r="S100" s="73" t="s">
        <v>763</v>
      </c>
      <c r="T100" s="1" t="s">
        <v>764</v>
      </c>
      <c r="U100" s="1"/>
      <c r="V100" s="68"/>
      <c r="W100" s="74" t="s">
        <v>765</v>
      </c>
      <c r="X100" s="1" t="s">
        <v>766</v>
      </c>
      <c r="Y100" s="1"/>
      <c r="Z100" s="68"/>
      <c r="AA100" s="1"/>
    </row>
    <row r="102" spans="1:27" x14ac:dyDescent="0.3">
      <c r="C102" t="s">
        <v>537</v>
      </c>
      <c r="G102" t="s">
        <v>537</v>
      </c>
      <c r="K102" t="s">
        <v>537</v>
      </c>
      <c r="O102" t="s">
        <v>537</v>
      </c>
      <c r="S102" t="s">
        <v>537</v>
      </c>
      <c r="W102" t="s">
        <v>537</v>
      </c>
    </row>
    <row r="103" spans="1:27" x14ac:dyDescent="0.3">
      <c r="E103" t="s">
        <v>652</v>
      </c>
      <c r="G103" t="s">
        <v>663</v>
      </c>
      <c r="I103" t="s">
        <v>540</v>
      </c>
      <c r="K103" t="s">
        <v>539</v>
      </c>
      <c r="O103" t="s">
        <v>538</v>
      </c>
      <c r="S103" t="s">
        <v>538</v>
      </c>
      <c r="U103" t="s">
        <v>556</v>
      </c>
      <c r="W103" t="s">
        <v>624</v>
      </c>
      <c r="Y103" t="s">
        <v>545</v>
      </c>
    </row>
    <row r="104" spans="1:27" x14ac:dyDescent="0.3">
      <c r="I104" t="s">
        <v>536</v>
      </c>
    </row>
    <row r="105" spans="1:27" x14ac:dyDescent="0.3">
      <c r="C105" t="s">
        <v>543</v>
      </c>
      <c r="G105" t="s">
        <v>543</v>
      </c>
      <c r="K105" t="s">
        <v>543</v>
      </c>
      <c r="O105" t="s">
        <v>543</v>
      </c>
      <c r="S105" t="s">
        <v>543</v>
      </c>
      <c r="W105" t="s">
        <v>543</v>
      </c>
    </row>
    <row r="106" spans="1:27" x14ac:dyDescent="0.3">
      <c r="C106" t="s">
        <v>539</v>
      </c>
      <c r="G106" t="s">
        <v>662</v>
      </c>
      <c r="K106" s="116">
        <v>2</v>
      </c>
      <c r="O106" t="s">
        <v>107</v>
      </c>
      <c r="Q106" t="s">
        <v>669</v>
      </c>
      <c r="S106" s="116">
        <v>2</v>
      </c>
      <c r="U106" t="s">
        <v>647</v>
      </c>
      <c r="W106" s="116">
        <v>2</v>
      </c>
    </row>
    <row r="107" spans="1:27" x14ac:dyDescent="0.3">
      <c r="Q107" t="s">
        <v>540</v>
      </c>
      <c r="U107" t="s">
        <v>693</v>
      </c>
    </row>
    <row r="109" spans="1:27" ht="15" thickBot="1" x14ac:dyDescent="0.35">
      <c r="A109" s="60" t="s">
        <v>517</v>
      </c>
      <c r="B109" s="60"/>
      <c r="C109" s="61" t="s">
        <v>533</v>
      </c>
      <c r="D109" s="61" t="s">
        <v>534</v>
      </c>
      <c r="E109" s="61" t="s">
        <v>535</v>
      </c>
      <c r="F109" s="69"/>
      <c r="G109" s="61" t="s">
        <v>533</v>
      </c>
      <c r="H109" s="61" t="s">
        <v>534</v>
      </c>
      <c r="I109" s="61" t="s">
        <v>535</v>
      </c>
      <c r="J109" s="69"/>
      <c r="K109" s="61" t="s">
        <v>533</v>
      </c>
      <c r="L109" s="61" t="s">
        <v>534</v>
      </c>
      <c r="M109" s="61" t="s">
        <v>535</v>
      </c>
      <c r="N109" s="69"/>
      <c r="O109" s="61" t="s">
        <v>533</v>
      </c>
      <c r="P109" s="61" t="s">
        <v>534</v>
      </c>
      <c r="Q109" s="61" t="s">
        <v>535</v>
      </c>
      <c r="R109" s="69"/>
      <c r="S109" s="61" t="s">
        <v>533</v>
      </c>
      <c r="T109" s="61" t="s">
        <v>534</v>
      </c>
      <c r="U109" s="61" t="s">
        <v>535</v>
      </c>
      <c r="V109" s="69"/>
      <c r="W109" s="61" t="s">
        <v>533</v>
      </c>
      <c r="X109" s="61" t="s">
        <v>534</v>
      </c>
      <c r="Y109" s="61" t="s">
        <v>535</v>
      </c>
      <c r="Z109" s="67"/>
      <c r="AA109" s="60"/>
    </row>
    <row r="110" spans="1:27" ht="3.75" customHeight="1" thickBot="1" x14ac:dyDescent="0.35">
      <c r="A110" s="62"/>
      <c r="B110" s="62"/>
      <c r="C110" s="63"/>
      <c r="D110" s="63"/>
      <c r="E110" s="63"/>
      <c r="F110" s="64"/>
      <c r="G110" s="63"/>
      <c r="H110" s="63"/>
      <c r="I110" s="63"/>
      <c r="J110" s="64"/>
      <c r="K110" s="63"/>
      <c r="L110" s="63"/>
      <c r="M110" s="63"/>
      <c r="N110" s="64"/>
      <c r="O110" s="63"/>
      <c r="P110" s="63"/>
      <c r="Q110" s="63"/>
      <c r="R110" s="64"/>
      <c r="S110" s="63"/>
      <c r="T110" s="63"/>
      <c r="U110" s="63"/>
      <c r="V110" s="64"/>
      <c r="W110" s="63"/>
      <c r="X110" s="63"/>
      <c r="Y110" s="63"/>
      <c r="Z110" s="65"/>
      <c r="AA110" s="62"/>
    </row>
    <row r="111" spans="1:27" x14ac:dyDescent="0.3">
      <c r="A111" s="32" t="s">
        <v>518</v>
      </c>
      <c r="B111" s="32" t="s">
        <v>48</v>
      </c>
      <c r="C111" s="33">
        <v>0</v>
      </c>
      <c r="D111" s="33">
        <v>1</v>
      </c>
      <c r="E111" s="33">
        <v>0</v>
      </c>
      <c r="F111" s="70"/>
      <c r="G111" s="33">
        <v>1</v>
      </c>
      <c r="H111" s="33">
        <v>1</v>
      </c>
      <c r="I111" s="33">
        <v>0</v>
      </c>
      <c r="J111" s="70"/>
      <c r="K111" s="33">
        <v>0</v>
      </c>
      <c r="L111" s="33">
        <v>2</v>
      </c>
      <c r="M111" s="33">
        <v>2</v>
      </c>
      <c r="N111" s="70"/>
      <c r="O111" s="33">
        <v>0</v>
      </c>
      <c r="P111" s="33">
        <v>0</v>
      </c>
      <c r="Q111" s="33">
        <v>0</v>
      </c>
      <c r="R111" s="70"/>
      <c r="S111" s="33">
        <v>1</v>
      </c>
      <c r="T111" s="33">
        <v>0</v>
      </c>
      <c r="U111" s="33">
        <v>2</v>
      </c>
      <c r="V111" s="70"/>
      <c r="W111" s="33">
        <v>0</v>
      </c>
      <c r="X111" s="33">
        <v>0</v>
      </c>
      <c r="Y111" s="33">
        <v>0</v>
      </c>
      <c r="Z111" s="72"/>
      <c r="AA111" s="34"/>
    </row>
    <row r="112" spans="1:27" x14ac:dyDescent="0.3">
      <c r="A112" s="16" t="s">
        <v>519</v>
      </c>
      <c r="B112" s="16" t="s">
        <v>54</v>
      </c>
      <c r="C112" s="8">
        <v>0</v>
      </c>
      <c r="D112" s="8">
        <v>0</v>
      </c>
      <c r="E112" s="8">
        <v>0</v>
      </c>
      <c r="F112" s="71"/>
      <c r="G112" s="8">
        <v>0</v>
      </c>
      <c r="H112" s="8">
        <v>0</v>
      </c>
      <c r="I112" s="8">
        <v>0</v>
      </c>
      <c r="J112" s="71"/>
      <c r="K112" s="92"/>
      <c r="L112" s="92"/>
      <c r="M112" s="92"/>
      <c r="N112" s="71"/>
      <c r="O112" s="92"/>
      <c r="P112" s="92"/>
      <c r="Q112" s="92"/>
      <c r="R112" s="71"/>
      <c r="S112" s="8">
        <v>1</v>
      </c>
      <c r="T112" s="8">
        <v>0</v>
      </c>
      <c r="U112" s="8">
        <v>0</v>
      </c>
      <c r="V112" s="71"/>
      <c r="W112" s="8">
        <v>0</v>
      </c>
      <c r="X112" s="8">
        <v>1</v>
      </c>
      <c r="Y112" s="8">
        <v>0</v>
      </c>
    </row>
    <row r="113" spans="1:25" x14ac:dyDescent="0.3">
      <c r="A113" s="16" t="s">
        <v>520</v>
      </c>
      <c r="B113" s="16" t="s">
        <v>530</v>
      </c>
      <c r="C113" s="92"/>
      <c r="D113" s="92"/>
      <c r="E113" s="92"/>
      <c r="F113" s="71"/>
      <c r="G113" s="92"/>
      <c r="H113" s="92"/>
      <c r="I113" s="92"/>
      <c r="J113" s="71"/>
      <c r="K113" s="8">
        <v>0</v>
      </c>
      <c r="L113" s="8">
        <v>2</v>
      </c>
      <c r="M113" s="8">
        <v>0</v>
      </c>
      <c r="N113" s="71"/>
      <c r="O113" s="8">
        <v>0</v>
      </c>
      <c r="P113" s="8">
        <v>0</v>
      </c>
      <c r="Q113" s="8">
        <v>0</v>
      </c>
      <c r="R113" s="71"/>
      <c r="S113" s="8">
        <v>0</v>
      </c>
      <c r="T113" s="8">
        <v>0</v>
      </c>
      <c r="U113" s="8">
        <v>2</v>
      </c>
      <c r="V113" s="71"/>
      <c r="W113" s="8">
        <v>0</v>
      </c>
      <c r="X113" s="8">
        <v>1</v>
      </c>
      <c r="Y113" s="8">
        <v>2</v>
      </c>
    </row>
    <row r="114" spans="1:25" x14ac:dyDescent="0.3">
      <c r="A114" s="16" t="s">
        <v>521</v>
      </c>
      <c r="B114" s="16" t="s">
        <v>181</v>
      </c>
      <c r="C114" s="8">
        <v>0</v>
      </c>
      <c r="D114" s="8">
        <v>1</v>
      </c>
      <c r="E114" s="8">
        <v>0</v>
      </c>
      <c r="F114" s="71"/>
      <c r="G114" s="8">
        <v>0</v>
      </c>
      <c r="H114" s="8">
        <v>0</v>
      </c>
      <c r="I114" s="8">
        <v>0</v>
      </c>
      <c r="J114" s="71"/>
      <c r="K114" s="8">
        <v>1</v>
      </c>
      <c r="L114" s="8">
        <v>0</v>
      </c>
      <c r="M114" s="8">
        <v>0</v>
      </c>
      <c r="N114" s="71"/>
      <c r="O114" s="8">
        <v>1</v>
      </c>
      <c r="P114" s="8">
        <v>0</v>
      </c>
      <c r="Q114" s="8">
        <v>0</v>
      </c>
      <c r="R114" s="71"/>
      <c r="S114" s="8">
        <v>0</v>
      </c>
      <c r="T114" s="8">
        <v>0</v>
      </c>
      <c r="U114" s="8">
        <v>0</v>
      </c>
      <c r="V114" s="71"/>
      <c r="W114" s="8">
        <v>1</v>
      </c>
      <c r="X114" s="8">
        <v>0</v>
      </c>
      <c r="Y114" s="8">
        <v>0</v>
      </c>
    </row>
    <row r="115" spans="1:25" x14ac:dyDescent="0.3">
      <c r="A115" s="16" t="s">
        <v>522</v>
      </c>
      <c r="B115" s="16" t="s">
        <v>185</v>
      </c>
      <c r="C115" s="8">
        <v>0</v>
      </c>
      <c r="D115" s="8">
        <v>1</v>
      </c>
      <c r="E115" s="8">
        <v>0</v>
      </c>
      <c r="F115" s="71"/>
      <c r="G115" s="8">
        <v>1</v>
      </c>
      <c r="H115" s="8">
        <v>2</v>
      </c>
      <c r="I115" s="8">
        <v>2</v>
      </c>
      <c r="J115" s="71"/>
      <c r="K115" s="8">
        <v>1</v>
      </c>
      <c r="L115" s="8">
        <v>1</v>
      </c>
      <c r="M115" s="8">
        <v>0</v>
      </c>
      <c r="N115" s="71"/>
      <c r="O115" s="8">
        <v>0</v>
      </c>
      <c r="P115" s="8">
        <v>1</v>
      </c>
      <c r="Q115" s="8">
        <v>2</v>
      </c>
      <c r="R115" s="71"/>
      <c r="S115" s="8">
        <v>3</v>
      </c>
      <c r="T115" s="8">
        <v>0</v>
      </c>
      <c r="U115" s="8">
        <v>0</v>
      </c>
      <c r="V115" s="71"/>
      <c r="W115" s="8">
        <v>4</v>
      </c>
      <c r="X115" s="8">
        <v>2</v>
      </c>
      <c r="Y115" s="8">
        <v>4</v>
      </c>
    </row>
    <row r="116" spans="1:25" x14ac:dyDescent="0.3">
      <c r="A116" s="16" t="s">
        <v>523</v>
      </c>
      <c r="B116" s="16" t="s">
        <v>52</v>
      </c>
      <c r="C116" s="8">
        <v>0</v>
      </c>
      <c r="D116" s="8">
        <v>0</v>
      </c>
      <c r="E116" s="8">
        <v>0</v>
      </c>
      <c r="F116" s="71"/>
      <c r="G116" s="8">
        <v>0</v>
      </c>
      <c r="H116" s="8">
        <v>0</v>
      </c>
      <c r="I116" s="8">
        <v>0</v>
      </c>
      <c r="J116" s="71"/>
      <c r="K116" s="8">
        <v>0</v>
      </c>
      <c r="L116" s="8">
        <v>0</v>
      </c>
      <c r="M116" s="8">
        <v>0</v>
      </c>
      <c r="N116" s="71"/>
      <c r="O116" s="8">
        <v>1</v>
      </c>
      <c r="P116" s="8">
        <v>0</v>
      </c>
      <c r="Q116" s="8">
        <v>0</v>
      </c>
      <c r="R116" s="71"/>
      <c r="S116" s="8">
        <v>0</v>
      </c>
      <c r="T116" s="8">
        <v>0</v>
      </c>
      <c r="U116" s="8">
        <v>0</v>
      </c>
      <c r="V116" s="71"/>
      <c r="W116" s="8">
        <v>1</v>
      </c>
      <c r="X116" s="8">
        <v>0</v>
      </c>
      <c r="Y116" s="8">
        <v>2</v>
      </c>
    </row>
    <row r="117" spans="1:25" x14ac:dyDescent="0.3">
      <c r="A117" s="16" t="s">
        <v>676</v>
      </c>
      <c r="B117" s="16" t="s">
        <v>677</v>
      </c>
      <c r="C117" s="92"/>
      <c r="D117" s="92"/>
      <c r="E117" s="92"/>
      <c r="F117" s="71"/>
      <c r="G117" s="92"/>
      <c r="H117" s="92"/>
      <c r="I117" s="92"/>
      <c r="J117" s="71"/>
      <c r="K117" s="92"/>
      <c r="L117" s="92"/>
      <c r="M117" s="92"/>
      <c r="N117" s="71"/>
      <c r="O117" s="92"/>
      <c r="P117" s="92"/>
      <c r="Q117" s="92"/>
      <c r="R117" s="71"/>
      <c r="S117" s="92"/>
      <c r="T117" s="92"/>
      <c r="U117" s="92"/>
      <c r="V117" s="71"/>
      <c r="W117" s="92"/>
      <c r="X117" s="92"/>
      <c r="Y117" s="92"/>
    </row>
    <row r="118" spans="1:25" x14ac:dyDescent="0.3">
      <c r="A118" s="16" t="s">
        <v>672</v>
      </c>
      <c r="B118" s="16" t="s">
        <v>673</v>
      </c>
      <c r="C118" s="8">
        <v>1</v>
      </c>
      <c r="D118" s="8">
        <v>0</v>
      </c>
      <c r="E118" s="8">
        <v>0</v>
      </c>
      <c r="F118" s="71"/>
      <c r="G118" s="8">
        <v>2</v>
      </c>
      <c r="H118" s="8">
        <v>0</v>
      </c>
      <c r="I118" s="8">
        <v>2</v>
      </c>
      <c r="J118" s="71"/>
      <c r="K118" s="8">
        <v>2</v>
      </c>
      <c r="L118" s="8">
        <v>0</v>
      </c>
      <c r="M118" s="8">
        <v>2</v>
      </c>
      <c r="N118" s="71"/>
      <c r="O118" s="8">
        <v>0</v>
      </c>
      <c r="P118" s="8">
        <v>0</v>
      </c>
      <c r="Q118" s="8">
        <v>2</v>
      </c>
      <c r="R118" s="71"/>
      <c r="S118" s="92"/>
      <c r="T118" s="92"/>
      <c r="U118" s="92"/>
      <c r="V118" s="71"/>
      <c r="W118" s="8">
        <v>1</v>
      </c>
      <c r="X118" s="8">
        <v>1</v>
      </c>
      <c r="Y118" s="8">
        <v>0</v>
      </c>
    </row>
    <row r="119" spans="1:25" x14ac:dyDescent="0.3">
      <c r="A119" s="16" t="s">
        <v>524</v>
      </c>
      <c r="B119" s="16" t="s">
        <v>53</v>
      </c>
      <c r="C119" s="8">
        <v>0</v>
      </c>
      <c r="D119" s="8">
        <v>0</v>
      </c>
      <c r="E119" s="8">
        <v>0</v>
      </c>
      <c r="F119" s="71"/>
      <c r="G119" s="8">
        <v>1</v>
      </c>
      <c r="H119" s="8">
        <v>0</v>
      </c>
      <c r="I119" s="8">
        <v>0</v>
      </c>
      <c r="J119" s="71"/>
      <c r="K119" s="8">
        <v>0</v>
      </c>
      <c r="L119" s="8">
        <v>0</v>
      </c>
      <c r="M119" s="8">
        <v>0</v>
      </c>
      <c r="N119" s="71"/>
      <c r="O119" s="8">
        <v>0</v>
      </c>
      <c r="P119" s="8">
        <v>0</v>
      </c>
      <c r="Q119" s="8">
        <v>0</v>
      </c>
      <c r="R119" s="71"/>
      <c r="S119" s="8">
        <v>0</v>
      </c>
      <c r="T119" s="8">
        <v>0</v>
      </c>
      <c r="U119" s="8">
        <v>0</v>
      </c>
      <c r="V119" s="71"/>
      <c r="W119" s="8">
        <v>0</v>
      </c>
      <c r="X119" s="8">
        <v>1</v>
      </c>
      <c r="Y119" s="8">
        <v>0</v>
      </c>
    </row>
    <row r="120" spans="1:25" x14ac:dyDescent="0.3">
      <c r="A120" s="16" t="s">
        <v>525</v>
      </c>
      <c r="B120" s="16" t="s">
        <v>50</v>
      </c>
      <c r="C120" s="8">
        <v>1</v>
      </c>
      <c r="D120" s="8">
        <v>0</v>
      </c>
      <c r="E120" s="8">
        <v>0</v>
      </c>
      <c r="F120" s="71"/>
      <c r="G120" s="8">
        <v>0</v>
      </c>
      <c r="H120" s="8">
        <v>0</v>
      </c>
      <c r="I120" s="8">
        <v>0</v>
      </c>
      <c r="J120" s="71"/>
      <c r="K120" s="8">
        <v>1</v>
      </c>
      <c r="L120" s="8">
        <v>0</v>
      </c>
      <c r="M120" s="8">
        <v>0</v>
      </c>
      <c r="N120" s="71"/>
      <c r="O120" s="8">
        <v>1</v>
      </c>
      <c r="P120" s="8">
        <v>0</v>
      </c>
      <c r="Q120" s="8">
        <v>0</v>
      </c>
      <c r="R120" s="71"/>
      <c r="S120" s="8">
        <v>0</v>
      </c>
      <c r="T120" s="8">
        <v>0</v>
      </c>
      <c r="U120" s="8">
        <v>0</v>
      </c>
      <c r="V120" s="71"/>
      <c r="W120" s="8">
        <v>0</v>
      </c>
      <c r="X120" s="8">
        <v>0</v>
      </c>
      <c r="Y120" s="8">
        <v>0</v>
      </c>
    </row>
    <row r="121" spans="1:25" x14ac:dyDescent="0.3">
      <c r="A121" s="16" t="s">
        <v>674</v>
      </c>
      <c r="B121" s="16" t="s">
        <v>675</v>
      </c>
      <c r="C121" s="92"/>
      <c r="D121" s="92"/>
      <c r="E121" s="92"/>
      <c r="F121" s="71"/>
      <c r="G121" s="8">
        <v>0</v>
      </c>
      <c r="H121" s="8">
        <v>1</v>
      </c>
      <c r="I121" s="8">
        <v>0</v>
      </c>
      <c r="J121" s="71"/>
      <c r="K121" s="8">
        <v>0</v>
      </c>
      <c r="L121" s="8">
        <v>0</v>
      </c>
      <c r="M121" s="8">
        <v>0</v>
      </c>
      <c r="N121" s="71"/>
      <c r="O121" s="8">
        <v>0</v>
      </c>
      <c r="P121" s="8">
        <v>0</v>
      </c>
      <c r="Q121" s="8">
        <v>2</v>
      </c>
      <c r="R121" s="71"/>
      <c r="S121" s="8">
        <v>0</v>
      </c>
      <c r="T121" s="8">
        <v>0</v>
      </c>
      <c r="U121" s="8">
        <v>0</v>
      </c>
      <c r="V121" s="71"/>
      <c r="W121" s="8">
        <v>1</v>
      </c>
      <c r="X121" s="8">
        <v>1</v>
      </c>
      <c r="Y121" s="8">
        <v>0</v>
      </c>
    </row>
    <row r="122" spans="1:25" x14ac:dyDescent="0.3">
      <c r="A122" s="16" t="s">
        <v>526</v>
      </c>
      <c r="B122" s="16" t="s">
        <v>278</v>
      </c>
      <c r="C122" s="8">
        <v>0</v>
      </c>
      <c r="D122" s="8">
        <v>0</v>
      </c>
      <c r="E122" s="8">
        <v>0</v>
      </c>
      <c r="F122" s="71"/>
      <c r="G122" s="8">
        <v>0</v>
      </c>
      <c r="H122" s="8">
        <v>0</v>
      </c>
      <c r="I122" s="8">
        <v>0</v>
      </c>
      <c r="J122" s="71"/>
      <c r="K122" s="92"/>
      <c r="L122" s="92"/>
      <c r="M122" s="92"/>
      <c r="N122" s="71"/>
      <c r="O122" s="92"/>
      <c r="P122" s="92"/>
      <c r="Q122" s="92"/>
      <c r="R122" s="71"/>
      <c r="S122" s="8">
        <v>0</v>
      </c>
      <c r="T122" s="8">
        <v>1</v>
      </c>
      <c r="U122" s="8">
        <v>2</v>
      </c>
      <c r="V122" s="71"/>
      <c r="W122" s="8">
        <v>1</v>
      </c>
      <c r="X122" s="8">
        <v>1</v>
      </c>
      <c r="Y122" s="8">
        <v>0</v>
      </c>
    </row>
    <row r="123" spans="1:25" x14ac:dyDescent="0.3">
      <c r="A123" s="16" t="s">
        <v>679</v>
      </c>
      <c r="B123" s="16" t="s">
        <v>680</v>
      </c>
      <c r="C123" s="92"/>
      <c r="D123" s="92"/>
      <c r="E123" s="92"/>
      <c r="F123" s="71"/>
      <c r="G123" s="92"/>
      <c r="H123" s="92"/>
      <c r="I123" s="92"/>
      <c r="J123" s="71"/>
      <c r="K123" s="92"/>
      <c r="L123" s="92"/>
      <c r="M123" s="92"/>
      <c r="N123" s="71"/>
      <c r="O123" s="92"/>
      <c r="P123" s="92"/>
      <c r="Q123" s="92"/>
      <c r="R123" s="71"/>
      <c r="S123" s="8">
        <v>0</v>
      </c>
      <c r="T123" s="8">
        <v>2</v>
      </c>
      <c r="U123" s="8">
        <v>0</v>
      </c>
      <c r="V123" s="71"/>
      <c r="W123" s="8">
        <v>0</v>
      </c>
      <c r="X123" s="8">
        <v>0</v>
      </c>
      <c r="Y123" s="8">
        <v>0</v>
      </c>
    </row>
    <row r="124" spans="1:25" x14ac:dyDescent="0.3">
      <c r="A124" s="16" t="s">
        <v>527</v>
      </c>
      <c r="B124" s="16" t="s">
        <v>56</v>
      </c>
      <c r="C124" s="92"/>
      <c r="D124" s="92"/>
      <c r="E124" s="92"/>
      <c r="F124" s="71"/>
      <c r="G124" s="92"/>
      <c r="H124" s="92"/>
      <c r="I124" s="92"/>
      <c r="J124" s="71"/>
      <c r="K124" s="92"/>
      <c r="L124" s="92"/>
      <c r="M124" s="92"/>
      <c r="N124" s="71"/>
      <c r="O124" s="92"/>
      <c r="P124" s="92"/>
      <c r="Q124" s="92"/>
      <c r="R124" s="71"/>
      <c r="S124" s="92"/>
      <c r="T124" s="92"/>
      <c r="U124" s="92"/>
      <c r="V124" s="71"/>
      <c r="W124" s="92"/>
      <c r="X124" s="92"/>
      <c r="Y124" s="92"/>
    </row>
    <row r="125" spans="1:25" x14ac:dyDescent="0.3">
      <c r="A125" s="16" t="s">
        <v>678</v>
      </c>
      <c r="B125" s="16" t="s">
        <v>55</v>
      </c>
      <c r="C125" s="92"/>
      <c r="D125" s="92"/>
      <c r="E125" s="92"/>
      <c r="F125" s="71"/>
      <c r="G125" s="92"/>
      <c r="H125" s="92"/>
      <c r="I125" s="92"/>
      <c r="J125" s="71"/>
      <c r="K125" s="92"/>
      <c r="L125" s="92"/>
      <c r="M125" s="92"/>
      <c r="N125" s="71"/>
      <c r="O125" s="92"/>
      <c r="P125" s="92"/>
      <c r="Q125" s="92"/>
      <c r="R125" s="71"/>
      <c r="S125" s="92"/>
      <c r="T125" s="92"/>
      <c r="U125" s="92"/>
      <c r="V125" s="71"/>
      <c r="W125" s="92"/>
      <c r="X125" s="92"/>
      <c r="Y125" s="92"/>
    </row>
    <row r="126" spans="1:25" x14ac:dyDescent="0.3">
      <c r="A126" s="16" t="s">
        <v>528</v>
      </c>
      <c r="B126" s="16" t="s">
        <v>279</v>
      </c>
      <c r="C126" s="8">
        <v>1</v>
      </c>
      <c r="D126" s="8">
        <v>0</v>
      </c>
      <c r="E126" s="8">
        <v>0</v>
      </c>
      <c r="F126" s="71"/>
      <c r="G126" s="8">
        <v>0</v>
      </c>
      <c r="H126" s="8">
        <v>0</v>
      </c>
      <c r="I126" s="8">
        <v>0</v>
      </c>
      <c r="J126" s="71"/>
      <c r="K126" s="8">
        <v>0</v>
      </c>
      <c r="L126" s="8">
        <v>0</v>
      </c>
      <c r="M126" s="8">
        <v>0</v>
      </c>
      <c r="N126" s="71"/>
      <c r="O126" s="8">
        <v>0</v>
      </c>
      <c r="P126" s="8">
        <v>1</v>
      </c>
      <c r="Q126" s="8">
        <v>0</v>
      </c>
      <c r="R126" s="71"/>
      <c r="S126" s="92"/>
      <c r="T126" s="92"/>
      <c r="U126" s="92"/>
      <c r="V126" s="71"/>
      <c r="W126" s="92"/>
      <c r="X126" s="92"/>
      <c r="Y126" s="92"/>
    </row>
    <row r="127" spans="1:25" x14ac:dyDescent="0.3">
      <c r="A127" s="16" t="s">
        <v>529</v>
      </c>
      <c r="B127" s="16" t="s">
        <v>532</v>
      </c>
      <c r="C127" s="92"/>
      <c r="D127" s="92"/>
      <c r="E127" s="92"/>
      <c r="F127" s="71"/>
      <c r="G127" s="92"/>
      <c r="H127" s="92"/>
      <c r="I127" s="92"/>
      <c r="J127" s="71"/>
      <c r="K127" s="92"/>
      <c r="L127" s="92"/>
      <c r="M127" s="92"/>
      <c r="N127" s="71"/>
      <c r="O127" s="92"/>
      <c r="P127" s="92"/>
      <c r="Q127" s="92"/>
      <c r="R127" s="71"/>
      <c r="S127" s="8">
        <v>0</v>
      </c>
      <c r="T127" s="8">
        <v>0</v>
      </c>
      <c r="U127" s="8">
        <v>0</v>
      </c>
      <c r="V127" s="71"/>
      <c r="W127" s="8">
        <v>1</v>
      </c>
      <c r="X127" s="8">
        <v>0</v>
      </c>
      <c r="Y127" s="8">
        <v>0</v>
      </c>
    </row>
    <row r="128" spans="1:25" x14ac:dyDescent="0.3">
      <c r="A128" s="16" t="s">
        <v>546</v>
      </c>
      <c r="B128" s="16" t="s">
        <v>531</v>
      </c>
      <c r="C128" s="8" t="s">
        <v>681</v>
      </c>
      <c r="D128" s="8">
        <v>0</v>
      </c>
      <c r="E128" s="8">
        <v>0</v>
      </c>
      <c r="F128" s="71"/>
      <c r="G128" s="8" t="s">
        <v>681</v>
      </c>
      <c r="H128" s="8">
        <v>0</v>
      </c>
      <c r="I128" s="8">
        <v>0</v>
      </c>
      <c r="J128" s="71"/>
      <c r="K128" s="8" t="s">
        <v>681</v>
      </c>
      <c r="L128" s="8">
        <v>0</v>
      </c>
      <c r="M128" s="8">
        <v>0</v>
      </c>
      <c r="N128" s="71"/>
      <c r="O128" s="8" t="s">
        <v>681</v>
      </c>
      <c r="P128" s="8">
        <v>0</v>
      </c>
      <c r="Q128" s="8">
        <v>0</v>
      </c>
      <c r="R128" s="71"/>
      <c r="S128" s="8" t="s">
        <v>681</v>
      </c>
      <c r="T128" s="8">
        <v>0</v>
      </c>
      <c r="U128" s="8">
        <v>0</v>
      </c>
      <c r="V128" s="71"/>
      <c r="W128" s="8" t="s">
        <v>681</v>
      </c>
      <c r="X128" s="8">
        <v>0</v>
      </c>
      <c r="Y128" s="8">
        <v>0</v>
      </c>
    </row>
    <row r="129" spans="1:25" x14ac:dyDescent="0.3">
      <c r="C129" s="8"/>
      <c r="D129" s="8"/>
      <c r="E129" s="8"/>
      <c r="F129" s="71"/>
      <c r="G129" s="8"/>
      <c r="H129" s="8"/>
      <c r="I129" s="8"/>
      <c r="J129" s="71"/>
      <c r="K129" s="8"/>
      <c r="L129" s="8"/>
      <c r="M129" s="8"/>
      <c r="N129" s="71"/>
      <c r="O129" s="8"/>
      <c r="P129" s="8"/>
      <c r="Q129" s="8"/>
      <c r="R129" s="71"/>
      <c r="S129" s="8"/>
      <c r="T129" s="8"/>
      <c r="U129" s="8"/>
      <c r="V129" s="71"/>
      <c r="W129" s="8"/>
      <c r="X129" s="8"/>
      <c r="Y129" s="8"/>
    </row>
    <row r="131" spans="1:25" ht="13.5" customHeight="1" x14ac:dyDescent="0.3">
      <c r="A131" s="95"/>
      <c r="B131" s="96" t="s">
        <v>583</v>
      </c>
      <c r="C131" s="95"/>
      <c r="D131" s="95"/>
      <c r="E131" s="95"/>
    </row>
    <row r="132" spans="1:25" ht="13.5" customHeight="1" thickBot="1" x14ac:dyDescent="0.35">
      <c r="A132" s="95"/>
      <c r="B132" s="95"/>
      <c r="C132" s="97" t="s">
        <v>533</v>
      </c>
      <c r="D132" s="97" t="s">
        <v>534</v>
      </c>
      <c r="E132" s="98" t="s">
        <v>535</v>
      </c>
    </row>
    <row r="133" spans="1:25" ht="13.5" customHeight="1" x14ac:dyDescent="0.3">
      <c r="A133" s="99" t="s">
        <v>518</v>
      </c>
      <c r="B133" s="99" t="s">
        <v>48</v>
      </c>
      <c r="C133" s="100">
        <f t="shared" ref="C133:E134" si="0">C22+G22+K22+O22+S22+W22+C64+G64+K64+O64+S64+W64+C111+G111+K111+O111+S111+W111</f>
        <v>2</v>
      </c>
      <c r="D133" s="100">
        <f t="shared" si="0"/>
        <v>8</v>
      </c>
      <c r="E133" s="100">
        <f t="shared" si="0"/>
        <v>6</v>
      </c>
      <c r="G133">
        <v>2</v>
      </c>
      <c r="H133">
        <v>8</v>
      </c>
      <c r="I133">
        <v>6</v>
      </c>
    </row>
    <row r="134" spans="1:25" ht="13.5" customHeight="1" x14ac:dyDescent="0.3">
      <c r="A134" s="101" t="s">
        <v>519</v>
      </c>
      <c r="B134" s="101" t="s">
        <v>54</v>
      </c>
      <c r="C134" s="100">
        <f t="shared" si="0"/>
        <v>2</v>
      </c>
      <c r="D134" s="100">
        <f t="shared" si="0"/>
        <v>1</v>
      </c>
      <c r="E134" s="100">
        <f t="shared" si="0"/>
        <v>0</v>
      </c>
      <c r="G134">
        <v>2</v>
      </c>
      <c r="H134">
        <v>1</v>
      </c>
      <c r="I134">
        <v>0</v>
      </c>
    </row>
    <row r="135" spans="1:25" ht="13.5" customHeight="1" x14ac:dyDescent="0.3">
      <c r="A135" s="101" t="s">
        <v>520</v>
      </c>
      <c r="B135" s="101" t="s">
        <v>530</v>
      </c>
      <c r="C135" s="100">
        <f t="shared" ref="C135:C149" si="1">C24+G24+K24+O24+S24+W24+C66+G66+K66+O66+S66+W66+C113+G113+K113+O113+S113+W113</f>
        <v>1</v>
      </c>
      <c r="D135" s="100">
        <f t="shared" ref="D135:D150" si="2">D24+H24+L24+P24+T24+X24+D66+H66+L66+P66+T66+X66+D113+H113+L113+P113+T113+X113</f>
        <v>8</v>
      </c>
      <c r="E135" s="100">
        <f t="shared" ref="E135:E150" si="3">E24+I24+M24+Q24+U24+Y24+E66+I66+M66+Q66+U66+Y66+E113+I113+M113+Q113+U113+Y113</f>
        <v>8</v>
      </c>
      <c r="G135">
        <v>1</v>
      </c>
      <c r="H135">
        <v>8</v>
      </c>
      <c r="I135">
        <v>8</v>
      </c>
    </row>
    <row r="136" spans="1:25" ht="13.5" customHeight="1" x14ac:dyDescent="0.3">
      <c r="A136" s="101" t="s">
        <v>521</v>
      </c>
      <c r="B136" s="101" t="s">
        <v>181</v>
      </c>
      <c r="C136" s="100">
        <f t="shared" si="1"/>
        <v>5</v>
      </c>
      <c r="D136" s="100">
        <f t="shared" si="2"/>
        <v>1</v>
      </c>
      <c r="E136" s="100">
        <f t="shared" si="3"/>
        <v>2</v>
      </c>
      <c r="G136">
        <v>5</v>
      </c>
      <c r="H136">
        <v>1</v>
      </c>
      <c r="I136">
        <v>2</v>
      </c>
    </row>
    <row r="137" spans="1:25" ht="13.5" customHeight="1" x14ac:dyDescent="0.3">
      <c r="A137" s="101" t="s">
        <v>522</v>
      </c>
      <c r="B137" s="101" t="s">
        <v>185</v>
      </c>
      <c r="C137" s="100">
        <f t="shared" si="1"/>
        <v>20</v>
      </c>
      <c r="D137" s="100">
        <f t="shared" si="2"/>
        <v>20</v>
      </c>
      <c r="E137" s="100">
        <f t="shared" si="3"/>
        <v>14</v>
      </c>
      <c r="G137">
        <v>20</v>
      </c>
      <c r="H137">
        <v>20</v>
      </c>
      <c r="I137">
        <v>14</v>
      </c>
    </row>
    <row r="138" spans="1:25" ht="13.5" customHeight="1" x14ac:dyDescent="0.3">
      <c r="A138" s="101" t="s">
        <v>523</v>
      </c>
      <c r="B138" s="101" t="s">
        <v>52</v>
      </c>
      <c r="C138" s="100">
        <f t="shared" si="1"/>
        <v>2</v>
      </c>
      <c r="D138" s="100">
        <f t="shared" si="2"/>
        <v>0</v>
      </c>
      <c r="E138" s="100">
        <f t="shared" si="3"/>
        <v>2</v>
      </c>
      <c r="G138">
        <v>2</v>
      </c>
      <c r="H138">
        <v>0</v>
      </c>
      <c r="I138">
        <v>2</v>
      </c>
    </row>
    <row r="139" spans="1:25" ht="13.5" customHeight="1" x14ac:dyDescent="0.3">
      <c r="A139" s="101" t="s">
        <v>676</v>
      </c>
      <c r="B139" s="101" t="s">
        <v>677</v>
      </c>
      <c r="C139" s="100">
        <f t="shared" si="1"/>
        <v>5</v>
      </c>
      <c r="D139" s="100">
        <f t="shared" si="2"/>
        <v>5</v>
      </c>
      <c r="E139" s="100">
        <f t="shared" si="3"/>
        <v>0</v>
      </c>
      <c r="G139">
        <v>5</v>
      </c>
      <c r="H139">
        <v>5</v>
      </c>
      <c r="I139">
        <v>0</v>
      </c>
    </row>
    <row r="140" spans="1:25" ht="13.5" customHeight="1" x14ac:dyDescent="0.3">
      <c r="A140" s="101" t="s">
        <v>672</v>
      </c>
      <c r="B140" s="101" t="s">
        <v>673</v>
      </c>
      <c r="C140" s="100">
        <f t="shared" si="1"/>
        <v>11</v>
      </c>
      <c r="D140" s="100">
        <f t="shared" si="2"/>
        <v>1</v>
      </c>
      <c r="E140" s="100">
        <f t="shared" si="3"/>
        <v>10</v>
      </c>
      <c r="G140">
        <v>11</v>
      </c>
      <c r="H140">
        <v>1</v>
      </c>
      <c r="I140">
        <v>10</v>
      </c>
    </row>
    <row r="141" spans="1:25" ht="13.5" customHeight="1" x14ac:dyDescent="0.3">
      <c r="A141" s="101" t="s">
        <v>524</v>
      </c>
      <c r="B141" s="101" t="s">
        <v>53</v>
      </c>
      <c r="C141" s="100">
        <f t="shared" si="1"/>
        <v>3</v>
      </c>
      <c r="D141" s="100">
        <f t="shared" si="2"/>
        <v>2</v>
      </c>
      <c r="E141" s="100">
        <f t="shared" si="3"/>
        <v>0</v>
      </c>
      <c r="G141">
        <v>3</v>
      </c>
      <c r="H141">
        <v>2</v>
      </c>
      <c r="I141">
        <v>0</v>
      </c>
    </row>
    <row r="142" spans="1:25" ht="13.5" customHeight="1" x14ac:dyDescent="0.3">
      <c r="A142" s="101" t="s">
        <v>525</v>
      </c>
      <c r="B142" s="101" t="s">
        <v>50</v>
      </c>
      <c r="C142" s="100">
        <f t="shared" si="1"/>
        <v>16</v>
      </c>
      <c r="D142" s="100">
        <f t="shared" si="2"/>
        <v>8</v>
      </c>
      <c r="E142" s="100">
        <f t="shared" si="3"/>
        <v>4</v>
      </c>
      <c r="G142">
        <v>16</v>
      </c>
      <c r="H142">
        <v>8</v>
      </c>
      <c r="I142">
        <v>4</v>
      </c>
    </row>
    <row r="143" spans="1:25" ht="13.5" customHeight="1" x14ac:dyDescent="0.3">
      <c r="A143" s="101" t="s">
        <v>674</v>
      </c>
      <c r="B143" s="101" t="s">
        <v>675</v>
      </c>
      <c r="C143" s="100">
        <f t="shared" si="1"/>
        <v>5</v>
      </c>
      <c r="D143" s="100">
        <f t="shared" si="2"/>
        <v>10</v>
      </c>
      <c r="E143" s="100">
        <f t="shared" si="3"/>
        <v>2</v>
      </c>
      <c r="G143">
        <v>5</v>
      </c>
      <c r="H143">
        <v>10</v>
      </c>
      <c r="I143">
        <v>2</v>
      </c>
    </row>
    <row r="144" spans="1:25" ht="13.5" customHeight="1" x14ac:dyDescent="0.3">
      <c r="A144" s="101" t="s">
        <v>526</v>
      </c>
      <c r="B144" s="101" t="s">
        <v>278</v>
      </c>
      <c r="C144" s="100">
        <f t="shared" si="1"/>
        <v>5</v>
      </c>
      <c r="D144" s="100">
        <f t="shared" si="2"/>
        <v>4</v>
      </c>
      <c r="E144" s="100">
        <f t="shared" si="3"/>
        <v>8</v>
      </c>
      <c r="G144">
        <v>5</v>
      </c>
      <c r="H144">
        <v>4</v>
      </c>
      <c r="I144">
        <v>8</v>
      </c>
    </row>
    <row r="145" spans="1:9" ht="13.5" customHeight="1" x14ac:dyDescent="0.3">
      <c r="A145" s="101" t="s">
        <v>679</v>
      </c>
      <c r="B145" s="101" t="s">
        <v>680</v>
      </c>
      <c r="C145" s="100">
        <f t="shared" si="1"/>
        <v>0</v>
      </c>
      <c r="D145" s="100">
        <f t="shared" si="2"/>
        <v>4</v>
      </c>
      <c r="E145" s="100">
        <f t="shared" si="3"/>
        <v>2</v>
      </c>
      <c r="G145">
        <v>0</v>
      </c>
      <c r="H145">
        <v>4</v>
      </c>
      <c r="I145">
        <v>2</v>
      </c>
    </row>
    <row r="146" spans="1:9" ht="13.5" customHeight="1" x14ac:dyDescent="0.3">
      <c r="A146" s="101" t="s">
        <v>527</v>
      </c>
      <c r="B146" s="101" t="s">
        <v>56</v>
      </c>
      <c r="C146" s="100">
        <f t="shared" si="1"/>
        <v>7</v>
      </c>
      <c r="D146" s="100">
        <f t="shared" si="2"/>
        <v>2</v>
      </c>
      <c r="E146" s="100">
        <f t="shared" si="3"/>
        <v>2</v>
      </c>
      <c r="G146">
        <v>7</v>
      </c>
      <c r="H146">
        <v>2</v>
      </c>
      <c r="I146">
        <v>2</v>
      </c>
    </row>
    <row r="147" spans="1:9" ht="13.5" customHeight="1" x14ac:dyDescent="0.3">
      <c r="A147" s="101" t="s">
        <v>678</v>
      </c>
      <c r="B147" s="101" t="s">
        <v>55</v>
      </c>
      <c r="C147" s="100">
        <f t="shared" si="1"/>
        <v>0</v>
      </c>
      <c r="D147" s="100">
        <f t="shared" si="2"/>
        <v>0</v>
      </c>
      <c r="E147" s="100">
        <f t="shared" si="3"/>
        <v>0</v>
      </c>
      <c r="G147">
        <v>0</v>
      </c>
      <c r="H147">
        <v>0</v>
      </c>
      <c r="I147">
        <v>0</v>
      </c>
    </row>
    <row r="148" spans="1:9" ht="13.5" customHeight="1" x14ac:dyDescent="0.3">
      <c r="A148" s="101" t="s">
        <v>528</v>
      </c>
      <c r="B148" s="101" t="s">
        <v>279</v>
      </c>
      <c r="C148" s="100">
        <f t="shared" si="1"/>
        <v>7</v>
      </c>
      <c r="D148" s="100">
        <f t="shared" si="2"/>
        <v>3</v>
      </c>
      <c r="E148" s="100">
        <f t="shared" si="3"/>
        <v>0</v>
      </c>
      <c r="G148">
        <v>7</v>
      </c>
      <c r="H148">
        <v>3</v>
      </c>
      <c r="I148">
        <v>0</v>
      </c>
    </row>
    <row r="149" spans="1:9" ht="13.5" customHeight="1" x14ac:dyDescent="0.3">
      <c r="A149" s="101" t="s">
        <v>529</v>
      </c>
      <c r="B149" s="101" t="s">
        <v>532</v>
      </c>
      <c r="C149" s="100">
        <f t="shared" si="1"/>
        <v>4</v>
      </c>
      <c r="D149" s="100">
        <f t="shared" si="2"/>
        <v>2</v>
      </c>
      <c r="E149" s="100">
        <f t="shared" si="3"/>
        <v>2</v>
      </c>
      <c r="G149">
        <v>4</v>
      </c>
      <c r="H149">
        <v>2</v>
      </c>
      <c r="I149">
        <v>2</v>
      </c>
    </row>
    <row r="150" spans="1:9" ht="13.5" customHeight="1" x14ac:dyDescent="0.3">
      <c r="A150" s="101" t="s">
        <v>546</v>
      </c>
      <c r="B150" s="101" t="s">
        <v>531</v>
      </c>
      <c r="C150" s="100" t="s">
        <v>681</v>
      </c>
      <c r="D150" s="100">
        <f t="shared" si="2"/>
        <v>1</v>
      </c>
      <c r="E150" s="100">
        <f t="shared" si="3"/>
        <v>0</v>
      </c>
      <c r="G150" t="s">
        <v>681</v>
      </c>
      <c r="H150">
        <v>1</v>
      </c>
      <c r="I150">
        <v>0</v>
      </c>
    </row>
  </sheetData>
  <phoneticPr fontId="10" type="noConversion"/>
  <pageMargins left="0" right="0" top="0" bottom="0" header="0" footer="0"/>
  <pageSetup paperSize="9" scale="38" orientation="portrait" r:id="rId1"/>
  <headerFooter alignWithMargins="0"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ignoredErrors>
    <ignoredError sqref="C145" evalError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160"/>
  <sheetViews>
    <sheetView workbookViewId="0">
      <selection activeCell="B15" sqref="B15"/>
    </sheetView>
  </sheetViews>
  <sheetFormatPr defaultRowHeight="14.4" x14ac:dyDescent="0.3"/>
  <cols>
    <col min="1" max="1" width="4" customWidth="1"/>
    <col min="2" max="2" width="21.33203125" customWidth="1"/>
    <col min="3" max="5" width="7.109375" customWidth="1"/>
    <col min="6" max="6" width="0.6640625" style="66" customWidth="1"/>
    <col min="7" max="9" width="7.109375" customWidth="1"/>
    <col min="10" max="10" width="0.6640625" style="66" customWidth="1"/>
    <col min="11" max="13" width="7.109375" customWidth="1"/>
    <col min="14" max="14" width="0.6640625" style="66" customWidth="1"/>
    <col min="15" max="17" width="7.109375" customWidth="1"/>
    <col min="18" max="18" width="0.6640625" style="66" customWidth="1"/>
    <col min="19" max="21" width="7.109375" customWidth="1"/>
    <col min="22" max="22" width="0.6640625" style="66" customWidth="1"/>
    <col min="23" max="25" width="7.109375" customWidth="1"/>
    <col min="26" max="26" width="0.6640625" style="66" customWidth="1"/>
  </cols>
  <sheetData>
    <row r="1" spans="1:26" ht="21" x14ac:dyDescent="0.4">
      <c r="A1" s="94" t="s">
        <v>0</v>
      </c>
      <c r="B1" s="94"/>
      <c r="F1"/>
      <c r="J1"/>
      <c r="N1"/>
      <c r="R1"/>
      <c r="V1"/>
      <c r="Z1"/>
    </row>
    <row r="2" spans="1:26" ht="21" x14ac:dyDescent="0.4">
      <c r="A2" s="148" t="s">
        <v>776</v>
      </c>
      <c r="B2" s="94"/>
      <c r="F2"/>
      <c r="J2"/>
      <c r="N2"/>
      <c r="R2"/>
      <c r="V2"/>
      <c r="Z2"/>
    </row>
    <row r="3" spans="1:26" x14ac:dyDescent="0.3">
      <c r="F3"/>
      <c r="J3"/>
      <c r="N3"/>
      <c r="R3"/>
      <c r="V3"/>
      <c r="Z3"/>
    </row>
    <row r="4" spans="1:26" x14ac:dyDescent="0.3">
      <c r="B4" s="16" t="s">
        <v>516</v>
      </c>
      <c r="C4" s="116">
        <v>18</v>
      </c>
      <c r="F4"/>
      <c r="J4"/>
      <c r="M4" s="86"/>
      <c r="N4"/>
      <c r="R4"/>
      <c r="V4"/>
      <c r="Z4"/>
    </row>
    <row r="5" spans="1:26" x14ac:dyDescent="0.3">
      <c r="B5" s="16" t="s">
        <v>135</v>
      </c>
      <c r="C5" s="116">
        <v>7</v>
      </c>
      <c r="E5" s="16" t="s">
        <v>553</v>
      </c>
      <c r="F5"/>
      <c r="H5" s="116">
        <v>18</v>
      </c>
      <c r="J5"/>
      <c r="N5"/>
      <c r="R5"/>
      <c r="V5"/>
      <c r="Z5"/>
    </row>
    <row r="6" spans="1:26" x14ac:dyDescent="0.3">
      <c r="B6" s="16" t="s">
        <v>137</v>
      </c>
      <c r="C6" s="116">
        <v>3</v>
      </c>
      <c r="E6" s="16" t="s">
        <v>554</v>
      </c>
      <c r="F6"/>
      <c r="H6" s="116">
        <v>15</v>
      </c>
      <c r="J6"/>
      <c r="N6"/>
      <c r="O6" s="87"/>
      <c r="R6"/>
      <c r="V6"/>
      <c r="Z6"/>
    </row>
    <row r="7" spans="1:26" x14ac:dyDescent="0.3">
      <c r="B7" s="16" t="s">
        <v>136</v>
      </c>
      <c r="C7" s="116">
        <v>8</v>
      </c>
      <c r="E7" s="16" t="s">
        <v>555</v>
      </c>
      <c r="F7"/>
      <c r="H7" s="116">
        <v>21</v>
      </c>
      <c r="J7"/>
      <c r="N7"/>
      <c r="R7"/>
      <c r="V7"/>
      <c r="Z7"/>
    </row>
    <row r="8" spans="1:26" ht="15" thickBot="1" x14ac:dyDescent="0.35">
      <c r="F8"/>
      <c r="J8"/>
      <c r="N8"/>
      <c r="R8"/>
      <c r="V8"/>
      <c r="Z8"/>
    </row>
    <row r="9" spans="1:26" s="16" customFormat="1" x14ac:dyDescent="0.3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3">
      <c r="C10" s="16" t="s">
        <v>777</v>
      </c>
      <c r="F10" s="67"/>
      <c r="G10" s="16" t="s">
        <v>780</v>
      </c>
      <c r="J10" s="67"/>
      <c r="K10" s="16" t="s">
        <v>784</v>
      </c>
      <c r="N10" s="67"/>
      <c r="O10" s="16" t="s">
        <v>788</v>
      </c>
      <c r="R10" s="67"/>
      <c r="S10" s="16" t="s">
        <v>787</v>
      </c>
      <c r="V10" s="67"/>
      <c r="W10" s="16" t="s">
        <v>789</v>
      </c>
      <c r="Z10" s="67"/>
    </row>
    <row r="11" spans="1:26" s="16" customFormat="1" x14ac:dyDescent="0.3">
      <c r="C11" s="155" t="s">
        <v>819</v>
      </c>
      <c r="F11" s="67"/>
      <c r="G11" s="155" t="s">
        <v>819</v>
      </c>
      <c r="J11" s="67"/>
      <c r="K11" s="155" t="s">
        <v>821</v>
      </c>
      <c r="N11" s="67"/>
      <c r="O11" s="155" t="s">
        <v>822</v>
      </c>
      <c r="R11" s="67"/>
      <c r="S11" s="155" t="s">
        <v>822</v>
      </c>
      <c r="V11" s="67"/>
      <c r="W11" s="155" t="s">
        <v>823</v>
      </c>
      <c r="Z11" s="67"/>
    </row>
    <row r="12" spans="1:26" s="16" customFormat="1" x14ac:dyDescent="0.3">
      <c r="C12" s="16" t="s">
        <v>796</v>
      </c>
      <c r="F12" s="67"/>
      <c r="G12" s="16" t="s">
        <v>796</v>
      </c>
      <c r="J12" s="67"/>
      <c r="K12" s="16" t="s">
        <v>813</v>
      </c>
      <c r="N12" s="67"/>
      <c r="O12" s="16" t="s">
        <v>794</v>
      </c>
      <c r="R12" s="67"/>
      <c r="S12" s="16" t="s">
        <v>794</v>
      </c>
      <c r="V12" s="67"/>
      <c r="W12" s="16" t="s">
        <v>796</v>
      </c>
      <c r="Z12" s="67"/>
    </row>
    <row r="13" spans="1:26" s="1" customFormat="1" x14ac:dyDescent="0.3">
      <c r="C13" s="165" t="s">
        <v>164</v>
      </c>
      <c r="D13" s="85" t="s">
        <v>826</v>
      </c>
      <c r="F13" s="68"/>
      <c r="G13" s="162" t="s">
        <v>781</v>
      </c>
      <c r="H13" s="85" t="s">
        <v>830</v>
      </c>
      <c r="J13" s="68"/>
      <c r="K13" s="162" t="s">
        <v>785</v>
      </c>
      <c r="L13" s="1" t="s">
        <v>831</v>
      </c>
      <c r="N13" s="68"/>
      <c r="O13" s="165" t="s">
        <v>825</v>
      </c>
      <c r="P13" s="1" t="s">
        <v>827</v>
      </c>
      <c r="R13" s="68"/>
      <c r="S13" s="164" t="s">
        <v>574</v>
      </c>
      <c r="T13" s="1" t="s">
        <v>828</v>
      </c>
      <c r="V13" s="68"/>
      <c r="W13" s="166" t="s">
        <v>824</v>
      </c>
      <c r="X13" s="1" t="s">
        <v>832</v>
      </c>
      <c r="Z13" s="68"/>
    </row>
    <row r="15" spans="1:26" x14ac:dyDescent="0.3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3">
      <c r="C16" s="116" t="s">
        <v>804</v>
      </c>
      <c r="E16" t="s">
        <v>637</v>
      </c>
      <c r="G16" t="s">
        <v>820</v>
      </c>
      <c r="K16" t="s">
        <v>107</v>
      </c>
      <c r="O16" t="s">
        <v>107</v>
      </c>
      <c r="S16" s="116" t="s">
        <v>501</v>
      </c>
      <c r="W16" s="116" t="s">
        <v>501</v>
      </c>
    </row>
    <row r="17" spans="1:37" x14ac:dyDescent="0.3">
      <c r="I17" t="s">
        <v>782</v>
      </c>
    </row>
    <row r="18" spans="1:37" x14ac:dyDescent="0.3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3">
      <c r="C19" s="116" t="s">
        <v>805</v>
      </c>
      <c r="E19" t="s">
        <v>540</v>
      </c>
      <c r="G19" t="s">
        <v>501</v>
      </c>
      <c r="I19" t="s">
        <v>783</v>
      </c>
      <c r="K19" s="116" t="s">
        <v>107</v>
      </c>
      <c r="O19" t="s">
        <v>501</v>
      </c>
      <c r="S19" t="s">
        <v>107</v>
      </c>
      <c r="W19" s="116" t="s">
        <v>501</v>
      </c>
    </row>
    <row r="22" spans="1:37" s="60" customFormat="1" ht="15" thickBot="1" x14ac:dyDescent="0.35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5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3">
      <c r="A24" s="78" t="s">
        <v>518</v>
      </c>
      <c r="B24" s="78" t="s">
        <v>48</v>
      </c>
      <c r="C24" s="79">
        <v>0</v>
      </c>
      <c r="D24" s="79">
        <v>0</v>
      </c>
      <c r="E24" s="79">
        <v>0</v>
      </c>
      <c r="F24" s="80"/>
      <c r="G24" s="79">
        <v>0</v>
      </c>
      <c r="H24" s="79">
        <v>0</v>
      </c>
      <c r="I24" s="79">
        <v>0</v>
      </c>
      <c r="J24" s="80"/>
      <c r="K24" s="82">
        <v>0</v>
      </c>
      <c r="L24" s="82">
        <v>0</v>
      </c>
      <c r="M24" s="82">
        <v>0</v>
      </c>
      <c r="N24" s="80"/>
      <c r="O24" s="79">
        <v>0</v>
      </c>
      <c r="P24" s="79">
        <v>0</v>
      </c>
      <c r="Q24" s="79">
        <v>0</v>
      </c>
      <c r="R24" s="80"/>
      <c r="S24" s="82">
        <v>0</v>
      </c>
      <c r="T24" s="82">
        <v>1</v>
      </c>
      <c r="U24" s="82">
        <v>0</v>
      </c>
      <c r="V24" s="80"/>
      <c r="W24" s="82">
        <v>0</v>
      </c>
      <c r="X24" s="82">
        <v>0</v>
      </c>
      <c r="Y24" s="82">
        <v>0</v>
      </c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3">
      <c r="A25" s="81" t="s">
        <v>519</v>
      </c>
      <c r="B25" s="81" t="s">
        <v>54</v>
      </c>
      <c r="C25" s="91"/>
      <c r="D25" s="91"/>
      <c r="E25" s="91"/>
      <c r="F25" s="83"/>
      <c r="G25" s="91"/>
      <c r="H25" s="91"/>
      <c r="I25" s="91"/>
      <c r="J25" s="83"/>
      <c r="K25" s="91"/>
      <c r="L25" s="91"/>
      <c r="M25" s="91"/>
      <c r="N25" s="83"/>
      <c r="O25" s="91"/>
      <c r="P25" s="91"/>
      <c r="Q25" s="91"/>
      <c r="R25" s="83"/>
      <c r="S25" s="91"/>
      <c r="T25" s="91"/>
      <c r="U25" s="91"/>
      <c r="V25" s="83"/>
      <c r="W25" s="91"/>
      <c r="X25" s="91"/>
      <c r="Y25" s="91"/>
    </row>
    <row r="26" spans="1:37" x14ac:dyDescent="0.3">
      <c r="A26" s="81" t="s">
        <v>520</v>
      </c>
      <c r="B26" s="81" t="s">
        <v>530</v>
      </c>
      <c r="C26" s="149"/>
      <c r="D26" s="149"/>
      <c r="E26" s="149"/>
      <c r="F26" s="83"/>
      <c r="G26" s="149"/>
      <c r="H26" s="149"/>
      <c r="I26" s="149"/>
      <c r="J26" s="83"/>
      <c r="K26" s="149"/>
      <c r="L26" s="149"/>
      <c r="M26" s="149"/>
      <c r="N26" s="83"/>
      <c r="O26" s="149"/>
      <c r="P26" s="149"/>
      <c r="Q26" s="149"/>
      <c r="R26" s="83"/>
      <c r="S26" s="149"/>
      <c r="T26" s="149"/>
      <c r="U26" s="149"/>
      <c r="V26" s="83"/>
      <c r="W26" s="149"/>
      <c r="X26" s="149"/>
      <c r="Y26" s="149"/>
    </row>
    <row r="27" spans="1:37" x14ac:dyDescent="0.3">
      <c r="A27" s="81" t="s">
        <v>521</v>
      </c>
      <c r="B27" s="81" t="s">
        <v>181</v>
      </c>
      <c r="C27" s="82">
        <v>0</v>
      </c>
      <c r="D27" s="82">
        <v>1</v>
      </c>
      <c r="E27" s="82">
        <v>0</v>
      </c>
      <c r="F27" s="83"/>
      <c r="G27" s="82">
        <v>1</v>
      </c>
      <c r="H27" s="82">
        <v>1</v>
      </c>
      <c r="I27" s="82">
        <v>0</v>
      </c>
      <c r="J27" s="83"/>
      <c r="K27" s="82">
        <v>0</v>
      </c>
      <c r="L27" s="82">
        <v>0</v>
      </c>
      <c r="M27" s="82">
        <v>0</v>
      </c>
      <c r="N27" s="83"/>
      <c r="O27" s="82">
        <v>0</v>
      </c>
      <c r="P27" s="82">
        <v>0</v>
      </c>
      <c r="Q27" s="82">
        <v>0</v>
      </c>
      <c r="R27" s="83"/>
      <c r="S27" s="82">
        <v>0</v>
      </c>
      <c r="T27" s="82">
        <v>1</v>
      </c>
      <c r="U27" s="82">
        <v>0</v>
      </c>
      <c r="V27" s="83"/>
      <c r="W27" s="82">
        <v>1</v>
      </c>
      <c r="X27" s="82">
        <v>0</v>
      </c>
      <c r="Y27" s="84">
        <v>0</v>
      </c>
    </row>
    <row r="28" spans="1:37" x14ac:dyDescent="0.3">
      <c r="A28" s="81" t="s">
        <v>522</v>
      </c>
      <c r="B28" s="81" t="s">
        <v>185</v>
      </c>
      <c r="C28" s="82">
        <v>2</v>
      </c>
      <c r="D28" s="82">
        <v>0</v>
      </c>
      <c r="E28" s="82">
        <v>0</v>
      </c>
      <c r="F28" s="83"/>
      <c r="G28" s="82">
        <v>2</v>
      </c>
      <c r="H28" s="82">
        <v>0</v>
      </c>
      <c r="I28" s="82">
        <v>25</v>
      </c>
      <c r="J28" s="83"/>
      <c r="K28" s="82">
        <v>0</v>
      </c>
      <c r="L28" s="82">
        <v>0</v>
      </c>
      <c r="M28" s="82">
        <v>0</v>
      </c>
      <c r="N28" s="83"/>
      <c r="O28" s="82">
        <v>0</v>
      </c>
      <c r="P28" s="82">
        <v>0</v>
      </c>
      <c r="Q28" s="82">
        <v>0</v>
      </c>
      <c r="R28" s="83"/>
      <c r="S28" s="82">
        <v>2</v>
      </c>
      <c r="T28" s="82">
        <v>1</v>
      </c>
      <c r="U28" s="82">
        <v>2</v>
      </c>
      <c r="V28" s="83"/>
      <c r="W28" s="82">
        <v>1</v>
      </c>
      <c r="X28" s="82">
        <v>2</v>
      </c>
      <c r="Y28" s="84">
        <v>0</v>
      </c>
    </row>
    <row r="29" spans="1:37" x14ac:dyDescent="0.3">
      <c r="A29" s="81" t="s">
        <v>523</v>
      </c>
      <c r="B29" s="81" t="s">
        <v>52</v>
      </c>
      <c r="C29" s="82">
        <v>1</v>
      </c>
      <c r="D29" s="82">
        <v>0</v>
      </c>
      <c r="E29" s="82">
        <v>0</v>
      </c>
      <c r="F29" s="83"/>
      <c r="G29" s="82">
        <v>0</v>
      </c>
      <c r="H29" s="82">
        <v>0</v>
      </c>
      <c r="I29" s="82">
        <v>0</v>
      </c>
      <c r="J29" s="83"/>
      <c r="K29" s="91"/>
      <c r="L29" s="91"/>
      <c r="M29" s="91"/>
      <c r="N29" s="83"/>
      <c r="O29" s="82">
        <v>0</v>
      </c>
      <c r="P29" s="82">
        <v>0</v>
      </c>
      <c r="Q29" s="82">
        <v>0</v>
      </c>
      <c r="R29" s="83"/>
      <c r="S29" s="82">
        <v>0</v>
      </c>
      <c r="T29" s="82">
        <v>0</v>
      </c>
      <c r="U29" s="82">
        <v>0</v>
      </c>
      <c r="V29" s="83"/>
      <c r="W29" s="82">
        <v>0</v>
      </c>
      <c r="X29" s="82">
        <v>0</v>
      </c>
      <c r="Y29" s="84">
        <v>0</v>
      </c>
    </row>
    <row r="30" spans="1:37" x14ac:dyDescent="0.3">
      <c r="A30" s="81" t="s">
        <v>676</v>
      </c>
      <c r="B30" s="81" t="s">
        <v>677</v>
      </c>
      <c r="C30" s="82">
        <v>0</v>
      </c>
      <c r="D30" s="82">
        <v>0</v>
      </c>
      <c r="E30" s="82">
        <v>0</v>
      </c>
      <c r="F30" s="83"/>
      <c r="G30" s="82">
        <v>0</v>
      </c>
      <c r="H30" s="82">
        <v>0</v>
      </c>
      <c r="I30" s="82">
        <v>0</v>
      </c>
      <c r="J30" s="83"/>
      <c r="K30" s="82">
        <v>0</v>
      </c>
      <c r="L30" s="82">
        <v>0</v>
      </c>
      <c r="M30" s="82">
        <v>0</v>
      </c>
      <c r="N30" s="83"/>
      <c r="O30" s="82">
        <v>0</v>
      </c>
      <c r="P30" s="82">
        <v>0</v>
      </c>
      <c r="Q30" s="82">
        <v>0</v>
      </c>
      <c r="R30" s="83"/>
      <c r="S30" s="82">
        <v>3</v>
      </c>
      <c r="T30" s="82">
        <v>1</v>
      </c>
      <c r="U30" s="82">
        <v>0</v>
      </c>
      <c r="V30" s="83"/>
      <c r="W30" s="82">
        <v>1</v>
      </c>
      <c r="X30" s="82">
        <v>0</v>
      </c>
      <c r="Y30" s="84">
        <v>0</v>
      </c>
    </row>
    <row r="31" spans="1:37" x14ac:dyDescent="0.3">
      <c r="A31" s="81" t="s">
        <v>672</v>
      </c>
      <c r="B31" s="81" t="s">
        <v>673</v>
      </c>
      <c r="C31" s="82">
        <v>0</v>
      </c>
      <c r="D31" s="82">
        <v>0</v>
      </c>
      <c r="E31" s="82">
        <v>2</v>
      </c>
      <c r="F31" s="83"/>
      <c r="G31" s="82">
        <v>0</v>
      </c>
      <c r="H31" s="82">
        <v>0</v>
      </c>
      <c r="I31" s="82">
        <v>2</v>
      </c>
      <c r="J31" s="83"/>
      <c r="K31" s="149"/>
      <c r="L31" s="149"/>
      <c r="M31" s="149"/>
      <c r="N31" s="83"/>
      <c r="O31" s="82">
        <v>0</v>
      </c>
      <c r="P31" s="82">
        <v>0</v>
      </c>
      <c r="Q31" s="82">
        <v>0</v>
      </c>
      <c r="R31" s="83"/>
      <c r="S31" s="82">
        <v>0</v>
      </c>
      <c r="T31" s="82">
        <v>0</v>
      </c>
      <c r="U31" s="82">
        <v>0</v>
      </c>
      <c r="V31" s="83"/>
      <c r="W31" s="82">
        <v>0</v>
      </c>
      <c r="X31" s="82">
        <v>0</v>
      </c>
      <c r="Y31" s="84">
        <v>2</v>
      </c>
    </row>
    <row r="32" spans="1:37" x14ac:dyDescent="0.3">
      <c r="A32" s="81" t="s">
        <v>524</v>
      </c>
      <c r="B32" s="81" t="s">
        <v>53</v>
      </c>
      <c r="C32" s="82">
        <v>0</v>
      </c>
      <c r="D32" s="82">
        <v>0</v>
      </c>
      <c r="E32" s="82">
        <v>2</v>
      </c>
      <c r="F32" s="83"/>
      <c r="G32" s="82">
        <v>0</v>
      </c>
      <c r="H32" s="82">
        <v>0</v>
      </c>
      <c r="I32" s="82">
        <v>6</v>
      </c>
      <c r="J32" s="83"/>
      <c r="K32" s="149"/>
      <c r="L32" s="149"/>
      <c r="M32" s="149"/>
      <c r="N32" s="83"/>
      <c r="O32" s="82">
        <v>0</v>
      </c>
      <c r="P32" s="82">
        <v>0</v>
      </c>
      <c r="Q32" s="82">
        <v>0</v>
      </c>
      <c r="R32" s="83"/>
      <c r="S32" s="82">
        <v>0</v>
      </c>
      <c r="T32" s="82">
        <v>0</v>
      </c>
      <c r="U32" s="82">
        <v>0</v>
      </c>
      <c r="V32" s="83"/>
      <c r="W32" s="82">
        <v>0</v>
      </c>
      <c r="X32" s="82">
        <v>1</v>
      </c>
      <c r="Y32" s="84">
        <v>0</v>
      </c>
    </row>
    <row r="33" spans="1:27" x14ac:dyDescent="0.3">
      <c r="A33" s="81" t="s">
        <v>525</v>
      </c>
      <c r="B33" s="81" t="s">
        <v>50</v>
      </c>
      <c r="C33" s="82">
        <v>0</v>
      </c>
      <c r="D33" s="82">
        <v>1</v>
      </c>
      <c r="E33" s="82">
        <v>2</v>
      </c>
      <c r="F33" s="83"/>
      <c r="G33" s="82">
        <v>0</v>
      </c>
      <c r="H33" s="82">
        <v>0</v>
      </c>
      <c r="I33" s="82">
        <v>0</v>
      </c>
      <c r="J33" s="83"/>
      <c r="K33" s="82">
        <v>0</v>
      </c>
      <c r="L33" s="82">
        <v>0</v>
      </c>
      <c r="M33" s="82">
        <v>0</v>
      </c>
      <c r="N33" s="83"/>
      <c r="O33" s="82">
        <v>1</v>
      </c>
      <c r="P33" s="82">
        <v>0</v>
      </c>
      <c r="Q33" s="82">
        <v>0</v>
      </c>
      <c r="R33" s="83"/>
      <c r="S33" s="82">
        <v>2</v>
      </c>
      <c r="T33" s="82">
        <v>0</v>
      </c>
      <c r="U33" s="82">
        <v>0</v>
      </c>
      <c r="V33" s="83"/>
      <c r="W33" s="82">
        <v>0</v>
      </c>
      <c r="X33" s="82">
        <v>0</v>
      </c>
      <c r="Y33" s="84">
        <v>0</v>
      </c>
    </row>
    <row r="34" spans="1:27" x14ac:dyDescent="0.3">
      <c r="A34" s="81" t="s">
        <v>786</v>
      </c>
      <c r="B34" s="81" t="s">
        <v>59</v>
      </c>
      <c r="C34" s="149"/>
      <c r="D34" s="149"/>
      <c r="E34" s="149"/>
      <c r="F34" s="83"/>
      <c r="G34" s="149"/>
      <c r="H34" s="149"/>
      <c r="I34" s="149"/>
      <c r="J34" s="83"/>
      <c r="K34" s="82">
        <v>0</v>
      </c>
      <c r="L34" s="82">
        <v>0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0</v>
      </c>
      <c r="T34" s="82">
        <v>1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7" x14ac:dyDescent="0.3">
      <c r="A35" s="81" t="s">
        <v>674</v>
      </c>
      <c r="B35" s="81" t="s">
        <v>675</v>
      </c>
      <c r="C35" s="82">
        <v>0</v>
      </c>
      <c r="D35" s="82">
        <v>1</v>
      </c>
      <c r="E35" s="82">
        <v>0</v>
      </c>
      <c r="F35" s="83"/>
      <c r="G35" s="82">
        <v>0</v>
      </c>
      <c r="H35" s="82">
        <v>0</v>
      </c>
      <c r="I35" s="82">
        <v>2</v>
      </c>
      <c r="J35" s="83"/>
      <c r="K35" s="149"/>
      <c r="L35" s="149"/>
      <c r="M35" s="149"/>
      <c r="N35" s="83"/>
      <c r="O35" s="82">
        <v>0</v>
      </c>
      <c r="P35" s="82">
        <v>1</v>
      </c>
      <c r="Q35" s="82">
        <v>0</v>
      </c>
      <c r="R35" s="83"/>
      <c r="S35" s="82">
        <v>0</v>
      </c>
      <c r="T35" s="82">
        <v>1</v>
      </c>
      <c r="U35" s="82">
        <v>0</v>
      </c>
      <c r="V35" s="83"/>
      <c r="W35" s="82">
        <v>0</v>
      </c>
      <c r="X35" s="82">
        <v>0</v>
      </c>
      <c r="Y35" s="84">
        <v>0</v>
      </c>
    </row>
    <row r="36" spans="1:27" x14ac:dyDescent="0.3">
      <c r="A36" s="81" t="s">
        <v>526</v>
      </c>
      <c r="B36" s="81" t="s">
        <v>278</v>
      </c>
      <c r="C36" s="149"/>
      <c r="D36" s="149"/>
      <c r="E36" s="149"/>
      <c r="F36" s="83"/>
      <c r="G36" s="149"/>
      <c r="H36" s="149"/>
      <c r="I36" s="149"/>
      <c r="J36" s="83"/>
      <c r="K36" s="149"/>
      <c r="L36" s="149"/>
      <c r="M36" s="149"/>
      <c r="N36" s="83"/>
      <c r="O36" s="149"/>
      <c r="P36" s="149"/>
      <c r="Q36" s="149"/>
      <c r="R36" s="83"/>
      <c r="S36" s="149"/>
      <c r="T36" s="149"/>
      <c r="U36" s="149"/>
      <c r="V36" s="83"/>
      <c r="W36" s="82">
        <v>0</v>
      </c>
      <c r="X36" s="82">
        <v>0</v>
      </c>
      <c r="Y36" s="84">
        <v>0</v>
      </c>
    </row>
    <row r="37" spans="1:27" x14ac:dyDescent="0.3">
      <c r="A37" s="81" t="s">
        <v>679</v>
      </c>
      <c r="B37" s="81" t="s">
        <v>680</v>
      </c>
      <c r="C37" s="149"/>
      <c r="D37" s="149"/>
      <c r="E37" s="149"/>
      <c r="F37" s="83"/>
      <c r="G37" s="149"/>
      <c r="H37" s="149"/>
      <c r="I37" s="149"/>
      <c r="J37" s="83"/>
      <c r="K37" s="149"/>
      <c r="L37" s="149"/>
      <c r="M37" s="149"/>
      <c r="N37" s="83"/>
      <c r="O37" s="149"/>
      <c r="P37" s="149"/>
      <c r="Q37" s="149"/>
      <c r="R37" s="83"/>
      <c r="S37" s="149"/>
      <c r="T37" s="149"/>
      <c r="U37" s="149"/>
      <c r="V37" s="83"/>
      <c r="W37" s="149"/>
      <c r="X37" s="149"/>
      <c r="Y37" s="150"/>
    </row>
    <row r="38" spans="1:27" x14ac:dyDescent="0.3">
      <c r="A38" s="81" t="s">
        <v>527</v>
      </c>
      <c r="B38" s="81" t="s">
        <v>56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91"/>
      <c r="P38" s="91"/>
      <c r="Q38" s="91"/>
      <c r="R38" s="83"/>
      <c r="S38" s="149"/>
      <c r="T38" s="149"/>
      <c r="U38" s="149"/>
      <c r="V38" s="83"/>
      <c r="W38" s="91"/>
      <c r="X38" s="91"/>
      <c r="Y38" s="91"/>
    </row>
    <row r="39" spans="1:27" x14ac:dyDescent="0.3">
      <c r="A39" s="81" t="s">
        <v>678</v>
      </c>
      <c r="B39" s="81" t="s">
        <v>55</v>
      </c>
      <c r="C39" s="149"/>
      <c r="D39" s="149"/>
      <c r="E39" s="149"/>
      <c r="F39" s="83"/>
      <c r="G39" s="149"/>
      <c r="H39" s="149"/>
      <c r="I39" s="149"/>
      <c r="J39" s="83"/>
      <c r="K39" s="91"/>
      <c r="L39" s="91"/>
      <c r="M39" s="91"/>
      <c r="N39" s="83"/>
      <c r="O39" s="91"/>
      <c r="P39" s="91"/>
      <c r="Q39" s="91"/>
      <c r="R39" s="83"/>
      <c r="S39" s="91"/>
      <c r="T39" s="91"/>
      <c r="U39" s="91"/>
      <c r="V39" s="83"/>
      <c r="W39" s="91"/>
      <c r="X39" s="91"/>
      <c r="Y39" s="91"/>
    </row>
    <row r="40" spans="1:27" x14ac:dyDescent="0.3">
      <c r="A40" s="81" t="s">
        <v>528</v>
      </c>
      <c r="B40" s="81" t="s">
        <v>279</v>
      </c>
      <c r="C40" s="82">
        <v>1</v>
      </c>
      <c r="D40" s="82">
        <v>1</v>
      </c>
      <c r="E40" s="82">
        <v>0</v>
      </c>
      <c r="F40" s="83"/>
      <c r="G40" s="82">
        <v>0</v>
      </c>
      <c r="H40" s="82">
        <v>0</v>
      </c>
      <c r="I40" s="82">
        <v>0</v>
      </c>
      <c r="J40" s="83"/>
      <c r="K40" s="82">
        <v>0</v>
      </c>
      <c r="L40" s="82">
        <v>0</v>
      </c>
      <c r="M40" s="82">
        <v>0</v>
      </c>
      <c r="N40" s="83"/>
      <c r="O40" s="82">
        <v>0</v>
      </c>
      <c r="P40" s="82">
        <v>0</v>
      </c>
      <c r="Q40" s="82">
        <v>0</v>
      </c>
      <c r="R40" s="83"/>
      <c r="S40" s="82">
        <v>0</v>
      </c>
      <c r="T40" s="82">
        <v>0</v>
      </c>
      <c r="U40" s="82">
        <v>0</v>
      </c>
      <c r="V40" s="83"/>
      <c r="W40" s="82">
        <v>0</v>
      </c>
      <c r="X40" s="82">
        <v>0</v>
      </c>
      <c r="Y40" s="84">
        <v>0</v>
      </c>
    </row>
    <row r="41" spans="1:27" x14ac:dyDescent="0.3">
      <c r="A41" s="81" t="s">
        <v>529</v>
      </c>
      <c r="B41" s="81" t="s">
        <v>532</v>
      </c>
      <c r="C41" s="149"/>
      <c r="D41" s="149"/>
      <c r="E41" s="149"/>
      <c r="F41" s="83"/>
      <c r="G41" s="149"/>
      <c r="H41" s="149"/>
      <c r="I41" s="149"/>
      <c r="J41" s="83"/>
      <c r="K41" s="82">
        <v>0</v>
      </c>
      <c r="L41" s="82">
        <v>0</v>
      </c>
      <c r="M41" s="82">
        <v>0</v>
      </c>
      <c r="N41" s="83"/>
      <c r="O41" s="82">
        <v>0</v>
      </c>
      <c r="P41" s="82">
        <v>0</v>
      </c>
      <c r="Q41" s="82">
        <v>0</v>
      </c>
      <c r="R41" s="83"/>
      <c r="S41" s="82">
        <v>0</v>
      </c>
      <c r="T41" s="82">
        <v>0</v>
      </c>
      <c r="U41" s="82">
        <v>0</v>
      </c>
      <c r="V41" s="83"/>
      <c r="W41" s="82">
        <v>0</v>
      </c>
      <c r="X41" s="82">
        <v>0</v>
      </c>
      <c r="Y41" s="84">
        <v>0</v>
      </c>
    </row>
    <row r="42" spans="1:27" x14ac:dyDescent="0.3">
      <c r="A42" s="81" t="s">
        <v>546</v>
      </c>
      <c r="B42" s="81" t="s">
        <v>531</v>
      </c>
      <c r="C42" s="82" t="s">
        <v>681</v>
      </c>
      <c r="D42" s="82">
        <v>0</v>
      </c>
      <c r="E42" s="82">
        <v>0</v>
      </c>
      <c r="F42" s="83"/>
      <c r="G42" s="149"/>
      <c r="H42" s="149"/>
      <c r="I42" s="149"/>
      <c r="J42" s="83"/>
      <c r="K42" s="149"/>
      <c r="L42" s="149"/>
      <c r="M42" s="149"/>
      <c r="N42" s="83"/>
      <c r="O42" s="82" t="s">
        <v>681</v>
      </c>
      <c r="P42" s="82">
        <v>0</v>
      </c>
      <c r="Q42" s="82">
        <v>0</v>
      </c>
      <c r="R42" s="83"/>
      <c r="S42" s="82" t="s">
        <v>681</v>
      </c>
      <c r="T42" s="82">
        <v>0</v>
      </c>
      <c r="U42" s="82">
        <v>0</v>
      </c>
      <c r="V42" s="83"/>
      <c r="W42" s="82" t="s">
        <v>681</v>
      </c>
      <c r="X42" s="82">
        <v>0</v>
      </c>
      <c r="Y42" s="82">
        <v>0</v>
      </c>
    </row>
    <row r="43" spans="1:27" x14ac:dyDescent="0.3">
      <c r="A43" s="81" t="s">
        <v>778</v>
      </c>
      <c r="B43" s="81" t="s">
        <v>779</v>
      </c>
      <c r="C43" s="149"/>
      <c r="D43" s="149"/>
      <c r="E43" s="149"/>
      <c r="F43" s="83"/>
      <c r="G43" s="82" t="s">
        <v>681</v>
      </c>
      <c r="H43" s="82">
        <v>0</v>
      </c>
      <c r="I43" s="82">
        <v>0</v>
      </c>
      <c r="J43" s="83"/>
      <c r="K43" s="82" t="s">
        <v>681</v>
      </c>
      <c r="L43" s="82">
        <v>0</v>
      </c>
      <c r="M43" s="82">
        <v>0</v>
      </c>
      <c r="N43" s="83"/>
      <c r="O43" s="149"/>
      <c r="P43" s="149"/>
      <c r="Q43" s="149"/>
      <c r="R43" s="83"/>
      <c r="S43" s="149"/>
      <c r="T43" s="149"/>
      <c r="U43" s="149"/>
      <c r="V43" s="83"/>
      <c r="W43" s="149"/>
      <c r="X43" s="149"/>
      <c r="Y43" s="150"/>
    </row>
    <row r="45" spans="1:27" ht="15" thickBot="1" x14ac:dyDescent="0.35"/>
    <row r="46" spans="1:27" x14ac:dyDescent="0.3">
      <c r="A46" s="16"/>
      <c r="B46" s="16" t="s">
        <v>547</v>
      </c>
      <c r="C46" s="76">
        <v>7</v>
      </c>
      <c r="D46" s="76"/>
      <c r="E46" s="76"/>
      <c r="F46" s="77"/>
      <c r="G46" s="76">
        <v>8</v>
      </c>
      <c r="H46" s="76"/>
      <c r="I46" s="76"/>
      <c r="J46" s="77"/>
      <c r="K46" s="76">
        <v>9</v>
      </c>
      <c r="L46" s="76"/>
      <c r="M46" s="76"/>
      <c r="N46" s="77"/>
      <c r="O46" s="76">
        <v>10</v>
      </c>
      <c r="P46" s="76"/>
      <c r="Q46" s="76"/>
      <c r="R46" s="77"/>
      <c r="S46" s="76">
        <v>11</v>
      </c>
      <c r="T46" s="76"/>
      <c r="U46" s="76"/>
      <c r="V46" s="77"/>
      <c r="W46" s="76">
        <v>12</v>
      </c>
      <c r="X46" s="16"/>
      <c r="Y46" s="16"/>
      <c r="Z46" s="75"/>
      <c r="AA46" s="16"/>
    </row>
    <row r="47" spans="1:27" x14ac:dyDescent="0.3">
      <c r="A47" s="16"/>
      <c r="B47" s="16"/>
      <c r="C47" s="16" t="s">
        <v>790</v>
      </c>
      <c r="D47" s="16"/>
      <c r="E47" s="16"/>
      <c r="F47" s="67"/>
      <c r="G47" s="16" t="s">
        <v>596</v>
      </c>
      <c r="H47" s="16"/>
      <c r="I47" s="16"/>
      <c r="J47" s="67"/>
      <c r="K47" s="16" t="s">
        <v>797</v>
      </c>
      <c r="L47" s="16"/>
      <c r="M47" s="16"/>
      <c r="N47" s="67"/>
      <c r="O47" s="16" t="s">
        <v>806</v>
      </c>
      <c r="P47" s="16"/>
      <c r="Q47" s="16"/>
      <c r="R47" s="67"/>
      <c r="S47" s="16" t="s">
        <v>803</v>
      </c>
      <c r="T47" s="16"/>
      <c r="U47" s="16"/>
      <c r="V47" s="67"/>
      <c r="W47" s="16" t="s">
        <v>807</v>
      </c>
      <c r="X47" s="16"/>
      <c r="Y47" s="16"/>
      <c r="Z47" s="67"/>
      <c r="AA47" s="16"/>
    </row>
    <row r="48" spans="1:27" x14ac:dyDescent="0.3">
      <c r="A48" s="16"/>
      <c r="B48" s="16"/>
      <c r="C48" s="155" t="s">
        <v>798</v>
      </c>
      <c r="D48" s="16"/>
      <c r="E48" s="16"/>
      <c r="F48" s="67"/>
      <c r="G48" s="155" t="s">
        <v>798</v>
      </c>
      <c r="I48" s="16"/>
      <c r="J48" s="67"/>
      <c r="K48" s="155" t="s">
        <v>799</v>
      </c>
      <c r="M48" s="16"/>
      <c r="N48" s="67"/>
      <c r="O48" s="153">
        <v>40915</v>
      </c>
      <c r="P48" s="16"/>
      <c r="Q48" s="16"/>
      <c r="R48" s="67"/>
      <c r="S48" s="156" t="s">
        <v>802</v>
      </c>
      <c r="T48" s="16"/>
      <c r="U48" s="16"/>
      <c r="V48" s="67"/>
      <c r="W48" s="156" t="s">
        <v>802</v>
      </c>
      <c r="X48" s="16"/>
      <c r="Y48" s="16"/>
      <c r="Z48" s="67"/>
      <c r="AA48" s="16"/>
    </row>
    <row r="49" spans="1:27" x14ac:dyDescent="0.3">
      <c r="A49" s="16"/>
      <c r="B49" s="16"/>
      <c r="C49" s="16" t="s">
        <v>794</v>
      </c>
      <c r="D49" s="16"/>
      <c r="E49" s="16"/>
      <c r="F49" s="67"/>
      <c r="G49" s="154" t="s">
        <v>794</v>
      </c>
      <c r="H49" s="16"/>
      <c r="I49" s="16"/>
      <c r="J49" s="67"/>
      <c r="K49" s="16" t="s">
        <v>796</v>
      </c>
      <c r="L49" s="16"/>
      <c r="M49" s="16"/>
      <c r="N49" s="67"/>
      <c r="O49" s="16" t="s">
        <v>796</v>
      </c>
      <c r="P49" s="16"/>
      <c r="Q49" s="16"/>
      <c r="R49" s="67"/>
      <c r="S49" s="16" t="s">
        <v>242</v>
      </c>
      <c r="T49" s="16"/>
      <c r="U49" s="16"/>
      <c r="V49" s="67"/>
      <c r="W49" s="16" t="s">
        <v>242</v>
      </c>
      <c r="X49" s="16"/>
      <c r="Y49" s="16"/>
      <c r="Z49" s="67"/>
      <c r="AA49" s="16"/>
    </row>
    <row r="50" spans="1:27" x14ac:dyDescent="0.3">
      <c r="A50" s="1"/>
      <c r="B50" s="1"/>
      <c r="C50" s="165" t="s">
        <v>245</v>
      </c>
      <c r="D50" s="85" t="s">
        <v>833</v>
      </c>
      <c r="E50" s="1"/>
      <c r="F50" s="68"/>
      <c r="G50" s="74" t="s">
        <v>795</v>
      </c>
      <c r="H50" s="85" t="s">
        <v>834</v>
      </c>
      <c r="I50" s="1"/>
      <c r="J50" s="68"/>
      <c r="K50" s="166" t="s">
        <v>89</v>
      </c>
      <c r="L50" s="1" t="s">
        <v>835</v>
      </c>
      <c r="M50" s="1"/>
      <c r="N50" s="68"/>
      <c r="O50" s="164" t="s">
        <v>715</v>
      </c>
      <c r="P50" s="85" t="s">
        <v>836</v>
      </c>
      <c r="Q50" s="1"/>
      <c r="R50" s="68"/>
      <c r="S50" s="74" t="s">
        <v>167</v>
      </c>
      <c r="T50" s="1" t="s">
        <v>829</v>
      </c>
      <c r="U50" s="1"/>
      <c r="V50" s="68"/>
      <c r="W50" s="74" t="s">
        <v>808</v>
      </c>
      <c r="X50" s="85" t="s">
        <v>837</v>
      </c>
      <c r="Y50" s="1"/>
      <c r="Z50" s="68"/>
      <c r="AA50" s="1"/>
    </row>
    <row r="52" spans="1:27" x14ac:dyDescent="0.3">
      <c r="C52" t="s">
        <v>537</v>
      </c>
      <c r="G52" t="s">
        <v>537</v>
      </c>
      <c r="K52" t="s">
        <v>537</v>
      </c>
      <c r="O52" t="s">
        <v>537</v>
      </c>
      <c r="S52" t="s">
        <v>537</v>
      </c>
      <c r="W52" t="s">
        <v>537</v>
      </c>
    </row>
    <row r="53" spans="1:27" x14ac:dyDescent="0.3">
      <c r="C53" t="s">
        <v>791</v>
      </c>
      <c r="G53" s="116" t="s">
        <v>107</v>
      </c>
      <c r="I53" t="s">
        <v>540</v>
      </c>
      <c r="K53" s="116" t="s">
        <v>805</v>
      </c>
      <c r="M53" t="s">
        <v>540</v>
      </c>
      <c r="O53" t="s">
        <v>800</v>
      </c>
      <c r="S53" t="s">
        <v>804</v>
      </c>
      <c r="W53" t="s">
        <v>107</v>
      </c>
    </row>
    <row r="54" spans="1:27" x14ac:dyDescent="0.3">
      <c r="C54" t="s">
        <v>793</v>
      </c>
    </row>
    <row r="55" spans="1:27" x14ac:dyDescent="0.3">
      <c r="C55" t="s">
        <v>543</v>
      </c>
      <c r="G55" t="s">
        <v>543</v>
      </c>
      <c r="K55" t="s">
        <v>543</v>
      </c>
      <c r="O55" t="s">
        <v>543</v>
      </c>
      <c r="S55" t="s">
        <v>543</v>
      </c>
      <c r="W55" t="s">
        <v>543</v>
      </c>
    </row>
    <row r="56" spans="1:27" x14ac:dyDescent="0.3">
      <c r="C56" s="116" t="s">
        <v>792</v>
      </c>
      <c r="G56" t="s">
        <v>805</v>
      </c>
      <c r="I56" t="s">
        <v>139</v>
      </c>
      <c r="K56" t="s">
        <v>804</v>
      </c>
      <c r="M56" t="s">
        <v>557</v>
      </c>
      <c r="O56" t="s">
        <v>801</v>
      </c>
      <c r="S56" s="116" t="s">
        <v>805</v>
      </c>
      <c r="W56" s="116" t="s">
        <v>501</v>
      </c>
    </row>
    <row r="57" spans="1:27" x14ac:dyDescent="0.3">
      <c r="C57" t="s">
        <v>637</v>
      </c>
    </row>
    <row r="59" spans="1:27" ht="15" thickBot="1" x14ac:dyDescent="0.35">
      <c r="A59" s="60" t="s">
        <v>517</v>
      </c>
      <c r="B59" s="60"/>
      <c r="C59" s="61" t="s">
        <v>533</v>
      </c>
      <c r="D59" s="61" t="s">
        <v>534</v>
      </c>
      <c r="E59" s="61" t="s">
        <v>535</v>
      </c>
      <c r="F59" s="69"/>
      <c r="G59" s="61" t="s">
        <v>533</v>
      </c>
      <c r="H59" s="61" t="s">
        <v>534</v>
      </c>
      <c r="I59" s="61" t="s">
        <v>535</v>
      </c>
      <c r="J59" s="69"/>
      <c r="K59" s="61" t="s">
        <v>533</v>
      </c>
      <c r="L59" s="61" t="s">
        <v>534</v>
      </c>
      <c r="M59" s="61" t="s">
        <v>535</v>
      </c>
      <c r="N59" s="69"/>
      <c r="O59" s="61" t="s">
        <v>533</v>
      </c>
      <c r="P59" s="61" t="s">
        <v>534</v>
      </c>
      <c r="Q59" s="61" t="s">
        <v>535</v>
      </c>
      <c r="R59" s="69"/>
      <c r="S59" s="61" t="s">
        <v>533</v>
      </c>
      <c r="T59" s="61" t="s">
        <v>534</v>
      </c>
      <c r="U59" s="61" t="s">
        <v>535</v>
      </c>
      <c r="V59" s="69"/>
      <c r="W59" s="61" t="s">
        <v>533</v>
      </c>
      <c r="X59" s="61" t="s">
        <v>534</v>
      </c>
      <c r="Y59" s="61" t="s">
        <v>535</v>
      </c>
      <c r="Z59" s="67"/>
      <c r="AA59" s="16"/>
    </row>
    <row r="60" spans="1:27" ht="3.75" customHeight="1" thickBot="1" x14ac:dyDescent="0.35">
      <c r="A60" s="62"/>
      <c r="B60" s="62"/>
      <c r="C60" s="63"/>
      <c r="D60" s="63"/>
      <c r="E60" s="63"/>
      <c r="F60" s="64"/>
      <c r="G60" s="63"/>
      <c r="H60" s="63"/>
      <c r="I60" s="63"/>
      <c r="J60" s="64"/>
      <c r="K60" s="63"/>
      <c r="L60" s="63"/>
      <c r="M60" s="63"/>
      <c r="N60" s="64"/>
      <c r="O60" s="63"/>
      <c r="P60" s="63"/>
      <c r="Q60" s="63"/>
      <c r="R60" s="64"/>
      <c r="S60" s="63"/>
      <c r="T60" s="63"/>
      <c r="U60" s="63"/>
      <c r="V60" s="64"/>
      <c r="W60" s="63"/>
      <c r="X60" s="63"/>
      <c r="Y60" s="63"/>
      <c r="Z60" s="65"/>
      <c r="AA60" s="16"/>
    </row>
    <row r="61" spans="1:27" x14ac:dyDescent="0.3">
      <c r="A61" s="78" t="s">
        <v>518</v>
      </c>
      <c r="B61" s="78" t="s">
        <v>48</v>
      </c>
      <c r="C61" s="79">
        <v>0</v>
      </c>
      <c r="D61" s="79">
        <v>1</v>
      </c>
      <c r="E61" s="79">
        <v>2</v>
      </c>
      <c r="F61" s="80"/>
      <c r="G61" s="79">
        <v>0</v>
      </c>
      <c r="H61" s="79">
        <v>1</v>
      </c>
      <c r="I61" s="79">
        <v>0</v>
      </c>
      <c r="J61" s="80"/>
      <c r="K61" s="79">
        <v>0</v>
      </c>
      <c r="L61" s="79">
        <v>1</v>
      </c>
      <c r="M61" s="79">
        <v>0</v>
      </c>
      <c r="N61" s="80"/>
      <c r="O61" s="79">
        <v>1</v>
      </c>
      <c r="P61" s="79">
        <v>0</v>
      </c>
      <c r="Q61" s="79">
        <v>0</v>
      </c>
      <c r="R61" s="80"/>
      <c r="S61" s="79">
        <v>0</v>
      </c>
      <c r="T61" s="79">
        <v>1</v>
      </c>
      <c r="U61" s="79">
        <v>0</v>
      </c>
      <c r="V61" s="80"/>
      <c r="W61" s="79">
        <v>0</v>
      </c>
      <c r="X61" s="79">
        <v>0</v>
      </c>
      <c r="Y61" s="151">
        <v>0</v>
      </c>
      <c r="Z61" s="72"/>
    </row>
    <row r="62" spans="1:27" x14ac:dyDescent="0.3">
      <c r="A62" s="81" t="s">
        <v>519</v>
      </c>
      <c r="B62" s="81" t="s">
        <v>54</v>
      </c>
      <c r="C62" s="149"/>
      <c r="D62" s="149"/>
      <c r="E62" s="149"/>
      <c r="F62" s="83"/>
      <c r="G62" s="149"/>
      <c r="H62" s="149"/>
      <c r="I62" s="149"/>
      <c r="J62" s="83"/>
      <c r="K62" s="149"/>
      <c r="L62" s="149"/>
      <c r="M62" s="149"/>
      <c r="N62" s="83"/>
      <c r="O62" s="149"/>
      <c r="P62" s="149"/>
      <c r="Q62" s="149"/>
      <c r="R62" s="83"/>
      <c r="S62" s="91"/>
      <c r="T62" s="91"/>
      <c r="U62" s="91"/>
      <c r="V62" s="83"/>
      <c r="W62" s="91"/>
      <c r="X62" s="91"/>
      <c r="Y62" s="152"/>
    </row>
    <row r="63" spans="1:27" x14ac:dyDescent="0.3">
      <c r="A63" s="81" t="s">
        <v>520</v>
      </c>
      <c r="B63" s="81" t="s">
        <v>530</v>
      </c>
      <c r="C63" s="149"/>
      <c r="D63" s="149"/>
      <c r="E63" s="149"/>
      <c r="F63" s="83"/>
      <c r="G63" s="149"/>
      <c r="H63" s="149"/>
      <c r="I63" s="149"/>
      <c r="J63" s="83"/>
      <c r="K63" s="149"/>
      <c r="L63" s="149"/>
      <c r="M63" s="149"/>
      <c r="N63" s="83"/>
      <c r="O63" s="149"/>
      <c r="P63" s="149"/>
      <c r="Q63" s="149"/>
      <c r="R63" s="83"/>
      <c r="S63" s="149"/>
      <c r="T63" s="149"/>
      <c r="U63" s="149"/>
      <c r="V63" s="83"/>
      <c r="W63" s="149"/>
      <c r="X63" s="149"/>
      <c r="Y63" s="150"/>
    </row>
    <row r="64" spans="1:27" x14ac:dyDescent="0.3">
      <c r="A64" s="81" t="s">
        <v>521</v>
      </c>
      <c r="B64" s="81" t="s">
        <v>181</v>
      </c>
      <c r="C64" s="91"/>
      <c r="D64" s="91"/>
      <c r="E64" s="91"/>
      <c r="F64" s="83"/>
      <c r="G64" s="91"/>
      <c r="H64" s="91"/>
      <c r="I64" s="91"/>
      <c r="J64" s="83"/>
      <c r="K64" s="82">
        <v>0</v>
      </c>
      <c r="L64" s="82">
        <v>0</v>
      </c>
      <c r="M64" s="82">
        <v>0</v>
      </c>
      <c r="N64" s="83"/>
      <c r="O64" s="82">
        <v>0</v>
      </c>
      <c r="P64" s="82">
        <v>0</v>
      </c>
      <c r="Q64" s="82">
        <v>0</v>
      </c>
      <c r="R64" s="83"/>
      <c r="S64" s="82">
        <v>0</v>
      </c>
      <c r="T64" s="82">
        <v>1</v>
      </c>
      <c r="U64" s="82">
        <v>0</v>
      </c>
      <c r="V64" s="83"/>
      <c r="W64" s="82">
        <v>1</v>
      </c>
      <c r="X64" s="82">
        <v>1</v>
      </c>
      <c r="Y64" s="84">
        <v>0</v>
      </c>
    </row>
    <row r="65" spans="1:25" x14ac:dyDescent="0.3">
      <c r="A65" s="81" t="s">
        <v>522</v>
      </c>
      <c r="B65" s="81" t="s">
        <v>185</v>
      </c>
      <c r="C65" s="82">
        <v>2</v>
      </c>
      <c r="D65" s="82">
        <v>1</v>
      </c>
      <c r="E65" s="82">
        <v>0</v>
      </c>
      <c r="F65" s="83"/>
      <c r="G65" s="82">
        <v>1</v>
      </c>
      <c r="H65" s="82">
        <v>1</v>
      </c>
      <c r="I65" s="82">
        <v>0</v>
      </c>
      <c r="J65" s="83"/>
      <c r="K65" s="82">
        <v>2</v>
      </c>
      <c r="L65" s="82">
        <v>1</v>
      </c>
      <c r="M65" s="82">
        <v>2</v>
      </c>
      <c r="N65" s="83"/>
      <c r="O65" s="82">
        <v>1</v>
      </c>
      <c r="P65" s="82">
        <v>0</v>
      </c>
      <c r="Q65" s="82">
        <v>25</v>
      </c>
      <c r="R65" s="83"/>
      <c r="S65" s="149"/>
      <c r="T65" s="149"/>
      <c r="U65" s="149"/>
      <c r="V65" s="83"/>
      <c r="W65" s="82">
        <v>1</v>
      </c>
      <c r="X65" s="82">
        <v>1</v>
      </c>
      <c r="Y65" s="84">
        <v>0</v>
      </c>
    </row>
    <row r="66" spans="1:25" x14ac:dyDescent="0.3">
      <c r="A66" s="81" t="s">
        <v>523</v>
      </c>
      <c r="B66" s="81" t="s">
        <v>52</v>
      </c>
      <c r="C66" s="82">
        <v>0</v>
      </c>
      <c r="D66" s="82">
        <v>0</v>
      </c>
      <c r="E66" s="82">
        <v>0</v>
      </c>
      <c r="F66" s="83"/>
      <c r="G66" s="82">
        <v>0</v>
      </c>
      <c r="H66" s="82">
        <v>1</v>
      </c>
      <c r="I66" s="82">
        <v>0</v>
      </c>
      <c r="J66" s="83"/>
      <c r="K66" s="82">
        <v>0</v>
      </c>
      <c r="L66" s="82">
        <v>1</v>
      </c>
      <c r="M66" s="82">
        <v>0</v>
      </c>
      <c r="N66" s="83"/>
      <c r="O66" s="91"/>
      <c r="P66" s="91"/>
      <c r="Q66" s="91"/>
      <c r="R66" s="83"/>
      <c r="S66" s="82">
        <v>0</v>
      </c>
      <c r="T66" s="82">
        <v>0</v>
      </c>
      <c r="U66" s="82">
        <v>0</v>
      </c>
      <c r="V66" s="83"/>
      <c r="W66" s="82">
        <v>0</v>
      </c>
      <c r="X66" s="82">
        <v>0</v>
      </c>
      <c r="Y66" s="84">
        <v>0</v>
      </c>
    </row>
    <row r="67" spans="1:25" x14ac:dyDescent="0.3">
      <c r="A67" s="81" t="s">
        <v>676</v>
      </c>
      <c r="B67" s="81" t="s">
        <v>677</v>
      </c>
      <c r="C67" s="149"/>
      <c r="D67" s="149"/>
      <c r="E67" s="149"/>
      <c r="F67" s="83"/>
      <c r="G67" s="149"/>
      <c r="H67" s="149"/>
      <c r="I67" s="149"/>
      <c r="J67" s="83"/>
      <c r="K67" s="82">
        <v>0</v>
      </c>
      <c r="L67" s="82">
        <v>0</v>
      </c>
      <c r="M67" s="82">
        <v>0</v>
      </c>
      <c r="N67" s="83"/>
      <c r="O67" s="82">
        <v>0</v>
      </c>
      <c r="P67" s="82">
        <v>0</v>
      </c>
      <c r="Q67" s="82">
        <v>0</v>
      </c>
      <c r="R67" s="83"/>
      <c r="S67" s="82">
        <v>1</v>
      </c>
      <c r="T67" s="82">
        <v>1</v>
      </c>
      <c r="U67" s="82">
        <v>2</v>
      </c>
      <c r="V67" s="83"/>
      <c r="W67" s="82">
        <v>1</v>
      </c>
      <c r="X67" s="82">
        <v>0</v>
      </c>
      <c r="Y67" s="84">
        <v>0</v>
      </c>
    </row>
    <row r="68" spans="1:25" x14ac:dyDescent="0.3">
      <c r="A68" s="81" t="s">
        <v>672</v>
      </c>
      <c r="B68" s="81" t="s">
        <v>673</v>
      </c>
      <c r="C68" s="82">
        <v>0</v>
      </c>
      <c r="D68" s="82">
        <v>1</v>
      </c>
      <c r="E68" s="82">
        <v>29</v>
      </c>
      <c r="F68" s="83"/>
      <c r="G68" s="82">
        <v>0</v>
      </c>
      <c r="H68" s="82">
        <v>0</v>
      </c>
      <c r="I68" s="82">
        <v>0</v>
      </c>
      <c r="J68" s="83"/>
      <c r="K68" s="82">
        <v>2</v>
      </c>
      <c r="L68" s="82">
        <v>0</v>
      </c>
      <c r="M68" s="82">
        <v>2</v>
      </c>
      <c r="N68" s="83"/>
      <c r="O68" s="82">
        <v>0</v>
      </c>
      <c r="P68" s="82">
        <v>0</v>
      </c>
      <c r="Q68" s="82">
        <v>2</v>
      </c>
      <c r="R68" s="83"/>
      <c r="S68" s="82">
        <v>0</v>
      </c>
      <c r="T68" s="82">
        <v>0</v>
      </c>
      <c r="U68" s="82">
        <v>0</v>
      </c>
      <c r="V68" s="83"/>
      <c r="W68" s="82">
        <v>0</v>
      </c>
      <c r="X68" s="82">
        <v>0</v>
      </c>
      <c r="Y68" s="84">
        <v>0</v>
      </c>
    </row>
    <row r="69" spans="1:25" x14ac:dyDescent="0.3">
      <c r="A69" s="81" t="s">
        <v>524</v>
      </c>
      <c r="B69" s="81" t="s">
        <v>53</v>
      </c>
      <c r="C69" s="82">
        <v>0</v>
      </c>
      <c r="D69" s="82">
        <v>0</v>
      </c>
      <c r="E69" s="82">
        <v>2</v>
      </c>
      <c r="F69" s="83"/>
      <c r="G69" s="82">
        <v>1</v>
      </c>
      <c r="H69" s="82">
        <v>0</v>
      </c>
      <c r="I69" s="82">
        <v>0</v>
      </c>
      <c r="J69" s="83"/>
      <c r="K69" s="82">
        <v>0</v>
      </c>
      <c r="L69" s="82">
        <v>0</v>
      </c>
      <c r="M69" s="82">
        <v>0</v>
      </c>
      <c r="N69" s="83"/>
      <c r="O69" s="82">
        <v>0</v>
      </c>
      <c r="P69" s="82">
        <v>0</v>
      </c>
      <c r="Q69" s="82">
        <v>2</v>
      </c>
      <c r="R69" s="83"/>
      <c r="S69" s="82">
        <v>1</v>
      </c>
      <c r="T69" s="82">
        <v>0</v>
      </c>
      <c r="U69" s="82">
        <v>0</v>
      </c>
      <c r="V69" s="83"/>
      <c r="W69" s="82">
        <v>0</v>
      </c>
      <c r="X69" s="82">
        <v>1</v>
      </c>
      <c r="Y69" s="84">
        <v>0</v>
      </c>
    </row>
    <row r="70" spans="1:25" x14ac:dyDescent="0.3">
      <c r="A70" s="81" t="s">
        <v>525</v>
      </c>
      <c r="B70" s="81" t="s">
        <v>50</v>
      </c>
      <c r="C70" s="149"/>
      <c r="D70" s="149"/>
      <c r="E70" s="149"/>
      <c r="F70" s="83"/>
      <c r="G70" s="149"/>
      <c r="H70" s="149"/>
      <c r="I70" s="149"/>
      <c r="J70" s="83"/>
      <c r="K70" s="82">
        <v>1</v>
      </c>
      <c r="L70" s="82">
        <v>0</v>
      </c>
      <c r="M70" s="82">
        <v>0</v>
      </c>
      <c r="N70" s="83"/>
      <c r="O70" s="82">
        <v>2</v>
      </c>
      <c r="P70" s="82">
        <v>1</v>
      </c>
      <c r="Q70" s="82">
        <v>0</v>
      </c>
      <c r="R70" s="83"/>
      <c r="S70" s="82">
        <v>0</v>
      </c>
      <c r="T70" s="82">
        <v>0</v>
      </c>
      <c r="U70" s="82">
        <v>0</v>
      </c>
      <c r="V70" s="83"/>
      <c r="W70" s="82">
        <v>1</v>
      </c>
      <c r="X70" s="82">
        <v>0</v>
      </c>
      <c r="Y70" s="84">
        <v>0</v>
      </c>
    </row>
    <row r="71" spans="1:25" x14ac:dyDescent="0.3">
      <c r="A71" s="81" t="s">
        <v>786</v>
      </c>
      <c r="B71" s="81" t="s">
        <v>59</v>
      </c>
      <c r="C71" s="149"/>
      <c r="D71" s="149"/>
      <c r="E71" s="149"/>
      <c r="F71" s="83"/>
      <c r="G71" s="149"/>
      <c r="H71" s="149"/>
      <c r="I71" s="149"/>
      <c r="J71" s="83"/>
      <c r="K71" s="82">
        <v>0</v>
      </c>
      <c r="L71" s="82">
        <v>0</v>
      </c>
      <c r="M71" s="82">
        <v>0</v>
      </c>
      <c r="N71" s="83"/>
      <c r="O71" s="82">
        <v>0</v>
      </c>
      <c r="P71" s="82">
        <v>2</v>
      </c>
      <c r="Q71" s="82">
        <v>0</v>
      </c>
      <c r="R71" s="83"/>
      <c r="S71" s="82">
        <v>0</v>
      </c>
      <c r="T71" s="82">
        <v>0</v>
      </c>
      <c r="U71" s="82">
        <v>0</v>
      </c>
      <c r="V71" s="83"/>
      <c r="W71" s="82">
        <v>0</v>
      </c>
      <c r="X71" s="82">
        <v>0</v>
      </c>
      <c r="Y71" s="84">
        <v>0</v>
      </c>
    </row>
    <row r="72" spans="1:25" x14ac:dyDescent="0.3">
      <c r="A72" s="81" t="s">
        <v>674</v>
      </c>
      <c r="B72" s="81" t="s">
        <v>675</v>
      </c>
      <c r="C72" s="82">
        <v>1</v>
      </c>
      <c r="D72" s="82">
        <v>0</v>
      </c>
      <c r="E72" s="82">
        <v>0</v>
      </c>
      <c r="F72" s="83"/>
      <c r="G72" s="82">
        <v>1</v>
      </c>
      <c r="H72" s="82">
        <v>0</v>
      </c>
      <c r="I72" s="82">
        <v>0</v>
      </c>
      <c r="J72" s="83"/>
      <c r="K72" s="82">
        <v>0</v>
      </c>
      <c r="L72" s="82">
        <v>0</v>
      </c>
      <c r="M72" s="82">
        <v>0</v>
      </c>
      <c r="N72" s="83"/>
      <c r="O72" s="82">
        <v>1</v>
      </c>
      <c r="P72" s="82">
        <v>1</v>
      </c>
      <c r="Q72" s="82">
        <v>0</v>
      </c>
      <c r="R72" s="83"/>
      <c r="S72" s="82">
        <v>0</v>
      </c>
      <c r="T72" s="82">
        <v>1</v>
      </c>
      <c r="U72" s="82">
        <v>2</v>
      </c>
      <c r="V72" s="83"/>
      <c r="W72" s="82">
        <v>0</v>
      </c>
      <c r="X72" s="82">
        <v>0</v>
      </c>
      <c r="Y72" s="84">
        <v>0</v>
      </c>
    </row>
    <row r="73" spans="1:25" x14ac:dyDescent="0.3">
      <c r="A73" s="81" t="s">
        <v>526</v>
      </c>
      <c r="B73" s="81" t="s">
        <v>278</v>
      </c>
      <c r="C73" s="82">
        <v>0</v>
      </c>
      <c r="D73" s="82">
        <v>0</v>
      </c>
      <c r="E73" s="82">
        <v>2</v>
      </c>
      <c r="F73" s="83"/>
      <c r="G73" s="82">
        <v>0</v>
      </c>
      <c r="H73" s="82">
        <v>0</v>
      </c>
      <c r="I73" s="82">
        <v>0</v>
      </c>
      <c r="J73" s="83"/>
      <c r="K73" s="82">
        <v>0</v>
      </c>
      <c r="L73" s="82">
        <v>0</v>
      </c>
      <c r="M73" s="82">
        <v>0</v>
      </c>
      <c r="N73" s="83"/>
      <c r="O73" s="82">
        <v>0</v>
      </c>
      <c r="P73" s="82">
        <v>1</v>
      </c>
      <c r="Q73" s="82">
        <v>2</v>
      </c>
      <c r="R73" s="83"/>
      <c r="S73" s="82">
        <v>0</v>
      </c>
      <c r="T73" s="82">
        <v>0</v>
      </c>
      <c r="U73" s="82">
        <v>2</v>
      </c>
      <c r="V73" s="83"/>
      <c r="W73" s="82">
        <v>0</v>
      </c>
      <c r="X73" s="82">
        <v>1</v>
      </c>
      <c r="Y73" s="84">
        <v>0</v>
      </c>
    </row>
    <row r="74" spans="1:25" x14ac:dyDescent="0.3">
      <c r="A74" s="81" t="s">
        <v>679</v>
      </c>
      <c r="B74" s="81" t="s">
        <v>680</v>
      </c>
      <c r="C74" s="149"/>
      <c r="D74" s="149"/>
      <c r="E74" s="149"/>
      <c r="F74" s="83"/>
      <c r="G74" s="149"/>
      <c r="H74" s="149"/>
      <c r="I74" s="149"/>
      <c r="J74" s="83"/>
      <c r="K74" s="149"/>
      <c r="L74" s="149"/>
      <c r="M74" s="149"/>
      <c r="N74" s="83"/>
      <c r="O74" s="149"/>
      <c r="P74" s="149"/>
      <c r="Q74" s="149"/>
      <c r="R74" s="83"/>
      <c r="S74" s="149"/>
      <c r="T74" s="149"/>
      <c r="U74" s="149"/>
      <c r="V74" s="83"/>
      <c r="W74" s="149"/>
      <c r="X74" s="149"/>
      <c r="Y74" s="150"/>
    </row>
    <row r="75" spans="1:25" x14ac:dyDescent="0.3">
      <c r="A75" s="81" t="s">
        <v>527</v>
      </c>
      <c r="B75" s="81" t="s">
        <v>56</v>
      </c>
      <c r="C75" s="149"/>
      <c r="D75" s="149"/>
      <c r="E75" s="149"/>
      <c r="F75" s="83"/>
      <c r="G75" s="149"/>
      <c r="H75" s="149"/>
      <c r="I75" s="149"/>
      <c r="J75" s="83"/>
      <c r="K75" s="149"/>
      <c r="L75" s="149"/>
      <c r="M75" s="149"/>
      <c r="N75" s="83"/>
      <c r="O75" s="149"/>
      <c r="P75" s="149"/>
      <c r="Q75" s="149"/>
      <c r="R75" s="83"/>
      <c r="S75" s="91"/>
      <c r="T75" s="91"/>
      <c r="U75" s="91"/>
      <c r="V75" s="83"/>
      <c r="W75" s="91"/>
      <c r="X75" s="91"/>
      <c r="Y75" s="152"/>
    </row>
    <row r="76" spans="1:25" x14ac:dyDescent="0.3">
      <c r="A76" s="81" t="s">
        <v>678</v>
      </c>
      <c r="B76" s="81" t="s">
        <v>55</v>
      </c>
      <c r="C76" s="91"/>
      <c r="D76" s="91"/>
      <c r="E76" s="91"/>
      <c r="F76" s="83"/>
      <c r="G76" s="91"/>
      <c r="H76" s="91"/>
      <c r="I76" s="91"/>
      <c r="J76" s="83"/>
      <c r="K76" s="91"/>
      <c r="L76" s="91"/>
      <c r="M76" s="91"/>
      <c r="N76" s="83"/>
      <c r="O76" s="91"/>
      <c r="P76" s="91"/>
      <c r="Q76" s="91"/>
      <c r="R76" s="83"/>
      <c r="S76" s="91"/>
      <c r="T76" s="91"/>
      <c r="U76" s="91"/>
      <c r="V76" s="83"/>
      <c r="W76" s="91"/>
      <c r="X76" s="91"/>
      <c r="Y76" s="152"/>
    </row>
    <row r="77" spans="1:25" x14ac:dyDescent="0.3">
      <c r="A77" s="81" t="s">
        <v>528</v>
      </c>
      <c r="B77" s="81" t="s">
        <v>279</v>
      </c>
      <c r="C77" s="82">
        <v>2</v>
      </c>
      <c r="D77" s="82">
        <v>0</v>
      </c>
      <c r="E77" s="82">
        <v>2</v>
      </c>
      <c r="F77" s="83"/>
      <c r="G77" s="82">
        <v>0</v>
      </c>
      <c r="H77" s="82">
        <v>0</v>
      </c>
      <c r="I77" s="82">
        <v>0</v>
      </c>
      <c r="J77" s="83"/>
      <c r="K77" s="82">
        <v>0</v>
      </c>
      <c r="L77" s="82">
        <v>0</v>
      </c>
      <c r="M77" s="82">
        <v>0</v>
      </c>
      <c r="N77" s="83"/>
      <c r="O77" s="82">
        <v>0</v>
      </c>
      <c r="P77" s="82">
        <v>0</v>
      </c>
      <c r="Q77" s="82">
        <v>0</v>
      </c>
      <c r="R77" s="83"/>
      <c r="S77" s="82">
        <v>2</v>
      </c>
      <c r="T77" s="82">
        <v>0</v>
      </c>
      <c r="U77" s="82">
        <v>0</v>
      </c>
      <c r="V77" s="83"/>
      <c r="W77" s="82">
        <v>0</v>
      </c>
      <c r="X77" s="82">
        <v>0</v>
      </c>
      <c r="Y77" s="84">
        <v>0</v>
      </c>
    </row>
    <row r="78" spans="1:25" x14ac:dyDescent="0.3">
      <c r="A78" s="81" t="s">
        <v>529</v>
      </c>
      <c r="B78" s="81" t="s">
        <v>532</v>
      </c>
      <c r="C78" s="91"/>
      <c r="D78" s="91"/>
      <c r="E78" s="91"/>
      <c r="F78" s="83"/>
      <c r="G78" s="91"/>
      <c r="H78" s="91"/>
      <c r="I78" s="91"/>
      <c r="J78" s="83"/>
      <c r="K78" s="82">
        <v>0</v>
      </c>
      <c r="L78" s="82">
        <v>0</v>
      </c>
      <c r="M78" s="82">
        <v>0</v>
      </c>
      <c r="N78" s="83"/>
      <c r="O78" s="82">
        <v>0</v>
      </c>
      <c r="P78" s="82">
        <v>0</v>
      </c>
      <c r="Q78" s="82">
        <v>0</v>
      </c>
      <c r="R78" s="83"/>
      <c r="S78" s="82">
        <v>0</v>
      </c>
      <c r="T78" s="82">
        <v>0</v>
      </c>
      <c r="U78" s="82">
        <v>0</v>
      </c>
      <c r="V78" s="83"/>
      <c r="W78" s="82">
        <v>0</v>
      </c>
      <c r="X78" s="82">
        <v>0</v>
      </c>
      <c r="Y78" s="84">
        <v>0</v>
      </c>
    </row>
    <row r="79" spans="1:25" x14ac:dyDescent="0.3">
      <c r="A79" s="81" t="s">
        <v>546</v>
      </c>
      <c r="B79" s="81" t="s">
        <v>531</v>
      </c>
      <c r="C79" s="82" t="s">
        <v>681</v>
      </c>
      <c r="D79" s="82">
        <v>0</v>
      </c>
      <c r="E79" s="82">
        <v>0</v>
      </c>
      <c r="F79" s="83"/>
      <c r="G79" s="82" t="s">
        <v>681</v>
      </c>
      <c r="H79" s="82">
        <v>0</v>
      </c>
      <c r="I79" s="82">
        <v>0</v>
      </c>
      <c r="J79" s="83"/>
      <c r="K79" s="82" t="s">
        <v>681</v>
      </c>
      <c r="L79" s="82">
        <v>0</v>
      </c>
      <c r="M79" s="82">
        <v>0</v>
      </c>
      <c r="N79" s="83"/>
      <c r="O79" s="82" t="s">
        <v>681</v>
      </c>
      <c r="P79" s="82">
        <v>0</v>
      </c>
      <c r="Q79" s="82">
        <v>0</v>
      </c>
      <c r="R79" s="83"/>
      <c r="S79" s="82" t="s">
        <v>681</v>
      </c>
      <c r="T79" s="82">
        <v>0</v>
      </c>
      <c r="U79" s="82">
        <v>0</v>
      </c>
      <c r="V79" s="83"/>
      <c r="W79" s="82" t="s">
        <v>681</v>
      </c>
      <c r="X79" s="82">
        <v>0</v>
      </c>
      <c r="Y79" s="84">
        <v>0</v>
      </c>
    </row>
    <row r="80" spans="1:25" x14ac:dyDescent="0.3">
      <c r="A80" s="81" t="s">
        <v>778</v>
      </c>
      <c r="B80" s="81" t="s">
        <v>779</v>
      </c>
      <c r="C80" s="82" t="s">
        <v>681</v>
      </c>
      <c r="D80" s="82">
        <v>0</v>
      </c>
      <c r="E80" s="82">
        <v>0</v>
      </c>
      <c r="F80" s="83"/>
      <c r="G80" s="82" t="s">
        <v>681</v>
      </c>
      <c r="H80" s="82">
        <v>0</v>
      </c>
      <c r="I80" s="82">
        <v>0</v>
      </c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2" spans="1:27" ht="15" thickBot="1" x14ac:dyDescent="0.35"/>
    <row r="83" spans="1:27" x14ac:dyDescent="0.3">
      <c r="A83" s="16"/>
      <c r="B83" s="16" t="s">
        <v>547</v>
      </c>
      <c r="C83" s="76">
        <v>13</v>
      </c>
      <c r="D83" s="76"/>
      <c r="E83" s="76"/>
      <c r="F83" s="77"/>
      <c r="G83" s="76">
        <v>14</v>
      </c>
      <c r="H83" s="76"/>
      <c r="I83" s="76"/>
      <c r="J83" s="77"/>
      <c r="K83" s="76">
        <v>15</v>
      </c>
      <c r="L83" s="76"/>
      <c r="M83" s="76"/>
      <c r="N83" s="77"/>
      <c r="O83" s="76">
        <v>16</v>
      </c>
      <c r="P83" s="76"/>
      <c r="Q83" s="76"/>
      <c r="R83" s="77"/>
      <c r="S83" s="76">
        <v>17</v>
      </c>
      <c r="T83" s="76"/>
      <c r="U83" s="76"/>
      <c r="V83" s="77"/>
      <c r="W83" s="76">
        <v>18</v>
      </c>
      <c r="X83" s="16"/>
      <c r="Y83" s="16"/>
      <c r="Z83" s="75"/>
      <c r="AA83" s="16"/>
    </row>
    <row r="84" spans="1:27" x14ac:dyDescent="0.3">
      <c r="A84" s="16"/>
      <c r="B84" s="16"/>
      <c r="C84" s="16" t="s">
        <v>809</v>
      </c>
      <c r="D84" s="16"/>
      <c r="E84" s="16"/>
      <c r="F84" s="67"/>
      <c r="G84" s="16" t="s">
        <v>811</v>
      </c>
      <c r="H84" s="16"/>
      <c r="I84" s="16"/>
      <c r="J84" s="67"/>
      <c r="K84" s="16" t="s">
        <v>814</v>
      </c>
      <c r="L84" s="16"/>
      <c r="M84" s="16"/>
      <c r="N84" s="67"/>
      <c r="O84" s="16" t="s">
        <v>815</v>
      </c>
      <c r="P84" s="16"/>
      <c r="Q84" s="16"/>
      <c r="R84" s="67"/>
      <c r="S84" s="16" t="s">
        <v>816</v>
      </c>
      <c r="T84" s="16"/>
      <c r="U84" s="16"/>
      <c r="V84" s="67"/>
      <c r="W84" s="16" t="s">
        <v>30</v>
      </c>
      <c r="X84" s="16"/>
      <c r="Y84" s="16"/>
      <c r="Z84" s="67"/>
      <c r="AA84" s="16"/>
    </row>
    <row r="85" spans="1:27" x14ac:dyDescent="0.3">
      <c r="A85" s="16"/>
      <c r="B85" s="16"/>
      <c r="C85" s="153">
        <v>40943</v>
      </c>
      <c r="D85" s="16"/>
      <c r="E85" s="16"/>
      <c r="F85" s="67"/>
      <c r="G85" s="153">
        <v>40943</v>
      </c>
      <c r="H85" s="16"/>
      <c r="I85" s="16"/>
      <c r="J85" s="67"/>
      <c r="K85" s="156" t="s">
        <v>812</v>
      </c>
      <c r="L85" s="16"/>
      <c r="M85" s="16"/>
      <c r="N85" s="67"/>
      <c r="O85" s="153">
        <v>40971</v>
      </c>
      <c r="P85" s="16"/>
      <c r="Q85" s="16"/>
      <c r="R85" s="67"/>
      <c r="S85" s="153">
        <v>40971</v>
      </c>
      <c r="T85" s="16"/>
      <c r="U85" s="16"/>
      <c r="V85" s="67"/>
      <c r="W85" s="156" t="s">
        <v>817</v>
      </c>
      <c r="X85" s="16"/>
      <c r="Y85" s="16"/>
      <c r="Z85" s="67"/>
      <c r="AA85" s="16"/>
    </row>
    <row r="86" spans="1:27" x14ac:dyDescent="0.3">
      <c r="A86" s="16"/>
      <c r="B86" s="16"/>
      <c r="C86" s="16" t="s">
        <v>794</v>
      </c>
      <c r="D86" s="16"/>
      <c r="E86" s="16"/>
      <c r="F86" s="67"/>
      <c r="G86" s="16" t="s">
        <v>794</v>
      </c>
      <c r="H86" s="16"/>
      <c r="I86" s="16"/>
      <c r="J86" s="67"/>
      <c r="K86" s="16" t="s">
        <v>813</v>
      </c>
      <c r="L86" s="16"/>
      <c r="M86" s="16"/>
      <c r="N86" s="67"/>
      <c r="O86" s="16" t="s">
        <v>794</v>
      </c>
      <c r="P86" s="16"/>
      <c r="Q86" s="16"/>
      <c r="R86" s="67"/>
      <c r="S86" s="16" t="s">
        <v>794</v>
      </c>
      <c r="T86" s="16"/>
      <c r="U86" s="16"/>
      <c r="V86" s="67"/>
      <c r="W86" s="16" t="s">
        <v>242</v>
      </c>
      <c r="X86" s="16"/>
      <c r="Y86" s="16"/>
      <c r="Z86" s="67"/>
      <c r="AA86" s="16"/>
    </row>
    <row r="87" spans="1:27" x14ac:dyDescent="0.3">
      <c r="A87" s="1"/>
      <c r="B87" s="1"/>
      <c r="C87" s="166" t="s">
        <v>810</v>
      </c>
      <c r="D87" s="85" t="s">
        <v>838</v>
      </c>
      <c r="E87" s="1"/>
      <c r="F87" s="68"/>
      <c r="G87" s="162" t="s">
        <v>574</v>
      </c>
      <c r="H87" s="85" t="s">
        <v>839</v>
      </c>
      <c r="I87" s="1"/>
      <c r="J87" s="68"/>
      <c r="K87" s="162" t="s">
        <v>730</v>
      </c>
      <c r="L87" s="85" t="s">
        <v>840</v>
      </c>
      <c r="M87" s="1"/>
      <c r="N87" s="68"/>
      <c r="O87" s="163" t="s">
        <v>574</v>
      </c>
      <c r="P87" s="1" t="s">
        <v>841</v>
      </c>
      <c r="Q87" s="1"/>
      <c r="R87" s="68"/>
      <c r="S87" s="165" t="s">
        <v>577</v>
      </c>
      <c r="T87" s="1" t="s">
        <v>842</v>
      </c>
      <c r="U87" s="1"/>
      <c r="V87" s="68"/>
      <c r="W87" s="162" t="s">
        <v>565</v>
      </c>
      <c r="X87" s="1" t="s">
        <v>843</v>
      </c>
      <c r="Y87" s="1"/>
      <c r="Z87" s="68"/>
      <c r="AA87" s="1"/>
    </row>
    <row r="89" spans="1:27" x14ac:dyDescent="0.3">
      <c r="C89" t="s">
        <v>537</v>
      </c>
      <c r="G89" t="s">
        <v>537</v>
      </c>
      <c r="K89" t="s">
        <v>537</v>
      </c>
      <c r="O89" t="s">
        <v>537</v>
      </c>
      <c r="S89" t="s">
        <v>537</v>
      </c>
      <c r="W89" t="s">
        <v>537</v>
      </c>
    </row>
    <row r="90" spans="1:27" x14ac:dyDescent="0.3">
      <c r="C90" t="s">
        <v>107</v>
      </c>
      <c r="E90" t="s">
        <v>540</v>
      </c>
      <c r="G90" t="s">
        <v>800</v>
      </c>
      <c r="K90" t="s">
        <v>501</v>
      </c>
      <c r="M90" t="s">
        <v>556</v>
      </c>
      <c r="O90" t="s">
        <v>107</v>
      </c>
      <c r="Q90" t="s">
        <v>637</v>
      </c>
      <c r="S90" t="s">
        <v>805</v>
      </c>
      <c r="W90" t="s">
        <v>107</v>
      </c>
    </row>
    <row r="91" spans="1:27" x14ac:dyDescent="0.3">
      <c r="I91" t="s">
        <v>557</v>
      </c>
    </row>
    <row r="92" spans="1:27" x14ac:dyDescent="0.3">
      <c r="C92" t="s">
        <v>543</v>
      </c>
      <c r="G92" t="s">
        <v>543</v>
      </c>
      <c r="K92" t="s">
        <v>543</v>
      </c>
      <c r="O92" t="s">
        <v>543</v>
      </c>
      <c r="S92" t="s">
        <v>543</v>
      </c>
      <c r="W92" t="s">
        <v>543</v>
      </c>
    </row>
    <row r="93" spans="1:27" x14ac:dyDescent="0.3">
      <c r="C93" t="s">
        <v>501</v>
      </c>
      <c r="G93" t="s">
        <v>501</v>
      </c>
      <c r="I93" t="s">
        <v>557</v>
      </c>
      <c r="K93" s="116" t="s">
        <v>107</v>
      </c>
      <c r="O93" t="s">
        <v>804</v>
      </c>
      <c r="S93" s="116" t="s">
        <v>804</v>
      </c>
      <c r="W93" s="116" t="s">
        <v>805</v>
      </c>
    </row>
    <row r="96" spans="1:27" ht="15" thickBot="1" x14ac:dyDescent="0.35">
      <c r="A96" s="60" t="s">
        <v>517</v>
      </c>
      <c r="B96" s="60"/>
      <c r="C96" s="61" t="s">
        <v>533</v>
      </c>
      <c r="D96" s="61" t="s">
        <v>534</v>
      </c>
      <c r="E96" s="61" t="s">
        <v>535</v>
      </c>
      <c r="F96" s="69"/>
      <c r="G96" s="61" t="s">
        <v>533</v>
      </c>
      <c r="H96" s="61" t="s">
        <v>534</v>
      </c>
      <c r="I96" s="61" t="s">
        <v>535</v>
      </c>
      <c r="J96" s="69"/>
      <c r="K96" s="61" t="s">
        <v>533</v>
      </c>
      <c r="L96" s="61" t="s">
        <v>534</v>
      </c>
      <c r="M96" s="61" t="s">
        <v>535</v>
      </c>
      <c r="N96" s="69"/>
      <c r="O96" s="61" t="s">
        <v>533</v>
      </c>
      <c r="P96" s="61" t="s">
        <v>534</v>
      </c>
      <c r="Q96" s="61" t="s">
        <v>535</v>
      </c>
      <c r="R96" s="69"/>
      <c r="S96" s="61" t="s">
        <v>533</v>
      </c>
      <c r="T96" s="61" t="s">
        <v>534</v>
      </c>
      <c r="U96" s="61" t="s">
        <v>535</v>
      </c>
      <c r="V96" s="69"/>
      <c r="W96" s="61" t="s">
        <v>533</v>
      </c>
      <c r="X96" s="61" t="s">
        <v>534</v>
      </c>
      <c r="Y96" s="61" t="s">
        <v>535</v>
      </c>
      <c r="Z96" s="67"/>
      <c r="AA96" s="16"/>
    </row>
    <row r="97" spans="1:27" ht="3.75" customHeight="1" thickBot="1" x14ac:dyDescent="0.35">
      <c r="A97" s="62"/>
      <c r="B97" s="62"/>
      <c r="C97" s="63"/>
      <c r="D97" s="63"/>
      <c r="E97" s="63"/>
      <c r="F97" s="64"/>
      <c r="G97" s="63"/>
      <c r="H97" s="63"/>
      <c r="I97" s="63"/>
      <c r="J97" s="64"/>
      <c r="K97" s="63"/>
      <c r="L97" s="63"/>
      <c r="M97" s="63"/>
      <c r="N97" s="64"/>
      <c r="O97" s="63"/>
      <c r="P97" s="63"/>
      <c r="Q97" s="63"/>
      <c r="R97" s="64"/>
      <c r="S97" s="63"/>
      <c r="T97" s="63"/>
      <c r="U97" s="63"/>
      <c r="V97" s="64"/>
      <c r="W97" s="63"/>
      <c r="X97" s="63"/>
      <c r="Y97" s="63"/>
      <c r="Z97" s="65"/>
      <c r="AA97" s="16"/>
    </row>
    <row r="98" spans="1:27" x14ac:dyDescent="0.3">
      <c r="A98" s="78" t="s">
        <v>518</v>
      </c>
      <c r="B98" s="78" t="s">
        <v>48</v>
      </c>
      <c r="C98" s="79">
        <v>0</v>
      </c>
      <c r="D98" s="79">
        <v>0</v>
      </c>
      <c r="E98" s="79">
        <v>0</v>
      </c>
      <c r="F98" s="80"/>
      <c r="G98" s="79">
        <v>0</v>
      </c>
      <c r="H98" s="79">
        <v>0</v>
      </c>
      <c r="I98" s="79">
        <v>0</v>
      </c>
      <c r="J98" s="80"/>
      <c r="K98" s="79">
        <v>0</v>
      </c>
      <c r="L98" s="79">
        <v>0</v>
      </c>
      <c r="M98" s="79">
        <v>0</v>
      </c>
      <c r="N98" s="80"/>
      <c r="O98" s="79">
        <v>1</v>
      </c>
      <c r="P98" s="79">
        <v>0</v>
      </c>
      <c r="Q98" s="79">
        <v>0</v>
      </c>
      <c r="R98" s="80"/>
      <c r="S98" s="79">
        <v>0</v>
      </c>
      <c r="T98" s="79">
        <v>0</v>
      </c>
      <c r="U98" s="79">
        <v>0</v>
      </c>
      <c r="V98" s="80"/>
      <c r="W98" s="79">
        <v>0</v>
      </c>
      <c r="X98" s="79">
        <v>0</v>
      </c>
      <c r="Y98" s="151">
        <v>0</v>
      </c>
      <c r="Z98" s="72"/>
    </row>
    <row r="99" spans="1:27" x14ac:dyDescent="0.3">
      <c r="A99" s="81" t="s">
        <v>519</v>
      </c>
      <c r="B99" s="81" t="s">
        <v>54</v>
      </c>
      <c r="C99" s="149"/>
      <c r="D99" s="149"/>
      <c r="E99" s="149"/>
      <c r="F99" s="83"/>
      <c r="G99" s="149"/>
      <c r="H99" s="149"/>
      <c r="I99" s="149"/>
      <c r="J99" s="83"/>
      <c r="K99" s="91"/>
      <c r="L99" s="91"/>
      <c r="M99" s="91"/>
      <c r="N99" s="83"/>
      <c r="O99" s="91"/>
      <c r="P99" s="91"/>
      <c r="Q99" s="91"/>
      <c r="R99" s="83"/>
      <c r="S99" s="149"/>
      <c r="T99" s="149"/>
      <c r="U99" s="149"/>
      <c r="V99" s="83"/>
      <c r="W99" s="149"/>
      <c r="X99" s="149"/>
      <c r="Y99" s="150"/>
    </row>
    <row r="100" spans="1:27" x14ac:dyDescent="0.3">
      <c r="A100" s="81" t="s">
        <v>520</v>
      </c>
      <c r="B100" s="81" t="s">
        <v>530</v>
      </c>
      <c r="C100" s="91"/>
      <c r="D100" s="91"/>
      <c r="E100" s="91"/>
      <c r="F100" s="83"/>
      <c r="G100" s="91"/>
      <c r="H100" s="91"/>
      <c r="I100" s="91"/>
      <c r="J100" s="83"/>
      <c r="K100" s="149"/>
      <c r="L100" s="149"/>
      <c r="M100" s="149"/>
      <c r="N100" s="83"/>
      <c r="O100" s="149"/>
      <c r="P100" s="149"/>
      <c r="Q100" s="149"/>
      <c r="R100" s="83"/>
      <c r="S100" s="149"/>
      <c r="T100" s="149"/>
      <c r="U100" s="149"/>
      <c r="V100" s="83"/>
      <c r="W100" s="149"/>
      <c r="X100" s="149"/>
      <c r="Y100" s="150"/>
    </row>
    <row r="101" spans="1:27" x14ac:dyDescent="0.3">
      <c r="A101" s="81" t="s">
        <v>521</v>
      </c>
      <c r="B101" s="81" t="s">
        <v>181</v>
      </c>
      <c r="C101" s="82">
        <v>0</v>
      </c>
      <c r="D101" s="82">
        <v>0</v>
      </c>
      <c r="E101" s="82">
        <v>0</v>
      </c>
      <c r="F101" s="83"/>
      <c r="G101" s="82">
        <v>1</v>
      </c>
      <c r="H101" s="82">
        <v>0</v>
      </c>
      <c r="I101" s="82">
        <v>0</v>
      </c>
      <c r="J101" s="83"/>
      <c r="K101" s="82">
        <v>0</v>
      </c>
      <c r="L101" s="82">
        <v>0</v>
      </c>
      <c r="M101" s="82">
        <v>0</v>
      </c>
      <c r="N101" s="83"/>
      <c r="O101" s="82">
        <v>0</v>
      </c>
      <c r="P101" s="82">
        <v>0</v>
      </c>
      <c r="Q101" s="82">
        <v>0</v>
      </c>
      <c r="R101" s="83"/>
      <c r="S101" s="82">
        <v>1</v>
      </c>
      <c r="T101" s="82">
        <v>0</v>
      </c>
      <c r="U101" s="82">
        <v>0</v>
      </c>
      <c r="V101" s="83"/>
      <c r="W101" s="82">
        <v>0</v>
      </c>
      <c r="X101" s="82">
        <v>0</v>
      </c>
      <c r="Y101" s="84">
        <v>0</v>
      </c>
    </row>
    <row r="102" spans="1:27" x14ac:dyDescent="0.3">
      <c r="A102" s="81" t="s">
        <v>522</v>
      </c>
      <c r="B102" s="81" t="s">
        <v>185</v>
      </c>
      <c r="C102" s="82">
        <v>1</v>
      </c>
      <c r="D102" s="82">
        <v>1</v>
      </c>
      <c r="E102" s="82">
        <v>0</v>
      </c>
      <c r="F102" s="83"/>
      <c r="G102" s="82">
        <v>0</v>
      </c>
      <c r="H102" s="82">
        <v>3</v>
      </c>
      <c r="I102" s="82">
        <v>2</v>
      </c>
      <c r="J102" s="83"/>
      <c r="K102" s="82">
        <v>1</v>
      </c>
      <c r="L102" s="82">
        <v>0</v>
      </c>
      <c r="M102" s="82">
        <v>0</v>
      </c>
      <c r="N102" s="83"/>
      <c r="O102" s="82">
        <v>1</v>
      </c>
      <c r="P102" s="82">
        <v>3</v>
      </c>
      <c r="Q102" s="82">
        <v>0</v>
      </c>
      <c r="R102" s="83"/>
      <c r="S102" s="82">
        <v>0</v>
      </c>
      <c r="T102" s="82">
        <v>2</v>
      </c>
      <c r="U102" s="82">
        <v>0</v>
      </c>
      <c r="V102" s="83"/>
      <c r="W102" s="82">
        <v>1</v>
      </c>
      <c r="X102" s="82">
        <v>0</v>
      </c>
      <c r="Y102" s="84">
        <v>0</v>
      </c>
    </row>
    <row r="103" spans="1:27" x14ac:dyDescent="0.3">
      <c r="A103" s="81" t="s">
        <v>523</v>
      </c>
      <c r="B103" s="81" t="s">
        <v>52</v>
      </c>
      <c r="C103" s="82">
        <v>0</v>
      </c>
      <c r="D103" s="82">
        <v>0</v>
      </c>
      <c r="E103" s="82">
        <v>0</v>
      </c>
      <c r="F103" s="83"/>
      <c r="G103" s="82">
        <v>0</v>
      </c>
      <c r="H103" s="82">
        <v>0</v>
      </c>
      <c r="I103" s="82">
        <v>0</v>
      </c>
      <c r="J103" s="83"/>
      <c r="K103" s="82">
        <v>0</v>
      </c>
      <c r="L103" s="82">
        <v>0</v>
      </c>
      <c r="M103" s="82">
        <v>0</v>
      </c>
      <c r="N103" s="83"/>
      <c r="O103" s="82">
        <v>0</v>
      </c>
      <c r="P103" s="82">
        <v>0</v>
      </c>
      <c r="Q103" s="82">
        <v>0</v>
      </c>
      <c r="R103" s="83"/>
      <c r="S103" s="82">
        <v>1</v>
      </c>
      <c r="T103" s="82">
        <v>0</v>
      </c>
      <c r="U103" s="82">
        <v>2</v>
      </c>
      <c r="V103" s="83"/>
      <c r="W103" s="82">
        <v>0</v>
      </c>
      <c r="X103" s="82">
        <v>0</v>
      </c>
      <c r="Y103" s="84">
        <v>0</v>
      </c>
    </row>
    <row r="104" spans="1:27" x14ac:dyDescent="0.3">
      <c r="A104" s="81" t="s">
        <v>676</v>
      </c>
      <c r="B104" s="81" t="s">
        <v>677</v>
      </c>
      <c r="C104" s="82">
        <v>0</v>
      </c>
      <c r="D104" s="82">
        <v>0</v>
      </c>
      <c r="E104" s="82">
        <v>0</v>
      </c>
      <c r="F104" s="83"/>
      <c r="G104" s="82">
        <v>0</v>
      </c>
      <c r="H104" s="82">
        <v>2</v>
      </c>
      <c r="I104" s="82">
        <v>0</v>
      </c>
      <c r="J104" s="83"/>
      <c r="K104" s="82">
        <v>1</v>
      </c>
      <c r="L104" s="82">
        <v>1</v>
      </c>
      <c r="M104" s="82">
        <v>0</v>
      </c>
      <c r="N104" s="83"/>
      <c r="O104" s="82">
        <v>0</v>
      </c>
      <c r="P104" s="82">
        <v>0</v>
      </c>
      <c r="Q104" s="82">
        <v>0</v>
      </c>
      <c r="R104" s="83"/>
      <c r="S104" s="82">
        <v>0</v>
      </c>
      <c r="T104" s="82">
        <v>0</v>
      </c>
      <c r="U104" s="82">
        <v>0</v>
      </c>
      <c r="V104" s="83"/>
      <c r="W104" s="82">
        <v>0</v>
      </c>
      <c r="X104" s="82">
        <v>0</v>
      </c>
      <c r="Y104" s="84">
        <v>0</v>
      </c>
    </row>
    <row r="105" spans="1:27" x14ac:dyDescent="0.3">
      <c r="A105" s="81" t="s">
        <v>672</v>
      </c>
      <c r="B105" s="81" t="s">
        <v>673</v>
      </c>
      <c r="C105" s="82">
        <v>0</v>
      </c>
      <c r="D105" s="82">
        <v>1</v>
      </c>
      <c r="E105" s="82">
        <v>0</v>
      </c>
      <c r="F105" s="83"/>
      <c r="G105" s="82">
        <v>1</v>
      </c>
      <c r="H105" s="82">
        <v>0</v>
      </c>
      <c r="I105" s="82">
        <v>0</v>
      </c>
      <c r="J105" s="83"/>
      <c r="K105" s="82">
        <v>0</v>
      </c>
      <c r="L105" s="82">
        <v>0</v>
      </c>
      <c r="M105" s="82">
        <v>0</v>
      </c>
      <c r="N105" s="83"/>
      <c r="O105" s="82">
        <v>0</v>
      </c>
      <c r="P105" s="82">
        <v>1</v>
      </c>
      <c r="Q105" s="82">
        <v>0</v>
      </c>
      <c r="R105" s="83"/>
      <c r="S105" s="82">
        <v>0</v>
      </c>
      <c r="T105" s="82">
        <v>0</v>
      </c>
      <c r="U105" s="82">
        <v>2</v>
      </c>
      <c r="V105" s="83"/>
      <c r="W105" s="82">
        <v>0</v>
      </c>
      <c r="X105" s="82">
        <v>0</v>
      </c>
      <c r="Y105" s="84">
        <v>0</v>
      </c>
    </row>
    <row r="106" spans="1:27" x14ac:dyDescent="0.3">
      <c r="A106" s="81" t="s">
        <v>524</v>
      </c>
      <c r="B106" s="81" t="s">
        <v>53</v>
      </c>
      <c r="C106" s="82">
        <v>0</v>
      </c>
      <c r="D106" s="82">
        <v>0</v>
      </c>
      <c r="E106" s="82">
        <v>0</v>
      </c>
      <c r="F106" s="83"/>
      <c r="G106" s="82">
        <v>0</v>
      </c>
      <c r="H106" s="82">
        <v>0</v>
      </c>
      <c r="I106" s="82">
        <v>0</v>
      </c>
      <c r="J106" s="83"/>
      <c r="K106" s="82">
        <v>0</v>
      </c>
      <c r="L106" s="82">
        <v>1</v>
      </c>
      <c r="M106" s="82">
        <v>2</v>
      </c>
      <c r="N106" s="83"/>
      <c r="O106" s="82">
        <v>1</v>
      </c>
      <c r="P106" s="82">
        <v>0</v>
      </c>
      <c r="Q106" s="82">
        <v>0</v>
      </c>
      <c r="R106" s="83"/>
      <c r="S106" s="82">
        <v>0</v>
      </c>
      <c r="T106" s="82">
        <v>1</v>
      </c>
      <c r="U106" s="82">
        <v>0</v>
      </c>
      <c r="V106" s="83"/>
      <c r="W106" s="82">
        <v>0</v>
      </c>
      <c r="X106" s="82">
        <v>1</v>
      </c>
      <c r="Y106" s="84">
        <v>0</v>
      </c>
    </row>
    <row r="107" spans="1:27" x14ac:dyDescent="0.3">
      <c r="A107" s="81" t="s">
        <v>525</v>
      </c>
      <c r="B107" s="81" t="s">
        <v>50</v>
      </c>
      <c r="C107" s="82">
        <v>1</v>
      </c>
      <c r="D107" s="82">
        <v>2</v>
      </c>
      <c r="E107" s="82">
        <v>0</v>
      </c>
      <c r="F107" s="83"/>
      <c r="G107" s="82">
        <v>2</v>
      </c>
      <c r="H107" s="82">
        <v>0</v>
      </c>
      <c r="I107" s="82">
        <v>0</v>
      </c>
      <c r="J107" s="83"/>
      <c r="K107" s="82">
        <v>1</v>
      </c>
      <c r="L107" s="82">
        <v>1</v>
      </c>
      <c r="M107" s="82">
        <v>0</v>
      </c>
      <c r="N107" s="83"/>
      <c r="O107" s="82">
        <v>0</v>
      </c>
      <c r="P107" s="82">
        <v>1</v>
      </c>
      <c r="Q107" s="82">
        <v>0</v>
      </c>
      <c r="R107" s="83"/>
      <c r="S107" s="82">
        <v>0</v>
      </c>
      <c r="T107" s="82">
        <v>1</v>
      </c>
      <c r="U107" s="82">
        <v>0</v>
      </c>
      <c r="V107" s="83"/>
      <c r="W107" s="82">
        <v>0</v>
      </c>
      <c r="X107" s="82">
        <v>0</v>
      </c>
      <c r="Y107" s="84">
        <v>0</v>
      </c>
    </row>
    <row r="108" spans="1:27" x14ac:dyDescent="0.3">
      <c r="A108" s="81" t="s">
        <v>786</v>
      </c>
      <c r="B108" s="81" t="s">
        <v>59</v>
      </c>
      <c r="C108" s="82">
        <v>0</v>
      </c>
      <c r="D108" s="82">
        <v>0</v>
      </c>
      <c r="E108" s="82">
        <v>0</v>
      </c>
      <c r="F108" s="83"/>
      <c r="G108" s="82">
        <v>0</v>
      </c>
      <c r="H108" s="82">
        <v>0</v>
      </c>
      <c r="I108" s="82">
        <v>0</v>
      </c>
      <c r="J108" s="83"/>
      <c r="K108" s="82">
        <v>0</v>
      </c>
      <c r="L108" s="82">
        <v>0</v>
      </c>
      <c r="M108" s="82">
        <v>0</v>
      </c>
      <c r="N108" s="83"/>
      <c r="O108" s="82">
        <v>0</v>
      </c>
      <c r="P108" s="82">
        <v>0</v>
      </c>
      <c r="Q108" s="82">
        <v>0</v>
      </c>
      <c r="R108" s="83"/>
      <c r="S108" s="82">
        <v>0</v>
      </c>
      <c r="T108" s="82">
        <v>1</v>
      </c>
      <c r="U108" s="82">
        <v>0</v>
      </c>
      <c r="V108" s="83"/>
      <c r="W108" s="82">
        <v>0</v>
      </c>
      <c r="X108" s="82">
        <v>0</v>
      </c>
      <c r="Y108" s="84">
        <v>0</v>
      </c>
    </row>
    <row r="109" spans="1:27" x14ac:dyDescent="0.3">
      <c r="A109" s="81" t="s">
        <v>674</v>
      </c>
      <c r="B109" s="81" t="s">
        <v>675</v>
      </c>
      <c r="C109" s="82">
        <v>0</v>
      </c>
      <c r="D109" s="82">
        <v>0</v>
      </c>
      <c r="E109" s="82">
        <v>0</v>
      </c>
      <c r="F109" s="83"/>
      <c r="G109" s="82">
        <v>1</v>
      </c>
      <c r="H109" s="82">
        <v>0</v>
      </c>
      <c r="I109" s="82">
        <v>2</v>
      </c>
      <c r="J109" s="83"/>
      <c r="K109" s="82">
        <v>1</v>
      </c>
      <c r="L109" s="82">
        <v>0</v>
      </c>
      <c r="M109" s="82">
        <v>0</v>
      </c>
      <c r="N109" s="83"/>
      <c r="O109" s="82">
        <v>2</v>
      </c>
      <c r="P109" s="82">
        <v>0</v>
      </c>
      <c r="Q109" s="82">
        <v>0</v>
      </c>
      <c r="R109" s="83"/>
      <c r="S109" s="82">
        <v>1</v>
      </c>
      <c r="T109" s="82">
        <v>0</v>
      </c>
      <c r="U109" s="82">
        <v>0</v>
      </c>
      <c r="V109" s="83"/>
      <c r="W109" s="82">
        <v>0</v>
      </c>
      <c r="X109" s="82">
        <v>0</v>
      </c>
      <c r="Y109" s="84">
        <v>0</v>
      </c>
    </row>
    <row r="110" spans="1:27" x14ac:dyDescent="0.3">
      <c r="A110" s="81" t="s">
        <v>526</v>
      </c>
      <c r="B110" s="81" t="s">
        <v>278</v>
      </c>
      <c r="C110" s="82">
        <v>0</v>
      </c>
      <c r="D110" s="82">
        <v>0</v>
      </c>
      <c r="E110" s="82">
        <v>0</v>
      </c>
      <c r="F110" s="83"/>
      <c r="G110" s="82">
        <v>0</v>
      </c>
      <c r="H110" s="82">
        <v>0</v>
      </c>
      <c r="I110" s="82">
        <v>27</v>
      </c>
      <c r="J110" s="83"/>
      <c r="K110" s="82">
        <v>0</v>
      </c>
      <c r="L110" s="82">
        <v>0</v>
      </c>
      <c r="M110" s="82">
        <v>0</v>
      </c>
      <c r="N110" s="83"/>
      <c r="O110" s="82">
        <v>0</v>
      </c>
      <c r="P110" s="82">
        <v>0</v>
      </c>
      <c r="Q110" s="82">
        <v>0</v>
      </c>
      <c r="R110" s="83"/>
      <c r="S110" s="82">
        <v>2</v>
      </c>
      <c r="T110" s="82">
        <v>0</v>
      </c>
      <c r="U110" s="82">
        <v>0</v>
      </c>
      <c r="V110" s="83"/>
      <c r="W110" s="82">
        <v>0</v>
      </c>
      <c r="X110" s="82">
        <v>0</v>
      </c>
      <c r="Y110" s="84">
        <v>0</v>
      </c>
    </row>
    <row r="111" spans="1:27" x14ac:dyDescent="0.3">
      <c r="A111" s="81" t="s">
        <v>679</v>
      </c>
      <c r="B111" s="81" t="s">
        <v>680</v>
      </c>
      <c r="C111" s="91"/>
      <c r="D111" s="91"/>
      <c r="E111" s="91"/>
      <c r="F111" s="83"/>
      <c r="G111" s="91"/>
      <c r="H111" s="91"/>
      <c r="I111" s="91"/>
      <c r="J111" s="83"/>
      <c r="K111" s="91"/>
      <c r="L111" s="91"/>
      <c r="M111" s="91"/>
      <c r="N111" s="83"/>
      <c r="O111" s="91"/>
      <c r="P111" s="91"/>
      <c r="Q111" s="91"/>
      <c r="R111" s="83"/>
      <c r="S111" s="149"/>
      <c r="T111" s="149"/>
      <c r="U111" s="149"/>
      <c r="V111" s="83"/>
      <c r="W111" s="149"/>
      <c r="X111" s="149"/>
      <c r="Y111" s="150"/>
    </row>
    <row r="112" spans="1:27" x14ac:dyDescent="0.3">
      <c r="A112" s="81" t="s">
        <v>527</v>
      </c>
      <c r="B112" s="81" t="s">
        <v>56</v>
      </c>
      <c r="C112" s="91"/>
      <c r="D112" s="91"/>
      <c r="E112" s="91"/>
      <c r="F112" s="83"/>
      <c r="G112" s="91"/>
      <c r="H112" s="91"/>
      <c r="I112" s="91"/>
      <c r="J112" s="83"/>
      <c r="K112" s="91"/>
      <c r="L112" s="91"/>
      <c r="M112" s="91"/>
      <c r="N112" s="83"/>
      <c r="O112" s="91"/>
      <c r="P112" s="91"/>
      <c r="Q112" s="91"/>
      <c r="R112" s="83"/>
      <c r="S112" s="91"/>
      <c r="T112" s="91"/>
      <c r="U112" s="91"/>
      <c r="V112" s="83"/>
      <c r="W112" s="91"/>
      <c r="X112" s="91"/>
      <c r="Y112" s="152"/>
    </row>
    <row r="113" spans="1:25" x14ac:dyDescent="0.3">
      <c r="A113" s="81" t="s">
        <v>678</v>
      </c>
      <c r="B113" s="81" t="s">
        <v>55</v>
      </c>
      <c r="C113" s="91"/>
      <c r="D113" s="91"/>
      <c r="E113" s="91"/>
      <c r="F113" s="83"/>
      <c r="G113" s="91"/>
      <c r="H113" s="91"/>
      <c r="I113" s="91"/>
      <c r="J113" s="83"/>
      <c r="K113" s="91"/>
      <c r="L113" s="91"/>
      <c r="M113" s="91"/>
      <c r="N113" s="83"/>
      <c r="O113" s="91"/>
      <c r="P113" s="91"/>
      <c r="Q113" s="91"/>
      <c r="R113" s="83"/>
      <c r="S113" s="91"/>
      <c r="T113" s="91"/>
      <c r="U113" s="91"/>
      <c r="V113" s="83"/>
      <c r="W113" s="91"/>
      <c r="X113" s="91"/>
      <c r="Y113" s="152"/>
    </row>
    <row r="114" spans="1:25" x14ac:dyDescent="0.3">
      <c r="A114" s="81" t="s">
        <v>528</v>
      </c>
      <c r="B114" s="81" t="s">
        <v>279</v>
      </c>
      <c r="C114" s="82">
        <v>2</v>
      </c>
      <c r="D114" s="82">
        <v>0</v>
      </c>
      <c r="E114" s="82">
        <v>0</v>
      </c>
      <c r="F114" s="83"/>
      <c r="G114" s="82">
        <v>0</v>
      </c>
      <c r="H114" s="82">
        <v>0</v>
      </c>
      <c r="I114" s="82">
        <v>0</v>
      </c>
      <c r="J114" s="83"/>
      <c r="K114" s="82">
        <v>1</v>
      </c>
      <c r="L114" s="82">
        <v>1</v>
      </c>
      <c r="M114" s="82">
        <v>0</v>
      </c>
      <c r="N114" s="83"/>
      <c r="O114" s="82">
        <v>0</v>
      </c>
      <c r="P114" s="82">
        <v>0</v>
      </c>
      <c r="Q114" s="82">
        <v>0</v>
      </c>
      <c r="R114" s="83"/>
      <c r="S114" s="82">
        <v>1</v>
      </c>
      <c r="T114" s="82">
        <v>0</v>
      </c>
      <c r="U114" s="82">
        <v>0</v>
      </c>
      <c r="V114" s="83"/>
      <c r="W114" s="82">
        <v>0</v>
      </c>
      <c r="X114" s="82">
        <v>0</v>
      </c>
      <c r="Y114" s="84">
        <v>0</v>
      </c>
    </row>
    <row r="115" spans="1:25" x14ac:dyDescent="0.3">
      <c r="A115" s="81" t="s">
        <v>529</v>
      </c>
      <c r="B115" s="81" t="s">
        <v>532</v>
      </c>
      <c r="C115" s="82">
        <v>0</v>
      </c>
      <c r="D115" s="82">
        <v>0</v>
      </c>
      <c r="E115" s="82">
        <v>0</v>
      </c>
      <c r="F115" s="83"/>
      <c r="G115" s="82">
        <v>0</v>
      </c>
      <c r="H115" s="82">
        <v>0</v>
      </c>
      <c r="I115" s="82">
        <v>0</v>
      </c>
      <c r="J115" s="83"/>
      <c r="K115" s="82">
        <v>0</v>
      </c>
      <c r="L115" s="82">
        <v>0</v>
      </c>
      <c r="M115" s="82">
        <v>0</v>
      </c>
      <c r="N115" s="83"/>
      <c r="O115" s="82">
        <v>0</v>
      </c>
      <c r="P115" s="82">
        <v>0</v>
      </c>
      <c r="Q115" s="82">
        <v>0</v>
      </c>
      <c r="R115" s="83"/>
      <c r="S115" s="82">
        <v>0</v>
      </c>
      <c r="T115" s="82">
        <v>0</v>
      </c>
      <c r="U115" s="82">
        <v>0</v>
      </c>
      <c r="V115" s="83"/>
      <c r="W115" s="82">
        <v>0</v>
      </c>
      <c r="X115" s="82">
        <v>0</v>
      </c>
      <c r="Y115" s="84">
        <v>0</v>
      </c>
    </row>
    <row r="116" spans="1:25" x14ac:dyDescent="0.3">
      <c r="A116" s="81" t="s">
        <v>546</v>
      </c>
      <c r="B116" s="81" t="s">
        <v>531</v>
      </c>
      <c r="C116" s="82" t="s">
        <v>681</v>
      </c>
      <c r="D116" s="82">
        <v>0</v>
      </c>
      <c r="E116" s="82">
        <v>0</v>
      </c>
      <c r="F116" s="83"/>
      <c r="G116" s="82" t="s">
        <v>681</v>
      </c>
      <c r="H116" s="82">
        <v>0</v>
      </c>
      <c r="I116" s="82">
        <v>0</v>
      </c>
      <c r="J116" s="83"/>
      <c r="K116" s="82" t="s">
        <v>681</v>
      </c>
      <c r="L116" s="82">
        <v>0</v>
      </c>
      <c r="M116" s="82">
        <v>0</v>
      </c>
      <c r="N116" s="83"/>
      <c r="O116" s="82" t="s">
        <v>681</v>
      </c>
      <c r="P116" s="82">
        <v>0</v>
      </c>
      <c r="Q116" s="82">
        <v>0</v>
      </c>
      <c r="R116" s="83"/>
      <c r="S116" s="82" t="s">
        <v>681</v>
      </c>
      <c r="T116" s="82">
        <v>0</v>
      </c>
      <c r="U116" s="82">
        <v>0</v>
      </c>
      <c r="V116" s="83"/>
      <c r="W116" s="82" t="s">
        <v>681</v>
      </c>
      <c r="X116" s="82">
        <v>0</v>
      </c>
      <c r="Y116" s="84">
        <v>0</v>
      </c>
    </row>
    <row r="117" spans="1:25" x14ac:dyDescent="0.3">
      <c r="A117" s="81" t="s">
        <v>778</v>
      </c>
      <c r="B117" s="81" t="s">
        <v>779</v>
      </c>
      <c r="C117" s="149"/>
      <c r="D117" s="149"/>
      <c r="E117" s="149"/>
      <c r="F117" s="83"/>
      <c r="G117" s="149"/>
      <c r="H117" s="149"/>
      <c r="I117" s="149"/>
      <c r="J117" s="83"/>
      <c r="K117" s="149"/>
      <c r="L117" s="149"/>
      <c r="M117" s="149"/>
      <c r="N117" s="83"/>
      <c r="O117" s="149"/>
      <c r="P117" s="149"/>
      <c r="Q117" s="149"/>
      <c r="R117" s="83"/>
      <c r="S117" s="149"/>
      <c r="T117" s="149"/>
      <c r="U117" s="149"/>
      <c r="V117" s="83"/>
      <c r="W117" s="149"/>
      <c r="X117" s="149"/>
      <c r="Y117" s="150"/>
    </row>
    <row r="118" spans="1:25" x14ac:dyDescent="0.3">
      <c r="A118" s="16"/>
      <c r="B118" s="16"/>
      <c r="C118" s="8"/>
      <c r="D118" s="8"/>
      <c r="E118" s="8"/>
      <c r="F118" s="71"/>
      <c r="G118" s="8"/>
      <c r="H118" s="8"/>
      <c r="I118" s="8"/>
      <c r="J118" s="71"/>
      <c r="K118" s="8"/>
      <c r="L118" s="8"/>
      <c r="M118" s="8"/>
      <c r="N118" s="71"/>
      <c r="O118" s="8"/>
      <c r="P118" s="8"/>
      <c r="Q118" s="8"/>
      <c r="R118" s="71"/>
      <c r="S118" s="8"/>
      <c r="T118" s="8"/>
      <c r="U118" s="8"/>
      <c r="V118" s="71"/>
      <c r="W118" s="8"/>
      <c r="X118" s="8"/>
      <c r="Y118" s="8"/>
    </row>
    <row r="120" spans="1:25" ht="13.5" customHeight="1" x14ac:dyDescent="0.3">
      <c r="A120" s="95"/>
      <c r="B120" s="96" t="s">
        <v>583</v>
      </c>
      <c r="C120" s="95"/>
      <c r="D120" s="95"/>
      <c r="E120" s="95"/>
    </row>
    <row r="121" spans="1:25" ht="13.5" customHeight="1" thickBot="1" x14ac:dyDescent="0.35">
      <c r="A121" s="95"/>
      <c r="B121" s="95"/>
      <c r="C121" s="97" t="s">
        <v>533</v>
      </c>
      <c r="D121" s="97" t="s">
        <v>534</v>
      </c>
      <c r="E121" s="98" t="s">
        <v>535</v>
      </c>
    </row>
    <row r="122" spans="1:25" ht="13.5" customHeight="1" x14ac:dyDescent="0.3">
      <c r="A122" s="99" t="s">
        <v>518</v>
      </c>
      <c r="B122" s="99" t="s">
        <v>48</v>
      </c>
      <c r="C122" s="100">
        <f t="shared" ref="C122:C139" si="0">C24+G24+K24+S24+O24+W24+C61+G61+K61+O61+S61+W61+C98+G98+K98+O98+S98+W98</f>
        <v>2</v>
      </c>
      <c r="D122" s="100">
        <f t="shared" ref="D122:D139" si="1">D24+H24+L24+T24+P24+X24+D61+H61+L61+P61+T61+X61+D98+H98+L98+P98+T98+X98</f>
        <v>5</v>
      </c>
      <c r="E122" s="100">
        <f t="shared" ref="E122:E139" si="2">E24+I24+M24+U24+Q24+Y24+E61+I61+M61+Q61+U61+Y61+E98+I98+M98+Q98+U98+Y98</f>
        <v>2</v>
      </c>
      <c r="G122">
        <v>2</v>
      </c>
      <c r="H122">
        <v>8</v>
      </c>
      <c r="I122">
        <v>6</v>
      </c>
      <c r="M122">
        <f>SUM(C122:D122)</f>
        <v>7</v>
      </c>
    </row>
    <row r="123" spans="1:25" ht="13.5" customHeight="1" x14ac:dyDescent="0.3">
      <c r="A123" s="101" t="s">
        <v>519</v>
      </c>
      <c r="B123" s="101" t="s">
        <v>54</v>
      </c>
      <c r="C123" s="100">
        <f t="shared" si="0"/>
        <v>0</v>
      </c>
      <c r="D123" s="100">
        <f t="shared" si="1"/>
        <v>0</v>
      </c>
      <c r="E123" s="100">
        <f t="shared" si="2"/>
        <v>0</v>
      </c>
      <c r="G123">
        <v>2</v>
      </c>
      <c r="H123">
        <v>1</v>
      </c>
      <c r="I123">
        <v>0</v>
      </c>
      <c r="M123">
        <f t="shared" ref="M123:M141" si="3">SUM(C123:D123)</f>
        <v>0</v>
      </c>
    </row>
    <row r="124" spans="1:25" ht="13.5" customHeight="1" x14ac:dyDescent="0.3">
      <c r="A124" s="101" t="s">
        <v>520</v>
      </c>
      <c r="B124" s="101" t="s">
        <v>530</v>
      </c>
      <c r="C124" s="100">
        <f t="shared" si="0"/>
        <v>0</v>
      </c>
      <c r="D124" s="100">
        <f t="shared" si="1"/>
        <v>0</v>
      </c>
      <c r="E124" s="100">
        <f t="shared" si="2"/>
        <v>0</v>
      </c>
      <c r="G124">
        <v>1</v>
      </c>
      <c r="H124">
        <v>8</v>
      </c>
      <c r="I124">
        <v>8</v>
      </c>
      <c r="M124">
        <f t="shared" si="3"/>
        <v>0</v>
      </c>
    </row>
    <row r="125" spans="1:25" ht="13.5" customHeight="1" x14ac:dyDescent="0.3">
      <c r="A125" s="101" t="s">
        <v>521</v>
      </c>
      <c r="B125" s="101" t="s">
        <v>181</v>
      </c>
      <c r="C125" s="100">
        <f t="shared" si="0"/>
        <v>5</v>
      </c>
      <c r="D125" s="100">
        <f t="shared" si="1"/>
        <v>5</v>
      </c>
      <c r="E125" s="100">
        <f t="shared" si="2"/>
        <v>0</v>
      </c>
      <c r="G125">
        <v>5</v>
      </c>
      <c r="H125">
        <v>1</v>
      </c>
      <c r="I125">
        <v>2</v>
      </c>
      <c r="M125">
        <f t="shared" si="3"/>
        <v>10</v>
      </c>
    </row>
    <row r="126" spans="1:25" ht="13.5" customHeight="1" x14ac:dyDescent="0.3">
      <c r="A126" s="101" t="s">
        <v>522</v>
      </c>
      <c r="B126" s="101" t="s">
        <v>185</v>
      </c>
      <c r="C126" s="100">
        <f t="shared" si="0"/>
        <v>18</v>
      </c>
      <c r="D126" s="100">
        <f t="shared" si="1"/>
        <v>16</v>
      </c>
      <c r="E126" s="100">
        <f t="shared" si="2"/>
        <v>56</v>
      </c>
      <c r="G126">
        <v>20</v>
      </c>
      <c r="H126">
        <v>20</v>
      </c>
      <c r="I126">
        <v>14</v>
      </c>
      <c r="M126">
        <f t="shared" si="3"/>
        <v>34</v>
      </c>
    </row>
    <row r="127" spans="1:25" ht="13.5" customHeight="1" x14ac:dyDescent="0.3">
      <c r="A127" s="101" t="s">
        <v>523</v>
      </c>
      <c r="B127" s="101" t="s">
        <v>52</v>
      </c>
      <c r="C127" s="100">
        <f t="shared" si="0"/>
        <v>2</v>
      </c>
      <c r="D127" s="100">
        <f t="shared" si="1"/>
        <v>2</v>
      </c>
      <c r="E127" s="100">
        <f t="shared" si="2"/>
        <v>2</v>
      </c>
      <c r="G127">
        <v>2</v>
      </c>
      <c r="H127">
        <v>0</v>
      </c>
      <c r="I127">
        <v>2</v>
      </c>
      <c r="M127">
        <f t="shared" si="3"/>
        <v>4</v>
      </c>
    </row>
    <row r="128" spans="1:25" ht="13.5" customHeight="1" x14ac:dyDescent="0.3">
      <c r="A128" s="101" t="s">
        <v>676</v>
      </c>
      <c r="B128" s="101" t="s">
        <v>677</v>
      </c>
      <c r="C128" s="100">
        <f t="shared" si="0"/>
        <v>7</v>
      </c>
      <c r="D128" s="100">
        <f t="shared" si="1"/>
        <v>5</v>
      </c>
      <c r="E128" s="100">
        <f t="shared" si="2"/>
        <v>2</v>
      </c>
      <c r="G128">
        <v>5</v>
      </c>
      <c r="H128">
        <v>5</v>
      </c>
      <c r="I128">
        <v>0</v>
      </c>
      <c r="M128">
        <f t="shared" si="3"/>
        <v>12</v>
      </c>
    </row>
    <row r="129" spans="1:13" ht="13.5" customHeight="1" x14ac:dyDescent="0.3">
      <c r="A129" s="101" t="s">
        <v>672</v>
      </c>
      <c r="B129" s="101" t="s">
        <v>673</v>
      </c>
      <c r="C129" s="100">
        <f t="shared" si="0"/>
        <v>3</v>
      </c>
      <c r="D129" s="100">
        <f t="shared" si="1"/>
        <v>3</v>
      </c>
      <c r="E129" s="100">
        <f t="shared" si="2"/>
        <v>41</v>
      </c>
      <c r="G129">
        <v>11</v>
      </c>
      <c r="H129">
        <v>1</v>
      </c>
      <c r="I129">
        <v>10</v>
      </c>
      <c r="M129">
        <f t="shared" si="3"/>
        <v>6</v>
      </c>
    </row>
    <row r="130" spans="1:13" ht="13.5" customHeight="1" x14ac:dyDescent="0.3">
      <c r="A130" s="101" t="s">
        <v>524</v>
      </c>
      <c r="B130" s="101" t="s">
        <v>53</v>
      </c>
      <c r="C130" s="100">
        <f t="shared" si="0"/>
        <v>3</v>
      </c>
      <c r="D130" s="100">
        <f t="shared" si="1"/>
        <v>5</v>
      </c>
      <c r="E130" s="100">
        <f t="shared" si="2"/>
        <v>14</v>
      </c>
      <c r="G130">
        <v>3</v>
      </c>
      <c r="H130">
        <v>2</v>
      </c>
      <c r="I130">
        <v>0</v>
      </c>
      <c r="M130">
        <f t="shared" si="3"/>
        <v>8</v>
      </c>
    </row>
    <row r="131" spans="1:13" ht="13.5" customHeight="1" x14ac:dyDescent="0.3">
      <c r="A131" s="101" t="s">
        <v>525</v>
      </c>
      <c r="B131" s="101" t="s">
        <v>50</v>
      </c>
      <c r="C131" s="100">
        <f t="shared" si="0"/>
        <v>11</v>
      </c>
      <c r="D131" s="100">
        <f t="shared" si="1"/>
        <v>7</v>
      </c>
      <c r="E131" s="100">
        <f t="shared" si="2"/>
        <v>2</v>
      </c>
      <c r="G131">
        <v>16</v>
      </c>
      <c r="H131">
        <v>8</v>
      </c>
      <c r="I131">
        <v>4</v>
      </c>
      <c r="M131">
        <f t="shared" si="3"/>
        <v>18</v>
      </c>
    </row>
    <row r="132" spans="1:13" ht="13.5" customHeight="1" x14ac:dyDescent="0.3">
      <c r="A132" s="157" t="s">
        <v>786</v>
      </c>
      <c r="B132" s="157" t="s">
        <v>59</v>
      </c>
      <c r="C132" s="100">
        <f t="shared" si="0"/>
        <v>0</v>
      </c>
      <c r="D132" s="100">
        <f t="shared" si="1"/>
        <v>4</v>
      </c>
      <c r="E132" s="100">
        <f t="shared" si="2"/>
        <v>0</v>
      </c>
      <c r="G132">
        <v>16</v>
      </c>
      <c r="H132">
        <v>8</v>
      </c>
      <c r="I132">
        <v>4</v>
      </c>
      <c r="M132">
        <f t="shared" si="3"/>
        <v>4</v>
      </c>
    </row>
    <row r="133" spans="1:13" ht="13.5" customHeight="1" x14ac:dyDescent="0.3">
      <c r="A133" s="101" t="s">
        <v>674</v>
      </c>
      <c r="B133" s="101" t="s">
        <v>675</v>
      </c>
      <c r="C133" s="100">
        <f t="shared" si="0"/>
        <v>8</v>
      </c>
      <c r="D133" s="100">
        <f t="shared" si="1"/>
        <v>5</v>
      </c>
      <c r="E133" s="100">
        <f t="shared" si="2"/>
        <v>6</v>
      </c>
      <c r="G133">
        <v>5</v>
      </c>
      <c r="H133">
        <v>10</v>
      </c>
      <c r="I133">
        <v>2</v>
      </c>
      <c r="M133">
        <f t="shared" si="3"/>
        <v>13</v>
      </c>
    </row>
    <row r="134" spans="1:13" ht="13.5" customHeight="1" x14ac:dyDescent="0.3">
      <c r="A134" s="101" t="s">
        <v>526</v>
      </c>
      <c r="B134" s="101" t="s">
        <v>278</v>
      </c>
      <c r="C134" s="100">
        <f t="shared" si="0"/>
        <v>2</v>
      </c>
      <c r="D134" s="100">
        <f t="shared" si="1"/>
        <v>2</v>
      </c>
      <c r="E134" s="100">
        <f t="shared" si="2"/>
        <v>33</v>
      </c>
      <c r="G134">
        <v>5</v>
      </c>
      <c r="H134">
        <v>4</v>
      </c>
      <c r="I134">
        <v>8</v>
      </c>
      <c r="M134">
        <f t="shared" si="3"/>
        <v>4</v>
      </c>
    </row>
    <row r="135" spans="1:13" ht="13.5" customHeight="1" x14ac:dyDescent="0.3">
      <c r="A135" s="101" t="s">
        <v>679</v>
      </c>
      <c r="B135" s="101" t="s">
        <v>680</v>
      </c>
      <c r="C135" s="100">
        <f t="shared" si="0"/>
        <v>0</v>
      </c>
      <c r="D135" s="100">
        <f t="shared" si="1"/>
        <v>0</v>
      </c>
      <c r="E135" s="100">
        <f t="shared" si="2"/>
        <v>0</v>
      </c>
      <c r="G135">
        <v>0</v>
      </c>
      <c r="H135">
        <v>4</v>
      </c>
      <c r="I135">
        <v>2</v>
      </c>
      <c r="M135">
        <f t="shared" si="3"/>
        <v>0</v>
      </c>
    </row>
    <row r="136" spans="1:13" ht="13.5" customHeight="1" x14ac:dyDescent="0.3">
      <c r="A136" s="101" t="s">
        <v>527</v>
      </c>
      <c r="B136" s="101" t="s">
        <v>56</v>
      </c>
      <c r="C136" s="100">
        <f t="shared" si="0"/>
        <v>0</v>
      </c>
      <c r="D136" s="100">
        <f t="shared" si="1"/>
        <v>0</v>
      </c>
      <c r="E136" s="100">
        <f t="shared" si="2"/>
        <v>0</v>
      </c>
      <c r="G136">
        <v>7</v>
      </c>
      <c r="H136">
        <v>2</v>
      </c>
      <c r="I136">
        <v>2</v>
      </c>
      <c r="M136">
        <f t="shared" si="3"/>
        <v>0</v>
      </c>
    </row>
    <row r="137" spans="1:13" ht="13.5" customHeight="1" x14ac:dyDescent="0.3">
      <c r="A137" s="101" t="s">
        <v>678</v>
      </c>
      <c r="B137" s="101" t="s">
        <v>55</v>
      </c>
      <c r="C137" s="100">
        <f t="shared" si="0"/>
        <v>0</v>
      </c>
      <c r="D137" s="100">
        <f t="shared" si="1"/>
        <v>0</v>
      </c>
      <c r="E137" s="100">
        <f t="shared" si="2"/>
        <v>0</v>
      </c>
      <c r="G137">
        <v>0</v>
      </c>
      <c r="H137">
        <v>0</v>
      </c>
      <c r="I137">
        <v>0</v>
      </c>
      <c r="M137">
        <f t="shared" si="3"/>
        <v>0</v>
      </c>
    </row>
    <row r="138" spans="1:13" ht="13.5" customHeight="1" x14ac:dyDescent="0.3">
      <c r="A138" s="101" t="s">
        <v>528</v>
      </c>
      <c r="B138" s="101" t="s">
        <v>279</v>
      </c>
      <c r="C138" s="100">
        <f t="shared" si="0"/>
        <v>9</v>
      </c>
      <c r="D138" s="100">
        <f t="shared" si="1"/>
        <v>2</v>
      </c>
      <c r="E138" s="100">
        <f t="shared" si="2"/>
        <v>2</v>
      </c>
      <c r="G138">
        <v>7</v>
      </c>
      <c r="H138">
        <v>3</v>
      </c>
      <c r="I138">
        <v>0</v>
      </c>
      <c r="M138">
        <f t="shared" si="3"/>
        <v>11</v>
      </c>
    </row>
    <row r="139" spans="1:13" ht="13.5" customHeight="1" x14ac:dyDescent="0.3">
      <c r="A139" s="101" t="s">
        <v>529</v>
      </c>
      <c r="B139" s="101" t="s">
        <v>532</v>
      </c>
      <c r="C139" s="100">
        <f t="shared" si="0"/>
        <v>0</v>
      </c>
      <c r="D139" s="100">
        <f t="shared" si="1"/>
        <v>0</v>
      </c>
      <c r="E139" s="100">
        <f t="shared" si="2"/>
        <v>0</v>
      </c>
      <c r="G139">
        <v>4</v>
      </c>
      <c r="H139">
        <v>2</v>
      </c>
      <c r="I139">
        <v>2</v>
      </c>
      <c r="M139">
        <f t="shared" si="3"/>
        <v>0</v>
      </c>
    </row>
    <row r="140" spans="1:13" ht="13.5" customHeight="1" x14ac:dyDescent="0.3">
      <c r="A140" s="101" t="s">
        <v>546</v>
      </c>
      <c r="B140" s="101" t="s">
        <v>531</v>
      </c>
      <c r="C140" s="100" t="s">
        <v>681</v>
      </c>
      <c r="D140" s="100">
        <f>D42+H42+L42+T42+P42+X42+D79+H79+L79+P79+T79+X79+D116+H116+L116+P116+T116+X116</f>
        <v>0</v>
      </c>
      <c r="E140" s="100">
        <f>E42+I42+M42+U42+Q42+Y42+E79+I79+M79+Q79+U79+Y79+E116+I116+M116+Q116+U116+Y116</f>
        <v>0</v>
      </c>
      <c r="G140" s="160" t="s">
        <v>681</v>
      </c>
      <c r="H140">
        <v>1</v>
      </c>
      <c r="I140">
        <v>0</v>
      </c>
      <c r="M140">
        <f t="shared" si="3"/>
        <v>0</v>
      </c>
    </row>
    <row r="141" spans="1:13" ht="13.5" customHeight="1" x14ac:dyDescent="0.3">
      <c r="A141" s="157" t="s">
        <v>778</v>
      </c>
      <c r="B141" s="157" t="s">
        <v>818</v>
      </c>
      <c r="C141" s="161" t="s">
        <v>681</v>
      </c>
      <c r="D141" s="100">
        <f>D43+H43+L43+T43+P43+X43+D80+H80+L80+P80+T80+X80+D117+H117+L117+P117+T117+X117</f>
        <v>0</v>
      </c>
      <c r="E141" s="100">
        <f>E43+I43+M43+U43+Q43+Y43+E80+I80+M80+Q80+U80+Y80+E117+I117+M117+Q117+U117+Y117</f>
        <v>0</v>
      </c>
      <c r="F141" s="159"/>
      <c r="G141" s="160" t="s">
        <v>681</v>
      </c>
      <c r="H141" s="158">
        <v>1</v>
      </c>
      <c r="I141" s="158">
        <v>0</v>
      </c>
      <c r="M141">
        <f t="shared" si="3"/>
        <v>0</v>
      </c>
    </row>
    <row r="142" spans="1:13" x14ac:dyDescent="0.3">
      <c r="C142">
        <f>SUM(C122:C141)</f>
        <v>70</v>
      </c>
      <c r="D142" s="100">
        <f>SUM(D122:D141)</f>
        <v>61</v>
      </c>
      <c r="E142" s="100">
        <f>SUM(E122:E141)</f>
        <v>160</v>
      </c>
    </row>
    <row r="145" spans="1:7" ht="15" thickBot="1" x14ac:dyDescent="0.35"/>
    <row r="146" spans="1:7" x14ac:dyDescent="0.3">
      <c r="A146" s="99" t="s">
        <v>518</v>
      </c>
      <c r="B146" s="99" t="s">
        <v>48</v>
      </c>
      <c r="C146">
        <v>2</v>
      </c>
      <c r="D146">
        <v>5</v>
      </c>
      <c r="E146">
        <f>C146+D146</f>
        <v>7</v>
      </c>
      <c r="G146">
        <v>2</v>
      </c>
    </row>
    <row r="147" spans="1:7" x14ac:dyDescent="0.3">
      <c r="A147" s="101" t="s">
        <v>521</v>
      </c>
      <c r="B147" s="101" t="s">
        <v>181</v>
      </c>
      <c r="C147">
        <v>5</v>
      </c>
      <c r="D147">
        <v>5</v>
      </c>
      <c r="E147">
        <f t="shared" ref="E147:E158" si="4">C147+D147</f>
        <v>10</v>
      </c>
    </row>
    <row r="148" spans="1:7" x14ac:dyDescent="0.3">
      <c r="A148" s="101" t="s">
        <v>522</v>
      </c>
      <c r="B148" s="101" t="s">
        <v>185</v>
      </c>
      <c r="C148">
        <v>18</v>
      </c>
      <c r="D148">
        <v>16</v>
      </c>
      <c r="E148">
        <f t="shared" si="4"/>
        <v>34</v>
      </c>
      <c r="G148">
        <v>56</v>
      </c>
    </row>
    <row r="149" spans="1:7" x14ac:dyDescent="0.3">
      <c r="A149" s="101" t="s">
        <v>523</v>
      </c>
      <c r="B149" s="101" t="s">
        <v>52</v>
      </c>
      <c r="C149">
        <v>2</v>
      </c>
      <c r="D149">
        <v>2</v>
      </c>
      <c r="E149">
        <f t="shared" si="4"/>
        <v>4</v>
      </c>
      <c r="G149">
        <v>2</v>
      </c>
    </row>
    <row r="150" spans="1:7" x14ac:dyDescent="0.3">
      <c r="A150" s="101" t="s">
        <v>676</v>
      </c>
      <c r="B150" s="101" t="s">
        <v>677</v>
      </c>
      <c r="C150">
        <v>7</v>
      </c>
      <c r="D150">
        <v>5</v>
      </c>
      <c r="E150">
        <f t="shared" si="4"/>
        <v>12</v>
      </c>
      <c r="G150">
        <v>2</v>
      </c>
    </row>
    <row r="151" spans="1:7" x14ac:dyDescent="0.3">
      <c r="A151" s="101" t="s">
        <v>672</v>
      </c>
      <c r="B151" s="101" t="s">
        <v>673</v>
      </c>
      <c r="C151">
        <v>3</v>
      </c>
      <c r="D151">
        <v>3</v>
      </c>
      <c r="E151">
        <f t="shared" si="4"/>
        <v>6</v>
      </c>
      <c r="G151">
        <v>41</v>
      </c>
    </row>
    <row r="152" spans="1:7" x14ac:dyDescent="0.3">
      <c r="A152" s="101" t="s">
        <v>524</v>
      </c>
      <c r="B152" s="101" t="s">
        <v>53</v>
      </c>
      <c r="C152">
        <v>3</v>
      </c>
      <c r="D152">
        <v>5</v>
      </c>
      <c r="E152">
        <f t="shared" si="4"/>
        <v>8</v>
      </c>
      <c r="G152">
        <v>14</v>
      </c>
    </row>
    <row r="153" spans="1:7" x14ac:dyDescent="0.3">
      <c r="A153" s="101" t="s">
        <v>525</v>
      </c>
      <c r="B153" s="101" t="s">
        <v>50</v>
      </c>
      <c r="C153">
        <v>11</v>
      </c>
      <c r="D153">
        <v>7</v>
      </c>
      <c r="E153">
        <f t="shared" si="4"/>
        <v>18</v>
      </c>
      <c r="G153">
        <v>2</v>
      </c>
    </row>
    <row r="154" spans="1:7" x14ac:dyDescent="0.3">
      <c r="A154" s="157" t="s">
        <v>786</v>
      </c>
      <c r="B154" s="157" t="s">
        <v>59</v>
      </c>
      <c r="C154">
        <v>0</v>
      </c>
      <c r="D154">
        <v>4</v>
      </c>
      <c r="E154">
        <f t="shared" si="4"/>
        <v>4</v>
      </c>
    </row>
    <row r="155" spans="1:7" x14ac:dyDescent="0.3">
      <c r="A155" s="101" t="s">
        <v>674</v>
      </c>
      <c r="B155" s="101" t="s">
        <v>675</v>
      </c>
      <c r="C155">
        <v>8</v>
      </c>
      <c r="D155">
        <v>5</v>
      </c>
      <c r="E155">
        <f t="shared" si="4"/>
        <v>13</v>
      </c>
      <c r="G155">
        <v>6</v>
      </c>
    </row>
    <row r="156" spans="1:7" x14ac:dyDescent="0.3">
      <c r="A156" s="101" t="s">
        <v>526</v>
      </c>
      <c r="B156" s="101" t="s">
        <v>278</v>
      </c>
      <c r="C156">
        <v>2</v>
      </c>
      <c r="D156">
        <v>2</v>
      </c>
      <c r="E156">
        <f t="shared" si="4"/>
        <v>4</v>
      </c>
      <c r="G156">
        <v>33</v>
      </c>
    </row>
    <row r="157" spans="1:7" x14ac:dyDescent="0.3">
      <c r="A157" s="101" t="s">
        <v>528</v>
      </c>
      <c r="B157" s="101" t="s">
        <v>279</v>
      </c>
      <c r="C157">
        <v>9</v>
      </c>
      <c r="D157">
        <v>2</v>
      </c>
      <c r="E157">
        <f t="shared" si="4"/>
        <v>11</v>
      </c>
      <c r="G157">
        <v>2</v>
      </c>
    </row>
    <row r="158" spans="1:7" x14ac:dyDescent="0.3">
      <c r="A158" s="101" t="s">
        <v>529</v>
      </c>
      <c r="B158" s="101" t="s">
        <v>532</v>
      </c>
      <c r="C158">
        <v>0</v>
      </c>
      <c r="D158">
        <v>0</v>
      </c>
      <c r="E158">
        <f t="shared" si="4"/>
        <v>0</v>
      </c>
      <c r="G158">
        <v>0</v>
      </c>
    </row>
    <row r="159" spans="1:7" x14ac:dyDescent="0.3">
      <c r="A159" s="101" t="s">
        <v>546</v>
      </c>
      <c r="B159" s="101" t="s">
        <v>531</v>
      </c>
    </row>
    <row r="160" spans="1:7" x14ac:dyDescent="0.3">
      <c r="A160" s="157" t="s">
        <v>778</v>
      </c>
      <c r="B160" s="157" t="s">
        <v>818</v>
      </c>
    </row>
  </sheetData>
  <pageMargins left="0.70866141732283472" right="0.70866141732283472" top="0.74803149606299213" bottom="0.74803149606299213" header="0.31496062992125984" footer="0.31496062992125984"/>
  <pageSetup paperSize="9" scale="80" orientation="landscape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  <rowBreaks count="1" manualBreakCount="1">
    <brk id="11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K179"/>
  <sheetViews>
    <sheetView topLeftCell="A40" workbookViewId="0">
      <selection activeCell="Q126" sqref="Q126"/>
    </sheetView>
  </sheetViews>
  <sheetFormatPr defaultRowHeight="14.4" x14ac:dyDescent="0.3"/>
  <cols>
    <col min="1" max="1" width="4" customWidth="1"/>
    <col min="2" max="2" width="21.33203125" customWidth="1"/>
    <col min="3" max="5" width="7.109375" customWidth="1"/>
    <col min="6" max="6" width="0.6640625" style="66" customWidth="1"/>
    <col min="7" max="9" width="7.109375" customWidth="1"/>
    <col min="10" max="10" width="0.6640625" style="66" customWidth="1"/>
    <col min="11" max="13" width="7.109375" customWidth="1"/>
    <col min="14" max="14" width="0.6640625" style="66" customWidth="1"/>
    <col min="15" max="17" width="7.109375" customWidth="1"/>
    <col min="18" max="18" width="0.6640625" style="66" customWidth="1"/>
    <col min="19" max="21" width="7.109375" customWidth="1"/>
    <col min="22" max="22" width="0.6640625" style="66" customWidth="1"/>
    <col min="23" max="25" width="7.109375" customWidth="1"/>
    <col min="26" max="26" width="0.6640625" style="66" customWidth="1"/>
  </cols>
  <sheetData>
    <row r="1" spans="1:26" ht="21" x14ac:dyDescent="0.4">
      <c r="A1" s="148" t="s">
        <v>0</v>
      </c>
      <c r="B1" s="148"/>
      <c r="F1"/>
      <c r="J1"/>
      <c r="N1"/>
      <c r="R1"/>
      <c r="V1"/>
      <c r="Z1"/>
    </row>
    <row r="2" spans="1:26" ht="21" x14ac:dyDescent="0.4">
      <c r="A2" s="148" t="s">
        <v>987</v>
      </c>
      <c r="B2" s="148"/>
      <c r="F2"/>
      <c r="J2"/>
      <c r="N2"/>
      <c r="R2"/>
      <c r="V2"/>
      <c r="Z2"/>
    </row>
    <row r="3" spans="1:26" x14ac:dyDescent="0.3">
      <c r="F3"/>
      <c r="J3"/>
      <c r="N3"/>
      <c r="R3"/>
      <c r="V3"/>
      <c r="Z3"/>
    </row>
    <row r="4" spans="1:26" x14ac:dyDescent="0.3">
      <c r="B4" s="16" t="s">
        <v>516</v>
      </c>
      <c r="C4" s="116">
        <v>18</v>
      </c>
      <c r="F4"/>
      <c r="J4"/>
      <c r="M4" s="86"/>
      <c r="N4"/>
      <c r="R4"/>
      <c r="V4"/>
      <c r="Z4"/>
    </row>
    <row r="5" spans="1:26" x14ac:dyDescent="0.3">
      <c r="B5" s="16" t="s">
        <v>135</v>
      </c>
      <c r="C5" s="116">
        <v>13</v>
      </c>
      <c r="E5" s="16" t="s">
        <v>553</v>
      </c>
      <c r="F5"/>
      <c r="H5" s="116">
        <v>30</v>
      </c>
      <c r="J5"/>
      <c r="K5" t="s">
        <v>885</v>
      </c>
      <c r="N5"/>
      <c r="R5"/>
      <c r="V5"/>
      <c r="Z5"/>
    </row>
    <row r="6" spans="1:26" x14ac:dyDescent="0.3">
      <c r="B6" s="16" t="s">
        <v>137</v>
      </c>
      <c r="C6" s="116">
        <v>1</v>
      </c>
      <c r="E6" s="16" t="s">
        <v>554</v>
      </c>
      <c r="F6"/>
      <c r="H6" s="116">
        <v>14</v>
      </c>
      <c r="J6"/>
      <c r="N6"/>
      <c r="O6" s="87"/>
      <c r="R6"/>
      <c r="V6"/>
      <c r="Z6"/>
    </row>
    <row r="7" spans="1:26" x14ac:dyDescent="0.3">
      <c r="B7" s="16" t="s">
        <v>136</v>
      </c>
      <c r="C7" s="116">
        <v>4</v>
      </c>
      <c r="E7" s="16" t="s">
        <v>555</v>
      </c>
      <c r="F7"/>
      <c r="H7" s="116">
        <v>10</v>
      </c>
      <c r="J7"/>
      <c r="N7"/>
      <c r="R7"/>
      <c r="V7"/>
      <c r="Z7"/>
    </row>
    <row r="8" spans="1:26" ht="15" thickBot="1" x14ac:dyDescent="0.35">
      <c r="F8"/>
      <c r="J8"/>
      <c r="N8"/>
      <c r="R8"/>
      <c r="V8"/>
      <c r="Z8"/>
    </row>
    <row r="9" spans="1:26" s="16" customFormat="1" x14ac:dyDescent="0.3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3">
      <c r="C10" s="16" t="s">
        <v>887</v>
      </c>
      <c r="F10" s="67"/>
      <c r="G10" s="16" t="s">
        <v>890</v>
      </c>
      <c r="J10" s="67"/>
      <c r="K10" s="16" t="s">
        <v>893</v>
      </c>
      <c r="N10" s="67"/>
      <c r="O10" s="16" t="s">
        <v>896</v>
      </c>
      <c r="R10" s="67"/>
      <c r="S10" s="16" t="s">
        <v>901</v>
      </c>
      <c r="V10" s="67"/>
      <c r="W10" s="16" t="s">
        <v>901</v>
      </c>
      <c r="Z10" s="67"/>
    </row>
    <row r="11" spans="1:26" s="16" customFormat="1" x14ac:dyDescent="0.3">
      <c r="C11" s="155" t="s">
        <v>886</v>
      </c>
      <c r="F11" s="67"/>
      <c r="G11" s="155" t="s">
        <v>886</v>
      </c>
      <c r="J11" s="67"/>
      <c r="K11" s="155" t="s">
        <v>894</v>
      </c>
      <c r="N11" s="67"/>
      <c r="O11" s="155" t="s">
        <v>894</v>
      </c>
      <c r="R11" s="67"/>
      <c r="S11" s="155" t="s">
        <v>902</v>
      </c>
      <c r="V11" s="67"/>
      <c r="W11" s="155" t="s">
        <v>905</v>
      </c>
      <c r="Z11" s="67"/>
    </row>
    <row r="12" spans="1:26" s="16" customFormat="1" x14ac:dyDescent="0.3">
      <c r="C12" s="16" t="s">
        <v>794</v>
      </c>
      <c r="F12" s="67"/>
      <c r="G12" s="16" t="s">
        <v>794</v>
      </c>
      <c r="J12" s="67"/>
      <c r="K12" s="16" t="s">
        <v>579</v>
      </c>
      <c r="N12" s="67"/>
      <c r="O12" s="16" t="s">
        <v>579</v>
      </c>
      <c r="R12" s="67"/>
      <c r="S12" s="16" t="s">
        <v>794</v>
      </c>
      <c r="V12" s="67"/>
      <c r="W12" s="16" t="s">
        <v>796</v>
      </c>
      <c r="Z12" s="67"/>
    </row>
    <row r="13" spans="1:26" s="1" customFormat="1" x14ac:dyDescent="0.3">
      <c r="C13" s="165" t="s">
        <v>888</v>
      </c>
      <c r="D13" s="85" t="s">
        <v>889</v>
      </c>
      <c r="F13" s="68"/>
      <c r="G13" s="165" t="s">
        <v>891</v>
      </c>
      <c r="H13" s="85" t="s">
        <v>892</v>
      </c>
      <c r="J13" s="68"/>
      <c r="K13" s="165" t="s">
        <v>565</v>
      </c>
      <c r="L13" s="1" t="s">
        <v>895</v>
      </c>
      <c r="N13" s="68"/>
      <c r="O13" s="165" t="s">
        <v>897</v>
      </c>
      <c r="P13" s="1" t="s">
        <v>898</v>
      </c>
      <c r="R13" s="68"/>
      <c r="S13" s="164" t="s">
        <v>903</v>
      </c>
      <c r="T13" s="1" t="s">
        <v>904</v>
      </c>
      <c r="V13" s="68"/>
      <c r="W13" s="165" t="s">
        <v>906</v>
      </c>
      <c r="X13" s="1" t="s">
        <v>907</v>
      </c>
      <c r="Z13" s="68"/>
    </row>
    <row r="15" spans="1:26" x14ac:dyDescent="0.3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3">
      <c r="C16" s="116" t="s">
        <v>107</v>
      </c>
      <c r="G16" t="s">
        <v>107</v>
      </c>
      <c r="K16" t="s">
        <v>501</v>
      </c>
      <c r="O16" t="s">
        <v>501</v>
      </c>
      <c r="S16" s="116" t="s">
        <v>805</v>
      </c>
      <c r="U16" t="s">
        <v>545</v>
      </c>
      <c r="W16" s="116" t="s">
        <v>501</v>
      </c>
    </row>
    <row r="18" spans="1:37" x14ac:dyDescent="0.3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3">
      <c r="C19" s="116" t="s">
        <v>804</v>
      </c>
      <c r="G19" t="s">
        <v>107</v>
      </c>
      <c r="K19" s="116" t="s">
        <v>805</v>
      </c>
      <c r="O19" t="s">
        <v>900</v>
      </c>
      <c r="S19" t="s">
        <v>805</v>
      </c>
      <c r="W19" s="116" t="s">
        <v>804</v>
      </c>
    </row>
    <row r="22" spans="1:37" s="60" customFormat="1" ht="15" thickBot="1" x14ac:dyDescent="0.35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5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3">
      <c r="A24" s="78" t="s">
        <v>518</v>
      </c>
      <c r="B24" s="78" t="s">
        <v>48</v>
      </c>
      <c r="C24" s="79">
        <v>1</v>
      </c>
      <c r="D24" s="79">
        <v>1</v>
      </c>
      <c r="E24" s="79">
        <v>0</v>
      </c>
      <c r="F24" s="80"/>
      <c r="G24" s="79">
        <v>1</v>
      </c>
      <c r="H24" s="79">
        <v>0</v>
      </c>
      <c r="I24" s="79">
        <v>0</v>
      </c>
      <c r="J24" s="80"/>
      <c r="K24" s="82">
        <v>0</v>
      </c>
      <c r="L24" s="82">
        <v>0</v>
      </c>
      <c r="M24" s="82">
        <v>2</v>
      </c>
      <c r="N24" s="80"/>
      <c r="O24" s="79">
        <v>1</v>
      </c>
      <c r="P24" s="79">
        <v>0</v>
      </c>
      <c r="Q24" s="79">
        <v>0</v>
      </c>
      <c r="R24" s="80"/>
      <c r="S24" s="149"/>
      <c r="T24" s="149"/>
      <c r="U24" s="149"/>
      <c r="V24" s="80"/>
      <c r="W24" s="82">
        <v>0</v>
      </c>
      <c r="X24" s="82">
        <v>0</v>
      </c>
      <c r="Y24" s="82">
        <v>0</v>
      </c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3">
      <c r="A25" s="81" t="s">
        <v>519</v>
      </c>
      <c r="B25" s="81" t="s">
        <v>54</v>
      </c>
      <c r="C25" s="91"/>
      <c r="D25" s="91"/>
      <c r="E25" s="91"/>
      <c r="F25" s="83"/>
      <c r="G25" s="91"/>
      <c r="H25" s="91"/>
      <c r="I25" s="91"/>
      <c r="J25" s="83"/>
      <c r="K25" s="82">
        <v>0</v>
      </c>
      <c r="L25" s="82">
        <v>0</v>
      </c>
      <c r="M25" s="82">
        <v>0</v>
      </c>
      <c r="N25" s="83"/>
      <c r="O25" s="82">
        <v>0</v>
      </c>
      <c r="P25" s="82">
        <v>0</v>
      </c>
      <c r="Q25" s="82">
        <v>0</v>
      </c>
      <c r="R25" s="83"/>
      <c r="S25" s="82">
        <v>0</v>
      </c>
      <c r="T25" s="82">
        <v>0</v>
      </c>
      <c r="U25" s="82">
        <v>0</v>
      </c>
      <c r="V25" s="83"/>
      <c r="W25" s="82">
        <v>0</v>
      </c>
      <c r="X25" s="82">
        <v>0</v>
      </c>
      <c r="Y25" s="82">
        <v>0</v>
      </c>
    </row>
    <row r="26" spans="1:37" x14ac:dyDescent="0.3">
      <c r="A26" s="81" t="s">
        <v>520</v>
      </c>
      <c r="B26" s="81" t="s">
        <v>530</v>
      </c>
      <c r="C26" s="82">
        <v>0</v>
      </c>
      <c r="D26" s="82">
        <v>1</v>
      </c>
      <c r="E26" s="82">
        <v>0</v>
      </c>
      <c r="F26" s="83"/>
      <c r="G26" s="82">
        <v>0</v>
      </c>
      <c r="H26" s="82">
        <v>1</v>
      </c>
      <c r="I26" s="82">
        <v>0</v>
      </c>
      <c r="J26" s="83"/>
      <c r="K26" s="82">
        <v>0</v>
      </c>
      <c r="L26" s="82">
        <v>0</v>
      </c>
      <c r="M26" s="82">
        <v>0</v>
      </c>
      <c r="N26" s="83"/>
      <c r="O26" s="82">
        <v>0</v>
      </c>
      <c r="P26" s="82">
        <v>0</v>
      </c>
      <c r="Q26" s="82">
        <v>0</v>
      </c>
      <c r="R26" s="83"/>
      <c r="S26" s="82">
        <v>0</v>
      </c>
      <c r="T26" s="82">
        <v>1</v>
      </c>
      <c r="U26" s="82">
        <v>2</v>
      </c>
      <c r="V26" s="83"/>
      <c r="W26" s="82">
        <v>1</v>
      </c>
      <c r="X26" s="82">
        <v>1</v>
      </c>
      <c r="Y26" s="82">
        <v>0</v>
      </c>
    </row>
    <row r="27" spans="1:37" x14ac:dyDescent="0.3">
      <c r="A27" s="81" t="s">
        <v>521</v>
      </c>
      <c r="B27" s="81" t="s">
        <v>181</v>
      </c>
      <c r="C27" s="149"/>
      <c r="D27" s="149"/>
      <c r="E27" s="149"/>
      <c r="F27" s="83"/>
      <c r="G27" s="149"/>
      <c r="H27" s="149"/>
      <c r="I27" s="149"/>
      <c r="J27" s="83"/>
      <c r="K27" s="149"/>
      <c r="L27" s="149"/>
      <c r="M27" s="149"/>
      <c r="N27" s="83"/>
      <c r="O27" s="149"/>
      <c r="P27" s="149"/>
      <c r="Q27" s="149"/>
      <c r="R27" s="83"/>
      <c r="S27" s="149"/>
      <c r="T27" s="149"/>
      <c r="U27" s="149"/>
      <c r="V27" s="83"/>
      <c r="W27" s="149"/>
      <c r="X27" s="149"/>
      <c r="Y27" s="150"/>
    </row>
    <row r="28" spans="1:37" x14ac:dyDescent="0.3">
      <c r="A28" s="81" t="s">
        <v>944</v>
      </c>
      <c r="B28" s="81" t="s">
        <v>945</v>
      </c>
      <c r="C28" s="149"/>
      <c r="D28" s="149"/>
      <c r="E28" s="149"/>
      <c r="F28" s="83"/>
      <c r="G28" s="149"/>
      <c r="H28" s="149"/>
      <c r="I28" s="149"/>
      <c r="J28" s="83"/>
      <c r="K28" s="82">
        <v>0</v>
      </c>
      <c r="L28" s="82">
        <v>1</v>
      </c>
      <c r="M28" s="82">
        <v>0</v>
      </c>
      <c r="N28" s="83"/>
      <c r="O28" s="82">
        <v>1</v>
      </c>
      <c r="P28" s="82">
        <v>0</v>
      </c>
      <c r="Q28" s="82">
        <v>0</v>
      </c>
      <c r="R28" s="83"/>
      <c r="S28" s="82">
        <v>0</v>
      </c>
      <c r="T28" s="82">
        <v>0</v>
      </c>
      <c r="U28" s="82">
        <v>0</v>
      </c>
      <c r="V28" s="83"/>
      <c r="W28" s="82">
        <v>0</v>
      </c>
      <c r="X28" s="82">
        <v>0</v>
      </c>
      <c r="Y28" s="84">
        <v>0</v>
      </c>
    </row>
    <row r="29" spans="1:37" x14ac:dyDescent="0.3">
      <c r="A29" s="81" t="s">
        <v>522</v>
      </c>
      <c r="B29" s="81" t="s">
        <v>185</v>
      </c>
      <c r="C29" s="149"/>
      <c r="D29" s="149"/>
      <c r="E29" s="149"/>
      <c r="F29" s="83"/>
      <c r="G29" s="149"/>
      <c r="H29" s="149"/>
      <c r="I29" s="149"/>
      <c r="J29" s="83"/>
      <c r="K29" s="82">
        <v>0</v>
      </c>
      <c r="L29" s="82">
        <v>1</v>
      </c>
      <c r="M29" s="82">
        <v>0</v>
      </c>
      <c r="N29" s="83"/>
      <c r="O29" s="82">
        <v>0</v>
      </c>
      <c r="P29" s="82">
        <v>2</v>
      </c>
      <c r="Q29" s="82">
        <v>0</v>
      </c>
      <c r="R29" s="83"/>
      <c r="S29" s="82">
        <v>0</v>
      </c>
      <c r="T29" s="82">
        <v>0</v>
      </c>
      <c r="U29" s="82">
        <v>0</v>
      </c>
      <c r="V29" s="83"/>
      <c r="W29" s="149"/>
      <c r="X29" s="149"/>
      <c r="Y29" s="150"/>
    </row>
    <row r="30" spans="1:37" x14ac:dyDescent="0.3">
      <c r="A30" s="81" t="s">
        <v>523</v>
      </c>
      <c r="B30" s="81" t="s">
        <v>52</v>
      </c>
      <c r="C30" s="149"/>
      <c r="D30" s="149"/>
      <c r="E30" s="149"/>
      <c r="F30" s="83"/>
      <c r="G30" s="149"/>
      <c r="H30" s="149"/>
      <c r="I30" s="149"/>
      <c r="J30" s="83"/>
      <c r="K30" s="91"/>
      <c r="L30" s="91"/>
      <c r="M30" s="91"/>
      <c r="N30" s="83"/>
      <c r="O30" s="149"/>
      <c r="P30" s="149"/>
      <c r="Q30" s="149"/>
      <c r="R30" s="83"/>
      <c r="S30" s="149"/>
      <c r="T30" s="149"/>
      <c r="U30" s="149"/>
      <c r="V30" s="83"/>
      <c r="W30" s="149"/>
      <c r="X30" s="149"/>
      <c r="Y30" s="150"/>
    </row>
    <row r="31" spans="1:37" x14ac:dyDescent="0.3">
      <c r="A31" s="81" t="s">
        <v>676</v>
      </c>
      <c r="B31" s="81" t="s">
        <v>677</v>
      </c>
      <c r="C31" s="149"/>
      <c r="D31" s="149"/>
      <c r="E31" s="149"/>
      <c r="F31" s="83"/>
      <c r="G31" s="149"/>
      <c r="H31" s="149"/>
      <c r="I31" s="149"/>
      <c r="J31" s="83"/>
      <c r="K31" s="82">
        <v>0</v>
      </c>
      <c r="L31" s="82">
        <v>0</v>
      </c>
      <c r="M31" s="82">
        <v>0</v>
      </c>
      <c r="N31" s="83"/>
      <c r="O31" s="82">
        <v>0</v>
      </c>
      <c r="P31" s="82">
        <v>0</v>
      </c>
      <c r="Q31" s="82">
        <v>2</v>
      </c>
      <c r="R31" s="83"/>
      <c r="S31" s="82">
        <v>1</v>
      </c>
      <c r="T31" s="82">
        <v>1</v>
      </c>
      <c r="U31" s="82">
        <v>0</v>
      </c>
      <c r="V31" s="83"/>
      <c r="W31" s="82">
        <v>0</v>
      </c>
      <c r="X31" s="82">
        <v>0</v>
      </c>
      <c r="Y31" s="84">
        <v>0</v>
      </c>
    </row>
    <row r="32" spans="1:37" x14ac:dyDescent="0.3">
      <c r="A32" s="81" t="s">
        <v>672</v>
      </c>
      <c r="B32" s="81" t="s">
        <v>673</v>
      </c>
      <c r="C32" s="82">
        <v>2</v>
      </c>
      <c r="D32" s="82">
        <v>0</v>
      </c>
      <c r="E32" s="82">
        <v>0</v>
      </c>
      <c r="F32" s="83"/>
      <c r="G32" s="82">
        <v>4</v>
      </c>
      <c r="H32" s="82">
        <v>1</v>
      </c>
      <c r="I32" s="82">
        <v>0</v>
      </c>
      <c r="J32" s="83"/>
      <c r="K32" s="149"/>
      <c r="L32" s="149"/>
      <c r="M32" s="149"/>
      <c r="N32" s="83"/>
      <c r="O32" s="149"/>
      <c r="P32" s="149"/>
      <c r="Q32" s="149"/>
      <c r="R32" s="83"/>
      <c r="S32" s="82">
        <v>2</v>
      </c>
      <c r="T32" s="82">
        <v>1</v>
      </c>
      <c r="U32" s="82">
        <v>0</v>
      </c>
      <c r="V32" s="83"/>
      <c r="W32" s="82">
        <v>3</v>
      </c>
      <c r="X32" s="82">
        <v>0</v>
      </c>
      <c r="Y32" s="84">
        <v>0</v>
      </c>
    </row>
    <row r="33" spans="1:25" x14ac:dyDescent="0.3">
      <c r="A33" s="81" t="s">
        <v>524</v>
      </c>
      <c r="B33" s="81" t="s">
        <v>53</v>
      </c>
      <c r="C33" s="149"/>
      <c r="D33" s="149"/>
      <c r="E33" s="149"/>
      <c r="F33" s="83"/>
      <c r="G33" s="149"/>
      <c r="H33" s="149"/>
      <c r="I33" s="149"/>
      <c r="J33" s="83"/>
      <c r="K33" s="149"/>
      <c r="L33" s="149"/>
      <c r="M33" s="149"/>
      <c r="N33" s="83"/>
      <c r="O33" s="149"/>
      <c r="P33" s="149"/>
      <c r="Q33" s="149"/>
      <c r="R33" s="83"/>
      <c r="S33" s="82">
        <v>0</v>
      </c>
      <c r="T33" s="82">
        <v>0</v>
      </c>
      <c r="U33" s="82">
        <v>2</v>
      </c>
      <c r="V33" s="83"/>
      <c r="W33" s="82">
        <v>0</v>
      </c>
      <c r="X33" s="82">
        <v>1</v>
      </c>
      <c r="Y33" s="84">
        <v>0</v>
      </c>
    </row>
    <row r="34" spans="1:25" x14ac:dyDescent="0.3">
      <c r="A34" s="81" t="s">
        <v>525</v>
      </c>
      <c r="B34" s="81" t="s">
        <v>947</v>
      </c>
      <c r="C34" s="82">
        <v>0</v>
      </c>
      <c r="D34" s="82">
        <v>0</v>
      </c>
      <c r="E34" s="82">
        <v>0</v>
      </c>
      <c r="F34" s="83"/>
      <c r="G34" s="82">
        <v>1</v>
      </c>
      <c r="H34" s="82">
        <v>1</v>
      </c>
      <c r="I34" s="82">
        <v>0</v>
      </c>
      <c r="J34" s="83"/>
      <c r="K34" s="82">
        <v>0</v>
      </c>
      <c r="L34" s="82">
        <v>1</v>
      </c>
      <c r="M34" s="82">
        <v>0</v>
      </c>
      <c r="N34" s="83"/>
      <c r="O34" s="82">
        <v>0</v>
      </c>
      <c r="P34" s="82">
        <v>0</v>
      </c>
      <c r="Q34" s="82">
        <v>0</v>
      </c>
      <c r="R34" s="83"/>
      <c r="S34" s="82">
        <v>3</v>
      </c>
      <c r="T34" s="82">
        <v>0</v>
      </c>
      <c r="U34" s="82">
        <v>0</v>
      </c>
      <c r="V34" s="83"/>
      <c r="W34" s="82">
        <v>1</v>
      </c>
      <c r="X34" s="82">
        <v>1</v>
      </c>
      <c r="Y34" s="84">
        <v>0</v>
      </c>
    </row>
    <row r="35" spans="1:25" x14ac:dyDescent="0.3">
      <c r="A35" s="81" t="s">
        <v>786</v>
      </c>
      <c r="B35" s="81" t="s">
        <v>59</v>
      </c>
      <c r="C35" s="149"/>
      <c r="D35" s="149"/>
      <c r="E35" s="149"/>
      <c r="F35" s="83"/>
      <c r="G35" s="149"/>
      <c r="H35" s="149"/>
      <c r="I35" s="149"/>
      <c r="J35" s="83"/>
      <c r="K35" s="149"/>
      <c r="L35" s="149"/>
      <c r="M35" s="149"/>
      <c r="N35" s="83"/>
      <c r="O35" s="149"/>
      <c r="P35" s="149"/>
      <c r="Q35" s="149"/>
      <c r="R35" s="83"/>
      <c r="S35" s="82">
        <v>0</v>
      </c>
      <c r="T35" s="82">
        <v>0</v>
      </c>
      <c r="U35" s="82">
        <v>0</v>
      </c>
      <c r="V35" s="83"/>
      <c r="W35" s="82">
        <v>0</v>
      </c>
      <c r="X35" s="82">
        <v>0</v>
      </c>
      <c r="Y35" s="84">
        <v>2</v>
      </c>
    </row>
    <row r="36" spans="1:25" x14ac:dyDescent="0.3">
      <c r="A36" s="81" t="s">
        <v>674</v>
      </c>
      <c r="B36" s="81" t="s">
        <v>675</v>
      </c>
      <c r="C36" s="82">
        <v>1</v>
      </c>
      <c r="D36" s="82">
        <v>2</v>
      </c>
      <c r="E36" s="82">
        <v>0</v>
      </c>
      <c r="F36" s="83"/>
      <c r="G36" s="82">
        <v>1</v>
      </c>
      <c r="H36" s="82">
        <v>5</v>
      </c>
      <c r="I36" s="82">
        <v>0</v>
      </c>
      <c r="J36" s="83"/>
      <c r="K36" s="82">
        <v>3</v>
      </c>
      <c r="L36" s="82">
        <v>0</v>
      </c>
      <c r="M36" s="82">
        <v>0</v>
      </c>
      <c r="N36" s="83"/>
      <c r="O36" s="82">
        <v>0</v>
      </c>
      <c r="P36" s="82">
        <v>1</v>
      </c>
      <c r="Q36" s="82">
        <v>0</v>
      </c>
      <c r="R36" s="83"/>
      <c r="S36" s="82">
        <v>0</v>
      </c>
      <c r="T36" s="82">
        <v>1</v>
      </c>
      <c r="U36" s="82">
        <v>0</v>
      </c>
      <c r="V36" s="83"/>
      <c r="W36" s="82">
        <v>0</v>
      </c>
      <c r="X36" s="82">
        <v>2</v>
      </c>
      <c r="Y36" s="84">
        <v>0</v>
      </c>
    </row>
    <row r="37" spans="1:25" x14ac:dyDescent="0.3">
      <c r="A37" s="81" t="s">
        <v>526</v>
      </c>
      <c r="B37" s="81" t="s">
        <v>278</v>
      </c>
      <c r="C37" s="82">
        <v>0</v>
      </c>
      <c r="D37" s="82">
        <v>2</v>
      </c>
      <c r="E37" s="82">
        <v>0</v>
      </c>
      <c r="F37" s="83"/>
      <c r="G37" s="82">
        <v>0</v>
      </c>
      <c r="H37" s="82">
        <v>0</v>
      </c>
      <c r="I37" s="82">
        <v>0</v>
      </c>
      <c r="J37" s="83"/>
      <c r="K37" s="149"/>
      <c r="L37" s="149"/>
      <c r="M37" s="149"/>
      <c r="N37" s="83"/>
      <c r="O37" s="149"/>
      <c r="P37" s="149"/>
      <c r="Q37" s="149"/>
      <c r="R37" s="83"/>
      <c r="S37" s="82">
        <v>0</v>
      </c>
      <c r="T37" s="82">
        <v>0</v>
      </c>
      <c r="U37" s="82">
        <v>0</v>
      </c>
      <c r="V37" s="83"/>
      <c r="W37" s="82">
        <v>0</v>
      </c>
      <c r="X37" s="82">
        <v>2</v>
      </c>
      <c r="Y37" s="84">
        <v>0</v>
      </c>
    </row>
    <row r="38" spans="1:25" x14ac:dyDescent="0.3">
      <c r="A38" s="81" t="s">
        <v>679</v>
      </c>
      <c r="B38" s="81" t="s">
        <v>680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149"/>
      <c r="P38" s="149"/>
      <c r="Q38" s="149"/>
      <c r="R38" s="83"/>
      <c r="S38" s="149"/>
      <c r="T38" s="149"/>
      <c r="U38" s="149"/>
      <c r="V38" s="83"/>
      <c r="W38" s="149"/>
      <c r="X38" s="149"/>
      <c r="Y38" s="150"/>
    </row>
    <row r="39" spans="1:25" x14ac:dyDescent="0.3">
      <c r="A39" s="81" t="s">
        <v>948</v>
      </c>
      <c r="B39" s="81" t="s">
        <v>949</v>
      </c>
      <c r="C39" s="149"/>
      <c r="D39" s="149"/>
      <c r="E39" s="149"/>
      <c r="F39" s="83"/>
      <c r="G39" s="149"/>
      <c r="H39" s="149"/>
      <c r="I39" s="149"/>
      <c r="J39" s="83"/>
      <c r="K39" s="149"/>
      <c r="L39" s="149"/>
      <c r="M39" s="149"/>
      <c r="N39" s="83"/>
      <c r="O39" s="149"/>
      <c r="P39" s="149"/>
      <c r="Q39" s="149"/>
      <c r="R39" s="83"/>
      <c r="S39" s="149"/>
      <c r="T39" s="149"/>
      <c r="U39" s="149"/>
      <c r="V39" s="83"/>
      <c r="W39" s="149"/>
      <c r="X39" s="149"/>
      <c r="Y39" s="149"/>
    </row>
    <row r="40" spans="1:25" x14ac:dyDescent="0.3">
      <c r="A40" s="81" t="s">
        <v>943</v>
      </c>
      <c r="B40" s="81" t="s">
        <v>942</v>
      </c>
      <c r="C40" s="82">
        <v>1</v>
      </c>
      <c r="D40" s="82">
        <v>0</v>
      </c>
      <c r="E40" s="82">
        <v>0</v>
      </c>
      <c r="F40" s="83"/>
      <c r="G40" s="82">
        <v>3</v>
      </c>
      <c r="H40" s="82">
        <v>1</v>
      </c>
      <c r="I40" s="82">
        <v>0</v>
      </c>
      <c r="J40" s="83"/>
      <c r="K40" s="82">
        <v>0</v>
      </c>
      <c r="L40" s="82">
        <v>0</v>
      </c>
      <c r="M40" s="82">
        <v>0</v>
      </c>
      <c r="N40" s="83"/>
      <c r="O40" s="82">
        <v>1</v>
      </c>
      <c r="P40" s="82">
        <v>0</v>
      </c>
      <c r="Q40" s="82">
        <v>0</v>
      </c>
      <c r="R40" s="83"/>
      <c r="S40" s="82">
        <v>0</v>
      </c>
      <c r="T40" s="82">
        <v>0</v>
      </c>
      <c r="U40" s="82">
        <v>0</v>
      </c>
      <c r="V40" s="83"/>
      <c r="W40" s="82">
        <v>1</v>
      </c>
      <c r="X40" s="82">
        <v>0</v>
      </c>
      <c r="Y40" s="82">
        <v>0</v>
      </c>
    </row>
    <row r="41" spans="1:25" x14ac:dyDescent="0.3">
      <c r="A41" s="81" t="s">
        <v>527</v>
      </c>
      <c r="B41" s="81" t="s">
        <v>56</v>
      </c>
      <c r="C41" s="149"/>
      <c r="D41" s="149"/>
      <c r="E41" s="149"/>
      <c r="F41" s="83"/>
      <c r="G41" s="149"/>
      <c r="H41" s="149"/>
      <c r="I41" s="149"/>
      <c r="J41" s="83"/>
      <c r="K41" s="149"/>
      <c r="L41" s="149"/>
      <c r="M41" s="149"/>
      <c r="N41" s="83"/>
      <c r="O41" s="91"/>
      <c r="P41" s="91"/>
      <c r="Q41" s="91"/>
      <c r="R41" s="83"/>
      <c r="S41" s="149"/>
      <c r="T41" s="149"/>
      <c r="U41" s="149"/>
      <c r="V41" s="83"/>
      <c r="W41" s="91"/>
      <c r="X41" s="91"/>
      <c r="Y41" s="91"/>
    </row>
    <row r="42" spans="1:25" x14ac:dyDescent="0.3">
      <c r="A42" s="81" t="s">
        <v>678</v>
      </c>
      <c r="B42" s="81" t="s">
        <v>55</v>
      </c>
      <c r="C42" s="82">
        <v>0</v>
      </c>
      <c r="D42" s="82">
        <v>0</v>
      </c>
      <c r="E42" s="82">
        <v>0</v>
      </c>
      <c r="F42" s="83"/>
      <c r="G42" s="82">
        <v>0</v>
      </c>
      <c r="H42" s="82">
        <v>2</v>
      </c>
      <c r="I42" s="82">
        <v>0</v>
      </c>
      <c r="J42" s="83"/>
      <c r="K42" s="82">
        <v>0</v>
      </c>
      <c r="L42" s="82">
        <v>0</v>
      </c>
      <c r="M42" s="82">
        <v>0</v>
      </c>
      <c r="N42" s="83"/>
      <c r="O42" s="82">
        <v>0</v>
      </c>
      <c r="P42" s="82">
        <v>0</v>
      </c>
      <c r="Q42" s="82">
        <v>0</v>
      </c>
      <c r="R42" s="83"/>
      <c r="S42" s="82">
        <v>0</v>
      </c>
      <c r="T42" s="82">
        <v>0</v>
      </c>
      <c r="U42" s="82">
        <v>0</v>
      </c>
      <c r="V42" s="83"/>
      <c r="W42" s="82">
        <v>1</v>
      </c>
      <c r="X42" s="82">
        <v>0</v>
      </c>
      <c r="Y42" s="82">
        <v>0</v>
      </c>
    </row>
    <row r="43" spans="1:25" x14ac:dyDescent="0.3">
      <c r="A43" s="81" t="s">
        <v>528</v>
      </c>
      <c r="B43" s="81" t="s">
        <v>279</v>
      </c>
      <c r="C43" s="82">
        <v>1</v>
      </c>
      <c r="D43" s="82">
        <v>0</v>
      </c>
      <c r="E43" s="82">
        <v>0</v>
      </c>
      <c r="F43" s="83"/>
      <c r="G43" s="82">
        <v>1</v>
      </c>
      <c r="H43" s="82">
        <v>0</v>
      </c>
      <c r="I43" s="82">
        <v>0</v>
      </c>
      <c r="J43" s="83"/>
      <c r="K43" s="82">
        <v>0</v>
      </c>
      <c r="L43" s="82">
        <v>0</v>
      </c>
      <c r="M43" s="82">
        <v>0</v>
      </c>
      <c r="N43" s="83"/>
      <c r="O43" s="82">
        <v>0</v>
      </c>
      <c r="P43" s="82">
        <v>0</v>
      </c>
      <c r="Q43" s="82">
        <v>0</v>
      </c>
      <c r="R43" s="83"/>
      <c r="S43" s="82">
        <v>0</v>
      </c>
      <c r="T43" s="82">
        <v>0</v>
      </c>
      <c r="U43" s="82">
        <v>0</v>
      </c>
      <c r="V43" s="83"/>
      <c r="W43" s="149"/>
      <c r="X43" s="149"/>
      <c r="Y43" s="150"/>
    </row>
    <row r="44" spans="1:25" x14ac:dyDescent="0.3">
      <c r="A44" s="81" t="s">
        <v>529</v>
      </c>
      <c r="B44" s="81" t="s">
        <v>47</v>
      </c>
      <c r="C44" s="149"/>
      <c r="D44" s="149"/>
      <c r="E44" s="149"/>
      <c r="F44" s="83"/>
      <c r="G44" s="149"/>
      <c r="H44" s="149"/>
      <c r="I44" s="149"/>
      <c r="J44" s="83"/>
      <c r="K44" s="149"/>
      <c r="L44" s="149"/>
      <c r="M44" s="149"/>
      <c r="N44" s="83"/>
      <c r="O44" s="149"/>
      <c r="P44" s="149"/>
      <c r="Q44" s="149"/>
      <c r="R44" s="83"/>
      <c r="S44" s="149"/>
      <c r="T44" s="149"/>
      <c r="U44" s="149"/>
      <c r="V44" s="83"/>
      <c r="W44" s="149"/>
      <c r="X44" s="149"/>
      <c r="Y44" s="150"/>
    </row>
    <row r="45" spans="1:25" x14ac:dyDescent="0.3">
      <c r="A45" s="81" t="s">
        <v>546</v>
      </c>
      <c r="B45" s="81" t="s">
        <v>531</v>
      </c>
      <c r="C45" s="82" t="s">
        <v>681</v>
      </c>
      <c r="D45" s="82">
        <v>0</v>
      </c>
      <c r="E45" s="82">
        <v>0</v>
      </c>
      <c r="F45" s="83"/>
      <c r="G45" s="82" t="s">
        <v>681</v>
      </c>
      <c r="H45" s="82">
        <v>0</v>
      </c>
      <c r="I45" s="82">
        <v>0</v>
      </c>
      <c r="J45" s="83"/>
      <c r="K45" s="82" t="s">
        <v>681</v>
      </c>
      <c r="L45" s="82">
        <v>0</v>
      </c>
      <c r="M45" s="82">
        <v>0</v>
      </c>
      <c r="N45" s="83"/>
      <c r="O45" s="82" t="s">
        <v>681</v>
      </c>
      <c r="P45" s="82">
        <v>0</v>
      </c>
      <c r="Q45" s="82">
        <v>0</v>
      </c>
      <c r="R45" s="83"/>
      <c r="S45" s="149"/>
      <c r="T45" s="149"/>
      <c r="U45" s="149"/>
      <c r="V45" s="83"/>
      <c r="W45" s="82" t="s">
        <v>681</v>
      </c>
      <c r="X45" s="82">
        <v>0</v>
      </c>
      <c r="Y45" s="82">
        <v>0</v>
      </c>
    </row>
    <row r="46" spans="1:25" x14ac:dyDescent="0.3">
      <c r="A46" s="81" t="s">
        <v>778</v>
      </c>
      <c r="B46" s="81" t="s">
        <v>941</v>
      </c>
      <c r="C46" s="82" t="s">
        <v>681</v>
      </c>
      <c r="D46" s="82">
        <v>0</v>
      </c>
      <c r="E46" s="82">
        <v>0</v>
      </c>
      <c r="F46" s="83"/>
      <c r="G46" s="82" t="s">
        <v>681</v>
      </c>
      <c r="H46" s="82">
        <v>0</v>
      </c>
      <c r="I46" s="82">
        <v>0</v>
      </c>
      <c r="J46" s="83"/>
      <c r="K46" s="82" t="s">
        <v>681</v>
      </c>
      <c r="L46" s="82">
        <v>0</v>
      </c>
      <c r="M46" s="82">
        <v>0</v>
      </c>
      <c r="N46" s="83"/>
      <c r="O46" s="82" t="s">
        <v>681</v>
      </c>
      <c r="P46" s="82">
        <v>0</v>
      </c>
      <c r="Q46" s="82">
        <v>0</v>
      </c>
      <c r="R46" s="83"/>
      <c r="S46" s="82" t="s">
        <v>681</v>
      </c>
      <c r="T46" s="82">
        <v>0</v>
      </c>
      <c r="U46" s="82">
        <v>0</v>
      </c>
      <c r="V46" s="83"/>
      <c r="W46" s="149"/>
      <c r="X46" s="149"/>
      <c r="Y46" s="149"/>
    </row>
    <row r="47" spans="1:25" x14ac:dyDescent="0.3">
      <c r="A47" s="81" t="s">
        <v>778</v>
      </c>
      <c r="B47" s="81" t="s">
        <v>779</v>
      </c>
      <c r="C47" s="149"/>
      <c r="D47" s="149"/>
      <c r="E47" s="149"/>
      <c r="F47" s="83"/>
      <c r="G47" s="149"/>
      <c r="H47" s="149"/>
      <c r="I47" s="149"/>
      <c r="J47" s="83"/>
      <c r="K47" s="149"/>
      <c r="L47" s="149"/>
      <c r="M47" s="149"/>
      <c r="N47" s="83"/>
      <c r="O47" s="149"/>
      <c r="P47" s="149"/>
      <c r="Q47" s="149"/>
      <c r="R47" s="83"/>
      <c r="S47" s="149"/>
      <c r="T47" s="149"/>
      <c r="U47" s="149"/>
      <c r="V47" s="83"/>
      <c r="W47" s="149"/>
      <c r="X47" s="149"/>
      <c r="Y47" s="150"/>
    </row>
    <row r="48" spans="1:25" x14ac:dyDescent="0.3">
      <c r="A48" s="16"/>
      <c r="B48" s="16"/>
      <c r="C48" s="220">
        <f>SUM(C24:C47)</f>
        <v>6</v>
      </c>
      <c r="D48" s="220">
        <f>SUM(D24:D47)</f>
        <v>6</v>
      </c>
      <c r="E48" s="220">
        <f>SUM(E24:E47)</f>
        <v>0</v>
      </c>
      <c r="F48" s="71"/>
      <c r="G48" s="220">
        <f>SUM(G24:G47)</f>
        <v>11</v>
      </c>
      <c r="H48" s="220">
        <f>SUM(H24:H47)</f>
        <v>11</v>
      </c>
      <c r="I48" s="220">
        <f>SUM(I24:I47)</f>
        <v>0</v>
      </c>
      <c r="J48" s="71"/>
      <c r="K48" s="220">
        <f>SUM(K24:K47)</f>
        <v>3</v>
      </c>
      <c r="L48" s="220">
        <f>SUM(L24:L47)</f>
        <v>3</v>
      </c>
      <c r="M48" s="220">
        <f>SUM(M24:M47)</f>
        <v>2</v>
      </c>
      <c r="N48" s="71"/>
      <c r="O48" s="220">
        <f>SUM(O24:O47)</f>
        <v>3</v>
      </c>
      <c r="P48" s="220">
        <f>SUM(P24:P47)</f>
        <v>3</v>
      </c>
      <c r="Q48" s="220">
        <f>SUM(Q24:Q47)</f>
        <v>2</v>
      </c>
      <c r="R48" s="71"/>
      <c r="S48" s="220">
        <f>SUM(S24:S47)</f>
        <v>6</v>
      </c>
      <c r="T48" s="220">
        <f>SUM(T24:T47)</f>
        <v>4</v>
      </c>
      <c r="U48" s="220">
        <f>SUM(U24:U47)</f>
        <v>4</v>
      </c>
      <c r="V48" s="71"/>
      <c r="W48" s="220">
        <f>SUM(W24:W47)</f>
        <v>7</v>
      </c>
      <c r="X48" s="220">
        <f>SUM(X24:X47)</f>
        <v>7</v>
      </c>
      <c r="Y48" s="220">
        <f>SUM(Y24:Y47)</f>
        <v>2</v>
      </c>
    </row>
    <row r="50" spans="1:27" ht="15" thickBot="1" x14ac:dyDescent="0.35"/>
    <row r="51" spans="1:27" x14ac:dyDescent="0.3">
      <c r="A51" s="16"/>
      <c r="B51" s="16" t="s">
        <v>547</v>
      </c>
      <c r="C51" s="76">
        <v>7</v>
      </c>
      <c r="D51" s="76"/>
      <c r="E51" s="76"/>
      <c r="F51" s="77"/>
      <c r="G51" s="76">
        <v>8</v>
      </c>
      <c r="H51" s="76"/>
      <c r="I51" s="76"/>
      <c r="J51" s="77"/>
      <c r="K51" s="76">
        <v>9</v>
      </c>
      <c r="L51" s="76"/>
      <c r="M51" s="76"/>
      <c r="N51" s="77"/>
      <c r="O51" s="76">
        <v>10</v>
      </c>
      <c r="P51" s="76"/>
      <c r="Q51" s="76"/>
      <c r="R51" s="77"/>
      <c r="S51" s="76">
        <v>11</v>
      </c>
      <c r="T51" s="76"/>
      <c r="U51" s="76"/>
      <c r="V51" s="77"/>
      <c r="W51" s="76">
        <v>12</v>
      </c>
      <c r="X51" s="16"/>
      <c r="Y51" s="16"/>
      <c r="Z51" s="75"/>
      <c r="AA51" s="16"/>
    </row>
    <row r="52" spans="1:27" x14ac:dyDescent="0.3">
      <c r="A52" s="16"/>
      <c r="B52" s="16"/>
      <c r="C52" s="16" t="s">
        <v>908</v>
      </c>
      <c r="D52" s="16"/>
      <c r="E52" s="16"/>
      <c r="F52" s="67"/>
      <c r="G52" s="16" t="s">
        <v>896</v>
      </c>
      <c r="H52" s="16"/>
      <c r="I52" s="16"/>
      <c r="J52" s="67"/>
      <c r="K52" s="16" t="s">
        <v>887</v>
      </c>
      <c r="L52" s="16"/>
      <c r="M52" s="16"/>
      <c r="N52" s="67"/>
      <c r="O52" s="16" t="s">
        <v>916</v>
      </c>
      <c r="P52" s="16"/>
      <c r="Q52" s="16"/>
      <c r="R52" s="67"/>
      <c r="S52" s="16" t="s">
        <v>890</v>
      </c>
      <c r="T52" s="16"/>
      <c r="U52" s="16"/>
      <c r="V52" s="67"/>
      <c r="W52" s="16" t="s">
        <v>893</v>
      </c>
      <c r="X52" s="16"/>
      <c r="Y52" s="16"/>
      <c r="Z52" s="67"/>
      <c r="AA52" s="16"/>
    </row>
    <row r="53" spans="1:27" x14ac:dyDescent="0.3">
      <c r="A53" s="16"/>
      <c r="B53" s="16"/>
      <c r="C53" s="155" t="s">
        <v>905</v>
      </c>
      <c r="D53" s="16"/>
      <c r="E53" s="16"/>
      <c r="F53" s="67"/>
      <c r="G53" s="155" t="s">
        <v>912</v>
      </c>
      <c r="I53" s="16"/>
      <c r="J53" s="67"/>
      <c r="K53" s="155" t="s">
        <v>912</v>
      </c>
      <c r="M53" s="16"/>
      <c r="N53" s="67"/>
      <c r="O53" s="155" t="s">
        <v>917</v>
      </c>
      <c r="P53" s="16"/>
      <c r="Q53" s="16"/>
      <c r="R53" s="67"/>
      <c r="S53" s="156" t="s">
        <v>919</v>
      </c>
      <c r="T53" s="16"/>
      <c r="U53" s="16"/>
      <c r="V53" s="67"/>
      <c r="W53" s="156" t="s">
        <v>919</v>
      </c>
      <c r="X53" s="16"/>
      <c r="Y53" s="16"/>
      <c r="Z53" s="67"/>
      <c r="AA53" s="16"/>
    </row>
    <row r="54" spans="1:27" x14ac:dyDescent="0.3">
      <c r="A54" s="16"/>
      <c r="B54" s="16"/>
      <c r="C54" s="16" t="s">
        <v>579</v>
      </c>
      <c r="D54" s="16"/>
      <c r="E54" s="16"/>
      <c r="F54" s="67"/>
      <c r="G54" s="154" t="s">
        <v>579</v>
      </c>
      <c r="H54" s="16"/>
      <c r="I54" s="16"/>
      <c r="J54" s="67"/>
      <c r="K54" s="16" t="s">
        <v>794</v>
      </c>
      <c r="L54" s="16"/>
      <c r="M54" s="16"/>
      <c r="N54" s="67"/>
      <c r="O54" s="16" t="s">
        <v>796</v>
      </c>
      <c r="P54" s="16"/>
      <c r="Q54" s="16"/>
      <c r="R54" s="67"/>
      <c r="S54" s="16" t="s">
        <v>794</v>
      </c>
      <c r="T54" s="16"/>
      <c r="U54" s="16"/>
      <c r="V54" s="67"/>
      <c r="W54" s="16" t="s">
        <v>794</v>
      </c>
      <c r="X54" s="16"/>
      <c r="Y54" s="16"/>
      <c r="Z54" s="67"/>
      <c r="AA54" s="16"/>
    </row>
    <row r="55" spans="1:27" x14ac:dyDescent="0.3">
      <c r="A55" s="1"/>
      <c r="B55" s="1"/>
      <c r="C55" s="162" t="s">
        <v>909</v>
      </c>
      <c r="D55" s="85" t="s">
        <v>910</v>
      </c>
      <c r="E55" s="1"/>
      <c r="F55" s="68"/>
      <c r="G55" s="165" t="s">
        <v>174</v>
      </c>
      <c r="H55" s="85" t="s">
        <v>913</v>
      </c>
      <c r="I55" s="1"/>
      <c r="J55" s="68"/>
      <c r="K55" s="165" t="s">
        <v>914</v>
      </c>
      <c r="L55" s="1" t="s">
        <v>915</v>
      </c>
      <c r="M55" s="1"/>
      <c r="N55" s="68"/>
      <c r="O55" s="163" t="s">
        <v>245</v>
      </c>
      <c r="P55" s="85" t="s">
        <v>918</v>
      </c>
      <c r="Q55" s="1"/>
      <c r="R55" s="68"/>
      <c r="S55" s="165" t="s">
        <v>254</v>
      </c>
      <c r="T55" s="1" t="s">
        <v>920</v>
      </c>
      <c r="U55" s="1"/>
      <c r="V55" s="68"/>
      <c r="W55" s="165" t="s">
        <v>922</v>
      </c>
      <c r="X55" s="85" t="s">
        <v>923</v>
      </c>
      <c r="Y55" s="1"/>
      <c r="Z55" s="68"/>
      <c r="AA55" s="1"/>
    </row>
    <row r="57" spans="1:27" x14ac:dyDescent="0.3">
      <c r="C57" t="s">
        <v>537</v>
      </c>
      <c r="G57" t="s">
        <v>537</v>
      </c>
      <c r="K57" t="s">
        <v>537</v>
      </c>
      <c r="O57" t="s">
        <v>537</v>
      </c>
      <c r="S57" t="s">
        <v>537</v>
      </c>
      <c r="W57" t="s">
        <v>537</v>
      </c>
    </row>
    <row r="58" spans="1:27" x14ac:dyDescent="0.3">
      <c r="C58" t="s">
        <v>804</v>
      </c>
      <c r="G58" s="116" t="s">
        <v>107</v>
      </c>
      <c r="I58" t="s">
        <v>540</v>
      </c>
      <c r="K58" s="116" t="s">
        <v>899</v>
      </c>
      <c r="M58" t="s">
        <v>545</v>
      </c>
      <c r="O58" t="s">
        <v>501</v>
      </c>
      <c r="S58" t="s">
        <v>921</v>
      </c>
      <c r="W58" t="s">
        <v>501</v>
      </c>
      <c r="Y58" t="s">
        <v>540</v>
      </c>
    </row>
    <row r="60" spans="1:27" x14ac:dyDescent="0.3">
      <c r="C60" t="s">
        <v>543</v>
      </c>
      <c r="G60" t="s">
        <v>543</v>
      </c>
      <c r="K60" t="s">
        <v>543</v>
      </c>
      <c r="O60" t="s">
        <v>543</v>
      </c>
      <c r="S60" t="s">
        <v>543</v>
      </c>
      <c r="W60" t="s">
        <v>543</v>
      </c>
    </row>
    <row r="61" spans="1:27" x14ac:dyDescent="0.3">
      <c r="C61" s="116" t="s">
        <v>911</v>
      </c>
      <c r="E61" t="s">
        <v>540</v>
      </c>
      <c r="G61" t="s">
        <v>501</v>
      </c>
      <c r="K61" t="s">
        <v>805</v>
      </c>
      <c r="M61" t="s">
        <v>540</v>
      </c>
      <c r="O61" t="s">
        <v>501</v>
      </c>
      <c r="S61" s="116" t="s">
        <v>107</v>
      </c>
      <c r="W61" s="116" t="s">
        <v>805</v>
      </c>
      <c r="Y61" t="s">
        <v>637</v>
      </c>
    </row>
    <row r="64" spans="1:27" ht="15" thickBot="1" x14ac:dyDescent="0.35">
      <c r="A64" s="60" t="s">
        <v>517</v>
      </c>
      <c r="B64" s="60"/>
      <c r="C64" s="61" t="s">
        <v>533</v>
      </c>
      <c r="D64" s="61" t="s">
        <v>534</v>
      </c>
      <c r="E64" s="61" t="s">
        <v>535</v>
      </c>
      <c r="F64" s="69"/>
      <c r="G64" s="61" t="s">
        <v>533</v>
      </c>
      <c r="H64" s="61" t="s">
        <v>534</v>
      </c>
      <c r="I64" s="61" t="s">
        <v>535</v>
      </c>
      <c r="J64" s="69"/>
      <c r="K64" s="61" t="s">
        <v>533</v>
      </c>
      <c r="L64" s="61" t="s">
        <v>534</v>
      </c>
      <c r="M64" s="61" t="s">
        <v>535</v>
      </c>
      <c r="N64" s="69"/>
      <c r="O64" s="61" t="s">
        <v>533</v>
      </c>
      <c r="P64" s="61" t="s">
        <v>534</v>
      </c>
      <c r="Q64" s="61" t="s">
        <v>535</v>
      </c>
      <c r="R64" s="69"/>
      <c r="S64" s="61" t="s">
        <v>533</v>
      </c>
      <c r="T64" s="61" t="s">
        <v>534</v>
      </c>
      <c r="U64" s="61" t="s">
        <v>535</v>
      </c>
      <c r="V64" s="69"/>
      <c r="W64" s="61" t="s">
        <v>533</v>
      </c>
      <c r="X64" s="61" t="s">
        <v>534</v>
      </c>
      <c r="Y64" s="61" t="s">
        <v>535</v>
      </c>
      <c r="Z64" s="67"/>
      <c r="AA64" s="16"/>
    </row>
    <row r="65" spans="1:27" ht="3.75" customHeight="1" thickBot="1" x14ac:dyDescent="0.35">
      <c r="A65" s="62"/>
      <c r="B65" s="62"/>
      <c r="C65" s="63"/>
      <c r="D65" s="63"/>
      <c r="E65" s="63"/>
      <c r="F65" s="64"/>
      <c r="G65" s="63"/>
      <c r="H65" s="63"/>
      <c r="I65" s="63"/>
      <c r="J65" s="64"/>
      <c r="K65" s="63"/>
      <c r="L65" s="63"/>
      <c r="M65" s="63"/>
      <c r="N65" s="64"/>
      <c r="O65" s="63"/>
      <c r="P65" s="63"/>
      <c r="Q65" s="63"/>
      <c r="R65" s="64"/>
      <c r="S65" s="63"/>
      <c r="T65" s="63"/>
      <c r="U65" s="63"/>
      <c r="V65" s="64"/>
      <c r="W65" s="63"/>
      <c r="X65" s="63"/>
      <c r="Y65" s="63"/>
      <c r="Z65" s="65"/>
      <c r="AA65" s="16"/>
    </row>
    <row r="66" spans="1:27" x14ac:dyDescent="0.3">
      <c r="A66" s="78" t="s">
        <v>518</v>
      </c>
      <c r="B66" s="78" t="s">
        <v>48</v>
      </c>
      <c r="C66" s="79">
        <v>1</v>
      </c>
      <c r="D66" s="79">
        <v>0</v>
      </c>
      <c r="E66" s="79">
        <v>0</v>
      </c>
      <c r="F66" s="80"/>
      <c r="G66" s="79">
        <v>0</v>
      </c>
      <c r="H66" s="79">
        <v>1</v>
      </c>
      <c r="I66" s="79">
        <v>0</v>
      </c>
      <c r="J66" s="80"/>
      <c r="K66" s="79">
        <v>1</v>
      </c>
      <c r="L66" s="79">
        <v>0</v>
      </c>
      <c r="M66" s="79">
        <v>0</v>
      </c>
      <c r="N66" s="80"/>
      <c r="O66" s="79">
        <v>0</v>
      </c>
      <c r="P66" s="79">
        <v>0</v>
      </c>
      <c r="Q66" s="79">
        <v>0</v>
      </c>
      <c r="R66" s="80"/>
      <c r="S66" s="221"/>
      <c r="T66" s="221"/>
      <c r="U66" s="221"/>
      <c r="V66" s="80"/>
      <c r="W66" s="221"/>
      <c r="X66" s="221"/>
      <c r="Y66" s="222"/>
      <c r="Z66" s="72"/>
    </row>
    <row r="67" spans="1:27" x14ac:dyDescent="0.3">
      <c r="A67" s="81" t="s">
        <v>519</v>
      </c>
      <c r="B67" s="81" t="s">
        <v>54</v>
      </c>
      <c r="C67" s="82">
        <v>0</v>
      </c>
      <c r="D67" s="82">
        <v>0</v>
      </c>
      <c r="E67" s="82">
        <v>0</v>
      </c>
      <c r="F67" s="83"/>
      <c r="G67" s="149"/>
      <c r="H67" s="149"/>
      <c r="I67" s="149"/>
      <c r="J67" s="83"/>
      <c r="K67" s="149"/>
      <c r="L67" s="149"/>
      <c r="M67" s="149"/>
      <c r="N67" s="83"/>
      <c r="O67" s="149"/>
      <c r="P67" s="149"/>
      <c r="Q67" s="149"/>
      <c r="R67" s="83"/>
      <c r="S67" s="82">
        <v>1</v>
      </c>
      <c r="T67" s="82">
        <v>0</v>
      </c>
      <c r="U67" s="82">
        <v>0</v>
      </c>
      <c r="V67" s="83"/>
      <c r="W67" s="82">
        <v>0</v>
      </c>
      <c r="X67" s="82">
        <v>0</v>
      </c>
      <c r="Y67" s="84">
        <v>0</v>
      </c>
    </row>
    <row r="68" spans="1:27" x14ac:dyDescent="0.3">
      <c r="A68" s="81" t="s">
        <v>520</v>
      </c>
      <c r="B68" s="81" t="s">
        <v>530</v>
      </c>
      <c r="C68" s="82">
        <v>0</v>
      </c>
      <c r="D68" s="82">
        <v>1</v>
      </c>
      <c r="E68" s="82">
        <v>0</v>
      </c>
      <c r="F68" s="83"/>
      <c r="G68" s="82">
        <v>0</v>
      </c>
      <c r="H68" s="82">
        <v>0</v>
      </c>
      <c r="I68" s="82">
        <v>0</v>
      </c>
      <c r="J68" s="83"/>
      <c r="K68" s="82">
        <v>2</v>
      </c>
      <c r="L68" s="82">
        <v>0</v>
      </c>
      <c r="M68" s="82">
        <v>0</v>
      </c>
      <c r="N68" s="83"/>
      <c r="O68" s="82">
        <v>0</v>
      </c>
      <c r="P68" s="82">
        <v>0</v>
      </c>
      <c r="Q68" s="82">
        <v>0</v>
      </c>
      <c r="R68" s="83"/>
      <c r="S68" s="82">
        <v>0</v>
      </c>
      <c r="T68" s="82">
        <v>0</v>
      </c>
      <c r="U68" s="82">
        <v>0</v>
      </c>
      <c r="V68" s="83"/>
      <c r="W68" s="82">
        <v>0</v>
      </c>
      <c r="X68" s="82">
        <v>0</v>
      </c>
      <c r="Y68" s="84">
        <v>0</v>
      </c>
    </row>
    <row r="69" spans="1:27" x14ac:dyDescent="0.3">
      <c r="A69" s="81" t="s">
        <v>521</v>
      </c>
      <c r="B69" s="81" t="s">
        <v>181</v>
      </c>
      <c r="C69" s="91"/>
      <c r="D69" s="91"/>
      <c r="E69" s="91"/>
      <c r="F69" s="83"/>
      <c r="G69" s="91"/>
      <c r="H69" s="91"/>
      <c r="I69" s="91"/>
      <c r="J69" s="83"/>
      <c r="K69" s="149"/>
      <c r="L69" s="149"/>
      <c r="M69" s="149"/>
      <c r="N69" s="83"/>
      <c r="O69" s="149"/>
      <c r="P69" s="149"/>
      <c r="Q69" s="149"/>
      <c r="R69" s="83"/>
      <c r="S69" s="149"/>
      <c r="T69" s="149"/>
      <c r="U69" s="149"/>
      <c r="V69" s="83"/>
      <c r="W69" s="149"/>
      <c r="X69" s="149"/>
      <c r="Y69" s="150"/>
    </row>
    <row r="70" spans="1:27" x14ac:dyDescent="0.3">
      <c r="A70" s="81" t="s">
        <v>944</v>
      </c>
      <c r="B70" s="81" t="s">
        <v>945</v>
      </c>
      <c r="C70" s="82">
        <v>0</v>
      </c>
      <c r="D70" s="82">
        <v>0</v>
      </c>
      <c r="E70" s="82">
        <v>0</v>
      </c>
      <c r="F70" s="83"/>
      <c r="G70" s="91"/>
      <c r="H70" s="91"/>
      <c r="I70" s="91"/>
      <c r="J70" s="83"/>
      <c r="K70" s="82">
        <v>0</v>
      </c>
      <c r="L70" s="82">
        <v>1</v>
      </c>
      <c r="M70" s="82">
        <v>0</v>
      </c>
      <c r="N70" s="83"/>
      <c r="O70" s="82">
        <v>0</v>
      </c>
      <c r="P70" s="82">
        <v>0</v>
      </c>
      <c r="Q70" s="82">
        <v>0</v>
      </c>
      <c r="R70" s="83"/>
      <c r="S70" s="149"/>
      <c r="T70" s="149"/>
      <c r="U70" s="149"/>
      <c r="V70" s="83"/>
      <c r="W70" s="149"/>
      <c r="X70" s="149"/>
      <c r="Y70" s="150"/>
    </row>
    <row r="71" spans="1:27" x14ac:dyDescent="0.3">
      <c r="A71" s="81" t="s">
        <v>522</v>
      </c>
      <c r="B71" s="81" t="s">
        <v>185</v>
      </c>
      <c r="C71" s="149"/>
      <c r="D71" s="149"/>
      <c r="E71" s="149"/>
      <c r="F71" s="83"/>
      <c r="G71" s="82">
        <v>2</v>
      </c>
      <c r="H71" s="82">
        <v>3</v>
      </c>
      <c r="I71" s="82">
        <v>0</v>
      </c>
      <c r="J71" s="83"/>
      <c r="K71" s="82">
        <v>1</v>
      </c>
      <c r="L71" s="82">
        <v>4</v>
      </c>
      <c r="M71" s="82">
        <v>0</v>
      </c>
      <c r="N71" s="83"/>
      <c r="O71" s="82">
        <v>0</v>
      </c>
      <c r="P71" s="82">
        <v>3</v>
      </c>
      <c r="Q71" s="82">
        <v>0</v>
      </c>
      <c r="R71" s="83"/>
      <c r="S71" s="82">
        <v>2</v>
      </c>
      <c r="T71" s="82">
        <v>2</v>
      </c>
      <c r="U71" s="82">
        <v>0</v>
      </c>
      <c r="V71" s="83"/>
      <c r="W71" s="82">
        <v>0</v>
      </c>
      <c r="X71" s="82">
        <v>3</v>
      </c>
      <c r="Y71" s="84">
        <v>2</v>
      </c>
    </row>
    <row r="72" spans="1:27" x14ac:dyDescent="0.3">
      <c r="A72" s="81" t="s">
        <v>523</v>
      </c>
      <c r="B72" s="81" t="s">
        <v>52</v>
      </c>
      <c r="C72" s="149"/>
      <c r="D72" s="149"/>
      <c r="E72" s="149"/>
      <c r="F72" s="83"/>
      <c r="G72" s="149"/>
      <c r="H72" s="149"/>
      <c r="I72" s="149"/>
      <c r="J72" s="83"/>
      <c r="K72" s="149"/>
      <c r="L72" s="149"/>
      <c r="M72" s="149"/>
      <c r="N72" s="83"/>
      <c r="O72" s="91"/>
      <c r="P72" s="91"/>
      <c r="Q72" s="91"/>
      <c r="R72" s="83"/>
      <c r="S72" s="149"/>
      <c r="T72" s="149"/>
      <c r="U72" s="149"/>
      <c r="V72" s="83"/>
      <c r="W72" s="149"/>
      <c r="X72" s="149"/>
      <c r="Y72" s="150"/>
    </row>
    <row r="73" spans="1:27" x14ac:dyDescent="0.3">
      <c r="A73" s="81" t="s">
        <v>676</v>
      </c>
      <c r="B73" s="81" t="s">
        <v>677</v>
      </c>
      <c r="C73" s="82">
        <v>0</v>
      </c>
      <c r="D73" s="82">
        <v>0</v>
      </c>
      <c r="E73" s="82">
        <v>0</v>
      </c>
      <c r="F73" s="83"/>
      <c r="G73" s="149"/>
      <c r="H73" s="149"/>
      <c r="I73" s="149"/>
      <c r="J73" s="83"/>
      <c r="K73" s="149"/>
      <c r="L73" s="149"/>
      <c r="M73" s="149"/>
      <c r="N73" s="83"/>
      <c r="O73" s="82">
        <v>1</v>
      </c>
      <c r="P73" s="82">
        <v>0</v>
      </c>
      <c r="Q73" s="82">
        <v>2</v>
      </c>
      <c r="R73" s="83"/>
      <c r="S73" s="82">
        <v>0</v>
      </c>
      <c r="T73" s="82">
        <v>0</v>
      </c>
      <c r="U73" s="82">
        <v>0</v>
      </c>
      <c r="V73" s="83"/>
      <c r="W73" s="82">
        <v>0</v>
      </c>
      <c r="X73" s="82">
        <v>0</v>
      </c>
      <c r="Y73" s="84">
        <v>0</v>
      </c>
    </row>
    <row r="74" spans="1:27" x14ac:dyDescent="0.3">
      <c r="A74" s="81" t="s">
        <v>672</v>
      </c>
      <c r="B74" s="81" t="s">
        <v>673</v>
      </c>
      <c r="C74" s="82">
        <v>0</v>
      </c>
      <c r="D74" s="82">
        <v>0</v>
      </c>
      <c r="E74" s="82">
        <v>4</v>
      </c>
      <c r="F74" s="83"/>
      <c r="G74" s="82">
        <v>1</v>
      </c>
      <c r="H74" s="82">
        <v>0</v>
      </c>
      <c r="I74" s="82">
        <v>0</v>
      </c>
      <c r="J74" s="83"/>
      <c r="K74" s="82">
        <v>1</v>
      </c>
      <c r="L74" s="82">
        <v>1</v>
      </c>
      <c r="M74" s="82">
        <v>25</v>
      </c>
      <c r="N74" s="83"/>
      <c r="O74" s="82">
        <v>1</v>
      </c>
      <c r="P74" s="82">
        <v>0</v>
      </c>
      <c r="Q74" s="82">
        <v>0</v>
      </c>
      <c r="R74" s="83"/>
      <c r="S74" s="82">
        <v>1</v>
      </c>
      <c r="T74" s="82">
        <v>1</v>
      </c>
      <c r="U74" s="82">
        <v>16</v>
      </c>
      <c r="V74" s="83"/>
      <c r="W74" s="82">
        <v>2</v>
      </c>
      <c r="X74" s="82">
        <v>1</v>
      </c>
      <c r="Y74" s="84">
        <v>0</v>
      </c>
    </row>
    <row r="75" spans="1:27" x14ac:dyDescent="0.3">
      <c r="A75" s="81" t="s">
        <v>524</v>
      </c>
      <c r="B75" s="81" t="s">
        <v>53</v>
      </c>
      <c r="C75" s="82">
        <v>0</v>
      </c>
      <c r="D75" s="82">
        <v>0</v>
      </c>
      <c r="E75" s="82">
        <v>0</v>
      </c>
      <c r="F75" s="83"/>
      <c r="G75" s="82">
        <v>0</v>
      </c>
      <c r="H75" s="82">
        <v>0</v>
      </c>
      <c r="I75" s="82">
        <v>0</v>
      </c>
      <c r="J75" s="83"/>
      <c r="K75" s="82">
        <v>0</v>
      </c>
      <c r="L75" s="82">
        <v>0</v>
      </c>
      <c r="M75" s="82">
        <v>0</v>
      </c>
      <c r="N75" s="83"/>
      <c r="O75" s="82">
        <v>0</v>
      </c>
      <c r="P75" s="82">
        <v>0</v>
      </c>
      <c r="Q75" s="82">
        <v>0</v>
      </c>
      <c r="R75" s="83"/>
      <c r="S75" s="82">
        <v>0</v>
      </c>
      <c r="T75" s="82">
        <v>0</v>
      </c>
      <c r="U75" s="82">
        <v>0</v>
      </c>
      <c r="V75" s="83"/>
      <c r="W75" s="82">
        <v>1</v>
      </c>
      <c r="X75" s="82">
        <v>0</v>
      </c>
      <c r="Y75" s="84">
        <v>0</v>
      </c>
    </row>
    <row r="76" spans="1:27" x14ac:dyDescent="0.3">
      <c r="A76" s="81" t="s">
        <v>525</v>
      </c>
      <c r="B76" s="81" t="s">
        <v>50</v>
      </c>
      <c r="C76" s="82">
        <v>0</v>
      </c>
      <c r="D76" s="82">
        <v>0</v>
      </c>
      <c r="E76" s="82">
        <v>0</v>
      </c>
      <c r="F76" s="83"/>
      <c r="G76" s="82">
        <v>3</v>
      </c>
      <c r="H76" s="82">
        <v>0</v>
      </c>
      <c r="I76" s="82">
        <v>0</v>
      </c>
      <c r="J76" s="83"/>
      <c r="K76" s="82">
        <v>2</v>
      </c>
      <c r="L76" s="82">
        <v>0</v>
      </c>
      <c r="M76" s="82">
        <v>0</v>
      </c>
      <c r="N76" s="83"/>
      <c r="O76" s="82">
        <v>1</v>
      </c>
      <c r="P76" s="82">
        <v>0</v>
      </c>
      <c r="Q76" s="82">
        <v>0</v>
      </c>
      <c r="R76" s="83"/>
      <c r="S76" s="82">
        <v>0</v>
      </c>
      <c r="T76" s="82">
        <v>0</v>
      </c>
      <c r="U76" s="82">
        <v>0</v>
      </c>
      <c r="V76" s="83"/>
      <c r="W76" s="82">
        <v>1</v>
      </c>
      <c r="X76" s="82">
        <v>0</v>
      </c>
      <c r="Y76" s="84">
        <v>0</v>
      </c>
    </row>
    <row r="77" spans="1:27" x14ac:dyDescent="0.3">
      <c r="A77" s="81" t="s">
        <v>786</v>
      </c>
      <c r="B77" s="81" t="s">
        <v>59</v>
      </c>
      <c r="C77" s="82">
        <v>0</v>
      </c>
      <c r="D77" s="82">
        <v>0</v>
      </c>
      <c r="E77" s="82">
        <v>0</v>
      </c>
      <c r="F77" s="83"/>
      <c r="G77" s="149"/>
      <c r="H77" s="149"/>
      <c r="I77" s="149"/>
      <c r="J77" s="83"/>
      <c r="K77" s="149"/>
      <c r="L77" s="149"/>
      <c r="M77" s="149"/>
      <c r="N77" s="83"/>
      <c r="O77" s="82">
        <v>0</v>
      </c>
      <c r="P77" s="82">
        <v>0</v>
      </c>
      <c r="Q77" s="82">
        <v>0</v>
      </c>
      <c r="R77" s="83"/>
      <c r="S77" s="149"/>
      <c r="T77" s="149"/>
      <c r="U77" s="149"/>
      <c r="V77" s="83"/>
      <c r="W77" s="149"/>
      <c r="X77" s="149"/>
      <c r="Y77" s="150"/>
    </row>
    <row r="78" spans="1:27" x14ac:dyDescent="0.3">
      <c r="A78" s="81" t="s">
        <v>674</v>
      </c>
      <c r="B78" s="81" t="s">
        <v>675</v>
      </c>
      <c r="C78" s="82">
        <v>0</v>
      </c>
      <c r="D78" s="82">
        <v>0</v>
      </c>
      <c r="E78" s="82">
        <v>0</v>
      </c>
      <c r="F78" s="83"/>
      <c r="G78" s="82">
        <v>0</v>
      </c>
      <c r="H78" s="82">
        <v>0</v>
      </c>
      <c r="I78" s="82">
        <v>0</v>
      </c>
      <c r="J78" s="83"/>
      <c r="K78" s="82">
        <v>0</v>
      </c>
      <c r="L78" s="82">
        <v>1</v>
      </c>
      <c r="M78" s="82">
        <v>0</v>
      </c>
      <c r="N78" s="83"/>
      <c r="O78" s="82">
        <v>0</v>
      </c>
      <c r="P78" s="82">
        <v>0</v>
      </c>
      <c r="Q78" s="82">
        <v>0</v>
      </c>
      <c r="R78" s="83"/>
      <c r="S78" s="82">
        <v>1</v>
      </c>
      <c r="T78" s="82">
        <v>0</v>
      </c>
      <c r="U78" s="82">
        <v>0</v>
      </c>
      <c r="V78" s="83"/>
      <c r="W78" s="82">
        <v>1</v>
      </c>
      <c r="X78" s="82">
        <v>1</v>
      </c>
      <c r="Y78" s="84">
        <v>0</v>
      </c>
    </row>
    <row r="79" spans="1:27" x14ac:dyDescent="0.3">
      <c r="A79" s="81" t="s">
        <v>526</v>
      </c>
      <c r="B79" s="81" t="s">
        <v>278</v>
      </c>
      <c r="C79" s="82">
        <v>0</v>
      </c>
      <c r="D79" s="82">
        <v>0</v>
      </c>
      <c r="E79" s="82">
        <v>2</v>
      </c>
      <c r="F79" s="83"/>
      <c r="G79" s="82">
        <v>0</v>
      </c>
      <c r="H79" s="82">
        <v>0</v>
      </c>
      <c r="I79" s="82">
        <v>0</v>
      </c>
      <c r="J79" s="83"/>
      <c r="K79" s="82">
        <v>1</v>
      </c>
      <c r="L79" s="82">
        <v>0</v>
      </c>
      <c r="M79" s="82">
        <v>0</v>
      </c>
      <c r="N79" s="83"/>
      <c r="O79" s="82">
        <v>0</v>
      </c>
      <c r="P79" s="82">
        <v>1</v>
      </c>
      <c r="Q79" s="82">
        <v>0</v>
      </c>
      <c r="R79" s="83"/>
      <c r="S79" s="149"/>
      <c r="T79" s="149"/>
      <c r="U79" s="149"/>
      <c r="V79" s="83"/>
      <c r="W79" s="149"/>
      <c r="X79" s="149"/>
      <c r="Y79" s="150"/>
    </row>
    <row r="80" spans="1:27" x14ac:dyDescent="0.3">
      <c r="A80" s="81" t="s">
        <v>679</v>
      </c>
      <c r="B80" s="81" t="s">
        <v>680</v>
      </c>
      <c r="C80" s="149"/>
      <c r="D80" s="149"/>
      <c r="E80" s="149"/>
      <c r="F80" s="83"/>
      <c r="G80" s="149"/>
      <c r="H80" s="149"/>
      <c r="I80" s="149"/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1" spans="1:27" x14ac:dyDescent="0.3">
      <c r="A81" s="81" t="s">
        <v>948</v>
      </c>
      <c r="B81" s="81" t="s">
        <v>949</v>
      </c>
      <c r="C81" s="149"/>
      <c r="D81" s="149"/>
      <c r="E81" s="149"/>
      <c r="F81" s="83"/>
      <c r="G81" s="149"/>
      <c r="H81" s="149"/>
      <c r="I81" s="149"/>
      <c r="J81" s="83"/>
      <c r="K81" s="149"/>
      <c r="L81" s="149"/>
      <c r="M81" s="149"/>
      <c r="N81" s="83"/>
      <c r="O81" s="82">
        <v>1</v>
      </c>
      <c r="P81" s="82">
        <v>0</v>
      </c>
      <c r="Q81" s="82">
        <v>0</v>
      </c>
      <c r="R81" s="83"/>
      <c r="S81" s="82">
        <v>0</v>
      </c>
      <c r="T81" s="82">
        <v>0</v>
      </c>
      <c r="U81" s="82">
        <v>0</v>
      </c>
      <c r="V81" s="83"/>
      <c r="W81" s="82">
        <v>1</v>
      </c>
      <c r="X81" s="82">
        <v>0</v>
      </c>
      <c r="Y81" s="84">
        <v>0</v>
      </c>
    </row>
    <row r="82" spans="1:27" x14ac:dyDescent="0.3">
      <c r="A82" s="81" t="s">
        <v>943</v>
      </c>
      <c r="B82" s="81" t="s">
        <v>942</v>
      </c>
      <c r="C82" s="82">
        <v>0</v>
      </c>
      <c r="D82" s="82">
        <v>0</v>
      </c>
      <c r="E82" s="82">
        <v>0</v>
      </c>
      <c r="F82" s="83"/>
      <c r="G82" s="82">
        <v>0</v>
      </c>
      <c r="H82" s="82">
        <v>0</v>
      </c>
      <c r="I82" s="82">
        <v>0</v>
      </c>
      <c r="J82" s="83"/>
      <c r="K82" s="82">
        <v>0</v>
      </c>
      <c r="L82" s="82">
        <v>0</v>
      </c>
      <c r="M82" s="82">
        <v>0</v>
      </c>
      <c r="N82" s="83"/>
      <c r="O82" s="82">
        <v>0</v>
      </c>
      <c r="P82" s="82">
        <v>0</v>
      </c>
      <c r="Q82" s="82">
        <v>0</v>
      </c>
      <c r="R82" s="83"/>
      <c r="S82" s="149"/>
      <c r="T82" s="149"/>
      <c r="U82" s="149"/>
      <c r="V82" s="83"/>
      <c r="W82" s="149"/>
      <c r="X82" s="149"/>
      <c r="Y82" s="150"/>
    </row>
    <row r="83" spans="1:27" x14ac:dyDescent="0.3">
      <c r="A83" s="81" t="s">
        <v>527</v>
      </c>
      <c r="B83" s="81" t="s">
        <v>56</v>
      </c>
      <c r="C83" s="149"/>
      <c r="D83" s="149"/>
      <c r="E83" s="149"/>
      <c r="F83" s="83"/>
      <c r="G83" s="149"/>
      <c r="H83" s="149"/>
      <c r="I83" s="149"/>
      <c r="J83" s="83"/>
      <c r="K83" s="149"/>
      <c r="L83" s="149"/>
      <c r="M83" s="149"/>
      <c r="N83" s="83"/>
      <c r="O83" s="149"/>
      <c r="P83" s="149"/>
      <c r="Q83" s="149"/>
      <c r="R83" s="83"/>
      <c r="S83" s="91"/>
      <c r="T83" s="91"/>
      <c r="U83" s="91"/>
      <c r="V83" s="83"/>
      <c r="W83" s="91"/>
      <c r="X83" s="91"/>
      <c r="Y83" s="152"/>
    </row>
    <row r="84" spans="1:27" x14ac:dyDescent="0.3">
      <c r="A84" s="81" t="s">
        <v>678</v>
      </c>
      <c r="B84" s="81" t="s">
        <v>55</v>
      </c>
      <c r="C84" s="91"/>
      <c r="D84" s="91"/>
      <c r="E84" s="91"/>
      <c r="F84" s="83"/>
      <c r="G84" s="82">
        <v>0</v>
      </c>
      <c r="H84" s="82">
        <v>2</v>
      </c>
      <c r="I84" s="82">
        <v>0</v>
      </c>
      <c r="J84" s="83"/>
      <c r="K84" s="82">
        <v>2</v>
      </c>
      <c r="L84" s="82">
        <v>0</v>
      </c>
      <c r="M84" s="82">
        <v>0</v>
      </c>
      <c r="N84" s="83"/>
      <c r="O84" s="91"/>
      <c r="P84" s="91"/>
      <c r="Q84" s="91"/>
      <c r="R84" s="83"/>
      <c r="S84" s="91"/>
      <c r="T84" s="91"/>
      <c r="U84" s="91"/>
      <c r="V84" s="83"/>
      <c r="W84" s="91"/>
      <c r="X84" s="91"/>
      <c r="Y84" s="152"/>
    </row>
    <row r="85" spans="1:27" x14ac:dyDescent="0.3">
      <c r="A85" s="81" t="s">
        <v>528</v>
      </c>
      <c r="B85" s="81" t="s">
        <v>279</v>
      </c>
      <c r="C85" s="149"/>
      <c r="D85" s="149"/>
      <c r="E85" s="149"/>
      <c r="F85" s="83"/>
      <c r="G85" s="82">
        <v>2</v>
      </c>
      <c r="H85" s="82">
        <v>0</v>
      </c>
      <c r="I85" s="82">
        <v>0</v>
      </c>
      <c r="J85" s="83"/>
      <c r="K85" s="82">
        <v>0</v>
      </c>
      <c r="L85" s="82">
        <v>1</v>
      </c>
      <c r="M85" s="82">
        <v>0</v>
      </c>
      <c r="N85" s="83"/>
      <c r="O85" s="149"/>
      <c r="P85" s="149"/>
      <c r="Q85" s="149"/>
      <c r="R85" s="83"/>
      <c r="S85" s="149"/>
      <c r="T85" s="149"/>
      <c r="U85" s="149"/>
      <c r="V85" s="83"/>
      <c r="W85" s="149"/>
      <c r="X85" s="149"/>
      <c r="Y85" s="150"/>
    </row>
    <row r="86" spans="1:27" x14ac:dyDescent="0.3">
      <c r="A86" s="81" t="s">
        <v>529</v>
      </c>
      <c r="B86" s="81" t="s">
        <v>532</v>
      </c>
      <c r="C86" s="91"/>
      <c r="D86" s="91"/>
      <c r="E86" s="91"/>
      <c r="F86" s="83"/>
      <c r="G86" s="91"/>
      <c r="H86" s="91"/>
      <c r="I86" s="91"/>
      <c r="J86" s="83"/>
      <c r="K86" s="149"/>
      <c r="L86" s="149"/>
      <c r="M86" s="149"/>
      <c r="N86" s="83"/>
      <c r="O86" s="149"/>
      <c r="P86" s="149"/>
      <c r="Q86" s="149"/>
      <c r="R86" s="83"/>
      <c r="S86" s="149"/>
      <c r="T86" s="149"/>
      <c r="U86" s="149"/>
      <c r="V86" s="83"/>
      <c r="W86" s="149"/>
      <c r="X86" s="149"/>
      <c r="Y86" s="150"/>
    </row>
    <row r="87" spans="1:27" x14ac:dyDescent="0.3">
      <c r="A87" s="81" t="s">
        <v>546</v>
      </c>
      <c r="B87" s="81" t="s">
        <v>531</v>
      </c>
      <c r="C87" s="149"/>
      <c r="D87" s="149"/>
      <c r="E87" s="149"/>
      <c r="F87" s="83"/>
      <c r="G87" s="82" t="s">
        <v>681</v>
      </c>
      <c r="H87" s="82">
        <v>0</v>
      </c>
      <c r="I87" s="82">
        <v>0</v>
      </c>
      <c r="J87" s="83"/>
      <c r="K87" s="82" t="s">
        <v>681</v>
      </c>
      <c r="L87" s="82">
        <v>0</v>
      </c>
      <c r="M87" s="82">
        <v>0</v>
      </c>
      <c r="N87" s="83"/>
      <c r="O87" s="82" t="s">
        <v>681</v>
      </c>
      <c r="P87" s="82">
        <v>0</v>
      </c>
      <c r="Q87" s="82">
        <v>0</v>
      </c>
      <c r="R87" s="83"/>
      <c r="S87" s="82" t="s">
        <v>681</v>
      </c>
      <c r="T87" s="82">
        <v>0</v>
      </c>
      <c r="U87" s="82">
        <v>0</v>
      </c>
      <c r="V87" s="83"/>
      <c r="W87" s="82" t="s">
        <v>681</v>
      </c>
      <c r="X87" s="82">
        <v>0</v>
      </c>
      <c r="Y87" s="84">
        <v>0</v>
      </c>
    </row>
    <row r="88" spans="1:27" x14ac:dyDescent="0.3">
      <c r="A88" s="81" t="s">
        <v>778</v>
      </c>
      <c r="B88" s="81" t="s">
        <v>941</v>
      </c>
      <c r="C88" s="82" t="s">
        <v>681</v>
      </c>
      <c r="D88" s="82">
        <v>0</v>
      </c>
      <c r="E88" s="82">
        <v>0</v>
      </c>
      <c r="F88" s="83"/>
      <c r="G88" s="82" t="s">
        <v>681</v>
      </c>
      <c r="H88" s="82">
        <v>1</v>
      </c>
      <c r="I88" s="82">
        <v>0</v>
      </c>
      <c r="J88" s="83"/>
      <c r="K88" s="82" t="s">
        <v>681</v>
      </c>
      <c r="L88" s="82">
        <v>0</v>
      </c>
      <c r="M88" s="82">
        <v>0</v>
      </c>
      <c r="N88" s="83"/>
      <c r="O88" s="82" t="s">
        <v>681</v>
      </c>
      <c r="P88" s="82">
        <v>0</v>
      </c>
      <c r="Q88" s="82">
        <v>0</v>
      </c>
      <c r="R88" s="83"/>
      <c r="S88" s="82" t="s">
        <v>681</v>
      </c>
      <c r="T88" s="82">
        <v>0</v>
      </c>
      <c r="U88" s="82">
        <v>0</v>
      </c>
      <c r="V88" s="83"/>
      <c r="W88" s="82" t="s">
        <v>681</v>
      </c>
      <c r="X88" s="82">
        <v>0</v>
      </c>
      <c r="Y88" s="84">
        <v>0</v>
      </c>
    </row>
    <row r="89" spans="1:27" x14ac:dyDescent="0.3">
      <c r="A89" s="81" t="s">
        <v>778</v>
      </c>
      <c r="B89" s="81" t="s">
        <v>779</v>
      </c>
      <c r="C89" s="149"/>
      <c r="D89" s="149"/>
      <c r="E89" s="149"/>
      <c r="F89" s="83"/>
      <c r="G89" s="149"/>
      <c r="H89" s="149"/>
      <c r="I89" s="149"/>
      <c r="J89" s="83"/>
      <c r="K89" s="149"/>
      <c r="L89" s="149"/>
      <c r="M89" s="149"/>
      <c r="N89" s="83"/>
      <c r="O89" s="149"/>
      <c r="P89" s="149"/>
      <c r="Q89" s="149"/>
      <c r="R89" s="83"/>
      <c r="S89" s="149"/>
      <c r="T89" s="149"/>
      <c r="U89" s="149"/>
      <c r="V89" s="83"/>
      <c r="W89" s="149"/>
      <c r="X89" s="149"/>
      <c r="Y89" s="150"/>
    </row>
    <row r="90" spans="1:27" x14ac:dyDescent="0.3">
      <c r="A90" s="16"/>
      <c r="B90" s="16"/>
      <c r="C90" s="220">
        <f>SUM(C66:C89)</f>
        <v>1</v>
      </c>
      <c r="D90" s="220">
        <f>SUM(D66:D89)</f>
        <v>1</v>
      </c>
      <c r="E90" s="220">
        <f>SUM(E66:E89)</f>
        <v>6</v>
      </c>
      <c r="F90" s="71"/>
      <c r="G90" s="220">
        <f>SUM(G66:G89)</f>
        <v>8</v>
      </c>
      <c r="H90" s="220">
        <f>SUM(H66:H89)</f>
        <v>7</v>
      </c>
      <c r="I90" s="220">
        <f>SUM(I66:I89)</f>
        <v>0</v>
      </c>
      <c r="J90" s="71"/>
      <c r="K90" s="220">
        <f>SUM(K66:K89)</f>
        <v>10</v>
      </c>
      <c r="L90" s="220">
        <f>SUM(L66:L89)</f>
        <v>8</v>
      </c>
      <c r="M90" s="220">
        <f>SUM(M66:M89)</f>
        <v>25</v>
      </c>
      <c r="N90" s="71"/>
      <c r="O90" s="220">
        <f>SUM(O66:O89)</f>
        <v>4</v>
      </c>
      <c r="P90" s="220">
        <f>SUM(P66:P89)</f>
        <v>4</v>
      </c>
      <c r="Q90" s="220">
        <f>SUM(Q66:Q89)</f>
        <v>2</v>
      </c>
      <c r="R90" s="71"/>
      <c r="S90" s="220">
        <f>SUM(S66:S89)</f>
        <v>5</v>
      </c>
      <c r="T90" s="220">
        <f>SUM(T66:T89)</f>
        <v>3</v>
      </c>
      <c r="U90" s="220">
        <f>SUM(U66:U89)</f>
        <v>16</v>
      </c>
      <c r="V90" s="71"/>
      <c r="W90" s="220">
        <f>SUM(W66:W89)</f>
        <v>6</v>
      </c>
      <c r="X90" s="220">
        <f>SUM(X66:X89)</f>
        <v>5</v>
      </c>
      <c r="Y90" s="220">
        <f>SUM(Y66:Y89)</f>
        <v>2</v>
      </c>
    </row>
    <row r="92" spans="1:27" ht="15" thickBot="1" x14ac:dyDescent="0.35"/>
    <row r="93" spans="1:27" x14ac:dyDescent="0.3">
      <c r="A93" s="16"/>
      <c r="B93" s="16" t="s">
        <v>547</v>
      </c>
      <c r="C93" s="76">
        <v>13</v>
      </c>
      <c r="D93" s="76"/>
      <c r="E93" s="76"/>
      <c r="F93" s="77"/>
      <c r="G93" s="76">
        <v>14</v>
      </c>
      <c r="H93" s="76"/>
      <c r="I93" s="76"/>
      <c r="J93" s="77"/>
      <c r="K93" s="76">
        <v>15</v>
      </c>
      <c r="L93" s="76"/>
      <c r="M93" s="76"/>
      <c r="N93" s="77"/>
      <c r="O93" s="76">
        <v>16</v>
      </c>
      <c r="P93" s="76"/>
      <c r="Q93" s="76"/>
      <c r="R93" s="77"/>
      <c r="S93" s="76">
        <v>17</v>
      </c>
      <c r="T93" s="76"/>
      <c r="U93" s="76"/>
      <c r="V93" s="77"/>
      <c r="W93" s="76">
        <v>18</v>
      </c>
      <c r="X93" s="16"/>
      <c r="Y93" s="16"/>
      <c r="Z93" s="75"/>
      <c r="AA93" s="16"/>
    </row>
    <row r="94" spans="1:27" x14ac:dyDescent="0.3">
      <c r="A94" s="16"/>
      <c r="B94" s="16"/>
      <c r="C94" s="16" t="s">
        <v>916</v>
      </c>
      <c r="D94" s="16"/>
      <c r="E94" s="16"/>
      <c r="F94" s="67"/>
      <c r="G94" s="16" t="s">
        <v>928</v>
      </c>
      <c r="H94" s="16"/>
      <c r="I94" s="16"/>
      <c r="J94" s="67"/>
      <c r="K94" s="16" t="s">
        <v>931</v>
      </c>
      <c r="L94" s="16"/>
      <c r="M94" s="16"/>
      <c r="N94" s="67"/>
      <c r="O94" s="16" t="s">
        <v>935</v>
      </c>
      <c r="P94" s="16"/>
      <c r="Q94" s="16"/>
      <c r="R94" s="67"/>
      <c r="S94" s="16" t="s">
        <v>936</v>
      </c>
      <c r="T94" s="16"/>
      <c r="U94" s="16"/>
      <c r="V94" s="67"/>
      <c r="W94" s="16" t="s">
        <v>938</v>
      </c>
      <c r="X94" s="16"/>
      <c r="Y94" s="16"/>
      <c r="Z94" s="67"/>
      <c r="AA94" s="16"/>
    </row>
    <row r="95" spans="1:27" x14ac:dyDescent="0.3">
      <c r="A95" s="16"/>
      <c r="B95" s="16"/>
      <c r="C95" s="156" t="s">
        <v>924</v>
      </c>
      <c r="D95" s="16"/>
      <c r="E95" s="16"/>
      <c r="F95" s="67"/>
      <c r="G95" s="156" t="s">
        <v>924</v>
      </c>
      <c r="H95" s="16"/>
      <c r="I95" s="16"/>
      <c r="J95" s="67"/>
      <c r="K95" s="156" t="s">
        <v>932</v>
      </c>
      <c r="L95" s="16"/>
      <c r="M95" s="16"/>
      <c r="N95" s="67"/>
      <c r="O95" s="156" t="s">
        <v>932</v>
      </c>
      <c r="P95" s="16"/>
      <c r="Q95" s="16"/>
      <c r="R95" s="67"/>
      <c r="S95" s="156" t="s">
        <v>937</v>
      </c>
      <c r="T95" s="16"/>
      <c r="U95" s="16"/>
      <c r="V95" s="67"/>
      <c r="W95" s="156" t="s">
        <v>937</v>
      </c>
      <c r="X95" s="16"/>
      <c r="Y95" s="16"/>
      <c r="Z95" s="67"/>
      <c r="AA95" s="16"/>
    </row>
    <row r="96" spans="1:27" x14ac:dyDescent="0.3">
      <c r="A96" s="16"/>
      <c r="B96" s="16"/>
      <c r="C96" s="16" t="s">
        <v>579</v>
      </c>
      <c r="D96" s="16"/>
      <c r="E96" s="16"/>
      <c r="F96" s="67"/>
      <c r="G96" s="16" t="s">
        <v>579</v>
      </c>
      <c r="H96" s="16"/>
      <c r="I96" s="16"/>
      <c r="J96" s="67"/>
      <c r="K96" s="16" t="s">
        <v>579</v>
      </c>
      <c r="L96" s="16"/>
      <c r="M96" s="16"/>
      <c r="N96" s="67"/>
      <c r="O96" s="16" t="s">
        <v>579</v>
      </c>
      <c r="P96" s="16"/>
      <c r="Q96" s="16"/>
      <c r="R96" s="67"/>
      <c r="S96" s="16" t="s">
        <v>794</v>
      </c>
      <c r="T96" s="16"/>
      <c r="U96" s="16"/>
      <c r="V96" s="67"/>
      <c r="W96" s="16" t="s">
        <v>794</v>
      </c>
      <c r="X96" s="16"/>
      <c r="Y96" s="16"/>
      <c r="Z96" s="67"/>
      <c r="AA96" s="16"/>
    </row>
    <row r="97" spans="1:27" x14ac:dyDescent="0.3">
      <c r="A97" s="1"/>
      <c r="B97" s="1"/>
      <c r="C97" s="165" t="s">
        <v>161</v>
      </c>
      <c r="D97" s="85" t="s">
        <v>925</v>
      </c>
      <c r="E97" s="1"/>
      <c r="F97" s="68"/>
      <c r="G97" s="162" t="s">
        <v>929</v>
      </c>
      <c r="H97" s="85" t="s">
        <v>930</v>
      </c>
      <c r="I97" s="1"/>
      <c r="J97" s="68"/>
      <c r="K97" s="165" t="s">
        <v>933</v>
      </c>
      <c r="L97" s="85" t="s">
        <v>934</v>
      </c>
      <c r="M97" s="1"/>
      <c r="N97" s="68"/>
      <c r="O97" s="164" t="s">
        <v>906</v>
      </c>
      <c r="P97" s="225" t="s">
        <v>1093</v>
      </c>
      <c r="Q97" s="1"/>
      <c r="R97" s="68"/>
      <c r="S97" s="162" t="s">
        <v>258</v>
      </c>
      <c r="T97" s="225" t="s">
        <v>982</v>
      </c>
      <c r="U97" s="1"/>
      <c r="V97" s="68"/>
      <c r="W97" s="166" t="s">
        <v>939</v>
      </c>
      <c r="X97" s="1" t="s">
        <v>940</v>
      </c>
      <c r="Y97" s="1"/>
      <c r="Z97" s="68"/>
      <c r="AA97" s="1"/>
    </row>
    <row r="99" spans="1:27" x14ac:dyDescent="0.3">
      <c r="C99" t="s">
        <v>537</v>
      </c>
      <c r="G99" t="s">
        <v>537</v>
      </c>
      <c r="K99" t="s">
        <v>537</v>
      </c>
      <c r="O99" t="s">
        <v>537</v>
      </c>
      <c r="S99" t="s">
        <v>537</v>
      </c>
      <c r="W99" t="s">
        <v>537</v>
      </c>
    </row>
    <row r="100" spans="1:27" x14ac:dyDescent="0.3">
      <c r="C100" t="s">
        <v>911</v>
      </c>
      <c r="E100" t="s">
        <v>139</v>
      </c>
      <c r="G100" t="s">
        <v>107</v>
      </c>
      <c r="K100" t="s">
        <v>501</v>
      </c>
      <c r="M100" t="s">
        <v>540</v>
      </c>
      <c r="O100" t="s">
        <v>501</v>
      </c>
      <c r="S100" t="s">
        <v>983</v>
      </c>
      <c r="W100" t="s">
        <v>501</v>
      </c>
    </row>
    <row r="102" spans="1:27" x14ac:dyDescent="0.3">
      <c r="C102" t="s">
        <v>543</v>
      </c>
      <c r="G102" t="s">
        <v>543</v>
      </c>
      <c r="K102" t="s">
        <v>543</v>
      </c>
      <c r="O102" t="s">
        <v>543</v>
      </c>
      <c r="S102" t="s">
        <v>543</v>
      </c>
      <c r="W102" t="s">
        <v>543</v>
      </c>
    </row>
    <row r="103" spans="1:27" x14ac:dyDescent="0.3">
      <c r="C103" t="s">
        <v>926</v>
      </c>
      <c r="E103" t="s">
        <v>545</v>
      </c>
      <c r="G103" t="s">
        <v>501</v>
      </c>
      <c r="K103" s="116" t="s">
        <v>501</v>
      </c>
      <c r="M103" t="s">
        <v>536</v>
      </c>
      <c r="O103" t="s">
        <v>107</v>
      </c>
      <c r="S103" s="116" t="s">
        <v>107</v>
      </c>
      <c r="U103" t="s">
        <v>556</v>
      </c>
      <c r="W103" s="116" t="s">
        <v>107</v>
      </c>
    </row>
    <row r="104" spans="1:27" x14ac:dyDescent="0.3">
      <c r="C104" t="s">
        <v>927</v>
      </c>
      <c r="E104" t="s">
        <v>647</v>
      </c>
    </row>
    <row r="106" spans="1:27" ht="15" thickBot="1" x14ac:dyDescent="0.35">
      <c r="A106" s="60" t="s">
        <v>517</v>
      </c>
      <c r="B106" s="60"/>
      <c r="C106" s="61" t="s">
        <v>533</v>
      </c>
      <c r="D106" s="61" t="s">
        <v>534</v>
      </c>
      <c r="E106" s="61" t="s">
        <v>535</v>
      </c>
      <c r="F106" s="69"/>
      <c r="G106" s="61" t="s">
        <v>533</v>
      </c>
      <c r="H106" s="61" t="s">
        <v>534</v>
      </c>
      <c r="I106" s="61" t="s">
        <v>535</v>
      </c>
      <c r="J106" s="69"/>
      <c r="K106" s="61" t="s">
        <v>533</v>
      </c>
      <c r="L106" s="61" t="s">
        <v>534</v>
      </c>
      <c r="M106" s="61" t="s">
        <v>535</v>
      </c>
      <c r="N106" s="69"/>
      <c r="O106" s="61" t="s">
        <v>533</v>
      </c>
      <c r="P106" s="61" t="s">
        <v>534</v>
      </c>
      <c r="Q106" s="61" t="s">
        <v>535</v>
      </c>
      <c r="R106" s="69"/>
      <c r="S106" s="61" t="s">
        <v>533</v>
      </c>
      <c r="T106" s="61" t="s">
        <v>534</v>
      </c>
      <c r="U106" s="61" t="s">
        <v>535</v>
      </c>
      <c r="V106" s="69"/>
      <c r="W106" s="61" t="s">
        <v>533</v>
      </c>
      <c r="X106" s="61" t="s">
        <v>534</v>
      </c>
      <c r="Y106" s="61" t="s">
        <v>535</v>
      </c>
      <c r="Z106" s="67"/>
      <c r="AA106" s="16"/>
    </row>
    <row r="107" spans="1:27" ht="3.75" customHeight="1" thickBot="1" x14ac:dyDescent="0.35">
      <c r="A107" s="62"/>
      <c r="B107" s="62"/>
      <c r="C107" s="63"/>
      <c r="D107" s="63"/>
      <c r="E107" s="63"/>
      <c r="F107" s="64"/>
      <c r="G107" s="63"/>
      <c r="H107" s="63"/>
      <c r="I107" s="63"/>
      <c r="J107" s="64"/>
      <c r="K107" s="63"/>
      <c r="L107" s="63"/>
      <c r="M107" s="63"/>
      <c r="N107" s="64"/>
      <c r="O107" s="63"/>
      <c r="P107" s="63"/>
      <c r="Q107" s="63"/>
      <c r="R107" s="64"/>
      <c r="S107" s="63"/>
      <c r="T107" s="63"/>
      <c r="U107" s="63"/>
      <c r="V107" s="64"/>
      <c r="W107" s="63"/>
      <c r="X107" s="63"/>
      <c r="Y107" s="63"/>
      <c r="Z107" s="65"/>
      <c r="AA107" s="16"/>
    </row>
    <row r="108" spans="1:27" x14ac:dyDescent="0.3">
      <c r="A108" s="78" t="s">
        <v>518</v>
      </c>
      <c r="B108" s="78" t="s">
        <v>48</v>
      </c>
      <c r="C108" s="221"/>
      <c r="D108" s="221"/>
      <c r="E108" s="221"/>
      <c r="F108" s="80"/>
      <c r="G108" s="221"/>
      <c r="H108" s="221"/>
      <c r="I108" s="221"/>
      <c r="J108" s="80"/>
      <c r="K108" s="79">
        <v>0</v>
      </c>
      <c r="L108" s="79">
        <v>0</v>
      </c>
      <c r="M108" s="79">
        <v>0</v>
      </c>
      <c r="N108" s="80"/>
      <c r="O108" s="221"/>
      <c r="P108" s="221"/>
      <c r="Q108" s="221"/>
      <c r="R108" s="80"/>
      <c r="S108" s="79">
        <v>0</v>
      </c>
      <c r="T108" s="79">
        <v>0</v>
      </c>
      <c r="U108" s="79">
        <v>0</v>
      </c>
      <c r="V108" s="80"/>
      <c r="W108" s="79">
        <v>0</v>
      </c>
      <c r="X108" s="79">
        <v>0</v>
      </c>
      <c r="Y108" s="151">
        <v>0</v>
      </c>
      <c r="Z108" s="72"/>
    </row>
    <row r="109" spans="1:27" x14ac:dyDescent="0.3">
      <c r="A109" s="81" t="s">
        <v>519</v>
      </c>
      <c r="B109" s="81" t="s">
        <v>54</v>
      </c>
      <c r="C109" s="82">
        <v>1</v>
      </c>
      <c r="D109" s="82">
        <v>0</v>
      </c>
      <c r="E109" s="82">
        <v>0</v>
      </c>
      <c r="F109" s="83"/>
      <c r="G109" s="82">
        <v>0</v>
      </c>
      <c r="H109" s="82">
        <v>0</v>
      </c>
      <c r="I109" s="82">
        <v>0</v>
      </c>
      <c r="J109" s="83"/>
      <c r="K109" s="82">
        <v>0</v>
      </c>
      <c r="L109" s="82">
        <v>0</v>
      </c>
      <c r="M109" s="82">
        <v>0</v>
      </c>
      <c r="N109" s="83"/>
      <c r="O109" s="149"/>
      <c r="P109" s="149"/>
      <c r="Q109" s="149"/>
      <c r="R109" s="83"/>
      <c r="S109" s="149"/>
      <c r="T109" s="149"/>
      <c r="U109" s="149"/>
      <c r="V109" s="83"/>
      <c r="W109" s="149"/>
      <c r="X109" s="149"/>
      <c r="Y109" s="150"/>
    </row>
    <row r="110" spans="1:27" x14ac:dyDescent="0.3">
      <c r="A110" s="81" t="s">
        <v>520</v>
      </c>
      <c r="B110" s="81" t="s">
        <v>530</v>
      </c>
      <c r="C110" s="82">
        <v>1</v>
      </c>
      <c r="D110" s="82">
        <v>0</v>
      </c>
      <c r="E110" s="82">
        <v>0</v>
      </c>
      <c r="F110" s="83"/>
      <c r="G110" s="82">
        <v>0</v>
      </c>
      <c r="H110" s="82">
        <v>0</v>
      </c>
      <c r="I110" s="82">
        <v>0</v>
      </c>
      <c r="J110" s="83"/>
      <c r="K110" s="82">
        <v>0</v>
      </c>
      <c r="L110" s="82">
        <v>0</v>
      </c>
      <c r="M110" s="82">
        <v>0</v>
      </c>
      <c r="N110" s="83"/>
      <c r="O110" s="82">
        <v>1</v>
      </c>
      <c r="P110" s="82">
        <v>1</v>
      </c>
      <c r="Q110" s="82">
        <v>0</v>
      </c>
      <c r="R110" s="83"/>
      <c r="S110" s="82">
        <v>0</v>
      </c>
      <c r="T110" s="82">
        <v>0</v>
      </c>
      <c r="U110" s="82">
        <v>0</v>
      </c>
      <c r="V110" s="83"/>
      <c r="W110" s="82">
        <v>0</v>
      </c>
      <c r="X110" s="82">
        <v>1</v>
      </c>
      <c r="Y110" s="84">
        <v>0</v>
      </c>
    </row>
    <row r="111" spans="1:27" x14ac:dyDescent="0.3">
      <c r="A111" s="81" t="s">
        <v>521</v>
      </c>
      <c r="B111" s="81" t="s">
        <v>181</v>
      </c>
      <c r="C111" s="149"/>
      <c r="D111" s="149"/>
      <c r="E111" s="149"/>
      <c r="F111" s="83"/>
      <c r="G111" s="149"/>
      <c r="H111" s="149"/>
      <c r="I111" s="149"/>
      <c r="J111" s="83"/>
      <c r="K111" s="149"/>
      <c r="L111" s="149"/>
      <c r="M111" s="149"/>
      <c r="N111" s="83"/>
      <c r="O111" s="149"/>
      <c r="P111" s="149"/>
      <c r="Q111" s="149"/>
      <c r="R111" s="83"/>
      <c r="S111" s="149"/>
      <c r="T111" s="149"/>
      <c r="U111" s="149"/>
      <c r="V111" s="83"/>
      <c r="W111" s="149"/>
      <c r="X111" s="149"/>
      <c r="Y111" s="150"/>
    </row>
    <row r="112" spans="1:27" x14ac:dyDescent="0.3">
      <c r="A112" s="81" t="s">
        <v>944</v>
      </c>
      <c r="B112" s="81" t="s">
        <v>945</v>
      </c>
      <c r="C112" s="82">
        <v>0</v>
      </c>
      <c r="D112" s="82">
        <v>0</v>
      </c>
      <c r="E112" s="82">
        <v>2</v>
      </c>
      <c r="F112" s="83"/>
      <c r="G112" s="82">
        <v>0</v>
      </c>
      <c r="H112" s="82">
        <v>1</v>
      </c>
      <c r="I112" s="82">
        <v>0</v>
      </c>
      <c r="J112" s="83"/>
      <c r="K112" s="82">
        <v>4</v>
      </c>
      <c r="L112" s="82">
        <v>0</v>
      </c>
      <c r="M112" s="82">
        <v>0</v>
      </c>
      <c r="N112" s="83"/>
      <c r="O112" s="149"/>
      <c r="P112" s="149"/>
      <c r="Q112" s="149"/>
      <c r="R112" s="83"/>
      <c r="S112" s="149"/>
      <c r="T112" s="149"/>
      <c r="U112" s="149"/>
      <c r="V112" s="83"/>
      <c r="W112" s="149"/>
      <c r="X112" s="149"/>
      <c r="Y112" s="150"/>
    </row>
    <row r="113" spans="1:25" customFormat="1" x14ac:dyDescent="0.3">
      <c r="A113" s="81" t="s">
        <v>522</v>
      </c>
      <c r="B113" s="81" t="s">
        <v>185</v>
      </c>
      <c r="C113" s="82">
        <v>1</v>
      </c>
      <c r="D113" s="82">
        <v>2</v>
      </c>
      <c r="E113" s="82">
        <v>2</v>
      </c>
      <c r="F113" s="83"/>
      <c r="G113" s="82">
        <v>0</v>
      </c>
      <c r="H113" s="82">
        <v>2</v>
      </c>
      <c r="I113" s="82">
        <v>0</v>
      </c>
      <c r="J113" s="83"/>
      <c r="K113" s="82">
        <v>1</v>
      </c>
      <c r="L113" s="82">
        <v>5</v>
      </c>
      <c r="M113" s="82">
        <v>0</v>
      </c>
      <c r="N113" s="83"/>
      <c r="O113" s="82">
        <v>1</v>
      </c>
      <c r="P113" s="82">
        <v>1</v>
      </c>
      <c r="Q113" s="82">
        <v>0</v>
      </c>
      <c r="R113" s="83"/>
      <c r="S113" s="149"/>
      <c r="T113" s="149"/>
      <c r="U113" s="149"/>
      <c r="V113" s="83"/>
      <c r="W113" s="149"/>
      <c r="X113" s="149"/>
      <c r="Y113" s="150"/>
    </row>
    <row r="114" spans="1:25" customFormat="1" x14ac:dyDescent="0.3">
      <c r="A114" s="81" t="s">
        <v>523</v>
      </c>
      <c r="B114" s="81" t="s">
        <v>52</v>
      </c>
      <c r="C114" s="149"/>
      <c r="D114" s="149"/>
      <c r="E114" s="149"/>
      <c r="F114" s="83"/>
      <c r="G114" s="149"/>
      <c r="H114" s="149"/>
      <c r="I114" s="149"/>
      <c r="J114" s="83"/>
      <c r="K114" s="149"/>
      <c r="L114" s="149"/>
      <c r="M114" s="149"/>
      <c r="N114" s="83"/>
      <c r="O114" s="149"/>
      <c r="P114" s="149"/>
      <c r="Q114" s="149"/>
      <c r="R114" s="83"/>
      <c r="S114" s="149"/>
      <c r="T114" s="149"/>
      <c r="U114" s="149"/>
      <c r="V114" s="83"/>
      <c r="W114" s="149"/>
      <c r="X114" s="149"/>
      <c r="Y114" s="150"/>
    </row>
    <row r="115" spans="1:25" customFormat="1" x14ac:dyDescent="0.3">
      <c r="A115" s="81" t="s">
        <v>676</v>
      </c>
      <c r="B115" s="81" t="s">
        <v>677</v>
      </c>
      <c r="C115" s="82">
        <v>0</v>
      </c>
      <c r="D115" s="82">
        <v>0</v>
      </c>
      <c r="E115" s="82">
        <v>0</v>
      </c>
      <c r="F115" s="83"/>
      <c r="G115" s="82">
        <v>3</v>
      </c>
      <c r="H115" s="82">
        <v>0</v>
      </c>
      <c r="I115" s="82">
        <v>0</v>
      </c>
      <c r="J115" s="83"/>
      <c r="K115" s="82">
        <v>0</v>
      </c>
      <c r="L115" s="82">
        <v>0</v>
      </c>
      <c r="M115" s="82">
        <v>0</v>
      </c>
      <c r="N115" s="83"/>
      <c r="O115" s="82">
        <v>1</v>
      </c>
      <c r="P115" s="82">
        <v>1</v>
      </c>
      <c r="Q115" s="82">
        <v>0</v>
      </c>
      <c r="R115" s="83"/>
      <c r="S115" s="82">
        <v>0</v>
      </c>
      <c r="T115" s="82">
        <v>1</v>
      </c>
      <c r="U115" s="82">
        <v>0</v>
      </c>
      <c r="V115" s="83"/>
      <c r="W115" s="82">
        <v>0</v>
      </c>
      <c r="X115" s="82">
        <v>1</v>
      </c>
      <c r="Y115" s="84">
        <v>0</v>
      </c>
    </row>
    <row r="116" spans="1:25" customFormat="1" x14ac:dyDescent="0.3">
      <c r="A116" s="81" t="s">
        <v>672</v>
      </c>
      <c r="B116" s="81" t="s">
        <v>673</v>
      </c>
      <c r="C116" s="82">
        <v>1</v>
      </c>
      <c r="D116" s="82">
        <v>0</v>
      </c>
      <c r="E116" s="82">
        <v>2</v>
      </c>
      <c r="F116" s="83"/>
      <c r="G116" s="82">
        <v>0</v>
      </c>
      <c r="H116" s="82">
        <v>0</v>
      </c>
      <c r="I116" s="82">
        <v>0</v>
      </c>
      <c r="J116" s="83"/>
      <c r="K116" s="82">
        <v>5</v>
      </c>
      <c r="L116" s="82">
        <v>0</v>
      </c>
      <c r="M116" s="82">
        <v>2</v>
      </c>
      <c r="N116" s="83"/>
      <c r="O116" s="82">
        <v>1</v>
      </c>
      <c r="P116" s="82">
        <v>0</v>
      </c>
      <c r="Q116" s="82">
        <v>0</v>
      </c>
      <c r="R116" s="83"/>
      <c r="S116" s="82">
        <v>0</v>
      </c>
      <c r="T116" s="82">
        <v>0</v>
      </c>
      <c r="U116" s="82">
        <v>14</v>
      </c>
      <c r="V116" s="83"/>
      <c r="W116" s="82">
        <v>0</v>
      </c>
      <c r="X116" s="82">
        <v>0</v>
      </c>
      <c r="Y116" s="84">
        <v>0</v>
      </c>
    </row>
    <row r="117" spans="1:25" customFormat="1" x14ac:dyDescent="0.3">
      <c r="A117" s="81" t="s">
        <v>524</v>
      </c>
      <c r="B117" s="81" t="s">
        <v>53</v>
      </c>
      <c r="C117" s="82">
        <v>0</v>
      </c>
      <c r="D117" s="82">
        <v>0</v>
      </c>
      <c r="E117" s="82">
        <v>2</v>
      </c>
      <c r="F117" s="83"/>
      <c r="G117" s="82">
        <v>0</v>
      </c>
      <c r="H117" s="82">
        <v>0</v>
      </c>
      <c r="I117" s="82">
        <v>0</v>
      </c>
      <c r="J117" s="83"/>
      <c r="K117" s="82">
        <v>0</v>
      </c>
      <c r="L117" s="82">
        <v>0</v>
      </c>
      <c r="M117" s="82">
        <v>0</v>
      </c>
      <c r="N117" s="83"/>
      <c r="O117" s="149"/>
      <c r="P117" s="149"/>
      <c r="Q117" s="149"/>
      <c r="R117" s="83"/>
      <c r="S117" s="82">
        <v>0</v>
      </c>
      <c r="T117" s="82">
        <v>0</v>
      </c>
      <c r="U117" s="82">
        <v>0</v>
      </c>
      <c r="V117" s="83"/>
      <c r="W117" s="82">
        <v>1</v>
      </c>
      <c r="X117" s="82">
        <v>0</v>
      </c>
      <c r="Y117" s="84">
        <v>2</v>
      </c>
    </row>
    <row r="118" spans="1:25" customFormat="1" x14ac:dyDescent="0.3">
      <c r="A118" s="81" t="s">
        <v>525</v>
      </c>
      <c r="B118" s="81" t="s">
        <v>50</v>
      </c>
      <c r="C118" s="149"/>
      <c r="D118" s="149"/>
      <c r="E118" s="149"/>
      <c r="F118" s="83"/>
      <c r="G118" s="149"/>
      <c r="H118" s="149"/>
      <c r="I118" s="149"/>
      <c r="J118" s="83"/>
      <c r="K118" s="149"/>
      <c r="L118" s="149"/>
      <c r="M118" s="149"/>
      <c r="N118" s="83"/>
      <c r="O118" s="149"/>
      <c r="P118" s="149"/>
      <c r="Q118" s="149"/>
      <c r="R118" s="83"/>
      <c r="S118" s="149"/>
      <c r="T118" s="149"/>
      <c r="U118" s="149"/>
      <c r="V118" s="83"/>
      <c r="W118" s="149"/>
      <c r="X118" s="149"/>
      <c r="Y118" s="150"/>
    </row>
    <row r="119" spans="1:25" customFormat="1" x14ac:dyDescent="0.3">
      <c r="A119" s="81" t="s">
        <v>786</v>
      </c>
      <c r="B119" s="81" t="s">
        <v>59</v>
      </c>
      <c r="C119" s="149"/>
      <c r="D119" s="149"/>
      <c r="E119" s="149"/>
      <c r="F119" s="83"/>
      <c r="G119" s="149"/>
      <c r="H119" s="149"/>
      <c r="I119" s="149"/>
      <c r="J119" s="83"/>
      <c r="K119" s="82">
        <v>0</v>
      </c>
      <c r="L119" s="82">
        <v>0</v>
      </c>
      <c r="M119" s="82">
        <v>0</v>
      </c>
      <c r="N119" s="83"/>
      <c r="O119" s="149"/>
      <c r="P119" s="149"/>
      <c r="Q119" s="149"/>
      <c r="R119" s="83"/>
      <c r="S119" s="82">
        <v>0</v>
      </c>
      <c r="T119" s="82">
        <v>0</v>
      </c>
      <c r="U119" s="82">
        <v>0</v>
      </c>
      <c r="V119" s="83"/>
      <c r="W119" s="82">
        <v>0</v>
      </c>
      <c r="X119" s="82">
        <v>0</v>
      </c>
      <c r="Y119" s="84">
        <v>0</v>
      </c>
    </row>
    <row r="120" spans="1:25" customFormat="1" x14ac:dyDescent="0.3">
      <c r="A120" s="81" t="s">
        <v>674</v>
      </c>
      <c r="B120" s="81" t="s">
        <v>675</v>
      </c>
      <c r="C120" s="82">
        <v>0</v>
      </c>
      <c r="D120" s="82">
        <v>0</v>
      </c>
      <c r="E120" s="82">
        <v>2</v>
      </c>
      <c r="F120" s="83"/>
      <c r="G120" s="82">
        <v>0</v>
      </c>
      <c r="H120" s="82">
        <v>0</v>
      </c>
      <c r="I120" s="82">
        <v>0</v>
      </c>
      <c r="J120" s="83"/>
      <c r="K120" s="82">
        <v>2</v>
      </c>
      <c r="L120" s="82">
        <v>2</v>
      </c>
      <c r="M120" s="82">
        <v>0</v>
      </c>
      <c r="N120" s="83"/>
      <c r="O120" s="82">
        <v>2</v>
      </c>
      <c r="P120" s="82">
        <v>0</v>
      </c>
      <c r="Q120" s="82">
        <v>0</v>
      </c>
      <c r="R120" s="83"/>
      <c r="S120" s="82">
        <v>0</v>
      </c>
      <c r="T120" s="82">
        <v>0</v>
      </c>
      <c r="U120" s="82">
        <v>0</v>
      </c>
      <c r="V120" s="83"/>
      <c r="W120" s="82">
        <v>0</v>
      </c>
      <c r="X120" s="82">
        <v>0</v>
      </c>
      <c r="Y120" s="84">
        <v>0</v>
      </c>
    </row>
    <row r="121" spans="1:25" customFormat="1" x14ac:dyDescent="0.3">
      <c r="A121" s="81" t="s">
        <v>526</v>
      </c>
      <c r="B121" s="81" t="s">
        <v>278</v>
      </c>
      <c r="C121" s="149"/>
      <c r="D121" s="149"/>
      <c r="E121" s="149"/>
      <c r="F121" s="83"/>
      <c r="G121" s="149"/>
      <c r="H121" s="149"/>
      <c r="I121" s="149"/>
      <c r="J121" s="83"/>
      <c r="K121" s="82">
        <v>0</v>
      </c>
      <c r="L121" s="82">
        <v>1</v>
      </c>
      <c r="M121" s="82">
        <v>0</v>
      </c>
      <c r="N121" s="83"/>
      <c r="O121" s="82">
        <v>0</v>
      </c>
      <c r="P121" s="82">
        <v>0</v>
      </c>
      <c r="Q121" s="82">
        <v>2</v>
      </c>
      <c r="R121" s="83"/>
      <c r="S121" s="82">
        <v>0</v>
      </c>
      <c r="T121" s="82">
        <v>0</v>
      </c>
      <c r="U121" s="82">
        <v>0</v>
      </c>
      <c r="V121" s="83"/>
      <c r="W121" s="82">
        <v>0</v>
      </c>
      <c r="X121" s="82">
        <v>0</v>
      </c>
      <c r="Y121" s="84">
        <v>0</v>
      </c>
    </row>
    <row r="122" spans="1:25" customFormat="1" x14ac:dyDescent="0.3">
      <c r="A122" s="81" t="s">
        <v>679</v>
      </c>
      <c r="B122" s="81" t="s">
        <v>680</v>
      </c>
      <c r="C122" s="91"/>
      <c r="D122" s="91"/>
      <c r="E122" s="91"/>
      <c r="F122" s="83"/>
      <c r="G122" s="91"/>
      <c r="H122" s="91"/>
      <c r="I122" s="91"/>
      <c r="J122" s="83"/>
      <c r="K122" s="91"/>
      <c r="L122" s="91"/>
      <c r="M122" s="91"/>
      <c r="N122" s="83"/>
      <c r="O122" s="149"/>
      <c r="P122" s="149"/>
      <c r="Q122" s="149"/>
      <c r="R122" s="83"/>
      <c r="S122" s="149"/>
      <c r="T122" s="149"/>
      <c r="U122" s="149"/>
      <c r="V122" s="83"/>
      <c r="W122" s="149"/>
      <c r="X122" s="149"/>
      <c r="Y122" s="150"/>
    </row>
    <row r="123" spans="1:25" customFormat="1" x14ac:dyDescent="0.3">
      <c r="A123" s="81" t="s">
        <v>948</v>
      </c>
      <c r="B123" s="81" t="s">
        <v>949</v>
      </c>
      <c r="C123" s="91"/>
      <c r="D123" s="91"/>
      <c r="E123" s="91"/>
      <c r="F123" s="83"/>
      <c r="G123" s="82">
        <v>0</v>
      </c>
      <c r="H123" s="82">
        <v>0</v>
      </c>
      <c r="I123" s="82">
        <v>0</v>
      </c>
      <c r="J123" s="83"/>
      <c r="K123" s="82">
        <v>1</v>
      </c>
      <c r="L123" s="82">
        <v>2</v>
      </c>
      <c r="M123" s="82">
        <v>0</v>
      </c>
      <c r="N123" s="83"/>
      <c r="O123" s="82">
        <v>1</v>
      </c>
      <c r="P123" s="82">
        <v>0</v>
      </c>
      <c r="Q123" s="82">
        <v>0</v>
      </c>
      <c r="R123" s="83"/>
      <c r="S123" s="82">
        <v>1</v>
      </c>
      <c r="T123" s="82">
        <v>0</v>
      </c>
      <c r="U123" s="82">
        <v>0</v>
      </c>
      <c r="V123" s="83"/>
      <c r="W123" s="82">
        <v>0</v>
      </c>
      <c r="X123" s="82">
        <v>0</v>
      </c>
      <c r="Y123" s="84">
        <v>0</v>
      </c>
    </row>
    <row r="124" spans="1:25" customFormat="1" x14ac:dyDescent="0.3">
      <c r="A124" s="81" t="s">
        <v>943</v>
      </c>
      <c r="B124" s="81" t="s">
        <v>942</v>
      </c>
      <c r="C124" s="82">
        <v>0</v>
      </c>
      <c r="D124" s="82">
        <v>0</v>
      </c>
      <c r="E124" s="82">
        <v>0</v>
      </c>
      <c r="F124" s="83"/>
      <c r="G124" s="82">
        <v>0</v>
      </c>
      <c r="H124" s="82">
        <v>0</v>
      </c>
      <c r="I124" s="82">
        <v>0</v>
      </c>
      <c r="J124" s="83"/>
      <c r="K124" s="82">
        <v>1</v>
      </c>
      <c r="L124" s="82">
        <v>1</v>
      </c>
      <c r="M124" s="82">
        <v>0</v>
      </c>
      <c r="N124" s="83"/>
      <c r="O124" s="82">
        <v>0</v>
      </c>
      <c r="P124" s="82">
        <v>1</v>
      </c>
      <c r="Q124" s="82">
        <v>0</v>
      </c>
      <c r="R124" s="83"/>
      <c r="S124" s="82">
        <v>0</v>
      </c>
      <c r="T124" s="82">
        <v>0</v>
      </c>
      <c r="U124" s="82">
        <v>0</v>
      </c>
      <c r="V124" s="83"/>
      <c r="W124" s="82">
        <v>1</v>
      </c>
      <c r="X124" s="82">
        <v>0</v>
      </c>
      <c r="Y124" s="84">
        <v>0</v>
      </c>
    </row>
    <row r="125" spans="1:25" customFormat="1" x14ac:dyDescent="0.3">
      <c r="A125" s="81" t="s">
        <v>527</v>
      </c>
      <c r="B125" s="81" t="s">
        <v>56</v>
      </c>
      <c r="C125" s="91"/>
      <c r="D125" s="91"/>
      <c r="E125" s="91"/>
      <c r="F125" s="83"/>
      <c r="G125" s="91"/>
      <c r="H125" s="91"/>
      <c r="I125" s="91"/>
      <c r="J125" s="83"/>
      <c r="K125" s="91"/>
      <c r="L125" s="91"/>
      <c r="M125" s="91"/>
      <c r="N125" s="83"/>
      <c r="O125" s="149"/>
      <c r="P125" s="149"/>
      <c r="Q125" s="149"/>
      <c r="R125" s="83"/>
      <c r="S125" s="149"/>
      <c r="T125" s="149"/>
      <c r="U125" s="149"/>
      <c r="V125" s="83"/>
      <c r="W125" s="91"/>
      <c r="X125" s="91"/>
      <c r="Y125" s="152"/>
    </row>
    <row r="126" spans="1:25" customFormat="1" x14ac:dyDescent="0.3">
      <c r="A126" s="81" t="s">
        <v>678</v>
      </c>
      <c r="B126" s="81" t="s">
        <v>55</v>
      </c>
      <c r="C126" s="82">
        <v>0</v>
      </c>
      <c r="D126" s="82">
        <v>1</v>
      </c>
      <c r="E126" s="82">
        <v>0</v>
      </c>
      <c r="F126" s="83"/>
      <c r="G126" s="82">
        <v>0</v>
      </c>
      <c r="H126" s="82">
        <v>0</v>
      </c>
      <c r="I126" s="82">
        <v>0</v>
      </c>
      <c r="J126" s="83"/>
      <c r="K126" s="82">
        <v>0</v>
      </c>
      <c r="L126" s="82">
        <v>1</v>
      </c>
      <c r="M126" s="82">
        <v>0</v>
      </c>
      <c r="N126" s="83"/>
      <c r="O126" s="82">
        <v>0</v>
      </c>
      <c r="P126" s="82">
        <v>2</v>
      </c>
      <c r="Q126" s="82">
        <v>0</v>
      </c>
      <c r="R126" s="83"/>
      <c r="S126" s="82">
        <v>0</v>
      </c>
      <c r="T126" s="82">
        <v>0</v>
      </c>
      <c r="U126" s="82">
        <v>0</v>
      </c>
      <c r="V126" s="83"/>
      <c r="W126" s="82">
        <v>0</v>
      </c>
      <c r="X126" s="82">
        <v>0</v>
      </c>
      <c r="Y126" s="84">
        <v>0</v>
      </c>
    </row>
    <row r="127" spans="1:25" customFormat="1" x14ac:dyDescent="0.3">
      <c r="A127" s="81" t="s">
        <v>528</v>
      </c>
      <c r="B127" s="81" t="s">
        <v>279</v>
      </c>
      <c r="C127" s="149"/>
      <c r="D127" s="149"/>
      <c r="E127" s="149"/>
      <c r="F127" s="83"/>
      <c r="G127" s="149"/>
      <c r="H127" s="149"/>
      <c r="I127" s="149"/>
      <c r="J127" s="83"/>
      <c r="K127" s="149"/>
      <c r="L127" s="149"/>
      <c r="M127" s="149"/>
      <c r="N127" s="83"/>
      <c r="O127" s="149"/>
      <c r="P127" s="149"/>
      <c r="Q127" s="149"/>
      <c r="R127" s="83"/>
      <c r="S127" s="149"/>
      <c r="T127" s="149"/>
      <c r="U127" s="149"/>
      <c r="V127" s="83"/>
      <c r="W127" s="149"/>
      <c r="X127" s="149"/>
      <c r="Y127" s="150"/>
    </row>
    <row r="128" spans="1:25" customFormat="1" x14ac:dyDescent="0.3">
      <c r="A128" s="81" t="s">
        <v>529</v>
      </c>
      <c r="B128" s="81" t="s">
        <v>532</v>
      </c>
      <c r="C128" s="149"/>
      <c r="D128" s="149"/>
      <c r="E128" s="149"/>
      <c r="F128" s="83"/>
      <c r="G128" s="149"/>
      <c r="H128" s="149"/>
      <c r="I128" s="149"/>
      <c r="J128" s="83"/>
      <c r="K128" s="149"/>
      <c r="L128" s="149"/>
      <c r="M128" s="149"/>
      <c r="N128" s="83"/>
      <c r="O128" s="149"/>
      <c r="P128" s="149"/>
      <c r="Q128" s="149"/>
      <c r="R128" s="83"/>
      <c r="S128" s="149"/>
      <c r="T128" s="149"/>
      <c r="U128" s="149"/>
      <c r="V128" s="83"/>
      <c r="W128" s="149"/>
      <c r="X128" s="149"/>
      <c r="Y128" s="150"/>
    </row>
    <row r="129" spans="1:25" customFormat="1" x14ac:dyDescent="0.3">
      <c r="A129" s="81" t="s">
        <v>546</v>
      </c>
      <c r="B129" s="81" t="s">
        <v>531</v>
      </c>
      <c r="C129" s="82" t="s">
        <v>681</v>
      </c>
      <c r="D129" s="82">
        <v>0</v>
      </c>
      <c r="E129" s="82">
        <v>0</v>
      </c>
      <c r="F129" s="83"/>
      <c r="G129" s="82" t="s">
        <v>681</v>
      </c>
      <c r="H129" s="82">
        <v>0</v>
      </c>
      <c r="I129" s="82">
        <v>0</v>
      </c>
      <c r="J129" s="83"/>
      <c r="K129" s="149"/>
      <c r="L129" s="149"/>
      <c r="M129" s="149"/>
      <c r="N129" s="83"/>
      <c r="O129" s="149"/>
      <c r="P129" s="149"/>
      <c r="Q129" s="149"/>
      <c r="R129" s="83"/>
      <c r="S129" s="82" t="s">
        <v>681</v>
      </c>
      <c r="T129" s="82">
        <v>0</v>
      </c>
      <c r="U129" s="82">
        <v>0</v>
      </c>
      <c r="V129" s="83"/>
      <c r="W129" s="82" t="s">
        <v>681</v>
      </c>
      <c r="X129" s="82">
        <v>0</v>
      </c>
      <c r="Y129" s="84">
        <v>0</v>
      </c>
    </row>
    <row r="130" spans="1:25" customFormat="1" x14ac:dyDescent="0.3">
      <c r="A130" s="81" t="s">
        <v>778</v>
      </c>
      <c r="B130" s="81" t="s">
        <v>941</v>
      </c>
      <c r="C130" s="82" t="s">
        <v>681</v>
      </c>
      <c r="D130" s="82">
        <v>0</v>
      </c>
      <c r="E130" s="82">
        <v>0</v>
      </c>
      <c r="F130" s="83"/>
      <c r="G130" s="82" t="s">
        <v>681</v>
      </c>
      <c r="H130" s="82">
        <v>0</v>
      </c>
      <c r="I130" s="82">
        <v>0</v>
      </c>
      <c r="J130" s="83"/>
      <c r="K130" s="82" t="s">
        <v>681</v>
      </c>
      <c r="L130" s="82">
        <v>0</v>
      </c>
      <c r="M130" s="82">
        <v>0</v>
      </c>
      <c r="N130" s="83"/>
      <c r="O130" s="149"/>
      <c r="P130" s="149"/>
      <c r="Q130" s="149"/>
      <c r="R130" s="83"/>
      <c r="S130" s="149"/>
      <c r="T130" s="149"/>
      <c r="U130" s="149"/>
      <c r="V130" s="83"/>
      <c r="W130" s="82" t="s">
        <v>681</v>
      </c>
      <c r="X130" s="82">
        <v>0</v>
      </c>
      <c r="Y130" s="82">
        <v>0</v>
      </c>
    </row>
    <row r="131" spans="1:25" customFormat="1" x14ac:dyDescent="0.3">
      <c r="A131" s="81" t="s">
        <v>778</v>
      </c>
      <c r="B131" s="81" t="s">
        <v>779</v>
      </c>
      <c r="C131" s="149"/>
      <c r="D131" s="149"/>
      <c r="E131" s="149"/>
      <c r="F131" s="83"/>
      <c r="G131" s="149"/>
      <c r="H131" s="149"/>
      <c r="I131" s="149"/>
      <c r="J131" s="83"/>
      <c r="K131" s="149"/>
      <c r="L131" s="149"/>
      <c r="M131" s="149"/>
      <c r="N131" s="83"/>
      <c r="O131" s="149"/>
      <c r="P131" s="149"/>
      <c r="Q131" s="149"/>
      <c r="R131" s="83"/>
      <c r="S131" s="149"/>
      <c r="T131" s="149"/>
      <c r="U131" s="149"/>
      <c r="V131" s="83"/>
      <c r="W131" s="149"/>
      <c r="X131" s="149"/>
      <c r="Y131" s="150"/>
    </row>
    <row r="132" spans="1:25" customFormat="1" x14ac:dyDescent="0.3">
      <c r="A132" s="16"/>
      <c r="B132" s="16"/>
      <c r="C132" s="220">
        <f>SUM(C108:C131)</f>
        <v>4</v>
      </c>
      <c r="D132" s="220">
        <f>SUM(D108:D131)</f>
        <v>3</v>
      </c>
      <c r="E132" s="220">
        <f>SUM(E108:E131)</f>
        <v>10</v>
      </c>
      <c r="F132" s="71"/>
      <c r="G132" s="220">
        <f>SUM(G108:G131)</f>
        <v>3</v>
      </c>
      <c r="H132" s="220">
        <f>SUM(H108:H131)</f>
        <v>3</v>
      </c>
      <c r="I132" s="220">
        <f>SUM(I108:I131)</f>
        <v>0</v>
      </c>
      <c r="J132" s="71"/>
      <c r="K132" s="220">
        <f>SUM(K108:K131)</f>
        <v>14</v>
      </c>
      <c r="L132" s="220">
        <f>SUM(L108:L131)</f>
        <v>12</v>
      </c>
      <c r="M132" s="220">
        <f>SUM(M108:M131)</f>
        <v>2</v>
      </c>
      <c r="N132" s="71"/>
      <c r="O132" s="220">
        <f>SUM(O108:O131)</f>
        <v>7</v>
      </c>
      <c r="P132" s="220">
        <f>SUM(P108:P131)</f>
        <v>6</v>
      </c>
      <c r="Q132" s="220">
        <f>SUM(Q108:Q131)</f>
        <v>2</v>
      </c>
      <c r="R132" s="71"/>
      <c r="S132" s="220">
        <f>SUM(S108:S131)</f>
        <v>1</v>
      </c>
      <c r="T132" s="220">
        <f>SUM(T108:T131)</f>
        <v>1</v>
      </c>
      <c r="U132" s="220">
        <f>SUM(U108:U131)</f>
        <v>14</v>
      </c>
      <c r="V132" s="71"/>
      <c r="W132" s="220">
        <f>SUM(W108:W131)</f>
        <v>2</v>
      </c>
      <c r="X132" s="220">
        <f>SUM(X108:X131)</f>
        <v>2</v>
      </c>
      <c r="Y132" s="220">
        <f>SUM(Y108:Y131)</f>
        <v>2</v>
      </c>
    </row>
    <row r="133" spans="1:25" customFormat="1" x14ac:dyDescent="0.3">
      <c r="A133" s="16"/>
      <c r="B133" s="16"/>
      <c r="C133" s="8"/>
      <c r="D133" s="8"/>
      <c r="E133" s="8"/>
      <c r="F133" s="71"/>
      <c r="G133" s="8"/>
      <c r="H133" s="8"/>
      <c r="I133" s="8"/>
      <c r="J133" s="71"/>
      <c r="K133" s="8"/>
      <c r="L133" s="8"/>
      <c r="M133" s="8"/>
      <c r="N133" s="71"/>
      <c r="O133" s="8"/>
      <c r="P133" s="8"/>
      <c r="Q133" s="8"/>
      <c r="R133" s="71"/>
      <c r="S133" s="8"/>
      <c r="T133" s="8"/>
      <c r="U133" s="8"/>
      <c r="V133" s="71"/>
      <c r="W133" s="8"/>
      <c r="X133" s="8"/>
      <c r="Y133" s="8"/>
    </row>
    <row r="135" spans="1:25" customFormat="1" x14ac:dyDescent="0.3">
      <c r="A135" s="95"/>
      <c r="B135" s="96" t="s">
        <v>583</v>
      </c>
      <c r="C135" s="95"/>
      <c r="D135" s="95"/>
      <c r="E135" s="95"/>
      <c r="F135" s="66"/>
      <c r="J135" s="66"/>
      <c r="N135" s="66"/>
      <c r="R135" s="66"/>
      <c r="V135" s="66"/>
    </row>
    <row r="136" spans="1:25" customFormat="1" ht="15" thickBot="1" x14ac:dyDescent="0.35">
      <c r="A136" s="95"/>
      <c r="B136" s="95"/>
      <c r="C136" s="256" t="s">
        <v>533</v>
      </c>
      <c r="D136" s="256" t="s">
        <v>534</v>
      </c>
      <c r="E136" s="98" t="s">
        <v>535</v>
      </c>
      <c r="F136" s="66"/>
      <c r="G136" s="98" t="s">
        <v>610</v>
      </c>
      <c r="J136" s="66"/>
      <c r="N136" s="66"/>
      <c r="R136" s="66"/>
      <c r="V136" s="66"/>
    </row>
    <row r="137" spans="1:25" customFormat="1" x14ac:dyDescent="0.3">
      <c r="A137" s="257" t="s">
        <v>518</v>
      </c>
      <c r="B137" s="257" t="s">
        <v>48</v>
      </c>
      <c r="C137" s="100">
        <f>C24+G24+K24+S24+O24+W24+C66+G66+K66+O66+S66+W66+C108+G108+K108+O108+S108+W108</f>
        <v>5</v>
      </c>
      <c r="D137" s="100">
        <f>D24+H24+L24+T24+P24+X24+D66+H66+L66+P66+T66+X66+D108+H108+L108+P108+T108+X108</f>
        <v>2</v>
      </c>
      <c r="E137" s="100">
        <f>E24+I24+M24+U24+Q24+Y24+E66+I66+M66+Q66+U66+Y66+E108+I108+M108+Q108+U108+Y108</f>
        <v>2</v>
      </c>
      <c r="F137" s="66"/>
      <c r="G137" s="100">
        <f>C137+D137</f>
        <v>7</v>
      </c>
      <c r="J137" s="66"/>
      <c r="N137" s="66"/>
      <c r="R137" s="66"/>
      <c r="V137" s="66"/>
    </row>
    <row r="138" spans="1:25" customFormat="1" x14ac:dyDescent="0.3">
      <c r="A138" s="157" t="s">
        <v>519</v>
      </c>
      <c r="B138" s="157" t="s">
        <v>54</v>
      </c>
      <c r="C138" s="100">
        <f>C25+G25+K25+S25+O25+W25+C67+G67+K67+O67+S67+W67+C109+G109+K109+O109+S109+W109</f>
        <v>2</v>
      </c>
      <c r="D138" s="100">
        <f t="shared" ref="D138:E138" si="0">D25+H25+L25+T25+P25+X25+D67+H67+L67+P67+T67+X67+D109+H109+L109+P109+T109+X109</f>
        <v>0</v>
      </c>
      <c r="E138" s="100">
        <f t="shared" si="0"/>
        <v>0</v>
      </c>
      <c r="F138" s="66"/>
      <c r="G138" s="100">
        <f t="shared" ref="G138:G157" si="1">C138+D138</f>
        <v>2</v>
      </c>
      <c r="J138" s="66"/>
      <c r="N138" s="66"/>
      <c r="R138" s="66"/>
      <c r="V138" s="66"/>
    </row>
    <row r="139" spans="1:25" customFormat="1" x14ac:dyDescent="0.3">
      <c r="A139" s="157" t="s">
        <v>520</v>
      </c>
      <c r="B139" s="157" t="s">
        <v>530</v>
      </c>
      <c r="C139" s="100">
        <f t="shared" ref="C139:E152" si="2">C26+G26+K26+S26+O26+W26+C68+G68+K68+O68+S68+W68+C110+G110+K110+O110+S110+W110</f>
        <v>5</v>
      </c>
      <c r="D139" s="100">
        <f t="shared" si="2"/>
        <v>7</v>
      </c>
      <c r="E139" s="100">
        <f t="shared" si="2"/>
        <v>2</v>
      </c>
      <c r="F139" s="66"/>
      <c r="G139" s="100">
        <f t="shared" si="1"/>
        <v>12</v>
      </c>
      <c r="J139" s="66"/>
      <c r="N139" s="66"/>
      <c r="R139" s="66"/>
      <c r="V139" s="66"/>
    </row>
    <row r="140" spans="1:25" customFormat="1" x14ac:dyDescent="0.3">
      <c r="A140" s="157" t="s">
        <v>521</v>
      </c>
      <c r="B140" s="157" t="s">
        <v>181</v>
      </c>
      <c r="C140" s="100">
        <f t="shared" si="2"/>
        <v>0</v>
      </c>
      <c r="D140" s="100">
        <f t="shared" si="2"/>
        <v>0</v>
      </c>
      <c r="E140" s="100">
        <f t="shared" si="2"/>
        <v>0</v>
      </c>
      <c r="F140" s="66"/>
      <c r="G140" s="100">
        <f t="shared" si="1"/>
        <v>0</v>
      </c>
      <c r="J140" s="66"/>
      <c r="N140" s="66"/>
      <c r="R140" s="66"/>
      <c r="V140" s="66"/>
    </row>
    <row r="141" spans="1:25" customFormat="1" x14ac:dyDescent="0.3">
      <c r="A141" s="157" t="s">
        <v>944</v>
      </c>
      <c r="B141" s="157" t="s">
        <v>945</v>
      </c>
      <c r="C141" s="100">
        <f t="shared" si="2"/>
        <v>5</v>
      </c>
      <c r="D141" s="100">
        <f t="shared" si="2"/>
        <v>3</v>
      </c>
      <c r="E141" s="100">
        <f t="shared" si="2"/>
        <v>2</v>
      </c>
      <c r="F141" s="66"/>
      <c r="G141" s="100">
        <f t="shared" si="1"/>
        <v>8</v>
      </c>
      <c r="J141" s="66"/>
      <c r="N141" s="66"/>
      <c r="R141" s="66"/>
      <c r="V141" s="66"/>
    </row>
    <row r="142" spans="1:25" customFormat="1" x14ac:dyDescent="0.3">
      <c r="A142" s="157" t="s">
        <v>522</v>
      </c>
      <c r="B142" s="157" t="s">
        <v>185</v>
      </c>
      <c r="C142" s="100">
        <f t="shared" si="2"/>
        <v>8</v>
      </c>
      <c r="D142" s="100">
        <f t="shared" si="2"/>
        <v>28</v>
      </c>
      <c r="E142" s="100">
        <f t="shared" si="2"/>
        <v>4</v>
      </c>
      <c r="F142" s="66"/>
      <c r="G142" s="100">
        <f t="shared" si="1"/>
        <v>36</v>
      </c>
      <c r="J142" s="66"/>
      <c r="N142" s="66"/>
      <c r="R142" s="66"/>
      <c r="V142" s="66"/>
    </row>
    <row r="143" spans="1:25" customFormat="1" x14ac:dyDescent="0.3">
      <c r="A143" s="157" t="s">
        <v>523</v>
      </c>
      <c r="B143" s="157" t="s">
        <v>52</v>
      </c>
      <c r="C143" s="100">
        <f t="shared" si="2"/>
        <v>0</v>
      </c>
      <c r="D143" s="100">
        <f t="shared" si="2"/>
        <v>0</v>
      </c>
      <c r="E143" s="100">
        <f t="shared" si="2"/>
        <v>0</v>
      </c>
      <c r="F143" s="66"/>
      <c r="G143" s="100">
        <f t="shared" si="1"/>
        <v>0</v>
      </c>
      <c r="J143" s="66"/>
      <c r="N143" s="66"/>
      <c r="R143" s="66"/>
      <c r="V143" s="66"/>
    </row>
    <row r="144" spans="1:25" customFormat="1" x14ac:dyDescent="0.3">
      <c r="A144" s="157" t="s">
        <v>676</v>
      </c>
      <c r="B144" s="157" t="s">
        <v>677</v>
      </c>
      <c r="C144" s="100">
        <f t="shared" si="2"/>
        <v>6</v>
      </c>
      <c r="D144" s="100">
        <f t="shared" si="2"/>
        <v>4</v>
      </c>
      <c r="E144" s="100">
        <f t="shared" si="2"/>
        <v>4</v>
      </c>
      <c r="F144" s="66"/>
      <c r="G144" s="100">
        <f t="shared" si="1"/>
        <v>10</v>
      </c>
      <c r="J144" s="66"/>
      <c r="N144" s="66"/>
      <c r="R144" s="66"/>
      <c r="V144" s="66"/>
    </row>
    <row r="145" spans="1:9" customFormat="1" x14ac:dyDescent="0.3">
      <c r="A145" s="157" t="s">
        <v>672</v>
      </c>
      <c r="B145" s="157" t="s">
        <v>673</v>
      </c>
      <c r="C145" s="100">
        <f t="shared" si="2"/>
        <v>24</v>
      </c>
      <c r="D145" s="100">
        <f t="shared" si="2"/>
        <v>5</v>
      </c>
      <c r="E145" s="100">
        <f t="shared" si="2"/>
        <v>63</v>
      </c>
      <c r="F145" s="66"/>
      <c r="G145" s="100">
        <f t="shared" si="1"/>
        <v>29</v>
      </c>
    </row>
    <row r="146" spans="1:9" customFormat="1" x14ac:dyDescent="0.3">
      <c r="A146" s="157" t="s">
        <v>524</v>
      </c>
      <c r="B146" s="157" t="s">
        <v>53</v>
      </c>
      <c r="C146" s="100">
        <f t="shared" si="2"/>
        <v>2</v>
      </c>
      <c r="D146" s="100">
        <f t="shared" si="2"/>
        <v>1</v>
      </c>
      <c r="E146" s="100">
        <f t="shared" si="2"/>
        <v>6</v>
      </c>
      <c r="F146" s="66"/>
      <c r="G146" s="100">
        <f t="shared" si="1"/>
        <v>3</v>
      </c>
    </row>
    <row r="147" spans="1:9" customFormat="1" x14ac:dyDescent="0.3">
      <c r="A147" s="157" t="s">
        <v>525</v>
      </c>
      <c r="B147" s="157" t="s">
        <v>50</v>
      </c>
      <c r="C147" s="100">
        <f t="shared" si="2"/>
        <v>12</v>
      </c>
      <c r="D147" s="100">
        <f t="shared" si="2"/>
        <v>3</v>
      </c>
      <c r="E147" s="100">
        <f t="shared" si="2"/>
        <v>0</v>
      </c>
      <c r="F147" s="66"/>
      <c r="G147" s="100">
        <f t="shared" si="1"/>
        <v>15</v>
      </c>
    </row>
    <row r="148" spans="1:9" customFormat="1" x14ac:dyDescent="0.3">
      <c r="A148" s="157" t="s">
        <v>786</v>
      </c>
      <c r="B148" s="157" t="s">
        <v>59</v>
      </c>
      <c r="C148" s="100">
        <f t="shared" si="2"/>
        <v>0</v>
      </c>
      <c r="D148" s="100">
        <f t="shared" si="2"/>
        <v>0</v>
      </c>
      <c r="E148" s="100">
        <f t="shared" si="2"/>
        <v>2</v>
      </c>
      <c r="F148" s="66"/>
      <c r="G148" s="100">
        <f t="shared" si="1"/>
        <v>0</v>
      </c>
    </row>
    <row r="149" spans="1:9" customFormat="1" x14ac:dyDescent="0.3">
      <c r="A149" s="157" t="s">
        <v>674</v>
      </c>
      <c r="B149" s="157" t="s">
        <v>675</v>
      </c>
      <c r="C149" s="100">
        <f t="shared" si="2"/>
        <v>11</v>
      </c>
      <c r="D149" s="100">
        <f t="shared" si="2"/>
        <v>15</v>
      </c>
      <c r="E149" s="100">
        <f t="shared" si="2"/>
        <v>2</v>
      </c>
      <c r="F149" s="66"/>
      <c r="G149" s="100">
        <f t="shared" si="1"/>
        <v>26</v>
      </c>
    </row>
    <row r="150" spans="1:9" customFormat="1" x14ac:dyDescent="0.3">
      <c r="A150" s="157" t="s">
        <v>526</v>
      </c>
      <c r="B150" s="157" t="s">
        <v>278</v>
      </c>
      <c r="C150" s="100">
        <f t="shared" si="2"/>
        <v>1</v>
      </c>
      <c r="D150" s="100">
        <f t="shared" si="2"/>
        <v>6</v>
      </c>
      <c r="E150" s="100">
        <f t="shared" si="2"/>
        <v>4</v>
      </c>
      <c r="F150" s="66"/>
      <c r="G150" s="100">
        <f t="shared" si="1"/>
        <v>7</v>
      </c>
    </row>
    <row r="151" spans="1:9" customFormat="1" x14ac:dyDescent="0.3">
      <c r="A151" s="157" t="s">
        <v>679</v>
      </c>
      <c r="B151" s="157" t="s">
        <v>680</v>
      </c>
      <c r="C151" s="100">
        <f t="shared" si="2"/>
        <v>0</v>
      </c>
      <c r="D151" s="100">
        <f t="shared" si="2"/>
        <v>0</v>
      </c>
      <c r="E151" s="100">
        <f t="shared" si="2"/>
        <v>0</v>
      </c>
      <c r="F151" s="66"/>
      <c r="G151" s="100">
        <f t="shared" si="1"/>
        <v>0</v>
      </c>
    </row>
    <row r="152" spans="1:9" customFormat="1" x14ac:dyDescent="0.3">
      <c r="A152" s="157" t="s">
        <v>948</v>
      </c>
      <c r="B152" s="157" t="s">
        <v>949</v>
      </c>
      <c r="C152" s="100">
        <f>C39+G39+K39+S39+O39+W39+C81+G81+K81+O81+S81+W81+C123+G123+K123+O123+S123+W123</f>
        <v>5</v>
      </c>
      <c r="D152" s="100">
        <f t="shared" si="2"/>
        <v>2</v>
      </c>
      <c r="E152" s="100">
        <f t="shared" si="2"/>
        <v>0</v>
      </c>
      <c r="F152" s="66"/>
      <c r="G152" s="100">
        <f t="shared" si="1"/>
        <v>7</v>
      </c>
    </row>
    <row r="153" spans="1:9" customFormat="1" x14ac:dyDescent="0.3">
      <c r="A153" s="157" t="s">
        <v>943</v>
      </c>
      <c r="B153" s="157" t="s">
        <v>942</v>
      </c>
      <c r="C153" s="100">
        <f t="shared" ref="C153:E160" si="3">C40+G40+K40+S40+O40+W40+C82+G82+K82+O82+S82+W82+C124+G124+K124+O124+S124+W124</f>
        <v>8</v>
      </c>
      <c r="D153" s="100">
        <f t="shared" si="3"/>
        <v>3</v>
      </c>
      <c r="E153" s="100">
        <f t="shared" si="3"/>
        <v>0</v>
      </c>
      <c r="F153" s="66"/>
      <c r="G153" s="100">
        <f t="shared" si="1"/>
        <v>11</v>
      </c>
    </row>
    <row r="154" spans="1:9" customFormat="1" x14ac:dyDescent="0.3">
      <c r="A154" s="157" t="s">
        <v>527</v>
      </c>
      <c r="B154" s="157" t="s">
        <v>56</v>
      </c>
      <c r="C154" s="100">
        <f t="shared" si="3"/>
        <v>0</v>
      </c>
      <c r="D154" s="100">
        <f t="shared" si="3"/>
        <v>0</v>
      </c>
      <c r="E154" s="100">
        <f t="shared" si="3"/>
        <v>0</v>
      </c>
      <c r="F154" s="66"/>
      <c r="G154" s="100">
        <f t="shared" si="1"/>
        <v>0</v>
      </c>
    </row>
    <row r="155" spans="1:9" customFormat="1" x14ac:dyDescent="0.3">
      <c r="A155" s="157" t="s">
        <v>678</v>
      </c>
      <c r="B155" s="157" t="s">
        <v>55</v>
      </c>
      <c r="C155" s="100">
        <f t="shared" si="3"/>
        <v>3</v>
      </c>
      <c r="D155" s="100">
        <f t="shared" si="3"/>
        <v>8</v>
      </c>
      <c r="E155" s="100">
        <f t="shared" si="3"/>
        <v>0</v>
      </c>
      <c r="F155" s="66"/>
      <c r="G155" s="100">
        <f t="shared" si="1"/>
        <v>11</v>
      </c>
    </row>
    <row r="156" spans="1:9" customFormat="1" x14ac:dyDescent="0.3">
      <c r="A156" s="157" t="s">
        <v>528</v>
      </c>
      <c r="B156" s="157" t="s">
        <v>279</v>
      </c>
      <c r="C156" s="100">
        <f t="shared" si="3"/>
        <v>4</v>
      </c>
      <c r="D156" s="100">
        <f t="shared" si="3"/>
        <v>1</v>
      </c>
      <c r="E156" s="100">
        <f t="shared" si="3"/>
        <v>0</v>
      </c>
      <c r="F156" s="66"/>
      <c r="G156" s="100">
        <f t="shared" si="1"/>
        <v>5</v>
      </c>
    </row>
    <row r="157" spans="1:9" customFormat="1" x14ac:dyDescent="0.3">
      <c r="A157" s="157" t="s">
        <v>529</v>
      </c>
      <c r="B157" s="157" t="s">
        <v>532</v>
      </c>
      <c r="C157" s="100">
        <f t="shared" si="3"/>
        <v>0</v>
      </c>
      <c r="D157" s="100">
        <f t="shared" si="3"/>
        <v>0</v>
      </c>
      <c r="E157" s="100">
        <f t="shared" si="3"/>
        <v>0</v>
      </c>
      <c r="F157" s="66"/>
      <c r="G157" s="100">
        <f t="shared" si="1"/>
        <v>0</v>
      </c>
    </row>
    <row r="158" spans="1:9" customFormat="1" x14ac:dyDescent="0.3">
      <c r="A158" s="157" t="s">
        <v>546</v>
      </c>
      <c r="B158" s="157" t="s">
        <v>531</v>
      </c>
      <c r="C158" s="100" t="s">
        <v>681</v>
      </c>
      <c r="D158" s="100">
        <f t="shared" si="3"/>
        <v>0</v>
      </c>
      <c r="E158" s="100">
        <f t="shared" si="3"/>
        <v>0</v>
      </c>
      <c r="F158" s="66"/>
      <c r="G158" s="100">
        <f>D158</f>
        <v>0</v>
      </c>
    </row>
    <row r="159" spans="1:9" customFormat="1" x14ac:dyDescent="0.3">
      <c r="A159" s="157" t="s">
        <v>778</v>
      </c>
      <c r="B159" s="157" t="s">
        <v>946</v>
      </c>
      <c r="C159" s="100" t="s">
        <v>681</v>
      </c>
      <c r="D159" s="100">
        <f t="shared" si="3"/>
        <v>1</v>
      </c>
      <c r="E159" s="100">
        <f t="shared" si="3"/>
        <v>0</v>
      </c>
      <c r="F159" s="66"/>
      <c r="G159" s="100">
        <f t="shared" ref="G159:G160" si="4">D159</f>
        <v>1</v>
      </c>
    </row>
    <row r="160" spans="1:9" customFormat="1" x14ac:dyDescent="0.3">
      <c r="A160" s="157" t="s">
        <v>778</v>
      </c>
      <c r="B160" s="157" t="s">
        <v>818</v>
      </c>
      <c r="C160" s="161" t="s">
        <v>681</v>
      </c>
      <c r="D160" s="100">
        <f t="shared" si="3"/>
        <v>0</v>
      </c>
      <c r="E160" s="100">
        <f t="shared" si="3"/>
        <v>0</v>
      </c>
      <c r="F160" s="159"/>
      <c r="G160" s="100">
        <f t="shared" si="4"/>
        <v>0</v>
      </c>
      <c r="H160" s="158"/>
      <c r="I160" s="158"/>
    </row>
    <row r="161" spans="1:7" customFormat="1" x14ac:dyDescent="0.3">
      <c r="C161" s="223">
        <f>SUM(C137:C160)</f>
        <v>101</v>
      </c>
      <c r="D161" s="224">
        <f>SUM(D137:D160)</f>
        <v>89</v>
      </c>
      <c r="E161" s="224">
        <f>SUM(E137:E160)</f>
        <v>91</v>
      </c>
      <c r="F161" s="66"/>
      <c r="G161" s="224">
        <f>SUM(G137:G160)</f>
        <v>190</v>
      </c>
    </row>
    <row r="163" spans="1:7" customFormat="1" x14ac:dyDescent="0.3">
      <c r="F163" s="66"/>
    </row>
    <row r="164" spans="1:7" customFormat="1" x14ac:dyDescent="0.3">
      <c r="F164" s="66"/>
    </row>
    <row r="165" spans="1:7" customFormat="1" x14ac:dyDescent="0.3">
      <c r="A165" s="157"/>
      <c r="B165" s="157"/>
      <c r="F165" s="66"/>
    </row>
    <row r="166" spans="1:7" customFormat="1" x14ac:dyDescent="0.3">
      <c r="A166" s="157"/>
      <c r="B166" s="157"/>
      <c r="F166" s="66"/>
    </row>
    <row r="167" spans="1:7" customFormat="1" x14ac:dyDescent="0.3">
      <c r="A167" s="157"/>
      <c r="B167" s="157"/>
      <c r="F167" s="66"/>
    </row>
    <row r="168" spans="1:7" customFormat="1" x14ac:dyDescent="0.3">
      <c r="A168" s="157"/>
      <c r="B168" s="157"/>
      <c r="F168" s="66"/>
    </row>
    <row r="169" spans="1:7" customFormat="1" x14ac:dyDescent="0.3">
      <c r="A169" s="157"/>
      <c r="B169" s="157"/>
      <c r="F169" s="66"/>
    </row>
    <row r="170" spans="1:7" customFormat="1" x14ac:dyDescent="0.3">
      <c r="A170" s="157"/>
      <c r="B170" s="157"/>
      <c r="F170" s="66"/>
    </row>
    <row r="171" spans="1:7" customFormat="1" x14ac:dyDescent="0.3">
      <c r="A171" s="157"/>
      <c r="B171" s="157"/>
      <c r="F171" s="66"/>
    </row>
    <row r="172" spans="1:7" customFormat="1" x14ac:dyDescent="0.3">
      <c r="A172" s="157"/>
      <c r="B172" s="157"/>
      <c r="F172" s="66"/>
    </row>
    <row r="173" spans="1:7" customFormat="1" x14ac:dyDescent="0.3">
      <c r="A173" s="157"/>
      <c r="B173" s="157"/>
      <c r="F173" s="66"/>
    </row>
    <row r="174" spans="1:7" customFormat="1" x14ac:dyDescent="0.3">
      <c r="A174" s="157"/>
      <c r="B174" s="157"/>
      <c r="F174" s="66"/>
    </row>
    <row r="175" spans="1:7" customFormat="1" x14ac:dyDescent="0.3">
      <c r="A175" s="157"/>
      <c r="B175" s="157"/>
      <c r="F175" s="66"/>
    </row>
    <row r="176" spans="1:7" customFormat="1" x14ac:dyDescent="0.3">
      <c r="A176" s="157"/>
      <c r="B176" s="157"/>
      <c r="F176" s="66"/>
    </row>
    <row r="177" spans="1:2" customFormat="1" x14ac:dyDescent="0.3">
      <c r="A177" s="157"/>
      <c r="B177" s="157"/>
    </row>
    <row r="178" spans="1:2" customFormat="1" x14ac:dyDescent="0.3">
      <c r="A178" s="157"/>
      <c r="B178" s="157"/>
    </row>
    <row r="179" spans="1:2" customFormat="1" x14ac:dyDescent="0.3">
      <c r="A179" s="157"/>
      <c r="B179" s="157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191"/>
  <sheetViews>
    <sheetView workbookViewId="0">
      <selection activeCell="AC20" sqref="AC20"/>
    </sheetView>
  </sheetViews>
  <sheetFormatPr defaultRowHeight="14.4" x14ac:dyDescent="0.3"/>
  <cols>
    <col min="1" max="1" width="4" customWidth="1"/>
    <col min="2" max="2" width="21.33203125" customWidth="1"/>
    <col min="3" max="5" width="7.109375" customWidth="1"/>
    <col min="6" max="6" width="0.6640625" style="66" customWidth="1"/>
    <col min="7" max="9" width="7.109375" customWidth="1"/>
    <col min="10" max="10" width="0.6640625" style="66" customWidth="1"/>
    <col min="11" max="13" width="7.109375" customWidth="1"/>
    <col min="14" max="14" width="0.6640625" style="66" customWidth="1"/>
    <col min="15" max="17" width="7.109375" customWidth="1"/>
    <col min="18" max="18" width="0.6640625" style="66" customWidth="1"/>
    <col min="19" max="21" width="7.109375" customWidth="1"/>
    <col min="22" max="22" width="0.6640625" style="66" customWidth="1"/>
    <col min="23" max="25" width="7.109375" customWidth="1"/>
    <col min="26" max="26" width="0.6640625" style="66" customWidth="1"/>
  </cols>
  <sheetData>
    <row r="1" spans="1:26" ht="21" x14ac:dyDescent="0.4">
      <c r="A1" s="94" t="s">
        <v>0</v>
      </c>
      <c r="B1" s="94"/>
      <c r="F1"/>
      <c r="J1"/>
      <c r="N1"/>
      <c r="R1"/>
      <c r="V1"/>
      <c r="Z1"/>
    </row>
    <row r="2" spans="1:26" ht="21" x14ac:dyDescent="0.4">
      <c r="A2" s="148" t="s">
        <v>988</v>
      </c>
      <c r="B2" s="94"/>
      <c r="F2"/>
      <c r="J2"/>
      <c r="N2"/>
      <c r="R2"/>
      <c r="V2"/>
      <c r="Z2"/>
    </row>
    <row r="3" spans="1:26" x14ac:dyDescent="0.3">
      <c r="F3"/>
      <c r="J3"/>
      <c r="N3"/>
      <c r="R3"/>
      <c r="V3"/>
      <c r="Z3"/>
    </row>
    <row r="4" spans="1:26" x14ac:dyDescent="0.3">
      <c r="B4" s="16" t="s">
        <v>516</v>
      </c>
      <c r="C4" s="116">
        <v>18</v>
      </c>
      <c r="E4" s="205" t="s">
        <v>1073</v>
      </c>
      <c r="F4"/>
      <c r="H4" s="116">
        <f>18*3</f>
        <v>54</v>
      </c>
      <c r="I4" t="s">
        <v>1074</v>
      </c>
      <c r="J4"/>
      <c r="M4" t="s">
        <v>885</v>
      </c>
      <c r="N4"/>
      <c r="R4"/>
      <c r="V4"/>
      <c r="Z4"/>
    </row>
    <row r="5" spans="1:26" x14ac:dyDescent="0.3">
      <c r="B5" s="16" t="s">
        <v>135</v>
      </c>
      <c r="C5" s="116">
        <v>9</v>
      </c>
      <c r="E5" s="16" t="s">
        <v>553</v>
      </c>
      <c r="F5"/>
      <c r="H5" s="116">
        <v>20</v>
      </c>
      <c r="J5"/>
      <c r="M5" t="s">
        <v>1022</v>
      </c>
      <c r="N5"/>
      <c r="R5"/>
      <c r="V5"/>
      <c r="Z5"/>
    </row>
    <row r="6" spans="1:26" x14ac:dyDescent="0.3">
      <c r="B6" s="16" t="s">
        <v>137</v>
      </c>
      <c r="C6" s="116">
        <v>1</v>
      </c>
      <c r="E6" s="16" t="s">
        <v>554</v>
      </c>
      <c r="F6"/>
      <c r="H6" s="116">
        <v>7</v>
      </c>
      <c r="J6"/>
      <c r="N6"/>
      <c r="O6" s="87"/>
      <c r="R6"/>
      <c r="V6"/>
      <c r="Z6"/>
    </row>
    <row r="7" spans="1:26" x14ac:dyDescent="0.3">
      <c r="B7" s="16" t="s">
        <v>136</v>
      </c>
      <c r="C7" s="116">
        <v>8</v>
      </c>
      <c r="E7" s="16" t="s">
        <v>555</v>
      </c>
      <c r="F7"/>
      <c r="H7" s="116">
        <v>24</v>
      </c>
      <c r="J7"/>
      <c r="N7"/>
      <c r="R7"/>
      <c r="V7"/>
      <c r="Z7"/>
    </row>
    <row r="8" spans="1:26" ht="15" thickBot="1" x14ac:dyDescent="0.35">
      <c r="F8"/>
      <c r="J8"/>
      <c r="N8"/>
      <c r="R8"/>
      <c r="V8"/>
      <c r="Z8"/>
    </row>
    <row r="9" spans="1:26" s="16" customFormat="1" x14ac:dyDescent="0.3">
      <c r="B9" s="16" t="s">
        <v>547</v>
      </c>
      <c r="C9" s="76">
        <v>1</v>
      </c>
      <c r="D9" s="76"/>
      <c r="E9" s="76"/>
      <c r="F9" s="77"/>
      <c r="G9" s="76">
        <v>2</v>
      </c>
      <c r="H9" s="76"/>
      <c r="I9" s="76"/>
      <c r="J9" s="77"/>
      <c r="K9" s="76">
        <v>3</v>
      </c>
      <c r="L9" s="76"/>
      <c r="M9" s="76"/>
      <c r="N9" s="77"/>
      <c r="O9" s="76">
        <v>4</v>
      </c>
      <c r="P9" s="76"/>
      <c r="Q9" s="76"/>
      <c r="R9" s="77"/>
      <c r="S9" s="76">
        <v>5</v>
      </c>
      <c r="T9" s="76"/>
      <c r="U9" s="76"/>
      <c r="V9" s="77"/>
      <c r="W9" s="76">
        <v>6</v>
      </c>
      <c r="Z9" s="75"/>
    </row>
    <row r="10" spans="1:26" s="16" customFormat="1" x14ac:dyDescent="0.3">
      <c r="C10" s="16" t="s">
        <v>1014</v>
      </c>
      <c r="F10" s="67"/>
      <c r="G10" s="16" t="s">
        <v>1017</v>
      </c>
      <c r="J10" s="67"/>
      <c r="K10" s="16" t="s">
        <v>1021</v>
      </c>
      <c r="N10" s="67"/>
      <c r="O10" s="16" t="s">
        <v>1025</v>
      </c>
      <c r="R10" s="67"/>
      <c r="S10" s="16" t="s">
        <v>157</v>
      </c>
      <c r="V10" s="67"/>
      <c r="W10" s="16" t="s">
        <v>1029</v>
      </c>
      <c r="Z10" s="67"/>
    </row>
    <row r="11" spans="1:26" s="16" customFormat="1" x14ac:dyDescent="0.3">
      <c r="C11" s="155" t="s">
        <v>1015</v>
      </c>
      <c r="F11" s="67"/>
      <c r="G11" s="155" t="s">
        <v>1018</v>
      </c>
      <c r="J11" s="67"/>
      <c r="K11" s="155" t="s">
        <v>1018</v>
      </c>
      <c r="N11" s="67"/>
      <c r="O11" s="155" t="s">
        <v>1023</v>
      </c>
      <c r="R11" s="67"/>
      <c r="S11" s="155" t="s">
        <v>1026</v>
      </c>
      <c r="V11" s="67"/>
      <c r="W11" s="155" t="s">
        <v>1026</v>
      </c>
      <c r="Z11" s="67"/>
    </row>
    <row r="12" spans="1:26" s="16" customFormat="1" x14ac:dyDescent="0.3">
      <c r="C12" s="16" t="s">
        <v>796</v>
      </c>
      <c r="F12" s="67"/>
      <c r="G12" s="16" t="s">
        <v>150</v>
      </c>
      <c r="J12" s="67"/>
      <c r="K12" s="16" t="s">
        <v>150</v>
      </c>
      <c r="N12" s="67"/>
      <c r="O12" s="16" t="s">
        <v>242</v>
      </c>
      <c r="R12" s="67"/>
      <c r="S12" s="16" t="s">
        <v>1027</v>
      </c>
      <c r="V12" s="67"/>
      <c r="W12" s="16" t="s">
        <v>1027</v>
      </c>
      <c r="Z12" s="67"/>
    </row>
    <row r="13" spans="1:26" s="1" customFormat="1" x14ac:dyDescent="0.3">
      <c r="C13" s="162" t="s">
        <v>1016</v>
      </c>
      <c r="D13" s="85" t="s">
        <v>1071</v>
      </c>
      <c r="F13" s="68"/>
      <c r="G13" s="162" t="s">
        <v>903</v>
      </c>
      <c r="H13" s="85" t="s">
        <v>1020</v>
      </c>
      <c r="J13" s="68"/>
      <c r="K13" s="162" t="s">
        <v>569</v>
      </c>
      <c r="L13" s="225" t="s">
        <v>1072</v>
      </c>
      <c r="N13" s="68"/>
      <c r="O13" s="165" t="s">
        <v>161</v>
      </c>
      <c r="P13" s="1" t="s">
        <v>1024</v>
      </c>
      <c r="R13" s="68"/>
      <c r="S13" s="164" t="s">
        <v>161</v>
      </c>
      <c r="T13" s="1" t="s">
        <v>1028</v>
      </c>
      <c r="V13" s="68"/>
      <c r="W13" s="162" t="s">
        <v>577</v>
      </c>
      <c r="X13" s="1" t="s">
        <v>1030</v>
      </c>
      <c r="Z13" s="68"/>
    </row>
    <row r="15" spans="1:26" x14ac:dyDescent="0.3">
      <c r="C15" t="s">
        <v>537</v>
      </c>
      <c r="G15" t="s">
        <v>537</v>
      </c>
      <c r="K15" t="s">
        <v>537</v>
      </c>
      <c r="O15" t="s">
        <v>537</v>
      </c>
      <c r="S15" t="s">
        <v>537</v>
      </c>
      <c r="W15" t="s">
        <v>537</v>
      </c>
    </row>
    <row r="16" spans="1:26" x14ac:dyDescent="0.3">
      <c r="C16" s="116" t="s">
        <v>107</v>
      </c>
      <c r="G16" t="s">
        <v>501</v>
      </c>
      <c r="K16" t="s">
        <v>1019</v>
      </c>
      <c r="O16" t="s">
        <v>107</v>
      </c>
      <c r="S16" s="116" t="s">
        <v>501</v>
      </c>
      <c r="W16" s="116" t="s">
        <v>805</v>
      </c>
      <c r="Y16" t="s">
        <v>556</v>
      </c>
    </row>
    <row r="18" spans="1:37" x14ac:dyDescent="0.3">
      <c r="C18" t="s">
        <v>543</v>
      </c>
      <c r="G18" t="s">
        <v>543</v>
      </c>
      <c r="K18" t="s">
        <v>543</v>
      </c>
      <c r="O18" t="s">
        <v>543</v>
      </c>
      <c r="S18" t="s">
        <v>543</v>
      </c>
      <c r="W18" t="s">
        <v>543</v>
      </c>
    </row>
    <row r="19" spans="1:37" x14ac:dyDescent="0.3">
      <c r="C19" s="116" t="s">
        <v>107</v>
      </c>
      <c r="G19" t="s">
        <v>501</v>
      </c>
      <c r="K19" s="116" t="s">
        <v>1019</v>
      </c>
      <c r="O19" t="s">
        <v>107</v>
      </c>
      <c r="S19" t="s">
        <v>107</v>
      </c>
      <c r="U19" t="s">
        <v>540</v>
      </c>
      <c r="W19" s="116" t="s">
        <v>501</v>
      </c>
      <c r="Y19" t="s">
        <v>540</v>
      </c>
    </row>
    <row r="22" spans="1:37" s="60" customFormat="1" ht="15" thickBot="1" x14ac:dyDescent="0.35">
      <c r="A22" s="60" t="s">
        <v>517</v>
      </c>
      <c r="C22" s="61" t="s">
        <v>533</v>
      </c>
      <c r="D22" s="61" t="s">
        <v>534</v>
      </c>
      <c r="E22" s="61" t="s">
        <v>535</v>
      </c>
      <c r="F22" s="69"/>
      <c r="G22" s="61" t="s">
        <v>533</v>
      </c>
      <c r="H22" s="61" t="s">
        <v>534</v>
      </c>
      <c r="I22" s="61" t="s">
        <v>535</v>
      </c>
      <c r="J22" s="69"/>
      <c r="K22" s="61" t="s">
        <v>533</v>
      </c>
      <c r="L22" s="61" t="s">
        <v>534</v>
      </c>
      <c r="M22" s="61" t="s">
        <v>535</v>
      </c>
      <c r="N22" s="69"/>
      <c r="O22" s="61" t="s">
        <v>533</v>
      </c>
      <c r="P22" s="61" t="s">
        <v>534</v>
      </c>
      <c r="Q22" s="61" t="s">
        <v>535</v>
      </c>
      <c r="R22" s="69"/>
      <c r="S22" s="61" t="s">
        <v>533</v>
      </c>
      <c r="T22" s="61" t="s">
        <v>534</v>
      </c>
      <c r="U22" s="61" t="s">
        <v>535</v>
      </c>
      <c r="V22" s="69"/>
      <c r="W22" s="61" t="s">
        <v>533</v>
      </c>
      <c r="X22" s="61" t="s">
        <v>534</v>
      </c>
      <c r="Y22" s="61" t="s">
        <v>535</v>
      </c>
      <c r="Z22" s="67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s="62" customFormat="1" ht="3.75" customHeight="1" thickBot="1" x14ac:dyDescent="0.35">
      <c r="C23" s="63"/>
      <c r="D23" s="63"/>
      <c r="E23" s="63"/>
      <c r="F23" s="64"/>
      <c r="G23" s="63"/>
      <c r="H23" s="63"/>
      <c r="I23" s="63"/>
      <c r="J23" s="64"/>
      <c r="K23" s="63"/>
      <c r="L23" s="63"/>
      <c r="M23" s="63"/>
      <c r="N23" s="64"/>
      <c r="O23" s="63"/>
      <c r="P23" s="63"/>
      <c r="Q23" s="63"/>
      <c r="R23" s="64"/>
      <c r="S23" s="63"/>
      <c r="T23" s="63"/>
      <c r="U23" s="63"/>
      <c r="V23" s="64"/>
      <c r="W23" s="63"/>
      <c r="X23" s="63"/>
      <c r="Y23" s="63"/>
      <c r="Z23" s="65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</row>
    <row r="24" spans="1:37" s="34" customFormat="1" x14ac:dyDescent="0.3">
      <c r="A24" s="78" t="s">
        <v>518</v>
      </c>
      <c r="B24" s="78" t="s">
        <v>48</v>
      </c>
      <c r="C24" s="221"/>
      <c r="D24" s="221"/>
      <c r="E24" s="221"/>
      <c r="F24" s="80"/>
      <c r="G24" s="221"/>
      <c r="H24" s="221"/>
      <c r="I24" s="221"/>
      <c r="J24" s="80"/>
      <c r="K24" s="149"/>
      <c r="L24" s="149"/>
      <c r="M24" s="149"/>
      <c r="N24" s="80"/>
      <c r="O24" s="221"/>
      <c r="P24" s="221"/>
      <c r="Q24" s="221"/>
      <c r="R24" s="80"/>
      <c r="S24" s="149"/>
      <c r="T24" s="149"/>
      <c r="U24" s="149"/>
      <c r="V24" s="80"/>
      <c r="W24" s="149"/>
      <c r="X24" s="149"/>
      <c r="Y24" s="149"/>
      <c r="Z24" s="72"/>
      <c r="AA24"/>
      <c r="AB24"/>
      <c r="AC24"/>
      <c r="AD24"/>
      <c r="AE24"/>
      <c r="AF24"/>
      <c r="AG24"/>
      <c r="AH24"/>
      <c r="AI24"/>
      <c r="AJ24"/>
      <c r="AK24"/>
    </row>
    <row r="25" spans="1:37" x14ac:dyDescent="0.3">
      <c r="A25" s="81" t="s">
        <v>519</v>
      </c>
      <c r="B25" s="81" t="s">
        <v>54</v>
      </c>
      <c r="C25" s="82">
        <v>0</v>
      </c>
      <c r="D25" s="82">
        <v>0</v>
      </c>
      <c r="E25" s="82">
        <v>0</v>
      </c>
      <c r="F25" s="83"/>
      <c r="G25" s="149"/>
      <c r="H25" s="149"/>
      <c r="I25" s="149"/>
      <c r="J25" s="83"/>
      <c r="K25" s="149"/>
      <c r="L25" s="149"/>
      <c r="M25" s="149"/>
      <c r="N25" s="83"/>
      <c r="O25" s="149"/>
      <c r="P25" s="149"/>
      <c r="Q25" s="149"/>
      <c r="R25" s="83"/>
      <c r="S25" s="149"/>
      <c r="T25" s="149"/>
      <c r="U25" s="149"/>
      <c r="V25" s="83"/>
      <c r="W25" s="149"/>
      <c r="X25" s="149"/>
      <c r="Y25" s="149"/>
    </row>
    <row r="26" spans="1:37" x14ac:dyDescent="0.3">
      <c r="A26" s="81" t="s">
        <v>520</v>
      </c>
      <c r="B26" s="81" t="s">
        <v>530</v>
      </c>
      <c r="C26" s="82">
        <v>0</v>
      </c>
      <c r="D26" s="82">
        <v>0</v>
      </c>
      <c r="E26" s="82">
        <v>0</v>
      </c>
      <c r="F26" s="83"/>
      <c r="G26" s="82">
        <v>1</v>
      </c>
      <c r="H26" s="82">
        <v>0</v>
      </c>
      <c r="I26" s="82">
        <v>0</v>
      </c>
      <c r="J26" s="83"/>
      <c r="K26" s="149"/>
      <c r="L26" s="149"/>
      <c r="M26" s="149"/>
      <c r="N26" s="83"/>
      <c r="O26" s="82">
        <v>0</v>
      </c>
      <c r="P26" s="82">
        <v>1</v>
      </c>
      <c r="Q26" s="82">
        <v>0</v>
      </c>
      <c r="R26" s="83"/>
      <c r="S26" s="82">
        <v>0</v>
      </c>
      <c r="T26" s="82">
        <v>0</v>
      </c>
      <c r="U26" s="82">
        <v>2</v>
      </c>
      <c r="V26" s="83"/>
      <c r="W26" s="82">
        <v>0</v>
      </c>
      <c r="X26" s="82">
        <v>0</v>
      </c>
      <c r="Y26" s="82">
        <v>0</v>
      </c>
    </row>
    <row r="27" spans="1:37" x14ac:dyDescent="0.3">
      <c r="A27" s="81" t="s">
        <v>521</v>
      </c>
      <c r="B27" s="81" t="s">
        <v>181</v>
      </c>
      <c r="C27" s="149"/>
      <c r="D27" s="149"/>
      <c r="E27" s="149"/>
      <c r="F27" s="83"/>
      <c r="G27" s="149"/>
      <c r="H27" s="149"/>
      <c r="I27" s="149"/>
      <c r="J27" s="83"/>
      <c r="K27" s="149"/>
      <c r="L27" s="149"/>
      <c r="M27" s="149"/>
      <c r="N27" s="83"/>
      <c r="O27" s="149"/>
      <c r="P27" s="149"/>
      <c r="Q27" s="149"/>
      <c r="R27" s="83"/>
      <c r="S27" s="149"/>
      <c r="T27" s="149"/>
      <c r="U27" s="149"/>
      <c r="V27" s="83"/>
      <c r="W27" s="149"/>
      <c r="X27" s="149"/>
      <c r="Y27" s="150"/>
    </row>
    <row r="28" spans="1:37" x14ac:dyDescent="0.3">
      <c r="A28" s="81" t="s">
        <v>944</v>
      </c>
      <c r="B28" s="81" t="s">
        <v>945</v>
      </c>
      <c r="C28" s="149"/>
      <c r="D28" s="149"/>
      <c r="E28" s="149"/>
      <c r="F28" s="83"/>
      <c r="G28" s="149"/>
      <c r="H28" s="149"/>
      <c r="I28" s="149"/>
      <c r="J28" s="83"/>
      <c r="K28" s="149"/>
      <c r="L28" s="149"/>
      <c r="M28" s="149"/>
      <c r="N28" s="83"/>
      <c r="O28" s="149"/>
      <c r="P28" s="149"/>
      <c r="Q28" s="149"/>
      <c r="R28" s="83"/>
      <c r="S28" s="149"/>
      <c r="T28" s="149"/>
      <c r="U28" s="149"/>
      <c r="V28" s="83"/>
      <c r="W28" s="149"/>
      <c r="X28" s="149"/>
      <c r="Y28" s="150"/>
    </row>
    <row r="29" spans="1:37" x14ac:dyDescent="0.3">
      <c r="A29" s="81" t="s">
        <v>522</v>
      </c>
      <c r="B29" s="81" t="s">
        <v>185</v>
      </c>
      <c r="C29" s="82">
        <v>0</v>
      </c>
      <c r="D29" s="82">
        <v>0</v>
      </c>
      <c r="E29" s="82">
        <v>0</v>
      </c>
      <c r="F29" s="83"/>
      <c r="G29" s="82">
        <v>0</v>
      </c>
      <c r="H29" s="82">
        <v>0</v>
      </c>
      <c r="I29" s="82">
        <v>0</v>
      </c>
      <c r="J29" s="83"/>
      <c r="K29" s="149"/>
      <c r="L29" s="149"/>
      <c r="M29" s="149"/>
      <c r="N29" s="83"/>
      <c r="O29" s="82">
        <v>2</v>
      </c>
      <c r="P29" s="82">
        <v>2</v>
      </c>
      <c r="Q29" s="82">
        <v>0</v>
      </c>
      <c r="R29" s="83"/>
      <c r="S29" s="82">
        <v>0</v>
      </c>
      <c r="T29" s="82">
        <v>1</v>
      </c>
      <c r="U29" s="82">
        <v>0</v>
      </c>
      <c r="V29" s="83"/>
      <c r="W29" s="82">
        <v>2</v>
      </c>
      <c r="X29" s="82">
        <v>0</v>
      </c>
      <c r="Y29" s="84">
        <v>0</v>
      </c>
    </row>
    <row r="30" spans="1:37" x14ac:dyDescent="0.3">
      <c r="A30" s="81" t="s">
        <v>522</v>
      </c>
      <c r="B30" s="81" t="s">
        <v>1077</v>
      </c>
      <c r="C30" s="149"/>
      <c r="D30" s="149"/>
      <c r="E30" s="149"/>
      <c r="F30" s="83"/>
      <c r="G30" s="149"/>
      <c r="H30" s="149"/>
      <c r="I30" s="149"/>
      <c r="J30" s="83"/>
      <c r="K30" s="149"/>
      <c r="L30" s="149"/>
      <c r="M30" s="149"/>
      <c r="N30" s="83"/>
      <c r="O30" s="149"/>
      <c r="P30" s="149"/>
      <c r="Q30" s="149"/>
      <c r="R30" s="83"/>
      <c r="S30" s="82">
        <v>0</v>
      </c>
      <c r="T30" s="82">
        <v>0</v>
      </c>
      <c r="U30" s="82">
        <v>0</v>
      </c>
      <c r="V30" s="83"/>
      <c r="W30" s="82">
        <v>0</v>
      </c>
      <c r="X30" s="82">
        <v>0</v>
      </c>
      <c r="Y30" s="84">
        <v>0</v>
      </c>
    </row>
    <row r="31" spans="1:37" x14ac:dyDescent="0.3">
      <c r="A31" s="81" t="s">
        <v>523</v>
      </c>
      <c r="B31" s="81" t="s">
        <v>52</v>
      </c>
      <c r="C31" s="149"/>
      <c r="D31" s="149"/>
      <c r="E31" s="149"/>
      <c r="F31" s="83"/>
      <c r="G31" s="149"/>
      <c r="H31" s="149"/>
      <c r="I31" s="149"/>
      <c r="J31" s="83"/>
      <c r="K31" s="149"/>
      <c r="L31" s="149"/>
      <c r="M31" s="149"/>
      <c r="N31" s="83"/>
      <c r="O31" s="149"/>
      <c r="P31" s="149"/>
      <c r="Q31" s="149"/>
      <c r="R31" s="83"/>
      <c r="S31" s="149"/>
      <c r="T31" s="149"/>
      <c r="U31" s="149"/>
      <c r="V31" s="83"/>
      <c r="W31" s="149"/>
      <c r="X31" s="149"/>
      <c r="Y31" s="150"/>
    </row>
    <row r="32" spans="1:37" x14ac:dyDescent="0.3">
      <c r="A32" s="81" t="s">
        <v>676</v>
      </c>
      <c r="B32" s="81" t="s">
        <v>677</v>
      </c>
      <c r="C32" s="149"/>
      <c r="D32" s="149"/>
      <c r="E32" s="149"/>
      <c r="F32" s="83"/>
      <c r="G32" s="149"/>
      <c r="H32" s="149"/>
      <c r="I32" s="149"/>
      <c r="J32" s="83"/>
      <c r="K32" s="149"/>
      <c r="L32" s="149"/>
      <c r="M32" s="149"/>
      <c r="N32" s="83"/>
      <c r="O32" s="149"/>
      <c r="P32" s="149"/>
      <c r="Q32" s="149"/>
      <c r="R32" s="83"/>
      <c r="S32" s="149"/>
      <c r="T32" s="149"/>
      <c r="U32" s="149"/>
      <c r="V32" s="83"/>
      <c r="W32" s="149"/>
      <c r="X32" s="149"/>
      <c r="Y32" s="150"/>
    </row>
    <row r="33" spans="1:25" x14ac:dyDescent="0.3">
      <c r="A33" s="81" t="s">
        <v>672</v>
      </c>
      <c r="B33" s="81" t="s">
        <v>673</v>
      </c>
      <c r="C33" s="149"/>
      <c r="D33" s="149"/>
      <c r="E33" s="149"/>
      <c r="F33" s="83"/>
      <c r="G33" s="149"/>
      <c r="H33" s="149"/>
      <c r="I33" s="149"/>
      <c r="J33" s="83"/>
      <c r="K33" s="149"/>
      <c r="L33" s="149"/>
      <c r="M33" s="149"/>
      <c r="N33" s="83"/>
      <c r="O33" s="149"/>
      <c r="P33" s="149"/>
      <c r="Q33" s="149"/>
      <c r="R33" s="83"/>
      <c r="S33" s="149"/>
      <c r="T33" s="149"/>
      <c r="U33" s="149"/>
      <c r="V33" s="83"/>
      <c r="W33" s="149"/>
      <c r="X33" s="149"/>
      <c r="Y33" s="150"/>
    </row>
    <row r="34" spans="1:25" x14ac:dyDescent="0.3">
      <c r="A34" s="81" t="s">
        <v>672</v>
      </c>
      <c r="B34" s="81" t="s">
        <v>1075</v>
      </c>
      <c r="C34" s="82">
        <v>0</v>
      </c>
      <c r="D34" s="82">
        <v>0</v>
      </c>
      <c r="E34" s="82">
        <v>0</v>
      </c>
      <c r="F34" s="83"/>
      <c r="G34" s="82">
        <v>0</v>
      </c>
      <c r="H34" s="82">
        <v>0</v>
      </c>
      <c r="I34" s="82">
        <v>0</v>
      </c>
      <c r="J34" s="83"/>
      <c r="K34" s="149"/>
      <c r="L34" s="149"/>
      <c r="M34" s="149"/>
      <c r="N34" s="83"/>
      <c r="O34" s="82">
        <v>1</v>
      </c>
      <c r="P34" s="82">
        <v>0</v>
      </c>
      <c r="Q34" s="82">
        <v>0</v>
      </c>
      <c r="R34" s="83"/>
      <c r="S34" s="82">
        <v>3</v>
      </c>
      <c r="T34" s="82">
        <v>0</v>
      </c>
      <c r="U34" s="82">
        <v>0</v>
      </c>
      <c r="V34" s="83"/>
      <c r="W34" s="82">
        <v>0</v>
      </c>
      <c r="X34" s="82">
        <v>0</v>
      </c>
      <c r="Y34" s="84">
        <v>0</v>
      </c>
    </row>
    <row r="35" spans="1:25" x14ac:dyDescent="0.3">
      <c r="A35" s="81" t="s">
        <v>524</v>
      </c>
      <c r="B35" s="81" t="s">
        <v>53</v>
      </c>
      <c r="C35" s="82">
        <v>0</v>
      </c>
      <c r="D35" s="82">
        <v>0</v>
      </c>
      <c r="E35" s="82">
        <v>0</v>
      </c>
      <c r="F35" s="83"/>
      <c r="G35" s="82">
        <v>0</v>
      </c>
      <c r="H35" s="82">
        <v>0</v>
      </c>
      <c r="I35" s="82">
        <v>0</v>
      </c>
      <c r="J35" s="83"/>
      <c r="K35" s="149"/>
      <c r="L35" s="149"/>
      <c r="M35" s="149"/>
      <c r="N35" s="83"/>
      <c r="O35" s="82">
        <v>0</v>
      </c>
      <c r="P35" s="82">
        <v>0</v>
      </c>
      <c r="Q35" s="82">
        <v>0</v>
      </c>
      <c r="R35" s="83"/>
      <c r="S35" s="82">
        <v>0</v>
      </c>
      <c r="T35" s="82">
        <v>1</v>
      </c>
      <c r="U35" s="82">
        <v>0</v>
      </c>
      <c r="V35" s="83"/>
      <c r="W35" s="82">
        <v>0</v>
      </c>
      <c r="X35" s="82">
        <v>0</v>
      </c>
      <c r="Y35" s="84">
        <v>0</v>
      </c>
    </row>
    <row r="36" spans="1:25" x14ac:dyDescent="0.3">
      <c r="A36" s="81" t="s">
        <v>525</v>
      </c>
      <c r="B36" s="81" t="s">
        <v>947</v>
      </c>
      <c r="C36" s="149"/>
      <c r="D36" s="149"/>
      <c r="E36" s="149"/>
      <c r="F36" s="83"/>
      <c r="G36" s="82">
        <v>0</v>
      </c>
      <c r="H36" s="82">
        <v>1</v>
      </c>
      <c r="I36" s="82">
        <v>2</v>
      </c>
      <c r="J36" s="83"/>
      <c r="K36" s="149"/>
      <c r="L36" s="149"/>
      <c r="M36" s="149"/>
      <c r="N36" s="83"/>
      <c r="O36" s="149"/>
      <c r="P36" s="149"/>
      <c r="Q36" s="149"/>
      <c r="R36" s="83"/>
      <c r="S36" s="82">
        <v>0</v>
      </c>
      <c r="T36" s="82">
        <v>0</v>
      </c>
      <c r="U36" s="82">
        <v>0</v>
      </c>
      <c r="V36" s="83"/>
      <c r="W36" s="82">
        <v>0</v>
      </c>
      <c r="X36" s="82">
        <v>0</v>
      </c>
      <c r="Y36" s="84">
        <v>2</v>
      </c>
    </row>
    <row r="37" spans="1:25" x14ac:dyDescent="0.3">
      <c r="A37" s="81" t="s">
        <v>786</v>
      </c>
      <c r="B37" s="81" t="s">
        <v>59</v>
      </c>
      <c r="C37" s="149"/>
      <c r="D37" s="149"/>
      <c r="E37" s="149"/>
      <c r="F37" s="83"/>
      <c r="G37" s="82">
        <v>0</v>
      </c>
      <c r="H37" s="82">
        <v>0</v>
      </c>
      <c r="I37" s="82">
        <v>0</v>
      </c>
      <c r="J37" s="83"/>
      <c r="K37" s="149"/>
      <c r="L37" s="149"/>
      <c r="M37" s="149"/>
      <c r="N37" s="83"/>
      <c r="O37" s="82">
        <v>0</v>
      </c>
      <c r="P37" s="82">
        <v>0</v>
      </c>
      <c r="Q37" s="82">
        <v>0</v>
      </c>
      <c r="R37" s="83"/>
      <c r="S37" s="82">
        <v>0</v>
      </c>
      <c r="T37" s="82">
        <v>1</v>
      </c>
      <c r="U37" s="82">
        <v>0</v>
      </c>
      <c r="V37" s="83"/>
      <c r="W37" s="82">
        <v>0</v>
      </c>
      <c r="X37" s="82">
        <v>1</v>
      </c>
      <c r="Y37" s="84">
        <v>0</v>
      </c>
    </row>
    <row r="38" spans="1:25" x14ac:dyDescent="0.3">
      <c r="A38" s="81" t="s">
        <v>674</v>
      </c>
      <c r="B38" s="81" t="s">
        <v>675</v>
      </c>
      <c r="C38" s="149"/>
      <c r="D38" s="149"/>
      <c r="E38" s="149"/>
      <c r="F38" s="83"/>
      <c r="G38" s="149"/>
      <c r="H38" s="149"/>
      <c r="I38" s="149"/>
      <c r="J38" s="83"/>
      <c r="K38" s="149"/>
      <c r="L38" s="149"/>
      <c r="M38" s="149"/>
      <c r="N38" s="83"/>
      <c r="O38" s="149"/>
      <c r="P38" s="149"/>
      <c r="Q38" s="149"/>
      <c r="R38" s="83"/>
      <c r="S38" s="149"/>
      <c r="T38" s="149"/>
      <c r="U38" s="149"/>
      <c r="V38" s="83"/>
      <c r="W38" s="149"/>
      <c r="X38" s="149"/>
      <c r="Y38" s="150"/>
    </row>
    <row r="39" spans="1:25" x14ac:dyDescent="0.3">
      <c r="A39" s="81" t="s">
        <v>674</v>
      </c>
      <c r="B39" s="81" t="s">
        <v>1076</v>
      </c>
      <c r="C39" s="82">
        <v>0</v>
      </c>
      <c r="D39" s="82">
        <v>0</v>
      </c>
      <c r="E39" s="82">
        <v>0</v>
      </c>
      <c r="F39" s="83"/>
      <c r="G39" s="82">
        <v>0</v>
      </c>
      <c r="H39" s="82">
        <v>0</v>
      </c>
      <c r="I39" s="82">
        <v>0</v>
      </c>
      <c r="J39" s="83"/>
      <c r="K39" s="149"/>
      <c r="L39" s="149"/>
      <c r="M39" s="149"/>
      <c r="N39" s="83"/>
      <c r="O39" s="82">
        <v>0</v>
      </c>
      <c r="P39" s="82">
        <v>0</v>
      </c>
      <c r="Q39" s="82">
        <v>0</v>
      </c>
      <c r="R39" s="83"/>
      <c r="S39" s="82">
        <v>0</v>
      </c>
      <c r="T39" s="82">
        <v>0</v>
      </c>
      <c r="U39" s="82">
        <v>0</v>
      </c>
      <c r="V39" s="83"/>
      <c r="W39" s="82">
        <v>0</v>
      </c>
      <c r="X39" s="82">
        <v>0</v>
      </c>
      <c r="Y39" s="84">
        <v>2</v>
      </c>
    </row>
    <row r="40" spans="1:25" x14ac:dyDescent="0.3">
      <c r="A40" s="81" t="s">
        <v>526</v>
      </c>
      <c r="B40" s="81" t="s">
        <v>278</v>
      </c>
      <c r="C40" s="149"/>
      <c r="D40" s="149"/>
      <c r="E40" s="149"/>
      <c r="F40" s="83"/>
      <c r="G40" s="149"/>
      <c r="H40" s="149"/>
      <c r="I40" s="149"/>
      <c r="J40" s="83"/>
      <c r="K40" s="149"/>
      <c r="L40" s="149"/>
      <c r="M40" s="149"/>
      <c r="N40" s="83"/>
      <c r="O40" s="149"/>
      <c r="P40" s="149"/>
      <c r="Q40" s="149"/>
      <c r="R40" s="83"/>
      <c r="S40" s="149"/>
      <c r="T40" s="149"/>
      <c r="U40" s="149"/>
      <c r="V40" s="83"/>
      <c r="W40" s="149"/>
      <c r="X40" s="149"/>
      <c r="Y40" s="150"/>
    </row>
    <row r="41" spans="1:25" x14ac:dyDescent="0.3">
      <c r="A41" s="81" t="s">
        <v>679</v>
      </c>
      <c r="B41" s="81" t="s">
        <v>680</v>
      </c>
      <c r="C41" s="149"/>
      <c r="D41" s="149"/>
      <c r="E41" s="149"/>
      <c r="F41" s="83"/>
      <c r="G41" s="82">
        <v>0</v>
      </c>
      <c r="H41" s="82">
        <v>0</v>
      </c>
      <c r="I41" s="82">
        <v>0</v>
      </c>
      <c r="J41" s="83"/>
      <c r="K41" s="149"/>
      <c r="L41" s="149"/>
      <c r="M41" s="149"/>
      <c r="N41" s="83"/>
      <c r="O41" s="82">
        <v>1</v>
      </c>
      <c r="P41" s="82">
        <v>1</v>
      </c>
      <c r="Q41" s="82">
        <v>0</v>
      </c>
      <c r="R41" s="83"/>
      <c r="S41" s="82">
        <v>0</v>
      </c>
      <c r="T41" s="82">
        <v>0</v>
      </c>
      <c r="U41" s="82">
        <v>0</v>
      </c>
      <c r="V41" s="83"/>
      <c r="W41" s="82">
        <v>0</v>
      </c>
      <c r="X41" s="82">
        <v>0</v>
      </c>
      <c r="Y41" s="84">
        <v>0</v>
      </c>
    </row>
    <row r="42" spans="1:25" x14ac:dyDescent="0.3">
      <c r="A42" s="81" t="s">
        <v>948</v>
      </c>
      <c r="B42" s="81" t="s">
        <v>949</v>
      </c>
      <c r="C42" s="82">
        <v>0</v>
      </c>
      <c r="D42" s="82">
        <v>0</v>
      </c>
      <c r="E42" s="82">
        <v>0</v>
      </c>
      <c r="F42" s="83"/>
      <c r="G42" s="82">
        <v>0</v>
      </c>
      <c r="H42" s="82">
        <v>0</v>
      </c>
      <c r="I42" s="82">
        <v>0</v>
      </c>
      <c r="J42" s="83"/>
      <c r="K42" s="149"/>
      <c r="L42" s="149"/>
      <c r="M42" s="149"/>
      <c r="N42" s="83"/>
      <c r="O42" s="149"/>
      <c r="P42" s="149"/>
      <c r="Q42" s="149"/>
      <c r="R42" s="83"/>
      <c r="S42" s="149"/>
      <c r="T42" s="149"/>
      <c r="U42" s="149"/>
      <c r="V42" s="83"/>
      <c r="W42" s="149"/>
      <c r="X42" s="149"/>
      <c r="Y42" s="149"/>
    </row>
    <row r="43" spans="1:25" x14ac:dyDescent="0.3">
      <c r="A43" s="81" t="s">
        <v>943</v>
      </c>
      <c r="B43" s="81" t="s">
        <v>942</v>
      </c>
      <c r="C43" s="149"/>
      <c r="D43" s="149"/>
      <c r="E43" s="149"/>
      <c r="F43" s="83"/>
      <c r="G43" s="149"/>
      <c r="H43" s="149"/>
      <c r="I43" s="149"/>
      <c r="J43" s="83"/>
      <c r="K43" s="149"/>
      <c r="L43" s="149"/>
      <c r="M43" s="149"/>
      <c r="N43" s="83"/>
      <c r="O43" s="82">
        <v>0</v>
      </c>
      <c r="P43" s="82">
        <v>0</v>
      </c>
      <c r="Q43" s="82">
        <v>0</v>
      </c>
      <c r="R43" s="83"/>
      <c r="S43" s="82">
        <v>1</v>
      </c>
      <c r="T43" s="82">
        <v>0</v>
      </c>
      <c r="U43" s="82">
        <v>0</v>
      </c>
      <c r="V43" s="83"/>
      <c r="W43" s="82">
        <v>0</v>
      </c>
      <c r="X43" s="82">
        <v>0</v>
      </c>
      <c r="Y43" s="82">
        <v>0</v>
      </c>
    </row>
    <row r="44" spans="1:25" x14ac:dyDescent="0.3">
      <c r="A44" s="81" t="s">
        <v>527</v>
      </c>
      <c r="B44" s="81" t="s">
        <v>56</v>
      </c>
      <c r="C44" s="82">
        <v>0</v>
      </c>
      <c r="D44" s="82">
        <v>0</v>
      </c>
      <c r="E44" s="82">
        <v>0</v>
      </c>
      <c r="F44" s="83"/>
      <c r="G44" s="149"/>
      <c r="H44" s="149"/>
      <c r="I44" s="149"/>
      <c r="J44" s="83"/>
      <c r="K44" s="149"/>
      <c r="L44" s="149"/>
      <c r="M44" s="149"/>
      <c r="N44" s="83"/>
      <c r="O44" s="82">
        <v>0</v>
      </c>
      <c r="P44" s="82">
        <v>0</v>
      </c>
      <c r="Q44" s="82">
        <v>0</v>
      </c>
      <c r="R44" s="83"/>
      <c r="S44" s="149"/>
      <c r="T44" s="149"/>
      <c r="U44" s="149"/>
      <c r="V44" s="83"/>
      <c r="W44" s="149"/>
      <c r="X44" s="149"/>
      <c r="Y44" s="149"/>
    </row>
    <row r="45" spans="1:25" x14ac:dyDescent="0.3">
      <c r="A45" s="81" t="s">
        <v>678</v>
      </c>
      <c r="B45" s="81" t="s">
        <v>55</v>
      </c>
      <c r="C45" s="149"/>
      <c r="D45" s="149"/>
      <c r="E45" s="149"/>
      <c r="F45" s="83"/>
      <c r="G45" s="149"/>
      <c r="H45" s="149"/>
      <c r="I45" s="149"/>
      <c r="J45" s="83"/>
      <c r="K45" s="149"/>
      <c r="L45" s="149"/>
      <c r="M45" s="149"/>
      <c r="N45" s="83"/>
      <c r="O45" s="149"/>
      <c r="P45" s="149"/>
      <c r="Q45" s="149"/>
      <c r="R45" s="83"/>
      <c r="S45" s="149"/>
      <c r="T45" s="149"/>
      <c r="U45" s="149"/>
      <c r="V45" s="83"/>
      <c r="W45" s="149"/>
      <c r="X45" s="149"/>
      <c r="Y45" s="149"/>
    </row>
    <row r="46" spans="1:25" x14ac:dyDescent="0.3">
      <c r="A46" s="81" t="s">
        <v>528</v>
      </c>
      <c r="B46" s="81" t="s">
        <v>279</v>
      </c>
      <c r="C46" s="82">
        <v>0</v>
      </c>
      <c r="D46" s="82">
        <v>0</v>
      </c>
      <c r="E46" s="82">
        <v>0</v>
      </c>
      <c r="F46" s="83"/>
      <c r="G46" s="82">
        <v>0</v>
      </c>
      <c r="H46" s="82">
        <v>0</v>
      </c>
      <c r="I46" s="82">
        <v>0</v>
      </c>
      <c r="J46" s="83"/>
      <c r="K46" s="149"/>
      <c r="L46" s="149"/>
      <c r="M46" s="149"/>
      <c r="N46" s="83"/>
      <c r="O46" s="149"/>
      <c r="P46" s="149"/>
      <c r="Q46" s="149"/>
      <c r="R46" s="83"/>
      <c r="S46" s="149"/>
      <c r="T46" s="149"/>
      <c r="U46" s="149"/>
      <c r="V46" s="83"/>
      <c r="W46" s="149"/>
      <c r="X46" s="149"/>
      <c r="Y46" s="150"/>
    </row>
    <row r="47" spans="1:25" x14ac:dyDescent="0.3">
      <c r="A47" s="81" t="s">
        <v>529</v>
      </c>
      <c r="B47" s="81" t="s">
        <v>47</v>
      </c>
      <c r="C47" s="82">
        <v>0</v>
      </c>
      <c r="D47" s="82">
        <v>0</v>
      </c>
      <c r="E47" s="82">
        <v>0</v>
      </c>
      <c r="F47" s="83"/>
      <c r="G47" s="82">
        <v>0</v>
      </c>
      <c r="H47" s="82">
        <v>0</v>
      </c>
      <c r="I47" s="82">
        <v>0</v>
      </c>
      <c r="J47" s="83"/>
      <c r="K47" s="149"/>
      <c r="L47" s="149"/>
      <c r="M47" s="149"/>
      <c r="N47" s="83"/>
      <c r="O47" s="82">
        <v>0</v>
      </c>
      <c r="P47" s="82">
        <v>0</v>
      </c>
      <c r="Q47" s="82">
        <v>0</v>
      </c>
      <c r="R47" s="83"/>
      <c r="S47" s="149"/>
      <c r="T47" s="149"/>
      <c r="U47" s="149"/>
      <c r="V47" s="83"/>
      <c r="W47" s="149"/>
      <c r="X47" s="149"/>
      <c r="Y47" s="150"/>
    </row>
    <row r="48" spans="1:25" x14ac:dyDescent="0.3">
      <c r="A48" s="81" t="s">
        <v>546</v>
      </c>
      <c r="B48" s="81" t="s">
        <v>531</v>
      </c>
      <c r="C48" s="149"/>
      <c r="D48" s="149"/>
      <c r="E48" s="149"/>
      <c r="F48" s="83"/>
      <c r="G48" s="149"/>
      <c r="H48" s="149"/>
      <c r="I48" s="149"/>
      <c r="J48" s="83"/>
      <c r="K48" s="149"/>
      <c r="L48" s="149"/>
      <c r="M48" s="149"/>
      <c r="N48" s="83"/>
      <c r="O48" s="149"/>
      <c r="P48" s="149"/>
      <c r="Q48" s="149"/>
      <c r="R48" s="83"/>
      <c r="S48" s="149"/>
      <c r="T48" s="149"/>
      <c r="U48" s="149"/>
      <c r="V48" s="83"/>
      <c r="W48" s="149"/>
      <c r="X48" s="149"/>
      <c r="Y48" s="149"/>
    </row>
    <row r="49" spans="1:27" x14ac:dyDescent="0.3">
      <c r="A49" s="81" t="s">
        <v>778</v>
      </c>
      <c r="B49" s="81" t="s">
        <v>941</v>
      </c>
      <c r="C49" s="82" t="s">
        <v>681</v>
      </c>
      <c r="D49" s="82">
        <v>0</v>
      </c>
      <c r="E49" s="82">
        <v>0</v>
      </c>
      <c r="F49" s="83"/>
      <c r="G49" s="82" t="s">
        <v>681</v>
      </c>
      <c r="H49" s="82">
        <v>0</v>
      </c>
      <c r="I49" s="82">
        <v>0</v>
      </c>
      <c r="J49" s="83"/>
      <c r="K49" s="82" t="s">
        <v>681</v>
      </c>
      <c r="L49" s="82">
        <v>0</v>
      </c>
      <c r="M49" s="82">
        <v>0</v>
      </c>
      <c r="N49" s="83"/>
      <c r="O49" s="82" t="s">
        <v>681</v>
      </c>
      <c r="P49" s="82">
        <v>0</v>
      </c>
      <c r="Q49" s="82">
        <v>0</v>
      </c>
      <c r="R49" s="83"/>
      <c r="S49" s="82" t="s">
        <v>681</v>
      </c>
      <c r="T49" s="82">
        <v>0</v>
      </c>
      <c r="U49" s="82">
        <v>0</v>
      </c>
      <c r="V49" s="83"/>
      <c r="W49" s="82" t="s">
        <v>681</v>
      </c>
      <c r="X49" s="82">
        <v>0</v>
      </c>
      <c r="Y49" s="82">
        <v>0</v>
      </c>
    </row>
    <row r="50" spans="1:27" x14ac:dyDescent="0.3">
      <c r="A50" s="81" t="s">
        <v>778</v>
      </c>
      <c r="B50" s="81" t="s">
        <v>779</v>
      </c>
      <c r="C50" s="149"/>
      <c r="D50" s="149"/>
      <c r="E50" s="149"/>
      <c r="F50" s="83"/>
      <c r="G50" s="149"/>
      <c r="H50" s="149"/>
      <c r="I50" s="149"/>
      <c r="J50" s="83"/>
      <c r="K50" s="149"/>
      <c r="L50" s="149"/>
      <c r="M50" s="149"/>
      <c r="N50" s="83"/>
      <c r="O50" s="149"/>
      <c r="P50" s="149"/>
      <c r="Q50" s="149"/>
      <c r="R50" s="83"/>
      <c r="S50" s="149"/>
      <c r="T50" s="149"/>
      <c r="U50" s="149"/>
      <c r="V50" s="83"/>
      <c r="W50" s="149"/>
      <c r="X50" s="149"/>
      <c r="Y50" s="150"/>
    </row>
    <row r="51" spans="1:27" x14ac:dyDescent="0.3">
      <c r="A51" s="16"/>
      <c r="B51" s="16"/>
      <c r="C51" s="220">
        <f>SUM(C24:C50)</f>
        <v>0</v>
      </c>
      <c r="D51" s="220">
        <f>SUM(D24:D50)</f>
        <v>0</v>
      </c>
      <c r="E51" s="220">
        <f>SUM(E24:E50)</f>
        <v>0</v>
      </c>
      <c r="F51" s="71"/>
      <c r="G51" s="220">
        <f>SUM(G24:G50)</f>
        <v>1</v>
      </c>
      <c r="H51" s="220">
        <f>SUM(H24:H50)</f>
        <v>1</v>
      </c>
      <c r="I51" s="220">
        <f>SUM(I24:I50)</f>
        <v>2</v>
      </c>
      <c r="J51" s="71"/>
      <c r="K51" s="220">
        <f>SUM(K24:K50)</f>
        <v>0</v>
      </c>
      <c r="L51" s="220">
        <f>SUM(L24:L50)</f>
        <v>0</v>
      </c>
      <c r="M51" s="220">
        <f>SUM(M24:M50)</f>
        <v>0</v>
      </c>
      <c r="N51" s="71"/>
      <c r="O51" s="220">
        <f>SUM(O24:O50)</f>
        <v>4</v>
      </c>
      <c r="P51" s="220">
        <f>SUM(P24:P50)</f>
        <v>4</v>
      </c>
      <c r="Q51" s="220">
        <f>SUM(Q24:Q50)</f>
        <v>0</v>
      </c>
      <c r="R51" s="71"/>
      <c r="S51" s="220">
        <f>SUM(S24:S50)</f>
        <v>4</v>
      </c>
      <c r="T51" s="220">
        <f>SUM(T24:T50)</f>
        <v>3</v>
      </c>
      <c r="U51" s="220">
        <f>SUM(U24:U50)</f>
        <v>2</v>
      </c>
      <c r="V51" s="71"/>
      <c r="W51" s="220">
        <f>SUM(W24:W50)</f>
        <v>2</v>
      </c>
      <c r="X51" s="220">
        <f>SUM(X24:X50)</f>
        <v>1</v>
      </c>
      <c r="Y51" s="220">
        <f>SUM(Y24:Y50)</f>
        <v>4</v>
      </c>
    </row>
    <row r="53" spans="1:27" ht="15" thickBot="1" x14ac:dyDescent="0.35"/>
    <row r="54" spans="1:27" x14ac:dyDescent="0.3">
      <c r="A54" s="16"/>
      <c r="B54" s="16" t="s">
        <v>547</v>
      </c>
      <c r="C54" s="76">
        <v>7</v>
      </c>
      <c r="D54" s="76"/>
      <c r="E54" s="76"/>
      <c r="F54" s="77"/>
      <c r="G54" s="76">
        <v>8</v>
      </c>
      <c r="H54" s="76"/>
      <c r="I54" s="76"/>
      <c r="J54" s="77"/>
      <c r="K54" s="76">
        <v>9</v>
      </c>
      <c r="L54" s="76"/>
      <c r="M54" s="76"/>
      <c r="N54" s="77"/>
      <c r="O54" s="76">
        <v>10</v>
      </c>
      <c r="P54" s="76"/>
      <c r="Q54" s="76"/>
      <c r="R54" s="77"/>
      <c r="S54" s="76">
        <v>11</v>
      </c>
      <c r="T54" s="76"/>
      <c r="U54" s="76"/>
      <c r="V54" s="77"/>
      <c r="W54" s="76">
        <v>12</v>
      </c>
      <c r="X54" s="16"/>
      <c r="Y54" s="16"/>
      <c r="Z54" s="75"/>
      <c r="AA54" s="16"/>
    </row>
    <row r="55" spans="1:27" x14ac:dyDescent="0.3">
      <c r="A55" s="16"/>
      <c r="B55" s="16"/>
      <c r="C55" s="16" t="s">
        <v>1031</v>
      </c>
      <c r="D55" s="16"/>
      <c r="E55" s="16"/>
      <c r="F55" s="67"/>
      <c r="G55" s="16" t="s">
        <v>244</v>
      </c>
      <c r="H55" s="16"/>
      <c r="I55" s="16"/>
      <c r="J55" s="67"/>
      <c r="K55" s="16" t="s">
        <v>1036</v>
      </c>
      <c r="L55" s="16"/>
      <c r="M55" s="16"/>
      <c r="N55" s="67"/>
      <c r="O55" s="16" t="s">
        <v>1039</v>
      </c>
      <c r="P55" s="16"/>
      <c r="Q55" s="16"/>
      <c r="R55" s="67"/>
      <c r="S55" s="16" t="s">
        <v>1042</v>
      </c>
      <c r="T55" s="16"/>
      <c r="U55" s="16"/>
      <c r="V55" s="67"/>
      <c r="W55" s="16" t="s">
        <v>1045</v>
      </c>
      <c r="X55" s="16"/>
      <c r="Y55" s="16"/>
      <c r="Z55" s="67"/>
      <c r="AA55" s="16"/>
    </row>
    <row r="56" spans="1:27" x14ac:dyDescent="0.3">
      <c r="A56" s="16"/>
      <c r="B56" s="16"/>
      <c r="C56" s="155" t="s">
        <v>1032</v>
      </c>
      <c r="D56" s="16"/>
      <c r="E56" s="16"/>
      <c r="F56" s="67"/>
      <c r="G56" s="155" t="s">
        <v>1034</v>
      </c>
      <c r="I56" s="16"/>
      <c r="J56" s="67"/>
      <c r="K56" s="155" t="s">
        <v>1034</v>
      </c>
      <c r="M56" s="16"/>
      <c r="N56" s="67"/>
      <c r="O56" s="155" t="s">
        <v>1040</v>
      </c>
      <c r="P56" s="16"/>
      <c r="Q56" s="16"/>
      <c r="R56" s="67"/>
      <c r="S56" s="156" t="s">
        <v>1043</v>
      </c>
      <c r="T56" s="16"/>
      <c r="U56" s="16"/>
      <c r="V56" s="67"/>
      <c r="W56" s="156" t="s">
        <v>1043</v>
      </c>
      <c r="X56" s="16"/>
      <c r="Y56" s="16"/>
      <c r="Z56" s="67"/>
      <c r="AA56" s="16"/>
    </row>
    <row r="57" spans="1:27" x14ac:dyDescent="0.3">
      <c r="A57" s="16"/>
      <c r="B57" s="16"/>
      <c r="C57" s="16" t="s">
        <v>579</v>
      </c>
      <c r="D57" s="16"/>
      <c r="E57" s="16"/>
      <c r="F57" s="67"/>
      <c r="G57" s="154" t="s">
        <v>150</v>
      </c>
      <c r="H57" s="16"/>
      <c r="I57" s="16"/>
      <c r="J57" s="67"/>
      <c r="K57" s="16" t="s">
        <v>150</v>
      </c>
      <c r="L57" s="16"/>
      <c r="M57" s="16"/>
      <c r="N57" s="67"/>
      <c r="O57" s="16" t="s">
        <v>242</v>
      </c>
      <c r="P57" s="16"/>
      <c r="Q57" s="16"/>
      <c r="R57" s="67"/>
      <c r="S57" s="16" t="s">
        <v>1027</v>
      </c>
      <c r="T57" s="16"/>
      <c r="U57" s="16"/>
      <c r="V57" s="67"/>
      <c r="W57" s="16" t="s">
        <v>1027</v>
      </c>
      <c r="X57" s="16"/>
      <c r="Y57" s="16"/>
      <c r="Z57" s="67"/>
      <c r="AA57" s="16"/>
    </row>
    <row r="58" spans="1:27" x14ac:dyDescent="0.3">
      <c r="A58" s="1"/>
      <c r="B58" s="1"/>
      <c r="C58" s="165" t="s">
        <v>506</v>
      </c>
      <c r="D58" s="85" t="s">
        <v>1033</v>
      </c>
      <c r="E58" s="1"/>
      <c r="F58" s="68"/>
      <c r="G58" s="165" t="s">
        <v>574</v>
      </c>
      <c r="H58" s="85" t="s">
        <v>1035</v>
      </c>
      <c r="I58" s="1"/>
      <c r="J58" s="68"/>
      <c r="K58" s="162" t="s">
        <v>1037</v>
      </c>
      <c r="L58" s="1" t="s">
        <v>1038</v>
      </c>
      <c r="M58" s="1"/>
      <c r="N58" s="68"/>
      <c r="O58" s="163" t="s">
        <v>161</v>
      </c>
      <c r="P58" s="85" t="s">
        <v>1041</v>
      </c>
      <c r="Q58" s="1"/>
      <c r="R58" s="68"/>
      <c r="S58" s="165" t="s">
        <v>506</v>
      </c>
      <c r="T58" s="1" t="s">
        <v>1044</v>
      </c>
      <c r="U58" s="1"/>
      <c r="V58" s="68"/>
      <c r="W58" s="162" t="s">
        <v>161</v>
      </c>
      <c r="X58" s="85" t="s">
        <v>1046</v>
      </c>
      <c r="Y58" s="1"/>
      <c r="Z58" s="68"/>
      <c r="AA58" s="1"/>
    </row>
    <row r="60" spans="1:27" x14ac:dyDescent="0.3">
      <c r="C60" t="s">
        <v>537</v>
      </c>
      <c r="G60" t="s">
        <v>537</v>
      </c>
      <c r="K60" t="s">
        <v>537</v>
      </c>
      <c r="O60" t="s">
        <v>537</v>
      </c>
      <c r="S60" t="s">
        <v>537</v>
      </c>
      <c r="W60" t="s">
        <v>537</v>
      </c>
    </row>
    <row r="61" spans="1:27" x14ac:dyDescent="0.3">
      <c r="C61" t="s">
        <v>501</v>
      </c>
      <c r="G61" s="116" t="s">
        <v>805</v>
      </c>
      <c r="I61" t="s">
        <v>540</v>
      </c>
      <c r="K61" s="116" t="s">
        <v>501</v>
      </c>
      <c r="M61" t="s">
        <v>540</v>
      </c>
      <c r="O61" t="s">
        <v>107</v>
      </c>
      <c r="S61" t="s">
        <v>501</v>
      </c>
      <c r="U61" t="s">
        <v>545</v>
      </c>
      <c r="W61" t="s">
        <v>501</v>
      </c>
      <c r="Y61" t="s">
        <v>693</v>
      </c>
    </row>
    <row r="63" spans="1:27" x14ac:dyDescent="0.3">
      <c r="C63" t="s">
        <v>543</v>
      </c>
      <c r="G63" t="s">
        <v>543</v>
      </c>
      <c r="K63" t="s">
        <v>543</v>
      </c>
      <c r="O63" t="s">
        <v>543</v>
      </c>
      <c r="S63" t="s">
        <v>543</v>
      </c>
      <c r="W63" t="s">
        <v>543</v>
      </c>
    </row>
    <row r="64" spans="1:27" x14ac:dyDescent="0.3">
      <c r="C64" s="116" t="s">
        <v>107</v>
      </c>
      <c r="G64" t="s">
        <v>805</v>
      </c>
      <c r="K64" t="s">
        <v>501</v>
      </c>
      <c r="M64" t="s">
        <v>540</v>
      </c>
      <c r="O64" t="s">
        <v>501</v>
      </c>
      <c r="S64" s="116" t="s">
        <v>501</v>
      </c>
      <c r="W64" s="116" t="s">
        <v>805</v>
      </c>
    </row>
    <row r="67" spans="1:27" ht="15" thickBot="1" x14ac:dyDescent="0.35">
      <c r="A67" s="60" t="s">
        <v>517</v>
      </c>
      <c r="B67" s="60"/>
      <c r="C67" s="61" t="s">
        <v>533</v>
      </c>
      <c r="D67" s="61" t="s">
        <v>534</v>
      </c>
      <c r="E67" s="61" t="s">
        <v>535</v>
      </c>
      <c r="F67" s="69"/>
      <c r="G67" s="61" t="s">
        <v>533</v>
      </c>
      <c r="H67" s="61" t="s">
        <v>534</v>
      </c>
      <c r="I67" s="61" t="s">
        <v>535</v>
      </c>
      <c r="J67" s="69"/>
      <c r="K67" s="61" t="s">
        <v>533</v>
      </c>
      <c r="L67" s="61" t="s">
        <v>534</v>
      </c>
      <c r="M67" s="61" t="s">
        <v>535</v>
      </c>
      <c r="N67" s="69"/>
      <c r="O67" s="61" t="s">
        <v>533</v>
      </c>
      <c r="P67" s="61" t="s">
        <v>534</v>
      </c>
      <c r="Q67" s="61" t="s">
        <v>535</v>
      </c>
      <c r="R67" s="69"/>
      <c r="S67" s="61" t="s">
        <v>533</v>
      </c>
      <c r="T67" s="61" t="s">
        <v>534</v>
      </c>
      <c r="U67" s="61" t="s">
        <v>535</v>
      </c>
      <c r="V67" s="69"/>
      <c r="W67" s="61" t="s">
        <v>533</v>
      </c>
      <c r="X67" s="61" t="s">
        <v>534</v>
      </c>
      <c r="Y67" s="61" t="s">
        <v>535</v>
      </c>
      <c r="Z67" s="67"/>
      <c r="AA67" s="16"/>
    </row>
    <row r="68" spans="1:27" ht="3.75" customHeight="1" thickBot="1" x14ac:dyDescent="0.35">
      <c r="A68" s="62"/>
      <c r="B68" s="62"/>
      <c r="C68" s="63"/>
      <c r="D68" s="63"/>
      <c r="E68" s="63"/>
      <c r="F68" s="64"/>
      <c r="G68" s="63"/>
      <c r="H68" s="63"/>
      <c r="I68" s="63"/>
      <c r="J68" s="64"/>
      <c r="K68" s="63"/>
      <c r="L68" s="63"/>
      <c r="M68" s="63"/>
      <c r="N68" s="64"/>
      <c r="O68" s="63"/>
      <c r="P68" s="63"/>
      <c r="Q68" s="63"/>
      <c r="R68" s="64"/>
      <c r="S68" s="63"/>
      <c r="T68" s="63"/>
      <c r="U68" s="63"/>
      <c r="V68" s="64"/>
      <c r="W68" s="63"/>
      <c r="X68" s="63"/>
      <c r="Y68" s="63"/>
      <c r="Z68" s="65"/>
      <c r="AA68" s="16"/>
    </row>
    <row r="69" spans="1:27" x14ac:dyDescent="0.3">
      <c r="A69" s="78" t="s">
        <v>518</v>
      </c>
      <c r="B69" s="78" t="s">
        <v>48</v>
      </c>
      <c r="C69" s="221"/>
      <c r="D69" s="221"/>
      <c r="E69" s="221"/>
      <c r="F69" s="80"/>
      <c r="G69" s="221"/>
      <c r="H69" s="221"/>
      <c r="I69" s="221"/>
      <c r="J69" s="80"/>
      <c r="K69" s="221"/>
      <c r="L69" s="221"/>
      <c r="M69" s="221"/>
      <c r="N69" s="80"/>
      <c r="O69" s="221"/>
      <c r="P69" s="221"/>
      <c r="Q69" s="221"/>
      <c r="R69" s="80"/>
      <c r="S69" s="221"/>
      <c r="T69" s="221"/>
      <c r="U69" s="221"/>
      <c r="V69" s="80"/>
      <c r="W69" s="221"/>
      <c r="X69" s="221"/>
      <c r="Y69" s="222"/>
      <c r="Z69" s="72"/>
    </row>
    <row r="70" spans="1:27" x14ac:dyDescent="0.3">
      <c r="A70" s="81" t="s">
        <v>519</v>
      </c>
      <c r="B70" s="81" t="s">
        <v>54</v>
      </c>
      <c r="C70" s="149"/>
      <c r="D70" s="149"/>
      <c r="E70" s="149"/>
      <c r="F70" s="83"/>
      <c r="G70" s="149"/>
      <c r="H70" s="149"/>
      <c r="I70" s="149"/>
      <c r="J70" s="83"/>
      <c r="K70" s="149"/>
      <c r="L70" s="149"/>
      <c r="M70" s="149"/>
      <c r="N70" s="83"/>
      <c r="O70" s="149"/>
      <c r="P70" s="149"/>
      <c r="Q70" s="149"/>
      <c r="R70" s="83"/>
      <c r="S70" s="149"/>
      <c r="T70" s="149"/>
      <c r="U70" s="149"/>
      <c r="V70" s="83"/>
      <c r="W70" s="149"/>
      <c r="X70" s="149"/>
      <c r="Y70" s="150"/>
    </row>
    <row r="71" spans="1:27" x14ac:dyDescent="0.3">
      <c r="A71" s="81" t="s">
        <v>520</v>
      </c>
      <c r="B71" s="81" t="s">
        <v>530</v>
      </c>
      <c r="C71" s="149"/>
      <c r="D71" s="149"/>
      <c r="E71" s="149"/>
      <c r="F71" s="83"/>
      <c r="G71" s="149"/>
      <c r="H71" s="149"/>
      <c r="I71" s="149"/>
      <c r="J71" s="83"/>
      <c r="K71" s="82"/>
      <c r="L71" s="82">
        <v>1</v>
      </c>
      <c r="M71" s="82"/>
      <c r="N71" s="83"/>
      <c r="O71" s="82"/>
      <c r="P71" s="82">
        <v>1</v>
      </c>
      <c r="Q71" s="82"/>
      <c r="R71" s="83"/>
      <c r="S71" s="149"/>
      <c r="T71" s="149"/>
      <c r="U71" s="149"/>
      <c r="V71" s="83"/>
      <c r="W71" s="149"/>
      <c r="X71" s="149"/>
      <c r="Y71" s="150"/>
    </row>
    <row r="72" spans="1:27" x14ac:dyDescent="0.3">
      <c r="A72" s="81" t="s">
        <v>521</v>
      </c>
      <c r="B72" s="81" t="s">
        <v>181</v>
      </c>
      <c r="C72" s="149"/>
      <c r="D72" s="149"/>
      <c r="E72" s="149"/>
      <c r="F72" s="83"/>
      <c r="G72" s="149"/>
      <c r="H72" s="149"/>
      <c r="I72" s="149"/>
      <c r="J72" s="83"/>
      <c r="K72" s="149"/>
      <c r="L72" s="149"/>
      <c r="M72" s="149"/>
      <c r="N72" s="83"/>
      <c r="O72" s="149"/>
      <c r="P72" s="149"/>
      <c r="Q72" s="149"/>
      <c r="R72" s="83"/>
      <c r="S72" s="149"/>
      <c r="T72" s="149"/>
      <c r="U72" s="149"/>
      <c r="V72" s="83"/>
      <c r="W72" s="149"/>
      <c r="X72" s="149"/>
      <c r="Y72" s="150"/>
    </row>
    <row r="73" spans="1:27" x14ac:dyDescent="0.3">
      <c r="A73" s="81" t="s">
        <v>944</v>
      </c>
      <c r="B73" s="81" t="s">
        <v>945</v>
      </c>
      <c r="C73" s="149"/>
      <c r="D73" s="149"/>
      <c r="E73" s="149"/>
      <c r="F73" s="83"/>
      <c r="G73" s="149"/>
      <c r="H73" s="149"/>
      <c r="I73" s="149"/>
      <c r="J73" s="83"/>
      <c r="K73" s="149"/>
      <c r="L73" s="149"/>
      <c r="M73" s="149"/>
      <c r="N73" s="83"/>
      <c r="O73" s="149"/>
      <c r="P73" s="149"/>
      <c r="Q73" s="149"/>
      <c r="R73" s="83"/>
      <c r="S73" s="149"/>
      <c r="T73" s="149"/>
      <c r="U73" s="149"/>
      <c r="V73" s="83"/>
      <c r="W73" s="149"/>
      <c r="X73" s="149"/>
      <c r="Y73" s="150"/>
    </row>
    <row r="74" spans="1:27" x14ac:dyDescent="0.3">
      <c r="A74" s="81" t="s">
        <v>522</v>
      </c>
      <c r="B74" s="81" t="s">
        <v>185</v>
      </c>
      <c r="C74" s="82"/>
      <c r="D74" s="82">
        <v>2</v>
      </c>
      <c r="E74" s="82"/>
      <c r="F74" s="83"/>
      <c r="G74" s="82">
        <v>2</v>
      </c>
      <c r="H74" s="82">
        <v>1</v>
      </c>
      <c r="I74" s="82"/>
      <c r="J74" s="83"/>
      <c r="K74" s="82">
        <v>1</v>
      </c>
      <c r="L74" s="82">
        <v>3</v>
      </c>
      <c r="M74" s="82"/>
      <c r="N74" s="83"/>
      <c r="O74" s="82">
        <v>1</v>
      </c>
      <c r="P74" s="82"/>
      <c r="Q74" s="82"/>
      <c r="R74" s="83"/>
      <c r="S74" s="82"/>
      <c r="T74" s="82">
        <v>1</v>
      </c>
      <c r="U74" s="82"/>
      <c r="V74" s="83"/>
      <c r="W74" s="149"/>
      <c r="X74" s="149"/>
      <c r="Y74" s="150"/>
    </row>
    <row r="75" spans="1:27" x14ac:dyDescent="0.3">
      <c r="A75" s="81" t="s">
        <v>522</v>
      </c>
      <c r="B75" s="81" t="s">
        <v>1077</v>
      </c>
      <c r="C75" s="82"/>
      <c r="D75" s="82"/>
      <c r="E75" s="82"/>
      <c r="F75" s="83"/>
      <c r="G75" s="82">
        <v>1</v>
      </c>
      <c r="H75" s="82"/>
      <c r="I75" s="82">
        <v>2</v>
      </c>
      <c r="J75" s="83"/>
      <c r="K75" s="82">
        <v>1</v>
      </c>
      <c r="L75" s="82"/>
      <c r="M75" s="82"/>
      <c r="N75" s="83"/>
      <c r="O75" s="149"/>
      <c r="P75" s="149"/>
      <c r="Q75" s="149"/>
      <c r="R75" s="83"/>
      <c r="S75" s="82"/>
      <c r="T75" s="82">
        <v>1</v>
      </c>
      <c r="U75" s="82"/>
      <c r="V75" s="83"/>
      <c r="W75" s="82"/>
      <c r="X75" s="82"/>
      <c r="Y75" s="84">
        <v>2</v>
      </c>
    </row>
    <row r="76" spans="1:27" x14ac:dyDescent="0.3">
      <c r="A76" s="81" t="s">
        <v>523</v>
      </c>
      <c r="B76" s="81" t="s">
        <v>52</v>
      </c>
      <c r="C76" s="149"/>
      <c r="D76" s="149"/>
      <c r="E76" s="149"/>
      <c r="F76" s="83"/>
      <c r="G76" s="149"/>
      <c r="H76" s="149"/>
      <c r="I76" s="149"/>
      <c r="J76" s="83"/>
      <c r="K76" s="149"/>
      <c r="L76" s="149"/>
      <c r="M76" s="149"/>
      <c r="N76" s="83"/>
      <c r="O76" s="149"/>
      <c r="P76" s="149"/>
      <c r="Q76" s="149"/>
      <c r="R76" s="83"/>
      <c r="S76" s="149"/>
      <c r="T76" s="149"/>
      <c r="U76" s="149"/>
      <c r="V76" s="83"/>
      <c r="W76" s="149"/>
      <c r="X76" s="149"/>
      <c r="Y76" s="150"/>
    </row>
    <row r="77" spans="1:27" x14ac:dyDescent="0.3">
      <c r="A77" s="81" t="s">
        <v>676</v>
      </c>
      <c r="B77" s="81" t="s">
        <v>677</v>
      </c>
      <c r="C77" s="149"/>
      <c r="D77" s="149"/>
      <c r="E77" s="149"/>
      <c r="F77" s="83"/>
      <c r="G77" s="149"/>
      <c r="H77" s="149"/>
      <c r="I77" s="149"/>
      <c r="J77" s="83"/>
      <c r="K77" s="149"/>
      <c r="L77" s="149"/>
      <c r="M77" s="149"/>
      <c r="N77" s="83"/>
      <c r="O77" s="149"/>
      <c r="P77" s="149"/>
      <c r="Q77" s="149"/>
      <c r="R77" s="83"/>
      <c r="S77" s="149"/>
      <c r="T77" s="149"/>
      <c r="U77" s="149"/>
      <c r="V77" s="83"/>
      <c r="W77" s="149"/>
      <c r="X77" s="149"/>
      <c r="Y77" s="150"/>
    </row>
    <row r="78" spans="1:27" x14ac:dyDescent="0.3">
      <c r="A78" s="81" t="s">
        <v>672</v>
      </c>
      <c r="B78" s="81" t="s">
        <v>673</v>
      </c>
      <c r="C78" s="149"/>
      <c r="D78" s="149"/>
      <c r="E78" s="149"/>
      <c r="F78" s="83"/>
      <c r="G78" s="149"/>
      <c r="H78" s="149"/>
      <c r="I78" s="149"/>
      <c r="J78" s="83"/>
      <c r="K78" s="149"/>
      <c r="L78" s="149"/>
      <c r="M78" s="149"/>
      <c r="N78" s="83"/>
      <c r="O78" s="149"/>
      <c r="P78" s="149"/>
      <c r="Q78" s="149"/>
      <c r="R78" s="83"/>
      <c r="S78" s="149"/>
      <c r="T78" s="149"/>
      <c r="U78" s="149"/>
      <c r="V78" s="83"/>
      <c r="W78" s="149"/>
      <c r="X78" s="149"/>
      <c r="Y78" s="150"/>
    </row>
    <row r="79" spans="1:27" x14ac:dyDescent="0.3">
      <c r="A79" s="81" t="s">
        <v>672</v>
      </c>
      <c r="B79" s="81" t="s">
        <v>1075</v>
      </c>
      <c r="C79" s="82">
        <v>2</v>
      </c>
      <c r="D79" s="82">
        <v>2</v>
      </c>
      <c r="E79" s="82">
        <v>2</v>
      </c>
      <c r="F79" s="83"/>
      <c r="G79" s="82">
        <v>1</v>
      </c>
      <c r="H79" s="82">
        <v>2</v>
      </c>
      <c r="I79" s="82">
        <v>2</v>
      </c>
      <c r="J79" s="83"/>
      <c r="K79" s="82"/>
      <c r="L79" s="82">
        <v>2</v>
      </c>
      <c r="M79" s="82"/>
      <c r="N79" s="83"/>
      <c r="O79" s="82"/>
      <c r="P79" s="82">
        <v>1</v>
      </c>
      <c r="Q79" s="82"/>
      <c r="R79" s="83"/>
      <c r="S79" s="82"/>
      <c r="T79" s="82">
        <v>1</v>
      </c>
      <c r="U79" s="82"/>
      <c r="V79" s="83"/>
      <c r="W79" s="82">
        <v>1</v>
      </c>
      <c r="X79" s="82">
        <v>1</v>
      </c>
      <c r="Y79" s="84"/>
    </row>
    <row r="80" spans="1:27" x14ac:dyDescent="0.3">
      <c r="A80" s="81" t="s">
        <v>524</v>
      </c>
      <c r="B80" s="81" t="s">
        <v>53</v>
      </c>
      <c r="C80" s="82"/>
      <c r="D80" s="82">
        <v>1</v>
      </c>
      <c r="E80" s="82"/>
      <c r="F80" s="83"/>
      <c r="G80" s="149"/>
      <c r="H80" s="149"/>
      <c r="I80" s="149"/>
      <c r="J80" s="83"/>
      <c r="K80" s="149"/>
      <c r="L80" s="149"/>
      <c r="M80" s="149"/>
      <c r="N80" s="83"/>
      <c r="O80" s="149"/>
      <c r="P80" s="149"/>
      <c r="Q80" s="149"/>
      <c r="R80" s="83"/>
      <c r="S80" s="149"/>
      <c r="T80" s="149"/>
      <c r="U80" s="149"/>
      <c r="V80" s="83"/>
      <c r="W80" s="149"/>
      <c r="X80" s="149"/>
      <c r="Y80" s="150"/>
    </row>
    <row r="81" spans="1:25" x14ac:dyDescent="0.3">
      <c r="A81" s="81" t="s">
        <v>525</v>
      </c>
      <c r="B81" s="81" t="s">
        <v>50</v>
      </c>
      <c r="C81" s="149"/>
      <c r="D81" s="149"/>
      <c r="E81" s="149"/>
      <c r="F81" s="83"/>
      <c r="G81" s="82">
        <v>1</v>
      </c>
      <c r="H81" s="82"/>
      <c r="I81" s="82"/>
      <c r="J81" s="83"/>
      <c r="K81" s="82">
        <v>2</v>
      </c>
      <c r="L81" s="82">
        <v>1</v>
      </c>
      <c r="M81" s="82">
        <v>2</v>
      </c>
      <c r="N81" s="83"/>
      <c r="O81" s="82">
        <v>1</v>
      </c>
      <c r="P81" s="82">
        <v>1</v>
      </c>
      <c r="Q81" s="82"/>
      <c r="R81" s="83"/>
      <c r="S81" s="82">
        <v>2</v>
      </c>
      <c r="T81" s="82"/>
      <c r="U81" s="82"/>
      <c r="V81" s="83"/>
      <c r="W81" s="82">
        <v>2</v>
      </c>
      <c r="X81" s="82"/>
      <c r="Y81" s="84"/>
    </row>
    <row r="82" spans="1:25" x14ac:dyDescent="0.3">
      <c r="A82" s="81" t="s">
        <v>786</v>
      </c>
      <c r="B82" s="81" t="s">
        <v>59</v>
      </c>
      <c r="C82" s="149"/>
      <c r="D82" s="149"/>
      <c r="E82" s="149"/>
      <c r="F82" s="83"/>
      <c r="G82" s="149"/>
      <c r="H82" s="149"/>
      <c r="I82" s="149"/>
      <c r="J82" s="83"/>
      <c r="K82" s="82">
        <v>1</v>
      </c>
      <c r="L82" s="82"/>
      <c r="M82" s="82"/>
      <c r="N82" s="83"/>
      <c r="O82" s="149"/>
      <c r="P82" s="149"/>
      <c r="Q82" s="149"/>
      <c r="R82" s="83"/>
      <c r="S82" s="149"/>
      <c r="T82" s="149"/>
      <c r="U82" s="149"/>
      <c r="V82" s="83"/>
      <c r="W82" s="149"/>
      <c r="X82" s="149"/>
      <c r="Y82" s="150"/>
    </row>
    <row r="83" spans="1:25" x14ac:dyDescent="0.3">
      <c r="A83" s="81" t="s">
        <v>674</v>
      </c>
      <c r="B83" s="81" t="s">
        <v>675</v>
      </c>
      <c r="C83" s="149"/>
      <c r="D83" s="149"/>
      <c r="E83" s="149"/>
      <c r="F83" s="83"/>
      <c r="G83" s="149"/>
      <c r="H83" s="149"/>
      <c r="I83" s="149"/>
      <c r="J83" s="83"/>
      <c r="K83" s="149"/>
      <c r="L83" s="149"/>
      <c r="M83" s="149"/>
      <c r="N83" s="83"/>
      <c r="O83" s="149"/>
      <c r="P83" s="149"/>
      <c r="Q83" s="149"/>
      <c r="R83" s="83"/>
      <c r="S83" s="149"/>
      <c r="T83" s="149"/>
      <c r="U83" s="149"/>
      <c r="V83" s="83"/>
      <c r="W83" s="149"/>
      <c r="X83" s="149"/>
      <c r="Y83" s="150"/>
    </row>
    <row r="84" spans="1:25" x14ac:dyDescent="0.3">
      <c r="A84" s="81" t="s">
        <v>674</v>
      </c>
      <c r="B84" s="81" t="s">
        <v>1076</v>
      </c>
      <c r="C84" s="82">
        <v>1</v>
      </c>
      <c r="D84" s="82"/>
      <c r="E84" s="82"/>
      <c r="F84" s="83"/>
      <c r="G84" s="149"/>
      <c r="H84" s="149"/>
      <c r="I84" s="149"/>
      <c r="J84" s="83"/>
      <c r="K84" s="149"/>
      <c r="L84" s="149"/>
      <c r="M84" s="149"/>
      <c r="N84" s="83"/>
      <c r="O84" s="149"/>
      <c r="P84" s="149"/>
      <c r="Q84" s="149"/>
      <c r="R84" s="83"/>
      <c r="S84" s="82">
        <v>1</v>
      </c>
      <c r="T84" s="82"/>
      <c r="U84" s="82"/>
      <c r="V84" s="83"/>
      <c r="W84" s="82"/>
      <c r="X84" s="82">
        <v>2</v>
      </c>
      <c r="Y84" s="84"/>
    </row>
    <row r="85" spans="1:25" x14ac:dyDescent="0.3">
      <c r="A85" s="81" t="s">
        <v>526</v>
      </c>
      <c r="B85" s="81" t="s">
        <v>278</v>
      </c>
      <c r="C85" s="149"/>
      <c r="D85" s="149"/>
      <c r="E85" s="149"/>
      <c r="F85" s="83"/>
      <c r="G85" s="149"/>
      <c r="H85" s="149"/>
      <c r="I85" s="149"/>
      <c r="J85" s="83"/>
      <c r="K85" s="149"/>
      <c r="L85" s="149"/>
      <c r="M85" s="149"/>
      <c r="N85" s="83"/>
      <c r="O85" s="149"/>
      <c r="P85" s="149"/>
      <c r="Q85" s="149"/>
      <c r="R85" s="83"/>
      <c r="S85" s="149"/>
      <c r="T85" s="149"/>
      <c r="U85" s="149"/>
      <c r="V85" s="83"/>
      <c r="W85" s="149"/>
      <c r="X85" s="149"/>
      <c r="Y85" s="150"/>
    </row>
    <row r="86" spans="1:25" x14ac:dyDescent="0.3">
      <c r="A86" s="81" t="s">
        <v>679</v>
      </c>
      <c r="B86" s="81" t="s">
        <v>680</v>
      </c>
      <c r="C86" s="149"/>
      <c r="D86" s="149"/>
      <c r="E86" s="149"/>
      <c r="F86" s="83"/>
      <c r="G86" s="82"/>
      <c r="H86" s="82">
        <v>3</v>
      </c>
      <c r="I86" s="82"/>
      <c r="J86" s="83"/>
      <c r="K86" s="82">
        <v>1</v>
      </c>
      <c r="L86" s="82"/>
      <c r="M86" s="82"/>
      <c r="N86" s="83"/>
      <c r="O86" s="149"/>
      <c r="P86" s="149"/>
      <c r="Q86" s="149"/>
      <c r="R86" s="83"/>
      <c r="S86" s="149"/>
      <c r="T86" s="149"/>
      <c r="U86" s="149"/>
      <c r="V86" s="83"/>
      <c r="W86" s="149"/>
      <c r="X86" s="149"/>
      <c r="Y86" s="150"/>
    </row>
    <row r="87" spans="1:25" x14ac:dyDescent="0.3">
      <c r="A87" s="81" t="s">
        <v>948</v>
      </c>
      <c r="B87" s="81" t="s">
        <v>949</v>
      </c>
      <c r="C87" s="82"/>
      <c r="D87" s="82"/>
      <c r="E87" s="82"/>
      <c r="F87" s="83"/>
      <c r="G87" s="149"/>
      <c r="H87" s="149"/>
      <c r="I87" s="149"/>
      <c r="J87" s="83"/>
      <c r="K87" s="149"/>
      <c r="L87" s="149"/>
      <c r="M87" s="149"/>
      <c r="N87" s="83"/>
      <c r="O87" s="149"/>
      <c r="P87" s="149"/>
      <c r="Q87" s="149"/>
      <c r="R87" s="83"/>
      <c r="S87" s="149"/>
      <c r="T87" s="149"/>
      <c r="U87" s="149"/>
      <c r="V87" s="83"/>
      <c r="W87" s="149"/>
      <c r="X87" s="149"/>
      <c r="Y87" s="150"/>
    </row>
    <row r="88" spans="1:25" x14ac:dyDescent="0.3">
      <c r="A88" s="81" t="s">
        <v>943</v>
      </c>
      <c r="B88" s="81" t="s">
        <v>942</v>
      </c>
      <c r="C88" s="82">
        <v>2</v>
      </c>
      <c r="D88" s="82"/>
      <c r="E88" s="82"/>
      <c r="F88" s="83"/>
      <c r="G88" s="82">
        <v>2</v>
      </c>
      <c r="H88" s="82"/>
      <c r="I88" s="82"/>
      <c r="J88" s="83"/>
      <c r="K88" s="149"/>
      <c r="L88" s="149"/>
      <c r="M88" s="149"/>
      <c r="N88" s="83"/>
      <c r="O88" s="149"/>
      <c r="P88" s="149"/>
      <c r="Q88" s="149"/>
      <c r="R88" s="83"/>
      <c r="S88" s="82">
        <v>2</v>
      </c>
      <c r="T88" s="82"/>
      <c r="U88" s="82"/>
      <c r="V88" s="83"/>
      <c r="W88" s="149"/>
      <c r="X88" s="149"/>
      <c r="Y88" s="150"/>
    </row>
    <row r="89" spans="1:25" x14ac:dyDescent="0.3">
      <c r="A89" s="81" t="s">
        <v>527</v>
      </c>
      <c r="B89" s="81" t="s">
        <v>56</v>
      </c>
      <c r="C89" s="149"/>
      <c r="D89" s="149"/>
      <c r="E89" s="149"/>
      <c r="F89" s="83"/>
      <c r="G89" s="149"/>
      <c r="H89" s="149"/>
      <c r="I89" s="149"/>
      <c r="J89" s="83"/>
      <c r="K89" s="149"/>
      <c r="L89" s="149"/>
      <c r="M89" s="149"/>
      <c r="N89" s="83"/>
      <c r="O89" s="149"/>
      <c r="P89" s="149"/>
      <c r="Q89" s="149"/>
      <c r="R89" s="83"/>
      <c r="S89" s="91"/>
      <c r="T89" s="91"/>
      <c r="U89" s="91"/>
      <c r="V89" s="83"/>
      <c r="W89" s="91"/>
      <c r="X89" s="91"/>
      <c r="Y89" s="152"/>
    </row>
    <row r="90" spans="1:25" x14ac:dyDescent="0.3">
      <c r="A90" s="81" t="s">
        <v>678</v>
      </c>
      <c r="B90" s="81" t="s">
        <v>55</v>
      </c>
      <c r="C90" s="91"/>
      <c r="D90" s="91"/>
      <c r="E90" s="91"/>
      <c r="F90" s="83"/>
      <c r="G90" s="149"/>
      <c r="H90" s="149"/>
      <c r="I90" s="149"/>
      <c r="J90" s="83"/>
      <c r="K90" s="149"/>
      <c r="L90" s="149"/>
      <c r="M90" s="149"/>
      <c r="N90" s="83"/>
      <c r="O90" s="91"/>
      <c r="P90" s="91"/>
      <c r="Q90" s="91"/>
      <c r="R90" s="83"/>
      <c r="S90" s="91"/>
      <c r="T90" s="91"/>
      <c r="U90" s="91"/>
      <c r="V90" s="83"/>
      <c r="W90" s="91"/>
      <c r="X90" s="91"/>
      <c r="Y90" s="152"/>
    </row>
    <row r="91" spans="1:25" x14ac:dyDescent="0.3">
      <c r="A91" s="81" t="s">
        <v>528</v>
      </c>
      <c r="B91" s="81" t="s">
        <v>279</v>
      </c>
      <c r="C91" s="149"/>
      <c r="D91" s="149"/>
      <c r="E91" s="149"/>
      <c r="F91" s="83"/>
      <c r="G91" s="82"/>
      <c r="H91" s="82">
        <v>1</v>
      </c>
      <c r="I91" s="82"/>
      <c r="J91" s="83"/>
      <c r="K91" s="82">
        <v>1</v>
      </c>
      <c r="L91" s="82"/>
      <c r="M91" s="82"/>
      <c r="N91" s="83"/>
      <c r="O91" s="149"/>
      <c r="P91" s="149"/>
      <c r="Q91" s="149"/>
      <c r="R91" s="83"/>
      <c r="S91" s="149"/>
      <c r="T91" s="149"/>
      <c r="U91" s="149"/>
      <c r="V91" s="83"/>
      <c r="W91" s="149"/>
      <c r="X91" s="149"/>
      <c r="Y91" s="150"/>
    </row>
    <row r="92" spans="1:25" x14ac:dyDescent="0.3">
      <c r="A92" s="81" t="s">
        <v>529</v>
      </c>
      <c r="B92" s="81" t="s">
        <v>532</v>
      </c>
      <c r="C92" s="91"/>
      <c r="D92" s="91"/>
      <c r="E92" s="91"/>
      <c r="F92" s="83"/>
      <c r="G92" s="149"/>
      <c r="H92" s="149"/>
      <c r="I92" s="149"/>
      <c r="J92" s="83"/>
      <c r="K92" s="149"/>
      <c r="L92" s="149"/>
      <c r="M92" s="149"/>
      <c r="N92" s="83"/>
      <c r="O92" s="82">
        <v>1</v>
      </c>
      <c r="P92" s="82"/>
      <c r="Q92" s="82"/>
      <c r="R92" s="83"/>
      <c r="S92" s="82"/>
      <c r="T92" s="82"/>
      <c r="U92" s="82">
        <v>2</v>
      </c>
      <c r="V92" s="83"/>
      <c r="W92" s="149"/>
      <c r="X92" s="149"/>
      <c r="Y92" s="150"/>
    </row>
    <row r="93" spans="1:25" x14ac:dyDescent="0.3">
      <c r="A93" s="81" t="s">
        <v>546</v>
      </c>
      <c r="B93" s="81" t="s">
        <v>531</v>
      </c>
      <c r="C93" s="149"/>
      <c r="D93" s="149"/>
      <c r="E93" s="149"/>
      <c r="F93" s="83"/>
      <c r="G93" s="149"/>
      <c r="H93" s="149"/>
      <c r="I93" s="149"/>
      <c r="J93" s="83"/>
      <c r="K93" s="149"/>
      <c r="L93" s="149"/>
      <c r="M93" s="149"/>
      <c r="N93" s="83"/>
      <c r="O93" s="149"/>
      <c r="P93" s="149"/>
      <c r="Q93" s="149"/>
      <c r="R93" s="83"/>
      <c r="S93" s="149"/>
      <c r="T93" s="149"/>
      <c r="U93" s="149"/>
      <c r="V93" s="83"/>
      <c r="W93" s="149"/>
      <c r="X93" s="149"/>
      <c r="Y93" s="150"/>
    </row>
    <row r="94" spans="1:25" x14ac:dyDescent="0.3">
      <c r="A94" s="81" t="s">
        <v>778</v>
      </c>
      <c r="B94" s="81" t="s">
        <v>941</v>
      </c>
      <c r="C94" s="82" t="s">
        <v>681</v>
      </c>
      <c r="D94" s="82">
        <v>0</v>
      </c>
      <c r="E94" s="82">
        <v>0</v>
      </c>
      <c r="F94" s="83"/>
      <c r="G94" s="82" t="s">
        <v>681</v>
      </c>
      <c r="H94" s="82">
        <v>0</v>
      </c>
      <c r="I94" s="82">
        <v>0</v>
      </c>
      <c r="J94" s="83"/>
      <c r="K94" s="82" t="s">
        <v>681</v>
      </c>
      <c r="L94" s="82">
        <v>0</v>
      </c>
      <c r="M94" s="82">
        <v>0</v>
      </c>
      <c r="N94" s="83"/>
      <c r="O94" s="82" t="s">
        <v>681</v>
      </c>
      <c r="P94" s="82">
        <v>0</v>
      </c>
      <c r="Q94" s="82">
        <v>0</v>
      </c>
      <c r="R94" s="83"/>
      <c r="S94" s="82" t="s">
        <v>681</v>
      </c>
      <c r="T94" s="82">
        <v>0</v>
      </c>
      <c r="U94" s="82">
        <v>0</v>
      </c>
      <c r="V94" s="83"/>
      <c r="W94" s="82" t="s">
        <v>681</v>
      </c>
      <c r="X94" s="82">
        <v>0</v>
      </c>
      <c r="Y94" s="84">
        <v>0</v>
      </c>
    </row>
    <row r="95" spans="1:25" x14ac:dyDescent="0.3">
      <c r="A95" s="81" t="s">
        <v>778</v>
      </c>
      <c r="B95" s="81" t="s">
        <v>779</v>
      </c>
      <c r="C95" s="149"/>
      <c r="D95" s="149"/>
      <c r="E95" s="149"/>
      <c r="F95" s="83"/>
      <c r="G95" s="149"/>
      <c r="H95" s="149"/>
      <c r="I95" s="149"/>
      <c r="J95" s="83"/>
      <c r="K95" s="149"/>
      <c r="L95" s="149"/>
      <c r="M95" s="149"/>
      <c r="N95" s="83"/>
      <c r="O95" s="149"/>
      <c r="P95" s="149"/>
      <c r="Q95" s="149"/>
      <c r="R95" s="83"/>
      <c r="S95" s="149"/>
      <c r="T95" s="149"/>
      <c r="U95" s="149"/>
      <c r="V95" s="83"/>
      <c r="W95" s="149"/>
      <c r="X95" s="149"/>
      <c r="Y95" s="150"/>
    </row>
    <row r="96" spans="1:25" x14ac:dyDescent="0.3">
      <c r="A96" s="16"/>
      <c r="B96" s="16"/>
      <c r="C96" s="220">
        <f>SUM(C69:C95)</f>
        <v>5</v>
      </c>
      <c r="D96" s="220">
        <f>SUM(D69:D95)</f>
        <v>5</v>
      </c>
      <c r="E96" s="220">
        <f>SUM(E69:E95)</f>
        <v>2</v>
      </c>
      <c r="F96" s="71"/>
      <c r="G96" s="220">
        <f>SUM(G69:G95)</f>
        <v>7</v>
      </c>
      <c r="H96" s="220">
        <f>SUM(H69:H95)</f>
        <v>7</v>
      </c>
      <c r="I96" s="220">
        <f>SUM(I69:I95)</f>
        <v>4</v>
      </c>
      <c r="J96" s="71"/>
      <c r="K96" s="220">
        <f>SUM(K69:K95)</f>
        <v>7</v>
      </c>
      <c r="L96" s="220">
        <f>SUM(L69:L95)</f>
        <v>7</v>
      </c>
      <c r="M96" s="220">
        <f>SUM(M69:M95)</f>
        <v>2</v>
      </c>
      <c r="N96" s="71"/>
      <c r="O96" s="220">
        <f>SUM(O69:O95)</f>
        <v>3</v>
      </c>
      <c r="P96" s="220">
        <f>SUM(P69:P95)</f>
        <v>3</v>
      </c>
      <c r="Q96" s="220">
        <f>SUM(Q69:Q95)</f>
        <v>0</v>
      </c>
      <c r="R96" s="71"/>
      <c r="S96" s="220">
        <f>SUM(S69:S95)</f>
        <v>5</v>
      </c>
      <c r="T96" s="220">
        <f>SUM(T69:T95)</f>
        <v>3</v>
      </c>
      <c r="U96" s="220">
        <f>SUM(U69:U95)</f>
        <v>2</v>
      </c>
      <c r="V96" s="71"/>
      <c r="W96" s="220">
        <f>SUM(W69:W95)</f>
        <v>3</v>
      </c>
      <c r="X96" s="220">
        <f>SUM(X69:X95)</f>
        <v>3</v>
      </c>
      <c r="Y96" s="220">
        <f>SUM(Y69:Y95)</f>
        <v>2</v>
      </c>
    </row>
    <row r="98" spans="1:27" ht="15" thickBot="1" x14ac:dyDescent="0.35"/>
    <row r="99" spans="1:27" x14ac:dyDescent="0.3">
      <c r="A99" s="16"/>
      <c r="B99" s="16" t="s">
        <v>547</v>
      </c>
      <c r="C99" s="76">
        <v>13</v>
      </c>
      <c r="D99" s="76"/>
      <c r="E99" s="76"/>
      <c r="F99" s="77"/>
      <c r="G99" s="76">
        <v>14</v>
      </c>
      <c r="H99" s="76"/>
      <c r="I99" s="76"/>
      <c r="J99" s="77"/>
      <c r="K99" s="76">
        <v>15</v>
      </c>
      <c r="L99" s="76"/>
      <c r="M99" s="76"/>
      <c r="N99" s="77"/>
      <c r="O99" s="76">
        <v>16</v>
      </c>
      <c r="P99" s="76"/>
      <c r="Q99" s="76"/>
      <c r="R99" s="77"/>
      <c r="S99" s="76">
        <v>17</v>
      </c>
      <c r="T99" s="76"/>
      <c r="U99" s="76"/>
      <c r="V99" s="77"/>
      <c r="W99" s="76">
        <v>18</v>
      </c>
      <c r="X99" s="16"/>
      <c r="Y99" s="16"/>
      <c r="Z99" s="75"/>
      <c r="AA99" s="16"/>
    </row>
    <row r="100" spans="1:27" x14ac:dyDescent="0.3">
      <c r="A100" s="16"/>
      <c r="B100" s="16"/>
      <c r="C100" s="16" t="s">
        <v>1047</v>
      </c>
      <c r="D100" s="16"/>
      <c r="E100" s="16"/>
      <c r="F100" s="67"/>
      <c r="G100" s="16" t="s">
        <v>1053</v>
      </c>
      <c r="H100" s="16"/>
      <c r="I100" s="16"/>
      <c r="J100" s="67"/>
      <c r="K100" s="16" t="s">
        <v>1057</v>
      </c>
      <c r="L100" s="16"/>
      <c r="M100" s="16"/>
      <c r="N100" s="67"/>
      <c r="O100" s="16" t="s">
        <v>1060</v>
      </c>
      <c r="P100" s="16"/>
      <c r="Q100" s="16"/>
      <c r="R100" s="67"/>
      <c r="S100" s="16" t="s">
        <v>1064</v>
      </c>
      <c r="T100" s="16"/>
      <c r="U100" s="16"/>
      <c r="V100" s="67"/>
      <c r="W100" s="16" t="s">
        <v>1068</v>
      </c>
      <c r="X100" s="16"/>
      <c r="Y100" s="16"/>
      <c r="Z100" s="67"/>
      <c r="AA100" s="16"/>
    </row>
    <row r="101" spans="1:27" x14ac:dyDescent="0.3">
      <c r="A101" s="16"/>
      <c r="B101" s="16"/>
      <c r="C101" s="156" t="s">
        <v>1048</v>
      </c>
      <c r="D101" s="16"/>
      <c r="E101" s="16"/>
      <c r="F101" s="67"/>
      <c r="G101" s="156" t="s">
        <v>1054</v>
      </c>
      <c r="H101" s="16"/>
      <c r="I101" s="16"/>
      <c r="J101" s="67"/>
      <c r="K101" s="156" t="s">
        <v>1054</v>
      </c>
      <c r="L101" s="16"/>
      <c r="M101" s="16"/>
      <c r="N101" s="67"/>
      <c r="O101" s="156" t="s">
        <v>1061</v>
      </c>
      <c r="P101" s="16"/>
      <c r="Q101" s="16"/>
      <c r="R101" s="67"/>
      <c r="S101" s="156" t="s">
        <v>1065</v>
      </c>
      <c r="T101" s="16"/>
      <c r="U101" s="16"/>
      <c r="V101" s="67"/>
      <c r="W101" s="156" t="s">
        <v>1065</v>
      </c>
      <c r="X101" s="16"/>
      <c r="Y101" s="16"/>
      <c r="Z101" s="67"/>
      <c r="AA101" s="16"/>
    </row>
    <row r="102" spans="1:27" x14ac:dyDescent="0.3">
      <c r="A102" s="16"/>
      <c r="B102" s="16"/>
      <c r="C102" s="16" t="s">
        <v>1049</v>
      </c>
      <c r="D102" s="16"/>
      <c r="E102" s="16"/>
      <c r="F102" s="67"/>
      <c r="G102" s="16" t="s">
        <v>579</v>
      </c>
      <c r="H102" s="16"/>
      <c r="I102" s="16"/>
      <c r="J102" s="67"/>
      <c r="K102" s="16" t="s">
        <v>579</v>
      </c>
      <c r="L102" s="16"/>
      <c r="M102" s="16"/>
      <c r="N102" s="67"/>
      <c r="O102" s="16" t="s">
        <v>1062</v>
      </c>
      <c r="P102" s="16"/>
      <c r="Q102" s="16"/>
      <c r="R102" s="67"/>
      <c r="S102" s="16" t="s">
        <v>579</v>
      </c>
      <c r="T102" s="16"/>
      <c r="U102" s="16"/>
      <c r="V102" s="67"/>
      <c r="W102" s="16" t="s">
        <v>579</v>
      </c>
      <c r="X102" s="16"/>
      <c r="Y102" s="16"/>
      <c r="Z102" s="67"/>
      <c r="AA102" s="16"/>
    </row>
    <row r="103" spans="1:27" x14ac:dyDescent="0.3">
      <c r="A103" s="1"/>
      <c r="B103" s="1"/>
      <c r="C103" s="165" t="s">
        <v>39</v>
      </c>
      <c r="D103" s="85" t="s">
        <v>1050</v>
      </c>
      <c r="E103" s="1"/>
      <c r="F103" s="68"/>
      <c r="G103" s="165" t="s">
        <v>891</v>
      </c>
      <c r="H103" s="85" t="s">
        <v>1055</v>
      </c>
      <c r="I103" s="1"/>
      <c r="J103" s="68"/>
      <c r="K103" s="165" t="s">
        <v>1058</v>
      </c>
      <c r="L103" s="85" t="s">
        <v>1059</v>
      </c>
      <c r="M103" s="1"/>
      <c r="N103" s="68"/>
      <c r="O103" s="164" t="s">
        <v>508</v>
      </c>
      <c r="P103" s="225" t="s">
        <v>1063</v>
      </c>
      <c r="Q103" s="1"/>
      <c r="R103" s="68"/>
      <c r="S103" s="166" t="s">
        <v>1066</v>
      </c>
      <c r="T103" s="225" t="s">
        <v>1067</v>
      </c>
      <c r="U103" s="1"/>
      <c r="V103" s="68"/>
      <c r="W103" s="165" t="s">
        <v>1069</v>
      </c>
      <c r="X103" s="1" t="s">
        <v>1070</v>
      </c>
      <c r="Y103" s="1"/>
      <c r="Z103" s="68"/>
      <c r="AA103" s="1"/>
    </row>
    <row r="105" spans="1:27" x14ac:dyDescent="0.3">
      <c r="C105" t="s">
        <v>537</v>
      </c>
      <c r="G105" t="s">
        <v>537</v>
      </c>
      <c r="K105" t="s">
        <v>537</v>
      </c>
      <c r="O105" t="s">
        <v>537</v>
      </c>
      <c r="S105" t="s">
        <v>537</v>
      </c>
      <c r="W105" t="s">
        <v>537</v>
      </c>
    </row>
    <row r="106" spans="1:27" x14ac:dyDescent="0.3">
      <c r="C106" t="s">
        <v>1051</v>
      </c>
      <c r="E106" t="s">
        <v>1052</v>
      </c>
      <c r="G106" t="s">
        <v>804</v>
      </c>
      <c r="I106" t="s">
        <v>1056</v>
      </c>
      <c r="K106" t="s">
        <v>107</v>
      </c>
      <c r="M106" t="s">
        <v>540</v>
      </c>
      <c r="O106" t="s">
        <v>107</v>
      </c>
      <c r="S106" t="s">
        <v>107</v>
      </c>
      <c r="U106" t="s">
        <v>540</v>
      </c>
      <c r="W106" t="s">
        <v>805</v>
      </c>
      <c r="Y106" t="s">
        <v>540</v>
      </c>
    </row>
    <row r="108" spans="1:27" x14ac:dyDescent="0.3">
      <c r="C108" t="s">
        <v>543</v>
      </c>
      <c r="G108" t="s">
        <v>543</v>
      </c>
      <c r="K108" t="s">
        <v>543</v>
      </c>
      <c r="O108" t="s">
        <v>543</v>
      </c>
      <c r="S108" t="s">
        <v>543</v>
      </c>
      <c r="W108" t="s">
        <v>543</v>
      </c>
    </row>
    <row r="109" spans="1:27" x14ac:dyDescent="0.3">
      <c r="C109" t="s">
        <v>911</v>
      </c>
      <c r="E109" t="s">
        <v>647</v>
      </c>
      <c r="G109" t="s">
        <v>805</v>
      </c>
      <c r="K109" s="116" t="s">
        <v>1051</v>
      </c>
      <c r="O109" t="s">
        <v>501</v>
      </c>
      <c r="S109" s="116" t="s">
        <v>805</v>
      </c>
      <c r="W109" s="116" t="s">
        <v>501</v>
      </c>
    </row>
    <row r="112" spans="1:27" ht="15" thickBot="1" x14ac:dyDescent="0.35">
      <c r="A112" s="60" t="s">
        <v>517</v>
      </c>
      <c r="B112" s="60"/>
      <c r="C112" s="61" t="s">
        <v>533</v>
      </c>
      <c r="D112" s="61" t="s">
        <v>534</v>
      </c>
      <c r="E112" s="61" t="s">
        <v>535</v>
      </c>
      <c r="F112" s="69"/>
      <c r="G112" s="61" t="s">
        <v>533</v>
      </c>
      <c r="H112" s="61" t="s">
        <v>534</v>
      </c>
      <c r="I112" s="61" t="s">
        <v>535</v>
      </c>
      <c r="J112" s="69"/>
      <c r="K112" s="61" t="s">
        <v>533</v>
      </c>
      <c r="L112" s="61" t="s">
        <v>534</v>
      </c>
      <c r="M112" s="61" t="s">
        <v>535</v>
      </c>
      <c r="N112" s="69"/>
      <c r="O112" s="61" t="s">
        <v>533</v>
      </c>
      <c r="P112" s="61" t="s">
        <v>534</v>
      </c>
      <c r="Q112" s="61" t="s">
        <v>535</v>
      </c>
      <c r="R112" s="69"/>
      <c r="S112" s="61" t="s">
        <v>533</v>
      </c>
      <c r="T112" s="61" t="s">
        <v>534</v>
      </c>
      <c r="U112" s="61" t="s">
        <v>535</v>
      </c>
      <c r="V112" s="69"/>
      <c r="W112" s="61" t="s">
        <v>533</v>
      </c>
      <c r="X112" s="61" t="s">
        <v>534</v>
      </c>
      <c r="Y112" s="61" t="s">
        <v>535</v>
      </c>
      <c r="Z112" s="67"/>
      <c r="AA112" s="16"/>
    </row>
    <row r="113" spans="1:27" ht="3.75" customHeight="1" thickBot="1" x14ac:dyDescent="0.35">
      <c r="A113" s="62"/>
      <c r="B113" s="62"/>
      <c r="C113" s="63"/>
      <c r="D113" s="63"/>
      <c r="E113" s="63"/>
      <c r="F113" s="64"/>
      <c r="G113" s="63"/>
      <c r="H113" s="63"/>
      <c r="I113" s="63"/>
      <c r="J113" s="64"/>
      <c r="K113" s="63"/>
      <c r="L113" s="63"/>
      <c r="M113" s="63"/>
      <c r="N113" s="64"/>
      <c r="O113" s="63"/>
      <c r="P113" s="63"/>
      <c r="Q113" s="63"/>
      <c r="R113" s="64"/>
      <c r="S113" s="63"/>
      <c r="T113" s="63"/>
      <c r="U113" s="63"/>
      <c r="V113" s="64"/>
      <c r="W113" s="63"/>
      <c r="X113" s="63"/>
      <c r="Y113" s="63"/>
      <c r="Z113" s="65"/>
      <c r="AA113" s="16"/>
    </row>
    <row r="114" spans="1:27" x14ac:dyDescent="0.3">
      <c r="A114" s="78" t="s">
        <v>518</v>
      </c>
      <c r="B114" s="78" t="s">
        <v>48</v>
      </c>
      <c r="C114" s="221"/>
      <c r="D114" s="221"/>
      <c r="E114" s="221"/>
      <c r="F114" s="80"/>
      <c r="G114" s="221"/>
      <c r="H114" s="221"/>
      <c r="I114" s="221"/>
      <c r="J114" s="80"/>
      <c r="K114" s="221"/>
      <c r="L114" s="221"/>
      <c r="M114" s="221"/>
      <c r="N114" s="80"/>
      <c r="O114" s="221"/>
      <c r="P114" s="221"/>
      <c r="Q114" s="221"/>
      <c r="R114" s="80"/>
      <c r="S114" s="221"/>
      <c r="T114" s="221"/>
      <c r="U114" s="221"/>
      <c r="V114" s="80"/>
      <c r="W114" s="221"/>
      <c r="X114" s="221"/>
      <c r="Y114" s="222"/>
      <c r="Z114" s="72"/>
    </row>
    <row r="115" spans="1:27" x14ac:dyDescent="0.3">
      <c r="A115" s="81" t="s">
        <v>519</v>
      </c>
      <c r="B115" s="81" t="s">
        <v>54</v>
      </c>
      <c r="C115" s="149"/>
      <c r="D115" s="149"/>
      <c r="E115" s="149"/>
      <c r="F115" s="83"/>
      <c r="G115" s="149"/>
      <c r="H115" s="149"/>
      <c r="I115" s="149"/>
      <c r="J115" s="83"/>
      <c r="K115" s="149"/>
      <c r="L115" s="149"/>
      <c r="M115" s="149"/>
      <c r="N115" s="83"/>
      <c r="O115" s="82"/>
      <c r="P115" s="82"/>
      <c r="Q115" s="82"/>
      <c r="R115" s="83"/>
      <c r="S115" s="149"/>
      <c r="T115" s="149"/>
      <c r="U115" s="149"/>
      <c r="V115" s="83"/>
      <c r="W115" s="149"/>
      <c r="X115" s="149"/>
      <c r="Y115" s="150"/>
    </row>
    <row r="116" spans="1:27" x14ac:dyDescent="0.3">
      <c r="A116" s="81" t="s">
        <v>520</v>
      </c>
      <c r="B116" s="81" t="s">
        <v>530</v>
      </c>
      <c r="C116" s="82"/>
      <c r="D116" s="82">
        <v>2</v>
      </c>
      <c r="E116" s="82"/>
      <c r="F116" s="83"/>
      <c r="G116" s="149"/>
      <c r="H116" s="149"/>
      <c r="I116" s="149"/>
      <c r="J116" s="83"/>
      <c r="K116" s="149"/>
      <c r="L116" s="149"/>
      <c r="M116" s="149"/>
      <c r="N116" s="83"/>
      <c r="O116" s="82"/>
      <c r="P116" s="82"/>
      <c r="Q116" s="82"/>
      <c r="R116" s="83"/>
      <c r="S116" s="82">
        <v>1</v>
      </c>
      <c r="T116" s="82"/>
      <c r="U116" s="82"/>
      <c r="V116" s="83"/>
      <c r="W116" s="149"/>
      <c r="X116" s="149"/>
      <c r="Y116" s="150"/>
    </row>
    <row r="117" spans="1:27" x14ac:dyDescent="0.3">
      <c r="A117" s="81" t="s">
        <v>521</v>
      </c>
      <c r="B117" s="81" t="s">
        <v>181</v>
      </c>
      <c r="C117" s="149"/>
      <c r="D117" s="149"/>
      <c r="E117" s="149"/>
      <c r="F117" s="83"/>
      <c r="G117" s="149"/>
      <c r="H117" s="149"/>
      <c r="I117" s="149"/>
      <c r="J117" s="83"/>
      <c r="K117" s="149"/>
      <c r="L117" s="149"/>
      <c r="M117" s="149"/>
      <c r="N117" s="83"/>
      <c r="O117" s="149"/>
      <c r="P117" s="149"/>
      <c r="Q117" s="149"/>
      <c r="R117" s="83"/>
      <c r="S117" s="149"/>
      <c r="T117" s="149"/>
      <c r="U117" s="149"/>
      <c r="V117" s="83"/>
      <c r="W117" s="149"/>
      <c r="X117" s="149"/>
      <c r="Y117" s="150"/>
    </row>
    <row r="118" spans="1:27" x14ac:dyDescent="0.3">
      <c r="A118" s="81" t="s">
        <v>944</v>
      </c>
      <c r="B118" s="81" t="s">
        <v>945</v>
      </c>
      <c r="C118" s="149"/>
      <c r="D118" s="149"/>
      <c r="E118" s="149"/>
      <c r="F118" s="83"/>
      <c r="G118" s="149"/>
      <c r="H118" s="149"/>
      <c r="I118" s="149"/>
      <c r="J118" s="83"/>
      <c r="K118" s="149"/>
      <c r="L118" s="149"/>
      <c r="M118" s="149"/>
      <c r="N118" s="83"/>
      <c r="O118" s="149"/>
      <c r="P118" s="149"/>
      <c r="Q118" s="149"/>
      <c r="R118" s="83"/>
      <c r="S118" s="149"/>
      <c r="T118" s="149"/>
      <c r="U118" s="149"/>
      <c r="V118" s="83"/>
      <c r="W118" s="149"/>
      <c r="X118" s="149"/>
      <c r="Y118" s="150"/>
    </row>
    <row r="119" spans="1:27" x14ac:dyDescent="0.3">
      <c r="A119" s="81" t="s">
        <v>522</v>
      </c>
      <c r="B119" s="81" t="s">
        <v>185</v>
      </c>
      <c r="C119" s="82">
        <v>1</v>
      </c>
      <c r="D119" s="82">
        <v>1</v>
      </c>
      <c r="E119" s="82">
        <v>2</v>
      </c>
      <c r="F119" s="83"/>
      <c r="G119" s="82">
        <v>5</v>
      </c>
      <c r="H119" s="82">
        <v>1</v>
      </c>
      <c r="I119" s="82"/>
      <c r="J119" s="83"/>
      <c r="K119" s="149"/>
      <c r="L119" s="149"/>
      <c r="M119" s="149"/>
      <c r="N119" s="83"/>
      <c r="O119" s="82"/>
      <c r="P119" s="82">
        <v>2</v>
      </c>
      <c r="Q119" s="82"/>
      <c r="R119" s="83"/>
      <c r="S119" s="82">
        <v>2</v>
      </c>
      <c r="T119" s="82">
        <v>3</v>
      </c>
      <c r="U119" s="82"/>
      <c r="V119" s="83"/>
      <c r="W119" s="82"/>
      <c r="X119" s="82">
        <v>4</v>
      </c>
      <c r="Y119" s="84"/>
    </row>
    <row r="120" spans="1:27" x14ac:dyDescent="0.3">
      <c r="A120" s="81" t="s">
        <v>522</v>
      </c>
      <c r="B120" s="81" t="s">
        <v>1077</v>
      </c>
      <c r="C120" s="82"/>
      <c r="D120" s="82">
        <v>1</v>
      </c>
      <c r="E120" s="82"/>
      <c r="F120" s="83"/>
      <c r="G120" s="82"/>
      <c r="H120" s="82">
        <v>1</v>
      </c>
      <c r="I120" s="82">
        <v>2</v>
      </c>
      <c r="J120" s="83"/>
      <c r="K120" s="82">
        <v>2</v>
      </c>
      <c r="L120" s="82"/>
      <c r="M120" s="82"/>
      <c r="N120" s="83"/>
      <c r="O120" s="82"/>
      <c r="P120" s="82"/>
      <c r="Q120" s="82"/>
      <c r="R120" s="83"/>
      <c r="S120" s="82">
        <v>2</v>
      </c>
      <c r="T120" s="82"/>
      <c r="U120" s="82"/>
      <c r="V120" s="83"/>
      <c r="W120" s="82">
        <v>4</v>
      </c>
      <c r="X120" s="82">
        <v>1</v>
      </c>
      <c r="Y120" s="84">
        <v>2</v>
      </c>
    </row>
    <row r="121" spans="1:27" x14ac:dyDescent="0.3">
      <c r="A121" s="81" t="s">
        <v>523</v>
      </c>
      <c r="B121" s="81" t="s">
        <v>52</v>
      </c>
      <c r="C121" s="149"/>
      <c r="D121" s="149"/>
      <c r="E121" s="149"/>
      <c r="F121" s="83"/>
      <c r="G121" s="149"/>
      <c r="H121" s="149"/>
      <c r="I121" s="149"/>
      <c r="J121" s="83"/>
      <c r="K121" s="149"/>
      <c r="L121" s="149"/>
      <c r="M121" s="149"/>
      <c r="N121" s="83"/>
      <c r="O121" s="149"/>
      <c r="P121" s="149"/>
      <c r="Q121" s="149"/>
      <c r="R121" s="83"/>
      <c r="S121" s="149"/>
      <c r="T121" s="149"/>
      <c r="U121" s="149"/>
      <c r="V121" s="83"/>
      <c r="W121" s="149"/>
      <c r="X121" s="149"/>
      <c r="Y121" s="150"/>
    </row>
    <row r="122" spans="1:27" x14ac:dyDescent="0.3">
      <c r="A122" s="81" t="s">
        <v>676</v>
      </c>
      <c r="B122" s="81" t="s">
        <v>677</v>
      </c>
      <c r="C122" s="149"/>
      <c r="D122" s="149"/>
      <c r="E122" s="149"/>
      <c r="F122" s="83"/>
      <c r="G122" s="149"/>
      <c r="H122" s="149"/>
      <c r="I122" s="149"/>
      <c r="J122" s="83"/>
      <c r="K122" s="149"/>
      <c r="L122" s="149"/>
      <c r="M122" s="149"/>
      <c r="N122" s="83"/>
      <c r="O122" s="149"/>
      <c r="P122" s="149"/>
      <c r="Q122" s="149"/>
      <c r="R122" s="83"/>
      <c r="S122" s="149"/>
      <c r="T122" s="149"/>
      <c r="U122" s="149"/>
      <c r="V122" s="83"/>
      <c r="W122" s="149"/>
      <c r="X122" s="149"/>
      <c r="Y122" s="150"/>
    </row>
    <row r="123" spans="1:27" x14ac:dyDescent="0.3">
      <c r="A123" s="81" t="s">
        <v>672</v>
      </c>
      <c r="B123" s="81" t="s">
        <v>673</v>
      </c>
      <c r="C123" s="149"/>
      <c r="D123" s="149"/>
      <c r="E123" s="149"/>
      <c r="F123" s="83"/>
      <c r="G123" s="149"/>
      <c r="H123" s="149"/>
      <c r="I123" s="149"/>
      <c r="J123" s="83"/>
      <c r="K123" s="149"/>
      <c r="L123" s="149"/>
      <c r="M123" s="149"/>
      <c r="N123" s="83"/>
      <c r="O123" s="149"/>
      <c r="P123" s="149"/>
      <c r="Q123" s="149"/>
      <c r="R123" s="83"/>
      <c r="S123" s="149"/>
      <c r="T123" s="149"/>
      <c r="U123" s="149"/>
      <c r="V123" s="83"/>
      <c r="W123" s="149"/>
      <c r="X123" s="149"/>
      <c r="Y123" s="150"/>
    </row>
    <row r="124" spans="1:27" x14ac:dyDescent="0.3">
      <c r="A124" s="81" t="s">
        <v>672</v>
      </c>
      <c r="B124" s="81" t="s">
        <v>1075</v>
      </c>
      <c r="C124" s="82">
        <v>4</v>
      </c>
      <c r="D124" s="82"/>
      <c r="E124" s="82">
        <v>2</v>
      </c>
      <c r="F124" s="83"/>
      <c r="G124" s="82">
        <v>1</v>
      </c>
      <c r="H124" s="82">
        <v>3</v>
      </c>
      <c r="I124" s="82">
        <v>4</v>
      </c>
      <c r="J124" s="83"/>
      <c r="K124" s="82"/>
      <c r="L124" s="82">
        <v>1</v>
      </c>
      <c r="M124" s="82"/>
      <c r="N124" s="83"/>
      <c r="O124" s="82">
        <v>2</v>
      </c>
      <c r="P124" s="82"/>
      <c r="Q124" s="82"/>
      <c r="R124" s="83"/>
      <c r="S124" s="82">
        <v>1</v>
      </c>
      <c r="T124" s="82"/>
      <c r="U124" s="82"/>
      <c r="V124" s="83"/>
      <c r="W124" s="82">
        <v>2</v>
      </c>
      <c r="X124" s="82">
        <v>2</v>
      </c>
      <c r="Y124" s="84">
        <v>2</v>
      </c>
    </row>
    <row r="125" spans="1:27" x14ac:dyDescent="0.3">
      <c r="A125" s="81" t="s">
        <v>524</v>
      </c>
      <c r="B125" s="81" t="s">
        <v>53</v>
      </c>
      <c r="C125" s="82"/>
      <c r="D125" s="82">
        <v>1</v>
      </c>
      <c r="E125" s="82"/>
      <c r="F125" s="83"/>
      <c r="G125" s="82">
        <v>1</v>
      </c>
      <c r="H125" s="82"/>
      <c r="I125" s="82"/>
      <c r="J125" s="83"/>
      <c r="K125" s="149"/>
      <c r="L125" s="149"/>
      <c r="M125" s="149"/>
      <c r="N125" s="83"/>
      <c r="O125" s="149"/>
      <c r="P125" s="149"/>
      <c r="Q125" s="149"/>
      <c r="R125" s="83"/>
      <c r="S125" s="149"/>
      <c r="T125" s="149"/>
      <c r="U125" s="149"/>
      <c r="V125" s="83"/>
      <c r="W125" s="149"/>
      <c r="X125" s="149"/>
      <c r="Y125" s="150"/>
    </row>
    <row r="126" spans="1:27" x14ac:dyDescent="0.3">
      <c r="A126" s="81" t="s">
        <v>525</v>
      </c>
      <c r="B126" s="81" t="s">
        <v>50</v>
      </c>
      <c r="C126" s="82">
        <v>1</v>
      </c>
      <c r="D126" s="82"/>
      <c r="E126" s="82"/>
      <c r="F126" s="83"/>
      <c r="G126" s="82">
        <v>3</v>
      </c>
      <c r="H126" s="82"/>
      <c r="I126" s="82"/>
      <c r="J126" s="83"/>
      <c r="K126" s="82">
        <v>2</v>
      </c>
      <c r="L126" s="82"/>
      <c r="M126" s="82"/>
      <c r="N126" s="83"/>
      <c r="O126" s="149"/>
      <c r="P126" s="149"/>
      <c r="Q126" s="149"/>
      <c r="R126" s="83"/>
      <c r="S126" s="149"/>
      <c r="T126" s="149"/>
      <c r="U126" s="149"/>
      <c r="V126" s="83"/>
      <c r="W126" s="82">
        <v>2</v>
      </c>
      <c r="X126" s="82"/>
      <c r="Y126" s="84"/>
    </row>
    <row r="127" spans="1:27" x14ac:dyDescent="0.3">
      <c r="A127" s="81" t="s">
        <v>786</v>
      </c>
      <c r="B127" s="81" t="s">
        <v>59</v>
      </c>
      <c r="C127" s="149"/>
      <c r="D127" s="149"/>
      <c r="E127" s="149"/>
      <c r="F127" s="83"/>
      <c r="G127" s="149"/>
      <c r="H127" s="149"/>
      <c r="I127" s="149"/>
      <c r="J127" s="83"/>
      <c r="K127" s="149"/>
      <c r="L127" s="149"/>
      <c r="M127" s="149"/>
      <c r="N127" s="83"/>
      <c r="O127" s="149"/>
      <c r="P127" s="149"/>
      <c r="Q127" s="149"/>
      <c r="R127" s="83"/>
      <c r="S127" s="149"/>
      <c r="T127" s="149"/>
      <c r="U127" s="149"/>
      <c r="V127" s="83"/>
      <c r="W127" s="149"/>
      <c r="X127" s="149"/>
      <c r="Y127" s="150"/>
    </row>
    <row r="128" spans="1:27" x14ac:dyDescent="0.3">
      <c r="A128" s="81" t="s">
        <v>674</v>
      </c>
      <c r="B128" s="81" t="s">
        <v>675</v>
      </c>
      <c r="C128" s="149"/>
      <c r="D128" s="149"/>
      <c r="E128" s="149"/>
      <c r="F128" s="83"/>
      <c r="G128" s="149"/>
      <c r="H128" s="149"/>
      <c r="I128" s="149"/>
      <c r="J128" s="83"/>
      <c r="K128" s="149"/>
      <c r="L128" s="149"/>
      <c r="M128" s="149"/>
      <c r="N128" s="83"/>
      <c r="O128" s="149"/>
      <c r="P128" s="149"/>
      <c r="Q128" s="149"/>
      <c r="R128" s="83"/>
      <c r="S128" s="149"/>
      <c r="T128" s="149"/>
      <c r="U128" s="149"/>
      <c r="V128" s="83"/>
      <c r="W128" s="149"/>
      <c r="X128" s="149"/>
      <c r="Y128" s="150"/>
    </row>
    <row r="129" spans="1:25" x14ac:dyDescent="0.3">
      <c r="A129" s="81" t="s">
        <v>674</v>
      </c>
      <c r="B129" s="81" t="s">
        <v>1076</v>
      </c>
      <c r="C129" s="82"/>
      <c r="D129" s="82">
        <v>1</v>
      </c>
      <c r="E129" s="82"/>
      <c r="F129" s="83"/>
      <c r="G129" s="149"/>
      <c r="H129" s="149"/>
      <c r="I129" s="149"/>
      <c r="J129" s="83"/>
      <c r="K129" s="149"/>
      <c r="L129" s="149"/>
      <c r="M129" s="149"/>
      <c r="N129" s="83"/>
      <c r="O129" s="82"/>
      <c r="P129" s="82"/>
      <c r="Q129" s="82"/>
      <c r="R129" s="83"/>
      <c r="S129" s="149"/>
      <c r="T129" s="149"/>
      <c r="U129" s="149"/>
      <c r="V129" s="83"/>
      <c r="W129" s="149"/>
      <c r="X129" s="149"/>
      <c r="Y129" s="150"/>
    </row>
    <row r="130" spans="1:25" x14ac:dyDescent="0.3">
      <c r="A130" s="81" t="s">
        <v>526</v>
      </c>
      <c r="B130" s="81" t="s">
        <v>278</v>
      </c>
      <c r="C130" s="149"/>
      <c r="D130" s="149"/>
      <c r="E130" s="149"/>
      <c r="F130" s="83"/>
      <c r="G130" s="149"/>
      <c r="H130" s="149"/>
      <c r="I130" s="149"/>
      <c r="J130" s="83"/>
      <c r="K130" s="149"/>
      <c r="L130" s="149"/>
      <c r="M130" s="149"/>
      <c r="N130" s="83"/>
      <c r="O130" s="149"/>
      <c r="P130" s="149"/>
      <c r="Q130" s="149"/>
      <c r="R130" s="83"/>
      <c r="S130" s="149"/>
      <c r="T130" s="149"/>
      <c r="U130" s="149"/>
      <c r="V130" s="83"/>
      <c r="W130" s="149"/>
      <c r="X130" s="149"/>
      <c r="Y130" s="150"/>
    </row>
    <row r="131" spans="1:25" x14ac:dyDescent="0.3">
      <c r="A131" s="81" t="s">
        <v>679</v>
      </c>
      <c r="B131" s="81" t="s">
        <v>680</v>
      </c>
      <c r="C131" s="82"/>
      <c r="D131" s="82"/>
      <c r="E131" s="82">
        <v>2</v>
      </c>
      <c r="F131" s="83"/>
      <c r="G131" s="82">
        <v>1</v>
      </c>
      <c r="H131" s="82">
        <v>2</v>
      </c>
      <c r="I131" s="82"/>
      <c r="J131" s="83"/>
      <c r="K131" s="149"/>
      <c r="L131" s="149"/>
      <c r="M131" s="149"/>
      <c r="N131" s="83"/>
      <c r="O131" s="82"/>
      <c r="P131" s="82"/>
      <c r="Q131" s="82"/>
      <c r="R131" s="83"/>
      <c r="S131" s="82"/>
      <c r="T131" s="82">
        <v>2</v>
      </c>
      <c r="U131" s="82"/>
      <c r="V131" s="83"/>
      <c r="W131" s="82"/>
      <c r="X131" s="82">
        <v>1</v>
      </c>
      <c r="Y131" s="84"/>
    </row>
    <row r="132" spans="1:25" x14ac:dyDescent="0.3">
      <c r="A132" s="81" t="s">
        <v>948</v>
      </c>
      <c r="B132" s="81" t="s">
        <v>949</v>
      </c>
      <c r="C132" s="149"/>
      <c r="D132" s="149"/>
      <c r="E132" s="149"/>
      <c r="F132" s="83"/>
      <c r="G132" s="149"/>
      <c r="H132" s="149"/>
      <c r="I132" s="149"/>
      <c r="J132" s="83"/>
      <c r="K132" s="149"/>
      <c r="L132" s="149"/>
      <c r="M132" s="149"/>
      <c r="N132" s="83"/>
      <c r="O132" s="149"/>
      <c r="P132" s="149"/>
      <c r="Q132" s="149"/>
      <c r="R132" s="83"/>
      <c r="S132" s="149"/>
      <c r="T132" s="149"/>
      <c r="U132" s="149"/>
      <c r="V132" s="83"/>
      <c r="W132" s="149"/>
      <c r="X132" s="149"/>
      <c r="Y132" s="150"/>
    </row>
    <row r="133" spans="1:25" x14ac:dyDescent="0.3">
      <c r="A133" s="81" t="s">
        <v>943</v>
      </c>
      <c r="B133" s="81" t="s">
        <v>942</v>
      </c>
      <c r="C133" s="149"/>
      <c r="D133" s="149"/>
      <c r="E133" s="149"/>
      <c r="F133" s="83"/>
      <c r="G133" s="149"/>
      <c r="H133" s="149"/>
      <c r="I133" s="149"/>
      <c r="J133" s="83"/>
      <c r="K133" s="82"/>
      <c r="L133" s="82">
        <v>1</v>
      </c>
      <c r="M133" s="82"/>
      <c r="N133" s="83"/>
      <c r="O133" s="149"/>
      <c r="P133" s="149"/>
      <c r="Q133" s="149"/>
      <c r="R133" s="83"/>
      <c r="S133" s="82">
        <v>2</v>
      </c>
      <c r="T133" s="82">
        <v>2</v>
      </c>
      <c r="U133" s="82"/>
      <c r="V133" s="83"/>
      <c r="W133" s="149"/>
      <c r="X133" s="149"/>
      <c r="Y133" s="150"/>
    </row>
    <row r="134" spans="1:25" x14ac:dyDescent="0.3">
      <c r="A134" s="81" t="s">
        <v>527</v>
      </c>
      <c r="B134" s="81" t="s">
        <v>56</v>
      </c>
      <c r="C134" s="149"/>
      <c r="D134" s="149"/>
      <c r="E134" s="149"/>
      <c r="F134" s="83"/>
      <c r="G134" s="149"/>
      <c r="H134" s="149"/>
      <c r="I134" s="149"/>
      <c r="J134" s="83"/>
      <c r="K134" s="149"/>
      <c r="L134" s="149"/>
      <c r="M134" s="149"/>
      <c r="N134" s="83"/>
      <c r="O134" s="149"/>
      <c r="P134" s="149"/>
      <c r="Q134" s="149"/>
      <c r="R134" s="83"/>
      <c r="S134" s="149"/>
      <c r="T134" s="149"/>
      <c r="U134" s="149"/>
      <c r="V134" s="83"/>
      <c r="W134" s="149"/>
      <c r="X134" s="149"/>
      <c r="Y134" s="150"/>
    </row>
    <row r="135" spans="1:25" x14ac:dyDescent="0.3">
      <c r="A135" s="81" t="s">
        <v>678</v>
      </c>
      <c r="B135" s="81" t="s">
        <v>55</v>
      </c>
      <c r="C135" s="149"/>
      <c r="D135" s="149"/>
      <c r="E135" s="149"/>
      <c r="F135" s="83"/>
      <c r="G135" s="149"/>
      <c r="H135" s="149"/>
      <c r="I135" s="149"/>
      <c r="J135" s="83"/>
      <c r="K135" s="149"/>
      <c r="L135" s="149"/>
      <c r="M135" s="149"/>
      <c r="N135" s="83"/>
      <c r="O135" s="149"/>
      <c r="P135" s="149"/>
      <c r="Q135" s="149"/>
      <c r="R135" s="83"/>
      <c r="S135" s="149"/>
      <c r="T135" s="149"/>
      <c r="U135" s="149"/>
      <c r="V135" s="83"/>
      <c r="W135" s="149"/>
      <c r="X135" s="149"/>
      <c r="Y135" s="150"/>
    </row>
    <row r="136" spans="1:25" x14ac:dyDescent="0.3">
      <c r="A136" s="81" t="s">
        <v>528</v>
      </c>
      <c r="B136" s="81" t="s">
        <v>279</v>
      </c>
      <c r="C136" s="149"/>
      <c r="D136" s="149"/>
      <c r="E136" s="149"/>
      <c r="F136" s="83"/>
      <c r="G136" s="149"/>
      <c r="H136" s="149"/>
      <c r="I136" s="149"/>
      <c r="J136" s="83"/>
      <c r="K136" s="149"/>
      <c r="L136" s="149"/>
      <c r="M136" s="149"/>
      <c r="N136" s="83"/>
      <c r="O136" s="149"/>
      <c r="P136" s="149"/>
      <c r="Q136" s="149"/>
      <c r="R136" s="83"/>
      <c r="S136" s="149"/>
      <c r="T136" s="149"/>
      <c r="U136" s="149"/>
      <c r="V136" s="83"/>
      <c r="W136" s="149"/>
      <c r="X136" s="149"/>
      <c r="Y136" s="150"/>
    </row>
    <row r="137" spans="1:25" x14ac:dyDescent="0.3">
      <c r="A137" s="81" t="s">
        <v>529</v>
      </c>
      <c r="B137" s="81" t="s">
        <v>532</v>
      </c>
      <c r="C137" s="82"/>
      <c r="D137" s="82"/>
      <c r="E137" s="82">
        <v>2</v>
      </c>
      <c r="F137" s="83"/>
      <c r="G137" s="149"/>
      <c r="H137" s="149"/>
      <c r="I137" s="149"/>
      <c r="J137" s="83"/>
      <c r="K137" s="149"/>
      <c r="L137" s="149"/>
      <c r="M137" s="149"/>
      <c r="N137" s="83"/>
      <c r="O137" s="149"/>
      <c r="P137" s="149"/>
      <c r="Q137" s="149"/>
      <c r="R137" s="83"/>
      <c r="S137" s="149"/>
      <c r="T137" s="149"/>
      <c r="U137" s="149"/>
      <c r="V137" s="83"/>
      <c r="W137" s="149"/>
      <c r="X137" s="149"/>
      <c r="Y137" s="150"/>
    </row>
    <row r="138" spans="1:25" x14ac:dyDescent="0.3">
      <c r="A138" s="81" t="s">
        <v>546</v>
      </c>
      <c r="B138" s="81" t="s">
        <v>531</v>
      </c>
      <c r="C138" s="149"/>
      <c r="D138" s="149"/>
      <c r="E138" s="149"/>
      <c r="F138" s="83"/>
      <c r="G138" s="149"/>
      <c r="H138" s="149"/>
      <c r="I138" s="149"/>
      <c r="J138" s="83"/>
      <c r="K138" s="149"/>
      <c r="L138" s="149"/>
      <c r="M138" s="149"/>
      <c r="N138" s="83"/>
      <c r="O138" s="149"/>
      <c r="P138" s="149"/>
      <c r="Q138" s="149"/>
      <c r="R138" s="83"/>
      <c r="S138" s="149"/>
      <c r="T138" s="149"/>
      <c r="U138" s="149"/>
      <c r="V138" s="83"/>
      <c r="W138" s="149"/>
      <c r="X138" s="149"/>
      <c r="Y138" s="150"/>
    </row>
    <row r="139" spans="1:25" x14ac:dyDescent="0.3">
      <c r="A139" s="81" t="s">
        <v>778</v>
      </c>
      <c r="B139" s="81" t="s">
        <v>941</v>
      </c>
      <c r="C139" s="82" t="s">
        <v>681</v>
      </c>
      <c r="D139" s="82">
        <v>0</v>
      </c>
      <c r="E139" s="82">
        <v>0</v>
      </c>
      <c r="F139" s="83"/>
      <c r="G139" s="82" t="s">
        <v>681</v>
      </c>
      <c r="H139" s="82">
        <v>0</v>
      </c>
      <c r="I139" s="82">
        <v>0</v>
      </c>
      <c r="J139" s="83"/>
      <c r="K139" s="82" t="s">
        <v>681</v>
      </c>
      <c r="L139" s="82">
        <v>0</v>
      </c>
      <c r="M139" s="82">
        <v>0</v>
      </c>
      <c r="N139" s="83"/>
      <c r="O139" s="82" t="s">
        <v>681</v>
      </c>
      <c r="P139" s="82">
        <v>0</v>
      </c>
      <c r="Q139" s="82">
        <v>0</v>
      </c>
      <c r="R139" s="83"/>
      <c r="S139" s="82" t="s">
        <v>681</v>
      </c>
      <c r="T139" s="82">
        <v>0</v>
      </c>
      <c r="U139" s="82">
        <v>0</v>
      </c>
      <c r="V139" s="83"/>
      <c r="W139" s="82" t="s">
        <v>681</v>
      </c>
      <c r="X139" s="82">
        <v>0</v>
      </c>
      <c r="Y139" s="82">
        <v>0</v>
      </c>
    </row>
    <row r="140" spans="1:25" x14ac:dyDescent="0.3">
      <c r="A140" s="81" t="s">
        <v>778</v>
      </c>
      <c r="B140" s="81" t="s">
        <v>779</v>
      </c>
      <c r="C140" s="149"/>
      <c r="D140" s="149"/>
      <c r="E140" s="149"/>
      <c r="F140" s="83"/>
      <c r="G140" s="149"/>
      <c r="H140" s="149"/>
      <c r="I140" s="149"/>
      <c r="J140" s="83"/>
      <c r="K140" s="149"/>
      <c r="L140" s="149"/>
      <c r="M140" s="149"/>
      <c r="N140" s="83"/>
      <c r="O140" s="149"/>
      <c r="P140" s="149"/>
      <c r="Q140" s="149"/>
      <c r="R140" s="83"/>
      <c r="S140" s="149"/>
      <c r="T140" s="149"/>
      <c r="U140" s="149"/>
      <c r="V140" s="83"/>
      <c r="W140" s="149"/>
      <c r="X140" s="149"/>
      <c r="Y140" s="150"/>
    </row>
    <row r="141" spans="1:25" x14ac:dyDescent="0.3">
      <c r="A141" s="16"/>
      <c r="B141" s="16"/>
      <c r="C141" s="220">
        <f>SUM(C114:C140)</f>
        <v>6</v>
      </c>
      <c r="D141" s="220">
        <f>SUM(D114:D140)</f>
        <v>6</v>
      </c>
      <c r="E141" s="220">
        <f>SUM(E114:E140)</f>
        <v>8</v>
      </c>
      <c r="F141" s="71"/>
      <c r="G141" s="220">
        <f>SUM(G114:G140)</f>
        <v>11</v>
      </c>
      <c r="H141" s="220">
        <f>SUM(H114:H140)</f>
        <v>7</v>
      </c>
      <c r="I141" s="220">
        <f>SUM(I114:I140)</f>
        <v>6</v>
      </c>
      <c r="J141" s="71"/>
      <c r="K141" s="220">
        <f>SUM(K114:K140)</f>
        <v>4</v>
      </c>
      <c r="L141" s="220">
        <f>SUM(L114:L140)</f>
        <v>2</v>
      </c>
      <c r="M141" s="220">
        <f>SUM(M114:M140)</f>
        <v>0</v>
      </c>
      <c r="N141" s="71"/>
      <c r="O141" s="220">
        <f>SUM(O114:O140)</f>
        <v>2</v>
      </c>
      <c r="P141" s="220">
        <f>SUM(P114:P140)</f>
        <v>2</v>
      </c>
      <c r="Q141" s="220">
        <f>SUM(Q114:Q140)</f>
        <v>0</v>
      </c>
      <c r="R141" s="71"/>
      <c r="S141" s="220">
        <f>SUM(S114:S140)</f>
        <v>8</v>
      </c>
      <c r="T141" s="220">
        <f>SUM(T114:T140)</f>
        <v>7</v>
      </c>
      <c r="U141" s="220">
        <f>SUM(U114:U140)</f>
        <v>0</v>
      </c>
      <c r="V141" s="71"/>
      <c r="W141" s="220">
        <f>SUM(W114:W140)</f>
        <v>8</v>
      </c>
      <c r="X141" s="220">
        <f>SUM(X114:X140)</f>
        <v>8</v>
      </c>
      <c r="Y141" s="220">
        <f>SUM(Y114:Y140)</f>
        <v>4</v>
      </c>
    </row>
    <row r="142" spans="1:25" x14ac:dyDescent="0.3">
      <c r="A142" s="16"/>
      <c r="B142" s="16"/>
      <c r="C142" s="8"/>
      <c r="D142" s="8"/>
      <c r="E142" s="8"/>
      <c r="F142" s="71"/>
      <c r="G142" s="8"/>
      <c r="H142" s="8"/>
      <c r="I142" s="8"/>
      <c r="J142" s="71"/>
      <c r="K142" s="8"/>
      <c r="L142" s="8"/>
      <c r="M142" s="8"/>
      <c r="N142" s="71"/>
      <c r="O142" s="8"/>
      <c r="P142" s="8"/>
      <c r="Q142" s="8"/>
      <c r="R142" s="71"/>
      <c r="S142" s="8"/>
      <c r="T142" s="8"/>
      <c r="U142" s="8"/>
      <c r="V142" s="71"/>
      <c r="W142" s="8"/>
      <c r="X142" s="8"/>
      <c r="Y142" s="8"/>
    </row>
    <row r="144" spans="1:25" x14ac:dyDescent="0.3">
      <c r="A144" s="95"/>
      <c r="B144" s="96" t="s">
        <v>583</v>
      </c>
      <c r="C144" s="95"/>
      <c r="D144" s="95"/>
      <c r="E144" s="95"/>
    </row>
    <row r="145" spans="1:7" ht="15" thickBot="1" x14ac:dyDescent="0.35">
      <c r="A145" s="95"/>
      <c r="B145" s="95"/>
      <c r="C145" s="97" t="s">
        <v>533</v>
      </c>
      <c r="D145" s="97" t="s">
        <v>534</v>
      </c>
      <c r="E145" s="98" t="s">
        <v>535</v>
      </c>
      <c r="G145" s="98" t="s">
        <v>610</v>
      </c>
    </row>
    <row r="146" spans="1:7" x14ac:dyDescent="0.3">
      <c r="A146" s="99" t="s">
        <v>518</v>
      </c>
      <c r="B146" s="99" t="s">
        <v>48</v>
      </c>
      <c r="C146" s="100">
        <f>C24+G24+K24+S24+O24+W24+C69+G69+K69+O69+S69+W69+C114+G114+K114+O114+S114+W114</f>
        <v>0</v>
      </c>
      <c r="D146" s="100">
        <f>D24+H24+L24+T24+P24+X24+D69+H69+L69+P69+T69+X69+D114+H114+L114+P114+T114+X114</f>
        <v>0</v>
      </c>
      <c r="E146" s="100">
        <f>E24+I24+M24+U24+Q24+Y24+E69+I69+M69+Q69+U69+Y69+E114+I114+M114+Q114+U114+Y114</f>
        <v>0</v>
      </c>
      <c r="G146" s="100">
        <f>C146+D146</f>
        <v>0</v>
      </c>
    </row>
    <row r="147" spans="1:7" x14ac:dyDescent="0.3">
      <c r="A147" s="101" t="s">
        <v>519</v>
      </c>
      <c r="B147" s="101" t="s">
        <v>54</v>
      </c>
      <c r="C147" s="100">
        <f>C25+G25+K25+S25+O25+W25+C70+G70+K70+O70+S70+W70+C115+G115+K115+O115+S115+W115</f>
        <v>0</v>
      </c>
      <c r="D147" s="100">
        <f t="shared" ref="D147:E147" si="0">D25+H25+L25+T25+P25+X25+D70+H70+L70+P70+T70+X70+D115+H115+L115+P115+T115+X115</f>
        <v>0</v>
      </c>
      <c r="E147" s="100">
        <f t="shared" si="0"/>
        <v>0</v>
      </c>
      <c r="G147" s="100">
        <f t="shared" ref="G147:G169" si="1">C147+D147</f>
        <v>0</v>
      </c>
    </row>
    <row r="148" spans="1:7" x14ac:dyDescent="0.3">
      <c r="A148" s="101" t="s">
        <v>520</v>
      </c>
      <c r="B148" s="101" t="s">
        <v>530</v>
      </c>
      <c r="C148" s="100">
        <f t="shared" ref="C148:E148" si="2">C26+G26+K26+S26+O26+W26+C71+G71+K71+O71+S71+W71+C116+G116+K116+O116+S116+W116</f>
        <v>2</v>
      </c>
      <c r="D148" s="100">
        <f t="shared" si="2"/>
        <v>5</v>
      </c>
      <c r="E148" s="100">
        <f t="shared" si="2"/>
        <v>2</v>
      </c>
      <c r="G148" s="100">
        <f t="shared" si="1"/>
        <v>7</v>
      </c>
    </row>
    <row r="149" spans="1:7" x14ac:dyDescent="0.3">
      <c r="A149" s="101" t="s">
        <v>521</v>
      </c>
      <c r="B149" s="101" t="s">
        <v>181</v>
      </c>
      <c r="C149" s="100">
        <f t="shared" ref="C149:E149" si="3">C27+G27+K27+S27+O27+W27+C72+G72+K72+O72+S72+W72+C117+G117+K117+O117+S117+W117</f>
        <v>0</v>
      </c>
      <c r="D149" s="100">
        <f t="shared" si="3"/>
        <v>0</v>
      </c>
      <c r="E149" s="100">
        <f t="shared" si="3"/>
        <v>0</v>
      </c>
      <c r="G149" s="100">
        <f t="shared" si="1"/>
        <v>0</v>
      </c>
    </row>
    <row r="150" spans="1:7" x14ac:dyDescent="0.3">
      <c r="A150" s="157" t="s">
        <v>944</v>
      </c>
      <c r="B150" s="157" t="s">
        <v>945</v>
      </c>
      <c r="C150" s="100">
        <f t="shared" ref="C150:E150" si="4">C28+G28+K28+S28+O28+W28+C73+G73+K73+O73+S73+W73+C118+G118+K118+O118+S118+W118</f>
        <v>0</v>
      </c>
      <c r="D150" s="100">
        <f t="shared" si="4"/>
        <v>0</v>
      </c>
      <c r="E150" s="100">
        <f t="shared" si="4"/>
        <v>0</v>
      </c>
      <c r="G150" s="100">
        <f t="shared" si="1"/>
        <v>0</v>
      </c>
    </row>
    <row r="151" spans="1:7" x14ac:dyDescent="0.3">
      <c r="A151" s="101" t="s">
        <v>522</v>
      </c>
      <c r="B151" s="101" t="s">
        <v>185</v>
      </c>
      <c r="C151" s="100">
        <f t="shared" ref="C151:E152" si="5">C29+G29+K29+S29+O29+W29+C74+G74+K74+O74+S74+W74+C119+G119+K119+O119+S119+W119</f>
        <v>16</v>
      </c>
      <c r="D151" s="100">
        <f t="shared" si="5"/>
        <v>21</v>
      </c>
      <c r="E151" s="100">
        <f t="shared" si="5"/>
        <v>2</v>
      </c>
      <c r="G151" s="100">
        <f t="shared" si="1"/>
        <v>37</v>
      </c>
    </row>
    <row r="152" spans="1:7" x14ac:dyDescent="0.3">
      <c r="A152" s="157" t="s">
        <v>522</v>
      </c>
      <c r="B152" s="157" t="s">
        <v>1077</v>
      </c>
      <c r="C152" s="100">
        <f t="shared" si="5"/>
        <v>10</v>
      </c>
      <c r="D152" s="100">
        <f t="shared" si="5"/>
        <v>4</v>
      </c>
      <c r="E152" s="100">
        <f t="shared" si="5"/>
        <v>8</v>
      </c>
      <c r="G152" s="100">
        <f t="shared" si="1"/>
        <v>14</v>
      </c>
    </row>
    <row r="153" spans="1:7" x14ac:dyDescent="0.3">
      <c r="A153" s="101" t="s">
        <v>523</v>
      </c>
      <c r="B153" s="101" t="s">
        <v>52</v>
      </c>
      <c r="C153" s="100">
        <f t="shared" ref="C153:E153" si="6">C31+G31+K31+S31+O31+W31+C76+G76+K76+O76+S76+W76+C121+G121+K121+O121+S121+W121</f>
        <v>0</v>
      </c>
      <c r="D153" s="100">
        <f t="shared" si="6"/>
        <v>0</v>
      </c>
      <c r="E153" s="100">
        <f t="shared" si="6"/>
        <v>0</v>
      </c>
      <c r="G153" s="100">
        <f t="shared" si="1"/>
        <v>0</v>
      </c>
    </row>
    <row r="154" spans="1:7" x14ac:dyDescent="0.3">
      <c r="A154" s="101" t="s">
        <v>676</v>
      </c>
      <c r="B154" s="101" t="s">
        <v>677</v>
      </c>
      <c r="C154" s="100">
        <f t="shared" ref="C154:E154" si="7">C32+G32+K32+S32+O32+W32+C77+G77+K77+O77+S77+W77+C122+G122+K122+O122+S122+W122</f>
        <v>0</v>
      </c>
      <c r="D154" s="100">
        <f t="shared" si="7"/>
        <v>0</v>
      </c>
      <c r="E154" s="100">
        <f t="shared" si="7"/>
        <v>0</v>
      </c>
      <c r="G154" s="100">
        <f t="shared" si="1"/>
        <v>0</v>
      </c>
    </row>
    <row r="155" spans="1:7" x14ac:dyDescent="0.3">
      <c r="A155" s="101" t="s">
        <v>672</v>
      </c>
      <c r="B155" s="101" t="s">
        <v>673</v>
      </c>
      <c r="C155" s="100">
        <f t="shared" ref="C155:E156" si="8">C33+G33+K33+S33+O33+W33+C78+G78+K78+O78+S78+W78+C123+G123+K123+O123+S123+W123</f>
        <v>0</v>
      </c>
      <c r="D155" s="100">
        <f t="shared" si="8"/>
        <v>0</v>
      </c>
      <c r="E155" s="100">
        <f t="shared" si="8"/>
        <v>0</v>
      </c>
      <c r="G155" s="100">
        <f t="shared" si="1"/>
        <v>0</v>
      </c>
    </row>
    <row r="156" spans="1:7" x14ac:dyDescent="0.3">
      <c r="A156" s="157" t="s">
        <v>672</v>
      </c>
      <c r="B156" s="157" t="s">
        <v>1075</v>
      </c>
      <c r="C156" s="100">
        <f t="shared" si="8"/>
        <v>18</v>
      </c>
      <c r="D156" s="100">
        <f t="shared" si="8"/>
        <v>15</v>
      </c>
      <c r="E156" s="100">
        <f t="shared" si="8"/>
        <v>12</v>
      </c>
      <c r="G156" s="100">
        <f t="shared" si="1"/>
        <v>33</v>
      </c>
    </row>
    <row r="157" spans="1:7" x14ac:dyDescent="0.3">
      <c r="A157" s="101" t="s">
        <v>524</v>
      </c>
      <c r="B157" s="101" t="s">
        <v>53</v>
      </c>
      <c r="C157" s="100">
        <f t="shared" ref="C157:E157" si="9">C35+G35+K35+S35+O35+W35+C80+G80+K80+O80+S80+W80+C125+G125+K125+O125+S125+W125</f>
        <v>1</v>
      </c>
      <c r="D157" s="100">
        <f t="shared" si="9"/>
        <v>3</v>
      </c>
      <c r="E157" s="100">
        <f t="shared" si="9"/>
        <v>0</v>
      </c>
      <c r="G157" s="100">
        <f t="shared" si="1"/>
        <v>4</v>
      </c>
    </row>
    <row r="158" spans="1:7" x14ac:dyDescent="0.3">
      <c r="A158" s="101" t="s">
        <v>525</v>
      </c>
      <c r="B158" s="101" t="s">
        <v>50</v>
      </c>
      <c r="C158" s="100">
        <f t="shared" ref="C158:E158" si="10">C36+G36+K36+S36+O36+W36+C81+G81+K81+O81+S81+W81+C126+G126+K126+O126+S126+W126</f>
        <v>16</v>
      </c>
      <c r="D158" s="100">
        <f t="shared" si="10"/>
        <v>3</v>
      </c>
      <c r="E158" s="100">
        <f t="shared" si="10"/>
        <v>6</v>
      </c>
      <c r="G158" s="100">
        <f t="shared" si="1"/>
        <v>19</v>
      </c>
    </row>
    <row r="159" spans="1:7" x14ac:dyDescent="0.3">
      <c r="A159" s="157" t="s">
        <v>786</v>
      </c>
      <c r="B159" s="157" t="s">
        <v>59</v>
      </c>
      <c r="C159" s="100">
        <f t="shared" ref="C159:E159" si="11">C37+G37+K37+S37+O37+W37+C82+G82+K82+O82+S82+W82+C127+G127+K127+O127+S127+W127</f>
        <v>1</v>
      </c>
      <c r="D159" s="100">
        <f t="shared" si="11"/>
        <v>2</v>
      </c>
      <c r="E159" s="100">
        <f t="shared" si="11"/>
        <v>0</v>
      </c>
      <c r="G159" s="100">
        <f t="shared" si="1"/>
        <v>3</v>
      </c>
    </row>
    <row r="160" spans="1:7" x14ac:dyDescent="0.3">
      <c r="A160" s="101" t="s">
        <v>674</v>
      </c>
      <c r="B160" s="101" t="s">
        <v>675</v>
      </c>
      <c r="C160" s="100">
        <f t="shared" ref="C160:E161" si="12">C38+G38+K38+S38+O38+W38+C83+G83+K83+O83+S83+W83+C128+G128+K128+O128+S128+W128</f>
        <v>0</v>
      </c>
      <c r="D160" s="100">
        <f t="shared" si="12"/>
        <v>0</v>
      </c>
      <c r="E160" s="100">
        <f t="shared" si="12"/>
        <v>0</v>
      </c>
      <c r="G160" s="100">
        <f t="shared" si="1"/>
        <v>0</v>
      </c>
    </row>
    <row r="161" spans="1:9" x14ac:dyDescent="0.3">
      <c r="A161" s="157" t="s">
        <v>674</v>
      </c>
      <c r="B161" s="157" t="s">
        <v>1076</v>
      </c>
      <c r="C161" s="100">
        <f t="shared" si="12"/>
        <v>2</v>
      </c>
      <c r="D161" s="100">
        <f t="shared" si="12"/>
        <v>3</v>
      </c>
      <c r="E161" s="100">
        <f t="shared" si="12"/>
        <v>2</v>
      </c>
      <c r="G161" s="100">
        <f t="shared" si="1"/>
        <v>5</v>
      </c>
    </row>
    <row r="162" spans="1:9" x14ac:dyDescent="0.3">
      <c r="A162" s="101" t="s">
        <v>526</v>
      </c>
      <c r="B162" s="101" t="s">
        <v>278</v>
      </c>
      <c r="C162" s="100">
        <f t="shared" ref="C162:E162" si="13">C40+G40+K40+S40+O40+W40+C85+G85+K85+O85+S85+W85+C130+G130+K130+O130+S130+W130</f>
        <v>0</v>
      </c>
      <c r="D162" s="100">
        <f t="shared" si="13"/>
        <v>0</v>
      </c>
      <c r="E162" s="100">
        <f t="shared" si="13"/>
        <v>0</v>
      </c>
      <c r="G162" s="100">
        <f t="shared" si="1"/>
        <v>0</v>
      </c>
    </row>
    <row r="163" spans="1:9" x14ac:dyDescent="0.3">
      <c r="A163" s="101" t="s">
        <v>679</v>
      </c>
      <c r="B163" s="101" t="s">
        <v>680</v>
      </c>
      <c r="C163" s="100">
        <f t="shared" ref="C163:E163" si="14">C41+G41+K41+S41+O41+W41+C86+G86+K86+O86+S86+W86+C131+G131+K131+O131+S131+W131</f>
        <v>3</v>
      </c>
      <c r="D163" s="100">
        <f t="shared" si="14"/>
        <v>9</v>
      </c>
      <c r="E163" s="100">
        <f t="shared" si="14"/>
        <v>2</v>
      </c>
      <c r="G163" s="100">
        <f t="shared" si="1"/>
        <v>12</v>
      </c>
    </row>
    <row r="164" spans="1:9" x14ac:dyDescent="0.3">
      <c r="A164" s="157" t="s">
        <v>948</v>
      </c>
      <c r="B164" s="157" t="s">
        <v>949</v>
      </c>
      <c r="C164" s="100">
        <f>C42+G42+K42+S42+O42+W42+C87+G87+K87+O87+S87+W87+C132+G132+K132+O132+S132+W132</f>
        <v>0</v>
      </c>
      <c r="D164" s="100">
        <f t="shared" ref="D164:E164" si="15">D42+H42+L42+T42+P42+X42+D87+H87+L87+P87+T87+X87+D132+H132+L132+P132+T132+X132</f>
        <v>0</v>
      </c>
      <c r="E164" s="100">
        <f t="shared" si="15"/>
        <v>0</v>
      </c>
      <c r="G164" s="100">
        <f t="shared" si="1"/>
        <v>0</v>
      </c>
    </row>
    <row r="165" spans="1:9" x14ac:dyDescent="0.3">
      <c r="A165" s="157" t="s">
        <v>943</v>
      </c>
      <c r="B165" s="157" t="s">
        <v>942</v>
      </c>
      <c r="C165" s="100">
        <f t="shared" ref="C165:E165" si="16">C43+G43+K43+S43+O43+W43+C88+G88+K88+O88+S88+W88+C133+G133+K133+O133+S133+W133</f>
        <v>9</v>
      </c>
      <c r="D165" s="100">
        <f t="shared" si="16"/>
        <v>3</v>
      </c>
      <c r="E165" s="100">
        <f t="shared" si="16"/>
        <v>0</v>
      </c>
      <c r="G165" s="100">
        <f t="shared" si="1"/>
        <v>12</v>
      </c>
    </row>
    <row r="166" spans="1:9" x14ac:dyDescent="0.3">
      <c r="A166" s="101" t="s">
        <v>527</v>
      </c>
      <c r="B166" s="101" t="s">
        <v>56</v>
      </c>
      <c r="C166" s="100">
        <f t="shared" ref="C166:E166" si="17">C44+G44+K44+S44+O44+W44+C89+G89+K89+O89+S89+W89+C134+G134+K134+O134+S134+W134</f>
        <v>0</v>
      </c>
      <c r="D166" s="100">
        <f t="shared" si="17"/>
        <v>0</v>
      </c>
      <c r="E166" s="100">
        <f t="shared" si="17"/>
        <v>0</v>
      </c>
      <c r="G166" s="100">
        <f t="shared" si="1"/>
        <v>0</v>
      </c>
    </row>
    <row r="167" spans="1:9" x14ac:dyDescent="0.3">
      <c r="A167" s="101" t="s">
        <v>678</v>
      </c>
      <c r="B167" s="101" t="s">
        <v>55</v>
      </c>
      <c r="C167" s="100">
        <f t="shared" ref="C167:E167" si="18">C45+G45+K45+S45+O45+W45+C90+G90+K90+O90+S90+W90+C135+G135+K135+O135+S135+W135</f>
        <v>0</v>
      </c>
      <c r="D167" s="100">
        <f t="shared" si="18"/>
        <v>0</v>
      </c>
      <c r="E167" s="100">
        <f t="shared" si="18"/>
        <v>0</v>
      </c>
      <c r="G167" s="100">
        <f t="shared" si="1"/>
        <v>0</v>
      </c>
    </row>
    <row r="168" spans="1:9" x14ac:dyDescent="0.3">
      <c r="A168" s="101" t="s">
        <v>528</v>
      </c>
      <c r="B168" s="101" t="s">
        <v>279</v>
      </c>
      <c r="C168" s="100">
        <f t="shared" ref="C168:E168" si="19">C46+G46+K46+S46+O46+W46+C91+G91+K91+O91+S91+W91+C136+G136+K136+O136+S136+W136</f>
        <v>1</v>
      </c>
      <c r="D168" s="100">
        <f t="shared" si="19"/>
        <v>1</v>
      </c>
      <c r="E168" s="100">
        <f t="shared" si="19"/>
        <v>0</v>
      </c>
      <c r="G168" s="100">
        <f t="shared" si="1"/>
        <v>2</v>
      </c>
    </row>
    <row r="169" spans="1:9" x14ac:dyDescent="0.3">
      <c r="A169" s="101" t="s">
        <v>529</v>
      </c>
      <c r="B169" s="101" t="s">
        <v>532</v>
      </c>
      <c r="C169" s="100">
        <f t="shared" ref="C169:E169" si="20">C47+G47+K47+S47+O47+W47+C92+G92+K92+O92+S92+W92+C137+G137+K137+O137+S137+W137</f>
        <v>1</v>
      </c>
      <c r="D169" s="100">
        <f t="shared" si="20"/>
        <v>0</v>
      </c>
      <c r="E169" s="100">
        <f t="shared" si="20"/>
        <v>4</v>
      </c>
      <c r="G169" s="100">
        <f t="shared" si="1"/>
        <v>1</v>
      </c>
    </row>
    <row r="170" spans="1:9" x14ac:dyDescent="0.3">
      <c r="A170" s="101" t="s">
        <v>546</v>
      </c>
      <c r="B170" s="101" t="s">
        <v>531</v>
      </c>
      <c r="C170" s="100" t="s">
        <v>681</v>
      </c>
      <c r="D170" s="100">
        <f t="shared" ref="D170:E172" si="21">D48+H48+L48+T48+P48+X48+D93+H93+L93+P93+T93+X93+D138+H138+L138+P138+T138+X138</f>
        <v>0</v>
      </c>
      <c r="E170" s="100">
        <f t="shared" si="21"/>
        <v>0</v>
      </c>
      <c r="G170" s="100">
        <f>D170</f>
        <v>0</v>
      </c>
    </row>
    <row r="171" spans="1:9" x14ac:dyDescent="0.3">
      <c r="A171" s="157" t="s">
        <v>778</v>
      </c>
      <c r="B171" s="157" t="s">
        <v>946</v>
      </c>
      <c r="C171" s="100" t="s">
        <v>681</v>
      </c>
      <c r="D171" s="100">
        <f t="shared" si="21"/>
        <v>0</v>
      </c>
      <c r="E171" s="100">
        <f t="shared" si="21"/>
        <v>0</v>
      </c>
      <c r="G171" s="100">
        <f t="shared" ref="G171:G172" si="22">D171</f>
        <v>0</v>
      </c>
    </row>
    <row r="172" spans="1:9" x14ac:dyDescent="0.3">
      <c r="A172" s="157" t="s">
        <v>778</v>
      </c>
      <c r="B172" s="157" t="s">
        <v>818</v>
      </c>
      <c r="C172" s="161" t="s">
        <v>681</v>
      </c>
      <c r="D172" s="100">
        <f t="shared" si="21"/>
        <v>0</v>
      </c>
      <c r="E172" s="100">
        <f t="shared" si="21"/>
        <v>0</v>
      </c>
      <c r="F172" s="159"/>
      <c r="G172" s="100">
        <f t="shared" si="22"/>
        <v>0</v>
      </c>
      <c r="H172" s="158"/>
      <c r="I172" s="158"/>
    </row>
    <row r="173" spans="1:9" x14ac:dyDescent="0.3">
      <c r="C173" s="223">
        <f>SUM(C146:C172)</f>
        <v>80</v>
      </c>
      <c r="D173" s="224">
        <f>SUM(D146:D172)</f>
        <v>69</v>
      </c>
      <c r="E173" s="224">
        <f>SUM(E146:E172)</f>
        <v>38</v>
      </c>
      <c r="G173" s="224">
        <f>SUM(G146:G172)</f>
        <v>149</v>
      </c>
    </row>
    <row r="177" spans="1:11" x14ac:dyDescent="0.3">
      <c r="A177" s="101"/>
      <c r="B177" s="101"/>
    </row>
    <row r="178" spans="1:11" ht="20.399999999999999" x14ac:dyDescent="0.3">
      <c r="A178" s="236" t="s">
        <v>989</v>
      </c>
      <c r="B178" s="236" t="s">
        <v>989</v>
      </c>
      <c r="C178" s="237" t="s">
        <v>877</v>
      </c>
      <c r="D178" s="237" t="s">
        <v>990</v>
      </c>
      <c r="E178" s="237" t="s">
        <v>991</v>
      </c>
      <c r="F178" s="237" t="s">
        <v>992</v>
      </c>
      <c r="G178" s="237" t="s">
        <v>139</v>
      </c>
      <c r="H178" s="237"/>
      <c r="I178" s="237" t="s">
        <v>993</v>
      </c>
      <c r="J178" s="237" t="s">
        <v>994</v>
      </c>
      <c r="K178" s="237" t="s">
        <v>610</v>
      </c>
    </row>
    <row r="179" spans="1:11" ht="15" thickBot="1" x14ac:dyDescent="0.35">
      <c r="A179" s="238" t="s">
        <v>995</v>
      </c>
      <c r="B179" s="233" t="s">
        <v>996</v>
      </c>
      <c r="C179" s="234">
        <v>18</v>
      </c>
      <c r="D179" s="234">
        <v>16</v>
      </c>
      <c r="E179" s="234">
        <v>0</v>
      </c>
      <c r="F179" s="234">
        <v>2</v>
      </c>
      <c r="G179" s="234">
        <v>119</v>
      </c>
      <c r="H179" s="235" t="s">
        <v>107</v>
      </c>
      <c r="I179" s="234">
        <v>56</v>
      </c>
      <c r="J179" s="234">
        <v>63</v>
      </c>
      <c r="K179" s="239">
        <v>32</v>
      </c>
    </row>
    <row r="180" spans="1:11" ht="15" thickTop="1" x14ac:dyDescent="0.3">
      <c r="A180" s="240" t="s">
        <v>997</v>
      </c>
      <c r="B180" s="241" t="s">
        <v>998</v>
      </c>
      <c r="C180" s="242">
        <v>18</v>
      </c>
      <c r="D180" s="242">
        <v>13</v>
      </c>
      <c r="E180" s="242">
        <v>2</v>
      </c>
      <c r="F180" s="242">
        <v>3</v>
      </c>
      <c r="G180" s="242">
        <v>110</v>
      </c>
      <c r="H180" s="243" t="s">
        <v>107</v>
      </c>
      <c r="I180" s="242">
        <v>60</v>
      </c>
      <c r="J180" s="242">
        <v>50</v>
      </c>
      <c r="K180" s="244">
        <v>28</v>
      </c>
    </row>
    <row r="181" spans="1:11" ht="15" thickBot="1" x14ac:dyDescent="0.35">
      <c r="A181" s="238" t="s">
        <v>999</v>
      </c>
      <c r="B181" s="233" t="s">
        <v>1000</v>
      </c>
      <c r="C181" s="234">
        <v>18</v>
      </c>
      <c r="D181" s="234">
        <v>11</v>
      </c>
      <c r="E181" s="234">
        <v>1</v>
      </c>
      <c r="F181" s="234">
        <v>6</v>
      </c>
      <c r="G181" s="234">
        <v>97</v>
      </c>
      <c r="H181" s="235" t="s">
        <v>107</v>
      </c>
      <c r="I181" s="234">
        <v>65</v>
      </c>
      <c r="J181" s="234">
        <v>32</v>
      </c>
      <c r="K181" s="239">
        <v>23</v>
      </c>
    </row>
    <row r="182" spans="1:11" ht="15" thickTop="1" x14ac:dyDescent="0.3">
      <c r="A182" s="240" t="s">
        <v>1001</v>
      </c>
      <c r="B182" s="241" t="s">
        <v>1002</v>
      </c>
      <c r="C182" s="242">
        <v>18</v>
      </c>
      <c r="D182" s="242">
        <v>9</v>
      </c>
      <c r="E182" s="242">
        <v>2</v>
      </c>
      <c r="F182" s="242">
        <v>7</v>
      </c>
      <c r="G182" s="242">
        <v>76</v>
      </c>
      <c r="H182" s="243" t="s">
        <v>107</v>
      </c>
      <c r="I182" s="242">
        <v>75</v>
      </c>
      <c r="J182" s="242">
        <v>1</v>
      </c>
      <c r="K182" s="244">
        <v>20</v>
      </c>
    </row>
    <row r="183" spans="1:11" x14ac:dyDescent="0.3">
      <c r="A183" s="240" t="s">
        <v>1003</v>
      </c>
      <c r="B183" s="241" t="s">
        <v>0</v>
      </c>
      <c r="C183" s="242">
        <v>18</v>
      </c>
      <c r="D183" s="242">
        <v>9</v>
      </c>
      <c r="E183" s="242">
        <v>1</v>
      </c>
      <c r="F183" s="242">
        <v>8</v>
      </c>
      <c r="G183" s="242">
        <v>87</v>
      </c>
      <c r="H183" s="243" t="s">
        <v>107</v>
      </c>
      <c r="I183" s="242">
        <v>89</v>
      </c>
      <c r="J183" s="242">
        <v>-2</v>
      </c>
      <c r="K183" s="244">
        <v>19</v>
      </c>
    </row>
    <row r="184" spans="1:11" x14ac:dyDescent="0.3">
      <c r="A184" s="240" t="s">
        <v>1004</v>
      </c>
      <c r="B184" s="241" t="s">
        <v>1005</v>
      </c>
      <c r="C184" s="242">
        <v>18</v>
      </c>
      <c r="D184" s="242">
        <v>8</v>
      </c>
      <c r="E184" s="242">
        <v>2</v>
      </c>
      <c r="F184" s="242">
        <v>8</v>
      </c>
      <c r="G184" s="242">
        <v>77</v>
      </c>
      <c r="H184" s="243" t="s">
        <v>107</v>
      </c>
      <c r="I184" s="242">
        <v>67</v>
      </c>
      <c r="J184" s="242">
        <v>10</v>
      </c>
      <c r="K184" s="244">
        <v>18</v>
      </c>
    </row>
    <row r="185" spans="1:11" ht="15" thickBot="1" x14ac:dyDescent="0.35">
      <c r="A185" s="238" t="s">
        <v>1006</v>
      </c>
      <c r="B185" s="233" t="s">
        <v>1007</v>
      </c>
      <c r="C185" s="234">
        <v>18</v>
      </c>
      <c r="D185" s="234">
        <v>7</v>
      </c>
      <c r="E185" s="234">
        <v>1</v>
      </c>
      <c r="F185" s="234">
        <v>10</v>
      </c>
      <c r="G185" s="234">
        <v>61</v>
      </c>
      <c r="H185" s="235" t="s">
        <v>107</v>
      </c>
      <c r="I185" s="234">
        <v>70</v>
      </c>
      <c r="J185" s="234">
        <v>-9</v>
      </c>
      <c r="K185" s="239">
        <v>15</v>
      </c>
    </row>
    <row r="186" spans="1:11" ht="15" thickTop="1" x14ac:dyDescent="0.3">
      <c r="A186" s="240" t="s">
        <v>1008</v>
      </c>
      <c r="B186" s="241" t="s">
        <v>1009</v>
      </c>
      <c r="C186" s="242">
        <v>18</v>
      </c>
      <c r="D186" s="242">
        <v>4</v>
      </c>
      <c r="E186" s="242">
        <v>3</v>
      </c>
      <c r="F186" s="242">
        <v>11</v>
      </c>
      <c r="G186" s="242">
        <v>83</v>
      </c>
      <c r="H186" s="243" t="s">
        <v>107</v>
      </c>
      <c r="I186" s="242">
        <v>89</v>
      </c>
      <c r="J186" s="242">
        <v>-6</v>
      </c>
      <c r="K186" s="244">
        <v>11</v>
      </c>
    </row>
    <row r="187" spans="1:11" x14ac:dyDescent="0.3">
      <c r="A187" s="240" t="s">
        <v>1010</v>
      </c>
      <c r="B187" s="241" t="s">
        <v>1011</v>
      </c>
      <c r="C187" s="242">
        <v>18</v>
      </c>
      <c r="D187" s="242">
        <v>2</v>
      </c>
      <c r="E187" s="242">
        <v>4</v>
      </c>
      <c r="F187" s="242">
        <v>12</v>
      </c>
      <c r="G187" s="242">
        <v>70</v>
      </c>
      <c r="H187" s="243" t="s">
        <v>107</v>
      </c>
      <c r="I187" s="242">
        <v>122</v>
      </c>
      <c r="J187" s="242">
        <v>-52</v>
      </c>
      <c r="K187" s="244">
        <v>8</v>
      </c>
    </row>
    <row r="188" spans="1:11" x14ac:dyDescent="0.3">
      <c r="A188" s="245" t="s">
        <v>1012</v>
      </c>
      <c r="B188" s="246" t="s">
        <v>1013</v>
      </c>
      <c r="C188" s="247">
        <v>18</v>
      </c>
      <c r="D188" s="247">
        <v>2</v>
      </c>
      <c r="E188" s="247">
        <v>2</v>
      </c>
      <c r="F188" s="247">
        <v>14</v>
      </c>
      <c r="G188" s="247">
        <v>63</v>
      </c>
      <c r="H188" s="248" t="s">
        <v>107</v>
      </c>
      <c r="I188" s="247">
        <v>150</v>
      </c>
      <c r="J188" s="247">
        <v>-87</v>
      </c>
      <c r="K188" s="249">
        <v>6</v>
      </c>
    </row>
    <row r="189" spans="1:11" x14ac:dyDescent="0.3">
      <c r="A189" s="101"/>
      <c r="B189" s="101"/>
    </row>
    <row r="190" spans="1:11" x14ac:dyDescent="0.3">
      <c r="A190" s="101"/>
      <c r="B190" s="101"/>
    </row>
    <row r="191" spans="1:11" x14ac:dyDescent="0.3">
      <c r="A191" s="157"/>
      <c r="B191" s="157"/>
    </row>
  </sheetData>
  <pageMargins left="0.7" right="0.7" top="0.75" bottom="0.75" header="0.3" footer="0.3"/>
  <pageSetup paperSize="9" orientation="portrait" r:id="rId1"/>
  <headerFooter>
    <oddHeader>&amp;C&amp;"arial,Bold"&amp;10&amp;K3E8430Nokia Internal Use Only</oddHeader>
    <oddFooter>&amp;C&amp;"arial,Bold"&amp;10&amp;K3E8430Nokia Internal Use Only</oddFooter>
    <evenHeader>&amp;C&amp;"arial,Bold"&amp;10&amp;K3E8430Nokia Internal Use Only</evenHeader>
    <evenFooter>&amp;C&amp;"arial,Bold"&amp;10&amp;K3E8430Nokia Internal Use Only</evenFooter>
    <firstHeader>&amp;C&amp;"arial,Bold"&amp;10&amp;K3E8430Nokia Internal Use Only</firstHeader>
    <firstFooter>&amp;C&amp;"arial,Bold"&amp;10&amp;K3E8430Nokia Internal Use Only</first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C274"/>
  <sheetViews>
    <sheetView topLeftCell="A178" workbookViewId="0">
      <selection activeCell="A255" sqref="A255:XFD279"/>
    </sheetView>
  </sheetViews>
  <sheetFormatPr defaultRowHeight="14.4" x14ac:dyDescent="0.3"/>
  <cols>
    <col min="2" max="3" width="14.33203125" customWidth="1"/>
    <col min="4" max="7" width="3.5546875" customWidth="1"/>
    <col min="8" max="8" width="5.6640625" customWidth="1"/>
    <col min="10" max="11" width="14.33203125" customWidth="1"/>
    <col min="12" max="15" width="3.5546875" customWidth="1"/>
    <col min="16" max="16" width="5.6640625" customWidth="1"/>
    <col min="18" max="19" width="14.33203125" customWidth="1"/>
    <col min="20" max="23" width="3.5546875" customWidth="1"/>
    <col min="24" max="24" width="5.6640625" customWidth="1"/>
    <col min="26" max="27" width="14.33203125" customWidth="1"/>
    <col min="28" max="31" width="3.5546875" customWidth="1"/>
    <col min="36" max="39" width="2.88671875" customWidth="1"/>
    <col min="44" max="47" width="2.88671875" customWidth="1"/>
    <col min="52" max="55" width="2.88671875" customWidth="1"/>
    <col min="60" max="63" width="2.88671875" customWidth="1"/>
    <col min="68" max="71" width="2.88671875" customWidth="1"/>
    <col min="76" max="79" width="2.88671875" customWidth="1"/>
    <col min="84" max="87" width="2.88671875" customWidth="1"/>
    <col min="92" max="95" width="2.88671875" customWidth="1"/>
    <col min="100" max="103" width="2.88671875" customWidth="1"/>
    <col min="108" max="111" width="2.88671875" customWidth="1"/>
    <col min="116" max="119" width="2.88671875" customWidth="1"/>
    <col min="124" max="127" width="2.88671875" customWidth="1"/>
    <col min="132" max="135" width="2.88671875" customWidth="1"/>
    <col min="140" max="143" width="2.88671875" customWidth="1"/>
    <col min="148" max="151" width="2.88671875" customWidth="1"/>
    <col min="156" max="159" width="2.88671875" customWidth="1"/>
  </cols>
  <sheetData>
    <row r="1" spans="1:29" ht="21" x14ac:dyDescent="0.4">
      <c r="A1" s="94" t="s">
        <v>0</v>
      </c>
      <c r="B1" s="94"/>
      <c r="I1" s="94"/>
      <c r="J1" s="94"/>
      <c r="Q1" s="94"/>
      <c r="R1" s="94"/>
      <c r="Y1" s="94"/>
      <c r="Z1" s="94"/>
    </row>
    <row r="2" spans="1:29" ht="21" x14ac:dyDescent="0.4">
      <c r="A2" s="148" t="s">
        <v>1107</v>
      </c>
      <c r="B2" s="94"/>
      <c r="C2" s="264" t="s">
        <v>1108</v>
      </c>
      <c r="D2" s="264" t="s">
        <v>1109</v>
      </c>
      <c r="I2" s="148"/>
      <c r="J2" s="94"/>
      <c r="K2" s="264"/>
      <c r="L2" s="264"/>
      <c r="Q2" s="148"/>
      <c r="R2" s="94"/>
      <c r="S2" s="264"/>
      <c r="T2" s="264"/>
      <c r="Y2" s="148"/>
      <c r="Z2" s="94"/>
      <c r="AA2" s="264"/>
      <c r="AB2" s="264"/>
    </row>
    <row r="5" spans="1:29" x14ac:dyDescent="0.3">
      <c r="A5" s="205" t="s">
        <v>1114</v>
      </c>
      <c r="B5" s="266">
        <v>1</v>
      </c>
      <c r="I5" s="205"/>
      <c r="J5" s="266">
        <v>2</v>
      </c>
      <c r="Q5" s="205"/>
      <c r="R5" s="266">
        <v>3</v>
      </c>
      <c r="Y5" s="205"/>
      <c r="Z5" s="266">
        <v>4</v>
      </c>
    </row>
    <row r="6" spans="1:29" x14ac:dyDescent="0.3">
      <c r="A6" s="205"/>
      <c r="B6" s="267">
        <v>41916</v>
      </c>
      <c r="C6" s="205" t="s">
        <v>558</v>
      </c>
      <c r="I6" s="205"/>
      <c r="J6" s="267">
        <v>41916</v>
      </c>
      <c r="K6" s="205" t="s">
        <v>558</v>
      </c>
      <c r="Q6" s="205"/>
      <c r="R6" s="267">
        <v>42302</v>
      </c>
      <c r="S6" s="205" t="s">
        <v>1147</v>
      </c>
      <c r="Y6" s="205"/>
      <c r="Z6" s="267">
        <v>42302</v>
      </c>
      <c r="AA6" s="205" t="s">
        <v>1147</v>
      </c>
    </row>
    <row r="7" spans="1:29" ht="7.5" customHeight="1" x14ac:dyDescent="0.3">
      <c r="A7" s="205"/>
      <c r="B7" s="267"/>
      <c r="C7" s="205"/>
      <c r="I7" s="205"/>
      <c r="J7" s="267"/>
      <c r="K7" s="205"/>
      <c r="Q7" s="205"/>
      <c r="R7" s="267"/>
      <c r="S7" s="205"/>
      <c r="Y7" s="205"/>
      <c r="Z7" s="267"/>
      <c r="AA7" s="205"/>
    </row>
    <row r="8" spans="1:29" ht="15.6" x14ac:dyDescent="0.3">
      <c r="B8" s="268" t="s">
        <v>0</v>
      </c>
      <c r="C8" s="268" t="s">
        <v>1110</v>
      </c>
      <c r="J8" s="268" t="s">
        <v>1126</v>
      </c>
      <c r="K8" s="268" t="s">
        <v>0</v>
      </c>
      <c r="R8" s="268" t="s">
        <v>1110</v>
      </c>
      <c r="S8" s="268" t="s">
        <v>0</v>
      </c>
      <c r="Z8" s="268" t="s">
        <v>0</v>
      </c>
      <c r="AA8" s="268" t="s">
        <v>1166</v>
      </c>
    </row>
    <row r="9" spans="1:29" x14ac:dyDescent="0.3">
      <c r="B9" s="269">
        <v>3</v>
      </c>
      <c r="C9" s="269">
        <v>1</v>
      </c>
      <c r="J9" s="271">
        <v>6</v>
      </c>
      <c r="K9" s="271">
        <v>3</v>
      </c>
      <c r="R9" s="269">
        <v>3</v>
      </c>
      <c r="S9" s="269">
        <v>6</v>
      </c>
      <c r="Z9" s="271">
        <v>1</v>
      </c>
      <c r="AA9" s="271">
        <v>2</v>
      </c>
    </row>
    <row r="11" spans="1:29" x14ac:dyDescent="0.3">
      <c r="A11" s="205" t="s">
        <v>1111</v>
      </c>
      <c r="B11" s="270">
        <v>0</v>
      </c>
      <c r="C11" s="270">
        <v>0</v>
      </c>
      <c r="I11" s="205" t="s">
        <v>1111</v>
      </c>
      <c r="J11" s="270">
        <v>1</v>
      </c>
      <c r="K11" s="270">
        <v>1</v>
      </c>
      <c r="Q11" s="205" t="s">
        <v>1111</v>
      </c>
      <c r="R11" s="271">
        <v>1</v>
      </c>
      <c r="S11" s="271">
        <v>0</v>
      </c>
      <c r="Y11" s="205" t="s">
        <v>1111</v>
      </c>
      <c r="Z11" s="270">
        <v>0</v>
      </c>
      <c r="AA11" s="270">
        <v>0</v>
      </c>
    </row>
    <row r="12" spans="1:29" x14ac:dyDescent="0.3">
      <c r="A12" s="205" t="s">
        <v>1112</v>
      </c>
      <c r="B12" s="269">
        <v>1</v>
      </c>
      <c r="C12" s="269">
        <v>0</v>
      </c>
      <c r="I12" s="205" t="s">
        <v>1112</v>
      </c>
      <c r="J12" s="270">
        <v>1</v>
      </c>
      <c r="K12" s="270">
        <v>1</v>
      </c>
      <c r="Q12" s="205" t="s">
        <v>1112</v>
      </c>
      <c r="R12" s="269">
        <v>1</v>
      </c>
      <c r="S12" s="269">
        <v>2</v>
      </c>
      <c r="Y12" s="205" t="s">
        <v>1112</v>
      </c>
      <c r="Z12" s="271">
        <v>1</v>
      </c>
      <c r="AA12" s="271">
        <v>2</v>
      </c>
    </row>
    <row r="13" spans="1:29" x14ac:dyDescent="0.3">
      <c r="A13" s="205" t="s">
        <v>1113</v>
      </c>
      <c r="B13" s="269">
        <v>2</v>
      </c>
      <c r="C13" s="269">
        <v>1</v>
      </c>
      <c r="I13" s="205" t="s">
        <v>1113</v>
      </c>
      <c r="J13" s="271">
        <v>4</v>
      </c>
      <c r="K13" s="271">
        <v>1</v>
      </c>
      <c r="Q13" s="205" t="s">
        <v>1113</v>
      </c>
      <c r="R13" s="269">
        <v>1</v>
      </c>
      <c r="S13" s="269">
        <v>4</v>
      </c>
      <c r="Y13" s="205" t="s">
        <v>1113</v>
      </c>
      <c r="Z13" s="270">
        <v>0</v>
      </c>
      <c r="AA13" s="270">
        <v>0</v>
      </c>
    </row>
    <row r="15" spans="1:29" x14ac:dyDescent="0.3">
      <c r="B15" s="272" t="s">
        <v>1120</v>
      </c>
      <c r="C15" s="273" t="s">
        <v>501</v>
      </c>
      <c r="D15" s="274" t="s">
        <v>1128</v>
      </c>
      <c r="E15" s="274"/>
      <c r="J15" s="272" t="s">
        <v>1127</v>
      </c>
      <c r="K15" s="272" t="s">
        <v>1116</v>
      </c>
      <c r="L15" s="275" t="s">
        <v>1128</v>
      </c>
      <c r="M15" s="275"/>
      <c r="R15" s="272" t="s">
        <v>1148</v>
      </c>
      <c r="S15" s="272" t="s">
        <v>1149</v>
      </c>
      <c r="T15" s="275" t="s">
        <v>1128</v>
      </c>
      <c r="U15" s="275"/>
      <c r="Z15" s="272" t="s">
        <v>1167</v>
      </c>
      <c r="AA15" s="272" t="s">
        <v>825</v>
      </c>
      <c r="AB15" s="275" t="s">
        <v>1128</v>
      </c>
      <c r="AC15" s="275"/>
    </row>
    <row r="16" spans="1:29" x14ac:dyDescent="0.3">
      <c r="B16" t="s">
        <v>1115</v>
      </c>
      <c r="C16" s="1" t="s">
        <v>1116</v>
      </c>
      <c r="D16" s="8">
        <v>14</v>
      </c>
      <c r="E16" s="8">
        <v>96</v>
      </c>
      <c r="J16" s="1" t="s">
        <v>1131</v>
      </c>
      <c r="K16" s="1" t="s">
        <v>1132</v>
      </c>
      <c r="L16" s="2">
        <v>19</v>
      </c>
      <c r="M16" s="2">
        <v>20</v>
      </c>
      <c r="R16" s="1" t="s">
        <v>1150</v>
      </c>
      <c r="S16" s="1" t="s">
        <v>1132</v>
      </c>
      <c r="T16" s="2">
        <v>19</v>
      </c>
      <c r="U16" s="2" t="s">
        <v>1151</v>
      </c>
      <c r="Z16" s="1" t="s">
        <v>1168</v>
      </c>
      <c r="AA16" s="1" t="s">
        <v>1132</v>
      </c>
      <c r="AB16" s="2" t="s">
        <v>1151</v>
      </c>
      <c r="AC16" s="2" t="s">
        <v>1169</v>
      </c>
    </row>
    <row r="17" spans="1:31" x14ac:dyDescent="0.3">
      <c r="B17" t="s">
        <v>1117</v>
      </c>
      <c r="C17" s="1" t="s">
        <v>1118</v>
      </c>
      <c r="D17" s="8">
        <v>23</v>
      </c>
      <c r="E17" s="8">
        <v>50</v>
      </c>
      <c r="J17" s="1" t="s">
        <v>1130</v>
      </c>
      <c r="K17" s="1" t="s">
        <v>501</v>
      </c>
      <c r="L17" s="2">
        <v>14</v>
      </c>
      <c r="M17" s="2"/>
      <c r="R17" s="272" t="s">
        <v>1152</v>
      </c>
      <c r="S17" s="272" t="s">
        <v>909</v>
      </c>
      <c r="T17" s="275" t="s">
        <v>1128</v>
      </c>
      <c r="U17" s="275"/>
      <c r="Z17" s="272" t="s">
        <v>1170</v>
      </c>
      <c r="AA17" s="272" t="s">
        <v>1171</v>
      </c>
      <c r="AB17" s="275" t="s">
        <v>1128</v>
      </c>
      <c r="AC17" s="275"/>
    </row>
    <row r="18" spans="1:31" x14ac:dyDescent="0.3">
      <c r="B18" t="s">
        <v>1121</v>
      </c>
      <c r="C18" t="s">
        <v>501</v>
      </c>
      <c r="D18" s="8">
        <v>17</v>
      </c>
      <c r="E18" s="8"/>
      <c r="J18" s="272" t="s">
        <v>1129</v>
      </c>
      <c r="K18" s="272" t="s">
        <v>501</v>
      </c>
      <c r="L18" s="275" t="s">
        <v>1128</v>
      </c>
      <c r="M18" s="275"/>
      <c r="R18" s="272" t="s">
        <v>1153</v>
      </c>
      <c r="S18" s="272" t="s">
        <v>501</v>
      </c>
      <c r="T18" s="275" t="s">
        <v>1128</v>
      </c>
      <c r="U18" s="275"/>
      <c r="Z18" s="1"/>
      <c r="AA18" s="1"/>
      <c r="AB18" s="2"/>
      <c r="AC18" s="2"/>
    </row>
    <row r="19" spans="1:31" x14ac:dyDescent="0.3">
      <c r="B19" s="273" t="s">
        <v>1119</v>
      </c>
      <c r="C19" s="272" t="s">
        <v>909</v>
      </c>
      <c r="D19" s="274" t="s">
        <v>1128</v>
      </c>
      <c r="E19" s="274"/>
      <c r="J19" s="272" t="s">
        <v>1133</v>
      </c>
      <c r="K19" s="272" t="s">
        <v>1134</v>
      </c>
      <c r="L19" s="275" t="s">
        <v>1128</v>
      </c>
      <c r="M19" s="275"/>
      <c r="R19" s="1" t="s">
        <v>1154</v>
      </c>
      <c r="S19" s="1" t="s">
        <v>611</v>
      </c>
      <c r="T19" s="2" t="s">
        <v>1151</v>
      </c>
      <c r="U19" s="2"/>
      <c r="Z19" s="1"/>
      <c r="AA19" s="1"/>
      <c r="AB19" s="2"/>
      <c r="AC19" s="2"/>
    </row>
    <row r="20" spans="1:31" x14ac:dyDescent="0.3">
      <c r="B20" t="s">
        <v>1122</v>
      </c>
      <c r="C20" s="1" t="s">
        <v>1123</v>
      </c>
      <c r="D20" s="8">
        <v>20</v>
      </c>
      <c r="E20" s="8" t="s">
        <v>107</v>
      </c>
      <c r="J20" s="1" t="s">
        <v>1135</v>
      </c>
      <c r="K20" s="1" t="s">
        <v>501</v>
      </c>
      <c r="L20" s="2">
        <v>14</v>
      </c>
      <c r="M20" s="2"/>
      <c r="R20" s="272" t="s">
        <v>1154</v>
      </c>
      <c r="S20" s="272" t="s">
        <v>501</v>
      </c>
      <c r="T20" s="275" t="s">
        <v>1128</v>
      </c>
      <c r="U20" s="275"/>
      <c r="Z20" s="1"/>
      <c r="AA20" s="1"/>
      <c r="AB20" s="2"/>
      <c r="AC20" s="2"/>
    </row>
    <row r="21" spans="1:31" x14ac:dyDescent="0.3">
      <c r="J21" s="1" t="s">
        <v>1136</v>
      </c>
      <c r="K21" s="1" t="s">
        <v>939</v>
      </c>
      <c r="L21" s="2">
        <v>20</v>
      </c>
      <c r="M21" s="2">
        <v>14</v>
      </c>
      <c r="R21" s="1" t="s">
        <v>1155</v>
      </c>
      <c r="S21" s="1" t="s">
        <v>1156</v>
      </c>
      <c r="T21" s="2" t="s">
        <v>170</v>
      </c>
      <c r="U21" s="2" t="s">
        <v>1145</v>
      </c>
      <c r="Z21" s="1"/>
      <c r="AA21" s="1"/>
      <c r="AB21" s="2"/>
      <c r="AC21" s="2"/>
    </row>
    <row r="22" spans="1:31" x14ac:dyDescent="0.3">
      <c r="J22" s="272" t="s">
        <v>1137</v>
      </c>
      <c r="K22" s="272" t="s">
        <v>156</v>
      </c>
      <c r="L22" s="275" t="s">
        <v>1128</v>
      </c>
      <c r="M22" s="275"/>
      <c r="R22" s="1" t="s">
        <v>1157</v>
      </c>
      <c r="S22" s="1" t="s">
        <v>897</v>
      </c>
      <c r="T22" s="2" t="s">
        <v>170</v>
      </c>
      <c r="U22" s="2" t="s">
        <v>1145</v>
      </c>
      <c r="Z22" s="1"/>
      <c r="AA22" s="1"/>
      <c r="AB22" s="2"/>
      <c r="AC22" s="2"/>
    </row>
    <row r="23" spans="1:31" x14ac:dyDescent="0.3">
      <c r="J23" s="272" t="s">
        <v>1138</v>
      </c>
      <c r="K23" s="272" t="s">
        <v>260</v>
      </c>
      <c r="L23" s="275" t="s">
        <v>1128</v>
      </c>
      <c r="M23" s="275"/>
      <c r="R23" s="1" t="s">
        <v>1158</v>
      </c>
      <c r="S23" s="1" t="s">
        <v>167</v>
      </c>
      <c r="T23" s="2" t="s">
        <v>1151</v>
      </c>
      <c r="U23" s="2" t="s">
        <v>1159</v>
      </c>
      <c r="Z23" s="1"/>
      <c r="AA23" s="1"/>
      <c r="AB23" s="2"/>
      <c r="AC23" s="2"/>
    </row>
    <row r="24" spans="1:31" x14ac:dyDescent="0.3">
      <c r="J24" s="272" t="s">
        <v>1139</v>
      </c>
      <c r="K24" s="272" t="s">
        <v>1143</v>
      </c>
      <c r="L24" s="275" t="s">
        <v>1128</v>
      </c>
      <c r="M24" s="275"/>
      <c r="R24" s="1" t="s">
        <v>1160</v>
      </c>
      <c r="S24" s="1" t="s">
        <v>506</v>
      </c>
      <c r="T24" s="2" t="s">
        <v>959</v>
      </c>
      <c r="U24" s="2"/>
      <c r="Z24" s="1"/>
      <c r="AA24" s="1"/>
      <c r="AB24" s="2"/>
      <c r="AC24" s="2"/>
    </row>
    <row r="25" spans="1:31" x14ac:dyDescent="0.3">
      <c r="J25" s="272" t="s">
        <v>1140</v>
      </c>
      <c r="K25" s="272" t="s">
        <v>501</v>
      </c>
      <c r="L25" s="275" t="s">
        <v>1128</v>
      </c>
      <c r="M25" s="275"/>
      <c r="R25" s="1" t="s">
        <v>1161</v>
      </c>
      <c r="S25" s="1" t="s">
        <v>508</v>
      </c>
      <c r="T25" s="2" t="s">
        <v>1151</v>
      </c>
      <c r="U25" s="2" t="s">
        <v>1162</v>
      </c>
      <c r="Z25" s="1"/>
      <c r="AA25" s="1"/>
      <c r="AB25" s="2"/>
      <c r="AC25" s="2"/>
    </row>
    <row r="26" spans="1:31" x14ac:dyDescent="0.3">
      <c r="J26" s="272" t="s">
        <v>1141</v>
      </c>
      <c r="K26" s="272" t="s">
        <v>1144</v>
      </c>
      <c r="L26" s="275" t="s">
        <v>1128</v>
      </c>
      <c r="M26" s="275"/>
      <c r="R26" s="272" t="s">
        <v>1163</v>
      </c>
      <c r="S26" s="272" t="s">
        <v>39</v>
      </c>
      <c r="T26" s="275" t="s">
        <v>1128</v>
      </c>
      <c r="U26" s="275"/>
      <c r="Z26" s="1"/>
      <c r="AA26" s="1"/>
      <c r="AB26" s="2"/>
      <c r="AC26" s="2"/>
    </row>
    <row r="27" spans="1:31" x14ac:dyDescent="0.3">
      <c r="J27" s="1" t="s">
        <v>1142</v>
      </c>
      <c r="K27" s="1" t="s">
        <v>888</v>
      </c>
      <c r="L27" s="2" t="s">
        <v>1145</v>
      </c>
      <c r="M27" s="2" t="s">
        <v>107</v>
      </c>
      <c r="R27" s="1"/>
      <c r="S27" s="1"/>
      <c r="T27" s="2"/>
      <c r="U27" s="2"/>
      <c r="Z27" s="1"/>
      <c r="AA27" s="1"/>
      <c r="AB27" s="2"/>
      <c r="AC27" s="2"/>
    </row>
    <row r="29" spans="1:31" x14ac:dyDescent="0.3">
      <c r="D29" s="265" t="s">
        <v>533</v>
      </c>
      <c r="E29" s="265" t="s">
        <v>534</v>
      </c>
      <c r="F29" s="265" t="s">
        <v>610</v>
      </c>
      <c r="G29" s="265" t="s">
        <v>535</v>
      </c>
      <c r="L29" s="265" t="s">
        <v>533</v>
      </c>
      <c r="M29" s="265" t="s">
        <v>534</v>
      </c>
      <c r="N29" s="265" t="s">
        <v>610</v>
      </c>
      <c r="O29" s="265" t="s">
        <v>535</v>
      </c>
      <c r="T29" s="265" t="s">
        <v>533</v>
      </c>
      <c r="U29" s="265" t="s">
        <v>534</v>
      </c>
      <c r="V29" s="265" t="s">
        <v>610</v>
      </c>
      <c r="W29" s="265" t="s">
        <v>535</v>
      </c>
      <c r="AB29" s="265" t="s">
        <v>533</v>
      </c>
      <c r="AC29" s="265" t="s">
        <v>534</v>
      </c>
      <c r="AD29" s="265" t="s">
        <v>610</v>
      </c>
      <c r="AE29" s="265" t="s">
        <v>535</v>
      </c>
    </row>
    <row r="30" spans="1:31" x14ac:dyDescent="0.3">
      <c r="A30" s="276">
        <v>1</v>
      </c>
      <c r="B30" s="277" t="s">
        <v>941</v>
      </c>
      <c r="C30" s="277"/>
      <c r="D30" s="119"/>
      <c r="E30" s="119"/>
      <c r="F30" s="119"/>
      <c r="G30" s="119"/>
      <c r="I30" s="276">
        <v>1</v>
      </c>
      <c r="J30" s="277" t="s">
        <v>941</v>
      </c>
      <c r="K30" s="277"/>
      <c r="L30" s="119"/>
      <c r="M30" s="119"/>
      <c r="N30" s="119"/>
      <c r="O30" s="119"/>
      <c r="Q30" s="276">
        <v>1</v>
      </c>
      <c r="R30" s="277" t="s">
        <v>941</v>
      </c>
      <c r="S30" s="277"/>
      <c r="T30" s="119"/>
      <c r="U30" s="119"/>
      <c r="V30" s="119"/>
      <c r="W30" s="119"/>
      <c r="Y30" s="276">
        <v>1</v>
      </c>
      <c r="Z30" s="277" t="s">
        <v>941</v>
      </c>
      <c r="AA30" s="277"/>
      <c r="AB30" s="119"/>
      <c r="AC30" s="119"/>
      <c r="AD30" s="119"/>
      <c r="AE30" s="119"/>
    </row>
    <row r="31" spans="1:31" x14ac:dyDescent="0.3">
      <c r="A31" s="278">
        <v>4</v>
      </c>
      <c r="B31" s="279" t="s">
        <v>530</v>
      </c>
      <c r="C31" s="279"/>
      <c r="D31" s="229"/>
      <c r="E31" s="229"/>
      <c r="F31" s="229"/>
      <c r="G31" s="229"/>
      <c r="I31" s="278">
        <v>4</v>
      </c>
      <c r="J31" s="279" t="s">
        <v>530</v>
      </c>
      <c r="K31" s="279"/>
      <c r="L31" s="229"/>
      <c r="M31" s="229"/>
      <c r="N31" s="229"/>
      <c r="O31" s="229"/>
      <c r="Q31" s="278">
        <v>4</v>
      </c>
      <c r="R31" s="279" t="s">
        <v>530</v>
      </c>
      <c r="S31" s="279"/>
      <c r="T31" s="229"/>
      <c r="U31" s="229"/>
      <c r="V31" s="229"/>
      <c r="W31" s="229"/>
      <c r="Y31" s="278">
        <v>4</v>
      </c>
      <c r="Z31" s="279" t="s">
        <v>530</v>
      </c>
      <c r="AA31" s="279"/>
      <c r="AB31" s="229"/>
      <c r="AC31" s="229"/>
      <c r="AD31" s="229"/>
      <c r="AE31" s="229"/>
    </row>
    <row r="32" spans="1:31" x14ac:dyDescent="0.3">
      <c r="A32" s="276">
        <v>9</v>
      </c>
      <c r="B32" s="277" t="s">
        <v>1077</v>
      </c>
      <c r="C32" s="277"/>
      <c r="D32" s="119"/>
      <c r="E32" s="119"/>
      <c r="F32" s="119"/>
      <c r="G32" s="119"/>
      <c r="I32" s="276">
        <v>9</v>
      </c>
      <c r="J32" s="277" t="s">
        <v>1077</v>
      </c>
      <c r="K32" s="277"/>
      <c r="L32" s="119"/>
      <c r="M32" s="119"/>
      <c r="N32" s="119"/>
      <c r="O32" s="119"/>
      <c r="Q32" s="276">
        <v>9</v>
      </c>
      <c r="R32" s="277" t="s">
        <v>1077</v>
      </c>
      <c r="S32" s="277"/>
      <c r="T32" s="119">
        <v>2</v>
      </c>
      <c r="U32" s="119"/>
      <c r="V32" s="119"/>
      <c r="W32" s="119"/>
      <c r="Y32" s="276">
        <v>9</v>
      </c>
      <c r="Z32" s="277" t="s">
        <v>1077</v>
      </c>
      <c r="AA32" s="277"/>
      <c r="AB32" s="119"/>
      <c r="AC32" s="119"/>
      <c r="AD32" s="119"/>
      <c r="AE32" s="119"/>
    </row>
    <row r="33" spans="1:31" x14ac:dyDescent="0.3">
      <c r="A33" s="278">
        <v>14</v>
      </c>
      <c r="B33" s="279" t="s">
        <v>1075</v>
      </c>
      <c r="C33" s="279"/>
      <c r="D33" s="229">
        <v>1</v>
      </c>
      <c r="E33" s="229"/>
      <c r="F33" s="229"/>
      <c r="G33" s="229"/>
      <c r="I33" s="278">
        <v>14</v>
      </c>
      <c r="J33" s="279" t="s">
        <v>1075</v>
      </c>
      <c r="K33" s="279"/>
      <c r="L33" s="229"/>
      <c r="M33" s="229">
        <v>1</v>
      </c>
      <c r="N33" s="229"/>
      <c r="O33" s="229">
        <v>2</v>
      </c>
      <c r="Q33" s="278">
        <v>14</v>
      </c>
      <c r="R33" s="279" t="s">
        <v>1075</v>
      </c>
      <c r="S33" s="279"/>
      <c r="T33" s="229">
        <v>1</v>
      </c>
      <c r="U33" s="229"/>
      <c r="V33" s="229"/>
      <c r="W33" s="229"/>
      <c r="Y33" s="278">
        <v>14</v>
      </c>
      <c r="Z33" s="279" t="s">
        <v>1075</v>
      </c>
      <c r="AA33" s="279"/>
      <c r="AB33" s="229"/>
      <c r="AC33" s="229"/>
      <c r="AD33" s="229"/>
      <c r="AE33" s="229"/>
    </row>
    <row r="34" spans="1:31" x14ac:dyDescent="0.3">
      <c r="A34" s="276">
        <v>17</v>
      </c>
      <c r="B34" s="277" t="s">
        <v>53</v>
      </c>
      <c r="C34" s="277"/>
      <c r="D34" s="119"/>
      <c r="E34" s="119"/>
      <c r="F34" s="119"/>
      <c r="G34" s="119">
        <v>1</v>
      </c>
      <c r="I34" s="276">
        <v>17</v>
      </c>
      <c r="J34" s="277" t="s">
        <v>53</v>
      </c>
      <c r="K34" s="277"/>
      <c r="L34" s="119"/>
      <c r="M34" s="119"/>
      <c r="N34" s="119"/>
      <c r="O34" s="119"/>
      <c r="Q34" s="276">
        <v>17</v>
      </c>
      <c r="R34" s="277" t="s">
        <v>53</v>
      </c>
      <c r="S34" s="277"/>
      <c r="T34" s="119"/>
      <c r="U34" s="119"/>
      <c r="V34" s="119"/>
      <c r="W34" s="119"/>
      <c r="Y34" s="276">
        <v>17</v>
      </c>
      <c r="Z34" s="277" t="s">
        <v>53</v>
      </c>
      <c r="AA34" s="277"/>
      <c r="AB34" s="119"/>
      <c r="AC34" s="119"/>
      <c r="AD34" s="119"/>
      <c r="AE34" s="119"/>
    </row>
    <row r="35" spans="1:31" x14ac:dyDescent="0.3">
      <c r="A35" s="278">
        <v>19</v>
      </c>
      <c r="B35" s="279" t="s">
        <v>1125</v>
      </c>
      <c r="C35" s="279"/>
      <c r="D35" s="229"/>
      <c r="E35" s="229"/>
      <c r="F35" s="229"/>
      <c r="G35" s="229"/>
      <c r="I35" s="278">
        <v>19</v>
      </c>
      <c r="J35" s="279" t="s">
        <v>1125</v>
      </c>
      <c r="K35" s="279"/>
      <c r="L35" s="229">
        <v>2</v>
      </c>
      <c r="M35" s="229"/>
      <c r="N35" s="229"/>
      <c r="O35" s="229"/>
      <c r="Q35" s="278">
        <v>19</v>
      </c>
      <c r="R35" s="279" t="s">
        <v>1125</v>
      </c>
      <c r="S35" s="279"/>
      <c r="T35" s="229">
        <v>1</v>
      </c>
      <c r="U35" s="229">
        <v>2</v>
      </c>
      <c r="V35" s="229"/>
      <c r="W35" s="229"/>
      <c r="Y35" s="278">
        <v>19</v>
      </c>
      <c r="Z35" s="279" t="s">
        <v>1125</v>
      </c>
      <c r="AA35" s="279"/>
      <c r="AB35" s="229"/>
      <c r="AC35" s="229"/>
      <c r="AD35" s="229"/>
      <c r="AE35" s="229"/>
    </row>
    <row r="36" spans="1:31" x14ac:dyDescent="0.3">
      <c r="A36" s="276">
        <v>20</v>
      </c>
      <c r="B36" s="277" t="s">
        <v>1124</v>
      </c>
      <c r="C36" s="277"/>
      <c r="D36" s="119">
        <v>1</v>
      </c>
      <c r="E36" s="119"/>
      <c r="F36" s="119"/>
      <c r="G36" s="119"/>
      <c r="I36" s="276">
        <v>20</v>
      </c>
      <c r="J36" s="277" t="s">
        <v>1124</v>
      </c>
      <c r="K36" s="277"/>
      <c r="L36" s="119">
        <v>1</v>
      </c>
      <c r="M36" s="119">
        <v>1</v>
      </c>
      <c r="N36" s="119"/>
      <c r="O36" s="119"/>
      <c r="Q36" s="276">
        <v>20</v>
      </c>
      <c r="R36" s="277" t="s">
        <v>1124</v>
      </c>
      <c r="S36" s="277"/>
      <c r="T36" s="119"/>
      <c r="U36" s="119"/>
      <c r="V36" s="119"/>
      <c r="W36" s="119"/>
      <c r="Y36" s="276">
        <v>20</v>
      </c>
      <c r="Z36" s="277" t="s">
        <v>1124</v>
      </c>
      <c r="AA36" s="277"/>
      <c r="AB36" s="119"/>
      <c r="AC36" s="119"/>
      <c r="AD36" s="119"/>
      <c r="AE36" s="119"/>
    </row>
    <row r="37" spans="1:31" x14ac:dyDescent="0.3">
      <c r="A37" s="278">
        <v>23</v>
      </c>
      <c r="B37" s="279" t="s">
        <v>1076</v>
      </c>
      <c r="C37" s="279"/>
      <c r="D37" s="229">
        <v>1</v>
      </c>
      <c r="E37" s="229"/>
      <c r="F37" s="229"/>
      <c r="G37" s="229"/>
      <c r="I37" s="278">
        <v>23</v>
      </c>
      <c r="J37" s="279" t="s">
        <v>1076</v>
      </c>
      <c r="K37" s="279"/>
      <c r="L37" s="229"/>
      <c r="M37" s="229"/>
      <c r="N37" s="229"/>
      <c r="O37" s="229"/>
      <c r="Q37" s="278">
        <v>23</v>
      </c>
      <c r="R37" s="279" t="s">
        <v>1076</v>
      </c>
      <c r="S37" s="279"/>
      <c r="T37" s="229"/>
      <c r="U37" s="229"/>
      <c r="V37" s="229"/>
      <c r="W37" s="229"/>
      <c r="Y37" s="278">
        <v>23</v>
      </c>
      <c r="Z37" s="279" t="s">
        <v>1076</v>
      </c>
      <c r="AA37" s="279"/>
      <c r="AB37" s="229"/>
      <c r="AC37" s="229"/>
      <c r="AD37" s="229"/>
      <c r="AE37" s="229"/>
    </row>
    <row r="38" spans="1:31" x14ac:dyDescent="0.3">
      <c r="A38" s="276">
        <v>50</v>
      </c>
      <c r="B38" s="277" t="s">
        <v>680</v>
      </c>
      <c r="C38" s="277"/>
      <c r="D38" s="119"/>
      <c r="E38" s="119">
        <v>1</v>
      </c>
      <c r="F38" s="119"/>
      <c r="G38" s="119"/>
      <c r="I38" s="276">
        <v>75</v>
      </c>
      <c r="J38" s="277" t="s">
        <v>55</v>
      </c>
      <c r="K38" s="277"/>
      <c r="L38" s="119"/>
      <c r="M38" s="119"/>
      <c r="N38" s="119"/>
      <c r="O38" s="119"/>
      <c r="Q38" s="291">
        <v>25</v>
      </c>
      <c r="R38" s="292" t="s">
        <v>1164</v>
      </c>
      <c r="S38" s="292"/>
      <c r="T38" s="119"/>
      <c r="U38" s="119"/>
      <c r="V38" s="119"/>
      <c r="W38" s="119"/>
      <c r="Y38" s="291">
        <v>25</v>
      </c>
      <c r="Z38" s="292" t="s">
        <v>1164</v>
      </c>
      <c r="AA38" s="292"/>
      <c r="AB38" s="119"/>
      <c r="AC38" s="119">
        <v>1</v>
      </c>
      <c r="AD38" s="119"/>
      <c r="AE38" s="119"/>
    </row>
    <row r="39" spans="1:31" x14ac:dyDescent="0.3">
      <c r="A39" s="278">
        <v>75</v>
      </c>
      <c r="B39" s="279" t="s">
        <v>55</v>
      </c>
      <c r="C39" s="279"/>
      <c r="D39" s="229"/>
      <c r="E39" s="229"/>
      <c r="F39" s="229"/>
      <c r="G39" s="229"/>
      <c r="I39" s="278">
        <v>96</v>
      </c>
      <c r="J39" s="279" t="s">
        <v>185</v>
      </c>
      <c r="K39" s="279"/>
      <c r="L39" s="229"/>
      <c r="M39" s="229"/>
      <c r="N39" s="229"/>
      <c r="O39" s="229"/>
      <c r="Q39" s="278">
        <v>50</v>
      </c>
      <c r="R39" s="279" t="s">
        <v>680</v>
      </c>
      <c r="S39" s="298"/>
      <c r="T39" s="229"/>
      <c r="U39" s="229">
        <v>1</v>
      </c>
      <c r="V39" s="229"/>
      <c r="W39" s="229"/>
      <c r="Y39" s="278">
        <v>50</v>
      </c>
      <c r="Z39" s="279" t="s">
        <v>680</v>
      </c>
      <c r="AA39" s="298"/>
      <c r="AB39" s="229"/>
      <c r="AC39" s="229"/>
      <c r="AD39" s="229"/>
      <c r="AE39" s="229"/>
    </row>
    <row r="40" spans="1:31" x14ac:dyDescent="0.3">
      <c r="A40" s="276">
        <v>96</v>
      </c>
      <c r="B40" s="277" t="s">
        <v>185</v>
      </c>
      <c r="C40" s="277"/>
      <c r="D40" s="119"/>
      <c r="E40" s="119">
        <v>1</v>
      </c>
      <c r="F40" s="119"/>
      <c r="G40" s="119"/>
      <c r="Q40" s="295">
        <v>55</v>
      </c>
      <c r="R40" s="296" t="s">
        <v>942</v>
      </c>
      <c r="S40" s="297"/>
      <c r="T40" s="119"/>
      <c r="U40" s="119"/>
      <c r="V40" s="119"/>
      <c r="W40" s="119"/>
      <c r="Y40" s="295">
        <v>55</v>
      </c>
      <c r="Z40" s="296" t="s">
        <v>942</v>
      </c>
      <c r="AA40" s="297"/>
      <c r="AB40" s="119"/>
      <c r="AC40" s="119"/>
      <c r="AD40" s="119"/>
      <c r="AE40" s="119"/>
    </row>
    <row r="41" spans="1:31" x14ac:dyDescent="0.3">
      <c r="Q41" s="293">
        <v>66</v>
      </c>
      <c r="R41" s="294" t="s">
        <v>1165</v>
      </c>
      <c r="S41" s="294"/>
      <c r="T41" s="229"/>
      <c r="U41" s="229">
        <v>1</v>
      </c>
      <c r="V41" s="229"/>
      <c r="W41" s="229"/>
      <c r="Y41" s="293">
        <v>66</v>
      </c>
      <c r="Z41" s="294" t="s">
        <v>1165</v>
      </c>
      <c r="AA41" s="294"/>
      <c r="AB41" s="229"/>
      <c r="AC41" s="229"/>
      <c r="AD41" s="229"/>
      <c r="AE41" s="229"/>
    </row>
    <row r="42" spans="1:31" x14ac:dyDescent="0.3">
      <c r="Q42" s="276">
        <v>75</v>
      </c>
      <c r="R42" s="277" t="s">
        <v>55</v>
      </c>
      <c r="S42" s="277"/>
      <c r="T42" s="119"/>
      <c r="U42" s="119"/>
      <c r="V42" s="119"/>
      <c r="W42" s="119"/>
      <c r="Y42" s="276">
        <v>75</v>
      </c>
      <c r="Z42" s="277" t="s">
        <v>55</v>
      </c>
      <c r="AA42" s="277"/>
      <c r="AB42" s="119"/>
      <c r="AC42" s="119"/>
      <c r="AD42" s="119"/>
      <c r="AE42" s="119"/>
    </row>
    <row r="43" spans="1:31" x14ac:dyDescent="0.3">
      <c r="Q43" s="278">
        <v>76</v>
      </c>
      <c r="R43" s="279" t="s">
        <v>1172</v>
      </c>
      <c r="S43" s="279"/>
      <c r="T43" s="303"/>
      <c r="U43" s="303"/>
      <c r="V43" s="303"/>
      <c r="W43" s="303"/>
      <c r="Y43" s="278">
        <v>76</v>
      </c>
      <c r="Z43" s="279" t="s">
        <v>1172</v>
      </c>
      <c r="AA43" s="279"/>
      <c r="AB43" s="303"/>
      <c r="AC43" s="303"/>
      <c r="AD43" s="303"/>
      <c r="AE43" s="303"/>
    </row>
    <row r="44" spans="1:31" x14ac:dyDescent="0.3">
      <c r="Q44" s="295">
        <v>82</v>
      </c>
      <c r="R44" s="296" t="s">
        <v>47</v>
      </c>
      <c r="S44" s="296"/>
      <c r="T44" s="141"/>
      <c r="U44" s="141"/>
      <c r="V44" s="141"/>
      <c r="W44" s="141"/>
      <c r="Y44" s="295">
        <v>82</v>
      </c>
      <c r="Z44" s="296" t="s">
        <v>47</v>
      </c>
      <c r="AA44" s="296"/>
      <c r="AB44" s="141"/>
      <c r="AC44" s="141"/>
      <c r="AD44" s="141"/>
      <c r="AE44" s="141"/>
    </row>
    <row r="45" spans="1:31" x14ac:dyDescent="0.3">
      <c r="Q45" s="278">
        <v>96</v>
      </c>
      <c r="R45" s="279" t="s">
        <v>185</v>
      </c>
      <c r="S45" s="279"/>
      <c r="T45" s="229">
        <v>2</v>
      </c>
      <c r="U45" s="229">
        <v>1</v>
      </c>
      <c r="V45" s="229"/>
      <c r="W45" s="229"/>
      <c r="Y45" s="278">
        <v>96</v>
      </c>
      <c r="Z45" s="279" t="s">
        <v>185</v>
      </c>
      <c r="AA45" s="279"/>
      <c r="AB45" s="229">
        <v>1</v>
      </c>
      <c r="AC45" s="229"/>
      <c r="AD45" s="229"/>
      <c r="AE45" s="229"/>
    </row>
    <row r="49" spans="1:29" x14ac:dyDescent="0.3">
      <c r="A49" s="205" t="s">
        <v>1114</v>
      </c>
      <c r="B49" s="266">
        <v>5</v>
      </c>
      <c r="I49" s="205"/>
      <c r="J49" s="266">
        <v>6</v>
      </c>
      <c r="Q49" s="205"/>
      <c r="R49" s="266">
        <v>7</v>
      </c>
      <c r="Y49" s="205"/>
      <c r="Z49" s="266">
        <v>8</v>
      </c>
    </row>
    <row r="50" spans="1:29" x14ac:dyDescent="0.3">
      <c r="A50" s="205"/>
      <c r="B50" s="267">
        <v>41951</v>
      </c>
      <c r="C50" s="205" t="s">
        <v>44</v>
      </c>
      <c r="I50" s="205"/>
      <c r="J50" s="267">
        <v>41951</v>
      </c>
      <c r="K50" s="205" t="s">
        <v>44</v>
      </c>
      <c r="Q50" s="205"/>
      <c r="R50" s="267">
        <v>41972</v>
      </c>
      <c r="S50" s="205" t="s">
        <v>44</v>
      </c>
      <c r="Y50" s="205"/>
      <c r="Z50" s="267">
        <v>41972</v>
      </c>
      <c r="AA50" s="205" t="s">
        <v>44</v>
      </c>
    </row>
    <row r="51" spans="1:29" x14ac:dyDescent="0.3">
      <c r="A51" s="205"/>
      <c r="B51" s="267"/>
      <c r="C51" s="205"/>
      <c r="I51" s="205"/>
      <c r="J51" s="267"/>
      <c r="K51" s="205"/>
      <c r="Q51" s="205"/>
      <c r="R51" s="267"/>
      <c r="S51" s="205"/>
      <c r="Y51" s="205"/>
      <c r="Z51" s="267"/>
      <c r="AA51" s="205"/>
    </row>
    <row r="52" spans="1:29" ht="15.6" x14ac:dyDescent="0.3">
      <c r="B52" s="268" t="s">
        <v>1173</v>
      </c>
      <c r="C52" s="268" t="s">
        <v>0</v>
      </c>
      <c r="J52" s="268" t="s">
        <v>0</v>
      </c>
      <c r="K52" s="268" t="s">
        <v>1195</v>
      </c>
      <c r="R52" s="268" t="s">
        <v>1000</v>
      </c>
      <c r="S52" s="268" t="s">
        <v>0</v>
      </c>
      <c r="Z52" s="268" t="s">
        <v>0</v>
      </c>
      <c r="AA52" s="268" t="s">
        <v>1220</v>
      </c>
    </row>
    <row r="53" spans="1:29" x14ac:dyDescent="0.3">
      <c r="B53" s="269">
        <v>0</v>
      </c>
      <c r="C53" s="269">
        <v>11</v>
      </c>
      <c r="J53" s="269">
        <v>6</v>
      </c>
      <c r="K53" s="269">
        <v>3</v>
      </c>
      <c r="R53" s="269">
        <v>1</v>
      </c>
      <c r="S53" s="269">
        <v>4</v>
      </c>
      <c r="Z53" s="271">
        <v>4</v>
      </c>
      <c r="AA53" s="271">
        <v>8</v>
      </c>
    </row>
    <row r="55" spans="1:29" x14ac:dyDescent="0.3">
      <c r="A55" s="205" t="s">
        <v>1111</v>
      </c>
      <c r="B55" s="269">
        <v>0</v>
      </c>
      <c r="C55" s="269">
        <v>4</v>
      </c>
      <c r="I55" s="205" t="s">
        <v>1111</v>
      </c>
      <c r="J55" s="270">
        <v>2</v>
      </c>
      <c r="K55" s="270">
        <v>2</v>
      </c>
      <c r="Q55" s="205" t="s">
        <v>1111</v>
      </c>
      <c r="R55" s="269">
        <v>0</v>
      </c>
      <c r="S55" s="269">
        <v>2</v>
      </c>
      <c r="Y55" s="205" t="s">
        <v>1111</v>
      </c>
      <c r="Z55" s="271">
        <v>0</v>
      </c>
      <c r="AA55" s="271">
        <v>4</v>
      </c>
    </row>
    <row r="56" spans="1:29" x14ac:dyDescent="0.3">
      <c r="A56" s="205" t="s">
        <v>1112</v>
      </c>
      <c r="B56" s="269">
        <v>0</v>
      </c>
      <c r="C56" s="269">
        <v>2</v>
      </c>
      <c r="I56" s="205" t="s">
        <v>1112</v>
      </c>
      <c r="J56" s="269">
        <v>3</v>
      </c>
      <c r="K56" s="269">
        <v>1</v>
      </c>
      <c r="Q56" s="205" t="s">
        <v>1112</v>
      </c>
      <c r="R56" s="269">
        <v>0</v>
      </c>
      <c r="S56" s="269">
        <v>1</v>
      </c>
      <c r="Y56" s="205" t="s">
        <v>1112</v>
      </c>
      <c r="Z56" s="271">
        <v>0</v>
      </c>
      <c r="AA56" s="271">
        <v>1</v>
      </c>
    </row>
    <row r="57" spans="1:29" x14ac:dyDescent="0.3">
      <c r="A57" s="205" t="s">
        <v>1113</v>
      </c>
      <c r="B57" s="269">
        <v>0</v>
      </c>
      <c r="C57" s="269">
        <v>5</v>
      </c>
      <c r="I57" s="205" t="s">
        <v>1113</v>
      </c>
      <c r="J57" s="269">
        <v>1</v>
      </c>
      <c r="K57" s="269">
        <v>0</v>
      </c>
      <c r="Q57" s="205" t="s">
        <v>1113</v>
      </c>
      <c r="R57" s="270">
        <v>1</v>
      </c>
      <c r="S57" s="270">
        <v>1</v>
      </c>
      <c r="Y57" s="205" t="s">
        <v>1113</v>
      </c>
      <c r="Z57" s="269">
        <v>4</v>
      </c>
      <c r="AA57" s="269">
        <v>3</v>
      </c>
    </row>
    <row r="59" spans="1:29" x14ac:dyDescent="0.3">
      <c r="B59" s="1" t="s">
        <v>1174</v>
      </c>
      <c r="C59" t="s">
        <v>825</v>
      </c>
      <c r="D59" s="8">
        <v>55</v>
      </c>
      <c r="E59" s="8">
        <v>76</v>
      </c>
      <c r="J59" s="1" t="s">
        <v>1196</v>
      </c>
      <c r="K59" s="1" t="s">
        <v>1116</v>
      </c>
      <c r="L59" s="2" t="s">
        <v>1151</v>
      </c>
      <c r="M59" s="2" t="s">
        <v>1145</v>
      </c>
      <c r="R59" s="1" t="s">
        <v>1212</v>
      </c>
      <c r="S59" s="1" t="s">
        <v>825</v>
      </c>
      <c r="T59" s="2" t="s">
        <v>1151</v>
      </c>
      <c r="U59" s="2" t="s">
        <v>192</v>
      </c>
      <c r="Z59" s="272" t="s">
        <v>591</v>
      </c>
      <c r="AA59" s="272" t="s">
        <v>825</v>
      </c>
      <c r="AB59" s="275" t="s">
        <v>1128</v>
      </c>
      <c r="AC59" s="275"/>
    </row>
    <row r="60" spans="1:29" x14ac:dyDescent="0.3">
      <c r="B60" s="1" t="s">
        <v>1175</v>
      </c>
      <c r="C60" s="1" t="s">
        <v>1176</v>
      </c>
      <c r="D60" s="8">
        <v>66</v>
      </c>
      <c r="E60" s="8">
        <v>76</v>
      </c>
      <c r="J60" s="272" t="s">
        <v>1198</v>
      </c>
      <c r="K60" s="272" t="s">
        <v>501</v>
      </c>
      <c r="L60" s="275" t="s">
        <v>1128</v>
      </c>
      <c r="M60" s="275"/>
      <c r="R60" s="1" t="s">
        <v>1213</v>
      </c>
      <c r="S60" s="1" t="s">
        <v>1176</v>
      </c>
      <c r="T60" s="2" t="s">
        <v>1203</v>
      </c>
      <c r="U60" s="2" t="s">
        <v>1214</v>
      </c>
      <c r="Z60" s="272" t="s">
        <v>1221</v>
      </c>
      <c r="AA60" s="272" t="s">
        <v>1176</v>
      </c>
      <c r="AB60" s="275" t="s">
        <v>1128</v>
      </c>
      <c r="AC60" s="275"/>
    </row>
    <row r="61" spans="1:29" x14ac:dyDescent="0.3">
      <c r="B61" s="1" t="s">
        <v>1177</v>
      </c>
      <c r="C61" s="1" t="s">
        <v>1178</v>
      </c>
      <c r="D61" s="8">
        <v>96</v>
      </c>
      <c r="E61" s="8">
        <v>20</v>
      </c>
      <c r="J61" s="272" t="s">
        <v>1197</v>
      </c>
      <c r="K61" s="272" t="s">
        <v>1199</v>
      </c>
      <c r="L61" s="275" t="s">
        <v>1128</v>
      </c>
      <c r="M61" s="275"/>
      <c r="R61" s="1" t="s">
        <v>1215</v>
      </c>
      <c r="S61" s="1" t="s">
        <v>1178</v>
      </c>
      <c r="T61" s="2" t="s">
        <v>170</v>
      </c>
      <c r="U61" s="2" t="s">
        <v>1145</v>
      </c>
      <c r="Z61" s="272" t="s">
        <v>1222</v>
      </c>
      <c r="AA61" s="272" t="s">
        <v>1178</v>
      </c>
      <c r="AB61" s="275" t="s">
        <v>1128</v>
      </c>
      <c r="AC61" s="275"/>
    </row>
    <row r="62" spans="1:29" x14ac:dyDescent="0.3">
      <c r="B62" s="1" t="s">
        <v>1179</v>
      </c>
      <c r="C62" t="s">
        <v>1180</v>
      </c>
      <c r="D62" s="8">
        <v>19</v>
      </c>
      <c r="E62" s="8">
        <v>96</v>
      </c>
      <c r="J62" s="1" t="s">
        <v>1200</v>
      </c>
      <c r="K62" s="1" t="s">
        <v>501</v>
      </c>
      <c r="L62" s="2" t="s">
        <v>959</v>
      </c>
      <c r="M62" s="2"/>
      <c r="R62" s="272" t="s">
        <v>1216</v>
      </c>
      <c r="S62" s="272" t="s">
        <v>258</v>
      </c>
      <c r="T62" s="275" t="s">
        <v>1128</v>
      </c>
      <c r="U62" s="275"/>
      <c r="Z62" s="272" t="s">
        <v>1223</v>
      </c>
      <c r="AA62" s="272" t="s">
        <v>1180</v>
      </c>
      <c r="AB62" s="275" t="s">
        <v>1128</v>
      </c>
      <c r="AC62" s="275"/>
    </row>
    <row r="63" spans="1:29" x14ac:dyDescent="0.3">
      <c r="B63" s="1" t="s">
        <v>1181</v>
      </c>
      <c r="C63" s="1" t="s">
        <v>1182</v>
      </c>
      <c r="D63" s="8">
        <v>23</v>
      </c>
      <c r="E63" s="8">
        <v>4</v>
      </c>
      <c r="J63" s="272" t="s">
        <v>1201</v>
      </c>
      <c r="K63" s="272" t="s">
        <v>1171</v>
      </c>
      <c r="L63" s="275" t="s">
        <v>1128</v>
      </c>
      <c r="M63" s="275"/>
      <c r="R63" s="1" t="s">
        <v>1217</v>
      </c>
      <c r="S63" s="1" t="s">
        <v>1218</v>
      </c>
      <c r="T63" s="2" t="s">
        <v>1219</v>
      </c>
      <c r="U63" s="2"/>
      <c r="Z63" s="272" t="s">
        <v>1224</v>
      </c>
      <c r="AA63" s="272" t="s">
        <v>501</v>
      </c>
      <c r="AB63" s="275" t="s">
        <v>1128</v>
      </c>
      <c r="AC63" s="275"/>
    </row>
    <row r="64" spans="1:29" x14ac:dyDescent="0.3">
      <c r="B64" s="272" t="s">
        <v>1183</v>
      </c>
      <c r="C64" s="272" t="s">
        <v>501</v>
      </c>
      <c r="D64" s="274" t="s">
        <v>1128</v>
      </c>
      <c r="E64" s="274"/>
      <c r="J64" s="1" t="s">
        <v>1202</v>
      </c>
      <c r="K64" s="1" t="s">
        <v>501</v>
      </c>
      <c r="L64" s="2" t="s">
        <v>581</v>
      </c>
      <c r="M64" s="2"/>
      <c r="R64" s="1"/>
      <c r="S64" s="1"/>
      <c r="T64" s="2"/>
      <c r="U64" s="2"/>
      <c r="Z64" s="272" t="s">
        <v>1225</v>
      </c>
      <c r="AA64" s="272" t="s">
        <v>1182</v>
      </c>
      <c r="AB64" s="275" t="s">
        <v>1128</v>
      </c>
      <c r="AC64" s="275"/>
    </row>
    <row r="65" spans="1:31" x14ac:dyDescent="0.3">
      <c r="B65" s="1" t="s">
        <v>1184</v>
      </c>
      <c r="C65" s="1" t="s">
        <v>37</v>
      </c>
      <c r="D65" s="8">
        <v>19</v>
      </c>
      <c r="E65" s="8">
        <v>96</v>
      </c>
      <c r="J65" s="1" t="s">
        <v>1131</v>
      </c>
      <c r="K65" s="1" t="s">
        <v>501</v>
      </c>
      <c r="L65" s="2" t="s">
        <v>1203</v>
      </c>
      <c r="M65" s="2"/>
      <c r="R65" s="1"/>
      <c r="S65" s="1"/>
      <c r="T65" s="2"/>
      <c r="U65" s="2"/>
      <c r="Z65" s="272" t="s">
        <v>1226</v>
      </c>
      <c r="AA65" s="272" t="s">
        <v>37</v>
      </c>
      <c r="AB65" s="275" t="s">
        <v>1128</v>
      </c>
      <c r="AC65" s="275"/>
    </row>
    <row r="66" spans="1:31" x14ac:dyDescent="0.3">
      <c r="B66" s="1" t="s">
        <v>1185</v>
      </c>
      <c r="C66" s="1" t="s">
        <v>501</v>
      </c>
      <c r="D66" s="8">
        <v>14</v>
      </c>
      <c r="J66" s="272" t="s">
        <v>1204</v>
      </c>
      <c r="K66" s="272" t="s">
        <v>501</v>
      </c>
      <c r="L66" s="275" t="s">
        <v>1128</v>
      </c>
      <c r="M66" s="275"/>
      <c r="R66" s="1"/>
      <c r="S66" s="1"/>
      <c r="T66" s="2"/>
      <c r="U66" s="2"/>
      <c r="Z66" s="1" t="s">
        <v>1227</v>
      </c>
      <c r="AA66" s="1" t="s">
        <v>40</v>
      </c>
      <c r="AB66" s="2" t="s">
        <v>1151</v>
      </c>
      <c r="AC66" s="2" t="s">
        <v>170</v>
      </c>
    </row>
    <row r="67" spans="1:31" x14ac:dyDescent="0.3">
      <c r="B67" s="1" t="s">
        <v>1186</v>
      </c>
      <c r="C67" s="1" t="s">
        <v>1016</v>
      </c>
      <c r="D67" s="8">
        <v>66</v>
      </c>
      <c r="E67" s="8">
        <v>55</v>
      </c>
      <c r="J67" s="1" t="s">
        <v>1205</v>
      </c>
      <c r="K67" s="1" t="s">
        <v>939</v>
      </c>
      <c r="L67" s="2" t="s">
        <v>1145</v>
      </c>
      <c r="M67" s="2" t="s">
        <v>1151</v>
      </c>
      <c r="R67" s="1"/>
      <c r="S67" s="1"/>
      <c r="T67" s="2"/>
      <c r="U67" s="2"/>
      <c r="Z67" s="1" t="s">
        <v>1228</v>
      </c>
      <c r="AA67" s="1" t="s">
        <v>508</v>
      </c>
      <c r="AB67" s="2" t="s">
        <v>1151</v>
      </c>
      <c r="AC67" s="2" t="s">
        <v>1214</v>
      </c>
    </row>
    <row r="68" spans="1:31" x14ac:dyDescent="0.3">
      <c r="B68" s="1" t="s">
        <v>1187</v>
      </c>
      <c r="C68" s="1" t="s">
        <v>1188</v>
      </c>
      <c r="D68" s="8">
        <v>19</v>
      </c>
      <c r="E68" s="8">
        <v>66</v>
      </c>
      <c r="J68" s="1" t="s">
        <v>1206</v>
      </c>
      <c r="K68" s="1" t="s">
        <v>156</v>
      </c>
      <c r="L68" s="2" t="s">
        <v>1169</v>
      </c>
      <c r="M68" s="2" t="s">
        <v>1145</v>
      </c>
      <c r="R68" s="1"/>
      <c r="S68" s="1"/>
      <c r="T68" s="2"/>
      <c r="U68" s="2"/>
      <c r="Z68" s="272" t="s">
        <v>1229</v>
      </c>
      <c r="AA68" s="272" t="s">
        <v>1230</v>
      </c>
      <c r="AB68" s="275" t="s">
        <v>1128</v>
      </c>
      <c r="AC68" s="275"/>
    </row>
    <row r="69" spans="1:31" x14ac:dyDescent="0.3">
      <c r="B69" s="1" t="s">
        <v>1189</v>
      </c>
      <c r="C69" s="1" t="s">
        <v>1190</v>
      </c>
      <c r="D69" s="8">
        <v>14</v>
      </c>
      <c r="E69" s="8">
        <v>20</v>
      </c>
      <c r="J69" s="272" t="s">
        <v>1207</v>
      </c>
      <c r="K69" s="272" t="s">
        <v>824</v>
      </c>
      <c r="L69" s="275" t="s">
        <v>1128</v>
      </c>
      <c r="M69" s="275"/>
      <c r="R69" s="1"/>
      <c r="S69" s="1"/>
      <c r="T69" s="2"/>
      <c r="U69" s="2"/>
      <c r="Z69" s="1" t="s">
        <v>1231</v>
      </c>
      <c r="AA69" s="1" t="s">
        <v>1232</v>
      </c>
      <c r="AB69" s="2" t="s">
        <v>1145</v>
      </c>
      <c r="AC69" s="2" t="s">
        <v>1214</v>
      </c>
    </row>
    <row r="70" spans="1:31" x14ac:dyDescent="0.3">
      <c r="B70" s="272" t="s">
        <v>1191</v>
      </c>
      <c r="C70" s="272" t="s">
        <v>501</v>
      </c>
      <c r="D70" s="273" t="s">
        <v>1128</v>
      </c>
      <c r="E70" s="273"/>
      <c r="J70" s="1" t="s">
        <v>1208</v>
      </c>
      <c r="K70" s="1" t="s">
        <v>161</v>
      </c>
      <c r="L70" s="2" t="s">
        <v>192</v>
      </c>
      <c r="M70" s="2" t="s">
        <v>6</v>
      </c>
      <c r="R70" s="1"/>
      <c r="S70" s="1"/>
      <c r="T70" s="2"/>
      <c r="U70" s="2"/>
      <c r="Z70" s="1" t="s">
        <v>1233</v>
      </c>
      <c r="AA70" s="1" t="s">
        <v>1234</v>
      </c>
      <c r="AB70" s="2" t="s">
        <v>1151</v>
      </c>
      <c r="AC70" s="2" t="s">
        <v>959</v>
      </c>
    </row>
    <row r="71" spans="1:31" x14ac:dyDescent="0.3">
      <c r="B71" s="1" t="s">
        <v>1191</v>
      </c>
      <c r="C71" s="1" t="s">
        <v>501</v>
      </c>
      <c r="D71" s="8">
        <v>23</v>
      </c>
      <c r="J71" s="1" t="s">
        <v>1209</v>
      </c>
      <c r="K71" s="1" t="s">
        <v>34</v>
      </c>
      <c r="L71" s="2" t="s">
        <v>1145</v>
      </c>
      <c r="M71" s="2" t="s">
        <v>1210</v>
      </c>
      <c r="R71" s="1"/>
      <c r="S71" s="1"/>
      <c r="T71" s="2"/>
      <c r="U71" s="2"/>
      <c r="Z71" s="272" t="s">
        <v>1217</v>
      </c>
      <c r="AA71" s="272" t="s">
        <v>1235</v>
      </c>
      <c r="AB71" s="275" t="s">
        <v>1128</v>
      </c>
      <c r="AC71" s="275"/>
    </row>
    <row r="72" spans="1:31" x14ac:dyDescent="0.3">
      <c r="B72" s="1" t="s">
        <v>1192</v>
      </c>
      <c r="C72" s="1" t="s">
        <v>1193</v>
      </c>
      <c r="D72" s="8">
        <v>66</v>
      </c>
      <c r="E72" s="8">
        <v>50</v>
      </c>
      <c r="J72" s="1" t="s">
        <v>1211</v>
      </c>
      <c r="K72" s="1" t="s">
        <v>888</v>
      </c>
      <c r="L72">
        <v>19</v>
      </c>
      <c r="M72">
        <v>20</v>
      </c>
    </row>
    <row r="73" spans="1:31" x14ac:dyDescent="0.3">
      <c r="B73" s="1" t="s">
        <v>1194</v>
      </c>
      <c r="C73" s="1" t="s">
        <v>567</v>
      </c>
      <c r="D73" s="8">
        <v>9</v>
      </c>
      <c r="E73" s="8">
        <v>96</v>
      </c>
    </row>
    <row r="74" spans="1:31" x14ac:dyDescent="0.3">
      <c r="B74" s="1"/>
      <c r="C74" s="1"/>
    </row>
    <row r="75" spans="1:31" x14ac:dyDescent="0.3">
      <c r="D75" s="265" t="s">
        <v>533</v>
      </c>
      <c r="E75" s="265" t="s">
        <v>534</v>
      </c>
      <c r="F75" s="265" t="s">
        <v>610</v>
      </c>
      <c r="G75" s="265" t="s">
        <v>535</v>
      </c>
      <c r="L75" s="265" t="s">
        <v>533</v>
      </c>
      <c r="M75" s="265" t="s">
        <v>534</v>
      </c>
      <c r="N75" s="265" t="s">
        <v>610</v>
      </c>
      <c r="O75" s="265" t="s">
        <v>535</v>
      </c>
      <c r="T75" s="265" t="s">
        <v>533</v>
      </c>
      <c r="U75" s="265" t="s">
        <v>534</v>
      </c>
      <c r="V75" s="265" t="s">
        <v>610</v>
      </c>
      <c r="W75" s="265" t="s">
        <v>535</v>
      </c>
      <c r="AB75" s="265" t="s">
        <v>533</v>
      </c>
      <c r="AC75" s="265" t="s">
        <v>534</v>
      </c>
      <c r="AD75" s="265" t="s">
        <v>610</v>
      </c>
      <c r="AE75" s="265" t="s">
        <v>535</v>
      </c>
    </row>
    <row r="76" spans="1:31" x14ac:dyDescent="0.3">
      <c r="A76" s="276">
        <v>1</v>
      </c>
      <c r="B76" s="277" t="s">
        <v>941</v>
      </c>
      <c r="C76" s="277"/>
      <c r="D76" s="119"/>
      <c r="E76" s="119"/>
      <c r="F76" s="119"/>
      <c r="G76" s="119"/>
      <c r="I76" s="276">
        <v>1</v>
      </c>
      <c r="J76" s="277" t="s">
        <v>941</v>
      </c>
      <c r="K76" s="277"/>
      <c r="L76" s="119"/>
      <c r="M76" s="119"/>
      <c r="N76" s="119"/>
      <c r="O76" s="119"/>
      <c r="Q76" s="276">
        <v>1</v>
      </c>
      <c r="R76" s="277" t="s">
        <v>941</v>
      </c>
      <c r="S76" s="277"/>
      <c r="T76" s="119"/>
      <c r="U76" s="119"/>
      <c r="V76" s="119"/>
      <c r="W76" s="119"/>
      <c r="Y76" s="276">
        <v>1</v>
      </c>
      <c r="Z76" s="277" t="s">
        <v>941</v>
      </c>
      <c r="AA76" s="277"/>
      <c r="AB76" s="119"/>
      <c r="AC76" s="119"/>
      <c r="AD76" s="119"/>
      <c r="AE76" s="119"/>
    </row>
    <row r="77" spans="1:31" x14ac:dyDescent="0.3">
      <c r="A77" s="278">
        <v>4</v>
      </c>
      <c r="B77" s="279" t="s">
        <v>530</v>
      </c>
      <c r="C77" s="279"/>
      <c r="D77" s="229"/>
      <c r="E77" s="229">
        <v>1</v>
      </c>
      <c r="F77" s="229"/>
      <c r="G77" s="229"/>
      <c r="I77" s="278">
        <v>4</v>
      </c>
      <c r="J77" s="279" t="s">
        <v>530</v>
      </c>
      <c r="K77" s="279"/>
      <c r="L77" s="229"/>
      <c r="M77" s="229">
        <v>1</v>
      </c>
      <c r="N77" s="229"/>
      <c r="O77" s="229"/>
      <c r="Q77" s="278">
        <v>4</v>
      </c>
      <c r="R77" s="279" t="s">
        <v>530</v>
      </c>
      <c r="S77" s="279"/>
      <c r="T77" s="229"/>
      <c r="U77" s="229"/>
      <c r="V77" s="229"/>
      <c r="W77" s="229"/>
      <c r="Y77" s="278">
        <v>4</v>
      </c>
      <c r="Z77" s="279" t="s">
        <v>530</v>
      </c>
      <c r="AA77" s="279"/>
      <c r="AB77" s="229"/>
      <c r="AC77" s="229"/>
      <c r="AD77" s="229"/>
      <c r="AE77" s="229"/>
    </row>
    <row r="78" spans="1:31" x14ac:dyDescent="0.3">
      <c r="A78" s="276">
        <v>9</v>
      </c>
      <c r="B78" s="277" t="s">
        <v>1077</v>
      </c>
      <c r="C78" s="277"/>
      <c r="D78" s="119">
        <v>1</v>
      </c>
      <c r="E78" s="119"/>
      <c r="F78" s="119"/>
      <c r="G78" s="119"/>
      <c r="I78" s="276">
        <v>9</v>
      </c>
      <c r="J78" s="277" t="s">
        <v>1077</v>
      </c>
      <c r="K78" s="277"/>
      <c r="L78" s="119"/>
      <c r="M78" s="119"/>
      <c r="N78" s="119"/>
      <c r="O78" s="119"/>
      <c r="Q78" s="276">
        <v>9</v>
      </c>
      <c r="R78" s="277" t="s">
        <v>1077</v>
      </c>
      <c r="S78" s="277"/>
      <c r="T78" s="119">
        <v>1</v>
      </c>
      <c r="U78" s="119"/>
      <c r="V78" s="119"/>
      <c r="W78" s="119"/>
      <c r="Y78" s="276">
        <v>9</v>
      </c>
      <c r="Z78" s="277" t="s">
        <v>1077</v>
      </c>
      <c r="AA78" s="277"/>
      <c r="AB78" s="119"/>
      <c r="AC78" s="119">
        <v>1</v>
      </c>
      <c r="AD78" s="119"/>
      <c r="AE78" s="119"/>
    </row>
    <row r="79" spans="1:31" x14ac:dyDescent="0.3">
      <c r="A79" s="278">
        <v>14</v>
      </c>
      <c r="B79" s="279" t="s">
        <v>1075</v>
      </c>
      <c r="C79" s="279"/>
      <c r="D79" s="229">
        <v>1</v>
      </c>
      <c r="E79" s="229"/>
      <c r="F79" s="229"/>
      <c r="G79" s="229">
        <v>2</v>
      </c>
      <c r="I79" s="278">
        <v>14</v>
      </c>
      <c r="J79" s="279" t="s">
        <v>1075</v>
      </c>
      <c r="K79" s="279"/>
      <c r="L79" s="229"/>
      <c r="M79" s="229"/>
      <c r="N79" s="229"/>
      <c r="O79" s="229">
        <v>2</v>
      </c>
      <c r="Q79" s="278">
        <v>14</v>
      </c>
      <c r="R79" s="279" t="s">
        <v>1075</v>
      </c>
      <c r="S79" s="279"/>
      <c r="T79" s="229"/>
      <c r="U79" s="229"/>
      <c r="V79" s="229"/>
      <c r="W79" s="229"/>
      <c r="Y79" s="278">
        <v>14</v>
      </c>
      <c r="Z79" s="279" t="s">
        <v>1075</v>
      </c>
      <c r="AA79" s="279"/>
      <c r="AB79" s="229"/>
      <c r="AC79" s="229">
        <v>1</v>
      </c>
      <c r="AD79" s="229"/>
      <c r="AE79" s="229"/>
    </row>
    <row r="80" spans="1:31" x14ac:dyDescent="0.3">
      <c r="A80" s="276">
        <v>17</v>
      </c>
      <c r="B80" s="277" t="s">
        <v>53</v>
      </c>
      <c r="C80" s="277"/>
      <c r="D80" s="119"/>
      <c r="E80" s="119"/>
      <c r="F80" s="119"/>
      <c r="G80" s="119"/>
      <c r="I80" s="276">
        <v>17</v>
      </c>
      <c r="J80" s="277" t="s">
        <v>53</v>
      </c>
      <c r="K80" s="277"/>
      <c r="L80" s="119">
        <v>1</v>
      </c>
      <c r="M80" s="119"/>
      <c r="N80" s="119"/>
      <c r="O80" s="119"/>
      <c r="Q80" s="276">
        <v>17</v>
      </c>
      <c r="R80" s="277" t="s">
        <v>53</v>
      </c>
      <c r="S80" s="277"/>
      <c r="T80" s="119"/>
      <c r="U80" s="119">
        <v>1</v>
      </c>
      <c r="V80" s="119"/>
      <c r="W80" s="119"/>
      <c r="Y80" s="276">
        <v>17</v>
      </c>
      <c r="Z80" s="277" t="s">
        <v>53</v>
      </c>
      <c r="AA80" s="277"/>
      <c r="AB80" s="119"/>
      <c r="AC80" s="119"/>
      <c r="AD80" s="119"/>
      <c r="AE80" s="119"/>
    </row>
    <row r="81" spans="1:31" x14ac:dyDescent="0.3">
      <c r="A81" s="278">
        <v>19</v>
      </c>
      <c r="B81" s="279" t="s">
        <v>1125</v>
      </c>
      <c r="C81" s="279"/>
      <c r="D81" s="229">
        <v>3</v>
      </c>
      <c r="E81" s="229"/>
      <c r="F81" s="229"/>
      <c r="G81" s="229"/>
      <c r="I81" s="278">
        <v>19</v>
      </c>
      <c r="J81" s="279" t="s">
        <v>1125</v>
      </c>
      <c r="K81" s="279"/>
      <c r="L81" s="229">
        <v>3</v>
      </c>
      <c r="M81" s="229">
        <v>2</v>
      </c>
      <c r="N81" s="229"/>
      <c r="O81" s="229"/>
      <c r="Q81" s="278">
        <v>19</v>
      </c>
      <c r="R81" s="279" t="s">
        <v>1125</v>
      </c>
      <c r="S81" s="279"/>
      <c r="T81" s="229"/>
      <c r="U81" s="229">
        <v>1</v>
      </c>
      <c r="V81" s="229"/>
      <c r="W81" s="229"/>
      <c r="Y81" s="278">
        <v>19</v>
      </c>
      <c r="Z81" s="279" t="s">
        <v>1125</v>
      </c>
      <c r="AA81" s="279"/>
      <c r="AB81" s="229">
        <v>1</v>
      </c>
      <c r="AC81" s="229"/>
      <c r="AD81" s="229"/>
      <c r="AE81" s="229"/>
    </row>
    <row r="82" spans="1:31" x14ac:dyDescent="0.3">
      <c r="A82" s="276">
        <v>20</v>
      </c>
      <c r="B82" s="277" t="s">
        <v>1124</v>
      </c>
      <c r="C82" s="277"/>
      <c r="D82" s="119"/>
      <c r="E82" s="119">
        <v>2</v>
      </c>
      <c r="F82" s="119"/>
      <c r="G82" s="119"/>
      <c r="I82" s="276">
        <v>20</v>
      </c>
      <c r="J82" s="277" t="s">
        <v>1124</v>
      </c>
      <c r="K82" s="277"/>
      <c r="L82" s="119"/>
      <c r="M82" s="119">
        <v>1</v>
      </c>
      <c r="N82" s="119"/>
      <c r="O82" s="119"/>
      <c r="Q82" s="276">
        <v>20</v>
      </c>
      <c r="R82" s="277" t="s">
        <v>1124</v>
      </c>
      <c r="S82" s="277"/>
      <c r="T82" s="119"/>
      <c r="U82" s="119">
        <v>1</v>
      </c>
      <c r="V82" s="119"/>
      <c r="W82" s="119"/>
      <c r="Y82" s="276">
        <v>20</v>
      </c>
      <c r="Z82" s="277" t="s">
        <v>1124</v>
      </c>
      <c r="AA82" s="277"/>
      <c r="AB82" s="119"/>
      <c r="AC82" s="119">
        <v>2</v>
      </c>
      <c r="AD82" s="119"/>
      <c r="AE82" s="119"/>
    </row>
    <row r="83" spans="1:31" x14ac:dyDescent="0.3">
      <c r="A83" s="278">
        <v>23</v>
      </c>
      <c r="B83" s="279" t="s">
        <v>1076</v>
      </c>
      <c r="C83" s="279"/>
      <c r="D83" s="229">
        <v>1</v>
      </c>
      <c r="E83" s="229"/>
      <c r="F83" s="229"/>
      <c r="G83" s="229">
        <v>2</v>
      </c>
      <c r="I83" s="278">
        <v>23</v>
      </c>
      <c r="J83" s="279" t="s">
        <v>1076</v>
      </c>
      <c r="K83" s="279"/>
      <c r="L83" s="229"/>
      <c r="M83" s="229"/>
      <c r="N83" s="229"/>
      <c r="O83" s="229">
        <v>2</v>
      </c>
      <c r="Q83" s="299">
        <v>22</v>
      </c>
      <c r="R83" s="273" t="s">
        <v>59</v>
      </c>
      <c r="S83" s="273"/>
      <c r="T83" s="303"/>
      <c r="U83" s="303"/>
      <c r="V83" s="303"/>
      <c r="W83" s="303"/>
      <c r="Y83" s="299">
        <v>22</v>
      </c>
      <c r="Z83" s="273" t="s">
        <v>59</v>
      </c>
      <c r="AA83" s="273"/>
      <c r="AB83" s="303"/>
      <c r="AC83" s="303"/>
      <c r="AD83" s="303"/>
      <c r="AE83" s="303"/>
    </row>
    <row r="84" spans="1:31" x14ac:dyDescent="0.3">
      <c r="A84" s="291">
        <v>25</v>
      </c>
      <c r="B84" s="292" t="s">
        <v>1164</v>
      </c>
      <c r="C84" s="292"/>
      <c r="D84" s="119"/>
      <c r="E84" s="119"/>
      <c r="F84" s="119"/>
      <c r="G84" s="119"/>
      <c r="I84" s="291">
        <v>25</v>
      </c>
      <c r="J84" s="292" t="s">
        <v>1164</v>
      </c>
      <c r="K84" s="292"/>
      <c r="L84" s="119">
        <v>1</v>
      </c>
      <c r="M84" s="119"/>
      <c r="N84" s="119"/>
      <c r="O84" s="119"/>
      <c r="Q84" s="276">
        <v>23</v>
      </c>
      <c r="R84" s="277" t="s">
        <v>1076</v>
      </c>
      <c r="S84" s="277"/>
      <c r="T84" s="119">
        <v>1</v>
      </c>
      <c r="U84" s="119"/>
      <c r="V84" s="119"/>
      <c r="W84" s="119"/>
      <c r="Y84" s="276">
        <v>23</v>
      </c>
      <c r="Z84" s="277" t="s">
        <v>1076</v>
      </c>
      <c r="AA84" s="277"/>
      <c r="AB84" s="119"/>
      <c r="AC84" s="119"/>
      <c r="AD84" s="119"/>
      <c r="AE84" s="119"/>
    </row>
    <row r="85" spans="1:31" x14ac:dyDescent="0.3">
      <c r="A85" s="278">
        <v>50</v>
      </c>
      <c r="B85" s="279" t="s">
        <v>680</v>
      </c>
      <c r="C85" s="298"/>
      <c r="D85" s="229"/>
      <c r="E85" s="229">
        <v>1</v>
      </c>
      <c r="F85" s="229"/>
      <c r="G85" s="229"/>
      <c r="I85" s="278">
        <v>50</v>
      </c>
      <c r="J85" s="279" t="s">
        <v>680</v>
      </c>
      <c r="K85" s="298"/>
      <c r="L85" s="229"/>
      <c r="M85" s="229"/>
      <c r="N85" s="229"/>
      <c r="O85" s="229"/>
      <c r="Q85" s="301">
        <v>25</v>
      </c>
      <c r="R85" s="302" t="s">
        <v>1164</v>
      </c>
      <c r="S85" s="302"/>
      <c r="T85" s="229"/>
      <c r="U85" s="229"/>
      <c r="V85" s="229"/>
      <c r="W85" s="229"/>
      <c r="Y85" s="301">
        <v>25</v>
      </c>
      <c r="Z85" s="302" t="s">
        <v>1164</v>
      </c>
      <c r="AA85" s="302"/>
      <c r="AB85" s="229"/>
      <c r="AC85" s="229"/>
      <c r="AD85" s="229"/>
      <c r="AE85" s="229"/>
    </row>
    <row r="86" spans="1:31" x14ac:dyDescent="0.3">
      <c r="A86" s="295">
        <v>55</v>
      </c>
      <c r="B86" s="296" t="s">
        <v>942</v>
      </c>
      <c r="C86" s="297"/>
      <c r="D86" s="119">
        <v>1</v>
      </c>
      <c r="E86" s="119">
        <v>1</v>
      </c>
      <c r="F86" s="119"/>
      <c r="G86" s="119"/>
      <c r="I86" s="295">
        <v>55</v>
      </c>
      <c r="J86" s="296" t="s">
        <v>942</v>
      </c>
      <c r="K86" s="297"/>
      <c r="L86" s="119"/>
      <c r="M86" s="119"/>
      <c r="N86" s="119"/>
      <c r="O86" s="119">
        <v>2</v>
      </c>
      <c r="Q86" s="276">
        <v>50</v>
      </c>
      <c r="R86" s="277" t="s">
        <v>680</v>
      </c>
      <c r="S86" s="305"/>
      <c r="T86" s="119"/>
      <c r="U86" s="119"/>
      <c r="V86" s="119"/>
      <c r="W86" s="119"/>
      <c r="Y86" s="276">
        <v>50</v>
      </c>
      <c r="Z86" s="277" t="s">
        <v>680</v>
      </c>
      <c r="AA86" s="305"/>
      <c r="AB86" s="119"/>
      <c r="AC86" s="119"/>
      <c r="AD86" s="119"/>
      <c r="AE86" s="119"/>
    </row>
    <row r="87" spans="1:31" x14ac:dyDescent="0.3">
      <c r="A87" s="293">
        <v>66</v>
      </c>
      <c r="B87" s="294" t="s">
        <v>1165</v>
      </c>
      <c r="C87" s="294"/>
      <c r="D87" s="229">
        <v>3</v>
      </c>
      <c r="E87" s="229">
        <v>1</v>
      </c>
      <c r="F87" s="229"/>
      <c r="G87" s="229"/>
      <c r="I87" s="293">
        <v>66</v>
      </c>
      <c r="J87" s="294" t="s">
        <v>1165</v>
      </c>
      <c r="K87" s="294"/>
      <c r="L87" s="229"/>
      <c r="M87" s="229"/>
      <c r="N87" s="229"/>
      <c r="O87" s="229"/>
      <c r="Q87" s="293">
        <v>55</v>
      </c>
      <c r="R87" s="294" t="s">
        <v>942</v>
      </c>
      <c r="S87" s="306"/>
      <c r="T87" s="229"/>
      <c r="U87" s="229"/>
      <c r="V87" s="229"/>
      <c r="W87" s="229"/>
      <c r="Y87" s="293">
        <v>55</v>
      </c>
      <c r="Z87" s="294" t="s">
        <v>942</v>
      </c>
      <c r="AA87" s="306"/>
      <c r="AB87" s="229"/>
      <c r="AC87" s="229"/>
      <c r="AD87" s="229"/>
      <c r="AE87" s="229"/>
    </row>
    <row r="88" spans="1:31" x14ac:dyDescent="0.3">
      <c r="A88" s="276">
        <v>76</v>
      </c>
      <c r="B88" s="277" t="s">
        <v>1172</v>
      </c>
      <c r="C88" s="277"/>
      <c r="D88" s="128"/>
      <c r="E88" s="119">
        <v>2</v>
      </c>
      <c r="F88" s="128"/>
      <c r="G88" s="128"/>
      <c r="I88" s="276">
        <v>76</v>
      </c>
      <c r="J88" s="277" t="s">
        <v>1172</v>
      </c>
      <c r="K88" s="277"/>
      <c r="L88" s="128"/>
      <c r="M88" s="119"/>
      <c r="N88" s="128"/>
      <c r="O88" s="128"/>
      <c r="Q88" s="295">
        <v>66</v>
      </c>
      <c r="R88" s="296" t="s">
        <v>1165</v>
      </c>
      <c r="S88" s="296"/>
      <c r="T88" s="119"/>
      <c r="U88" s="119"/>
      <c r="V88" s="119"/>
      <c r="W88" s="119"/>
      <c r="Y88" s="295">
        <v>66</v>
      </c>
      <c r="Z88" s="296" t="s">
        <v>1165</v>
      </c>
      <c r="AA88" s="296"/>
      <c r="AB88" s="119"/>
      <c r="AC88" s="119"/>
      <c r="AD88" s="119"/>
      <c r="AE88" s="119"/>
    </row>
    <row r="89" spans="1:31" x14ac:dyDescent="0.3">
      <c r="A89" s="293">
        <v>82</v>
      </c>
      <c r="B89" s="294" t="s">
        <v>47</v>
      </c>
      <c r="C89" s="294"/>
      <c r="D89" s="304"/>
      <c r="E89" s="304"/>
      <c r="F89" s="304"/>
      <c r="G89" s="304"/>
      <c r="I89" s="293">
        <v>82</v>
      </c>
      <c r="J89" s="294" t="s">
        <v>47</v>
      </c>
      <c r="K89" s="294"/>
      <c r="L89" s="304"/>
      <c r="M89" s="230">
        <v>1</v>
      </c>
      <c r="N89" s="304"/>
      <c r="O89" s="304"/>
      <c r="Q89" s="278">
        <v>76</v>
      </c>
      <c r="R89" s="279" t="s">
        <v>1172</v>
      </c>
      <c r="S89" s="279"/>
      <c r="T89" s="229">
        <v>1</v>
      </c>
      <c r="U89" s="303"/>
      <c r="V89" s="303"/>
      <c r="W89" s="303"/>
      <c r="Y89" s="278">
        <v>76</v>
      </c>
      <c r="Z89" s="279" t="s">
        <v>1172</v>
      </c>
      <c r="AA89" s="279"/>
      <c r="AB89" s="229"/>
      <c r="AC89" s="303"/>
      <c r="AD89" s="303"/>
      <c r="AE89" s="303"/>
    </row>
    <row r="90" spans="1:31" x14ac:dyDescent="0.3">
      <c r="A90" s="276">
        <v>96</v>
      </c>
      <c r="B90" s="277" t="s">
        <v>185</v>
      </c>
      <c r="C90" s="277"/>
      <c r="D90" s="119">
        <v>1</v>
      </c>
      <c r="E90" s="119">
        <v>3</v>
      </c>
      <c r="F90" s="119"/>
      <c r="G90" s="119"/>
      <c r="I90" s="276">
        <v>96</v>
      </c>
      <c r="J90" s="277" t="s">
        <v>185</v>
      </c>
      <c r="K90" s="277"/>
      <c r="L90" s="119">
        <v>1</v>
      </c>
      <c r="M90" s="119">
        <v>1</v>
      </c>
      <c r="N90" s="119"/>
      <c r="O90" s="119"/>
      <c r="Q90" s="295">
        <v>82</v>
      </c>
      <c r="R90" s="296" t="s">
        <v>47</v>
      </c>
      <c r="S90" s="296"/>
      <c r="T90" s="141"/>
      <c r="U90" s="141"/>
      <c r="V90" s="141"/>
      <c r="W90" s="141"/>
      <c r="Y90" s="295">
        <v>82</v>
      </c>
      <c r="Z90" s="296" t="s">
        <v>47</v>
      </c>
      <c r="AA90" s="296"/>
      <c r="AB90" s="141"/>
      <c r="AC90" s="141"/>
      <c r="AD90" s="141"/>
      <c r="AE90" s="141"/>
    </row>
    <row r="91" spans="1:31" x14ac:dyDescent="0.3">
      <c r="Q91" s="278">
        <v>96</v>
      </c>
      <c r="R91" s="279" t="s">
        <v>185</v>
      </c>
      <c r="S91" s="279"/>
      <c r="T91" s="229">
        <v>1</v>
      </c>
      <c r="U91" s="229"/>
      <c r="V91" s="229"/>
      <c r="W91" s="229"/>
      <c r="Y91" s="278">
        <v>96</v>
      </c>
      <c r="Z91" s="279" t="s">
        <v>185</v>
      </c>
      <c r="AA91" s="279"/>
      <c r="AB91" s="229">
        <v>3</v>
      </c>
      <c r="AC91" s="229"/>
      <c r="AD91" s="229"/>
      <c r="AE91" s="229"/>
    </row>
    <row r="95" spans="1:31" x14ac:dyDescent="0.3">
      <c r="A95" s="205" t="s">
        <v>1114</v>
      </c>
      <c r="B95" s="266">
        <v>9</v>
      </c>
      <c r="I95" s="205"/>
      <c r="J95" s="266">
        <v>10</v>
      </c>
      <c r="Q95" s="205"/>
      <c r="R95" s="266">
        <v>11</v>
      </c>
      <c r="Y95" s="205"/>
      <c r="Z95" s="266">
        <v>12</v>
      </c>
    </row>
    <row r="96" spans="1:31" x14ac:dyDescent="0.3">
      <c r="A96" s="205"/>
      <c r="B96" s="267">
        <v>41993</v>
      </c>
      <c r="C96" s="205" t="s">
        <v>558</v>
      </c>
      <c r="I96" s="205"/>
      <c r="J96" s="267">
        <v>41993</v>
      </c>
      <c r="K96" s="205" t="s">
        <v>558</v>
      </c>
      <c r="Q96" s="205"/>
      <c r="R96" s="267">
        <v>42014</v>
      </c>
      <c r="S96" s="205" t="s">
        <v>1027</v>
      </c>
      <c r="Y96" s="205"/>
      <c r="Z96" s="267">
        <v>42014</v>
      </c>
      <c r="AA96" s="205" t="s">
        <v>1027</v>
      </c>
    </row>
    <row r="97" spans="1:29" x14ac:dyDescent="0.3">
      <c r="A97" s="205"/>
      <c r="B97" s="267"/>
      <c r="C97" s="205"/>
      <c r="I97" s="205"/>
      <c r="J97" s="267"/>
      <c r="K97" s="205"/>
      <c r="Q97" s="205"/>
      <c r="R97" s="267"/>
      <c r="S97" s="205"/>
      <c r="Y97" s="205"/>
      <c r="Z97" s="267"/>
      <c r="AA97" s="205"/>
    </row>
    <row r="98" spans="1:29" ht="15.6" x14ac:dyDescent="0.3">
      <c r="B98" s="268" t="s">
        <v>1002</v>
      </c>
      <c r="C98" s="268" t="s">
        <v>0</v>
      </c>
      <c r="J98" s="268" t="s">
        <v>0</v>
      </c>
      <c r="K98" s="268" t="s">
        <v>1245</v>
      </c>
      <c r="R98" s="268" t="s">
        <v>0</v>
      </c>
      <c r="S98" s="268" t="s">
        <v>1126</v>
      </c>
      <c r="Z98" s="268" t="s">
        <v>1279</v>
      </c>
      <c r="AA98" s="268" t="s">
        <v>0</v>
      </c>
    </row>
    <row r="99" spans="1:29" x14ac:dyDescent="0.3">
      <c r="B99" s="269">
        <v>2</v>
      </c>
      <c r="C99" s="269">
        <v>4</v>
      </c>
      <c r="J99" s="269">
        <v>10</v>
      </c>
      <c r="K99" s="269">
        <v>4</v>
      </c>
      <c r="R99" s="271">
        <v>3</v>
      </c>
      <c r="S99" s="271">
        <v>6</v>
      </c>
      <c r="Z99" s="269">
        <v>2</v>
      </c>
      <c r="AA99" s="269">
        <v>3</v>
      </c>
    </row>
    <row r="101" spans="1:29" x14ac:dyDescent="0.3">
      <c r="A101" s="205" t="s">
        <v>1111</v>
      </c>
      <c r="B101" s="270">
        <v>0</v>
      </c>
      <c r="C101" s="270">
        <v>0</v>
      </c>
      <c r="I101" s="205" t="s">
        <v>1111</v>
      </c>
      <c r="J101" s="269">
        <v>6</v>
      </c>
      <c r="K101" s="269">
        <v>1</v>
      </c>
      <c r="Q101" s="205" t="s">
        <v>1111</v>
      </c>
      <c r="R101" s="269">
        <v>2</v>
      </c>
      <c r="S101" s="269">
        <v>1</v>
      </c>
      <c r="Y101" s="205" t="s">
        <v>1111</v>
      </c>
      <c r="Z101" s="270">
        <v>0</v>
      </c>
      <c r="AA101" s="270">
        <v>0</v>
      </c>
    </row>
    <row r="102" spans="1:29" x14ac:dyDescent="0.3">
      <c r="A102" s="205" t="s">
        <v>1112</v>
      </c>
      <c r="B102" s="269">
        <v>1</v>
      </c>
      <c r="C102" s="269">
        <v>2</v>
      </c>
      <c r="I102" s="205" t="s">
        <v>1112</v>
      </c>
      <c r="J102" s="271">
        <v>1</v>
      </c>
      <c r="K102" s="271">
        <v>2</v>
      </c>
      <c r="Q102" s="205" t="s">
        <v>1112</v>
      </c>
      <c r="R102" s="271">
        <v>0</v>
      </c>
      <c r="S102" s="271">
        <v>2</v>
      </c>
      <c r="Y102" s="205" t="s">
        <v>1112</v>
      </c>
      <c r="Z102" s="271">
        <v>2</v>
      </c>
      <c r="AA102" s="271">
        <v>1</v>
      </c>
    </row>
    <row r="103" spans="1:29" x14ac:dyDescent="0.3">
      <c r="A103" s="205" t="s">
        <v>1113</v>
      </c>
      <c r="B103" s="269">
        <v>1</v>
      </c>
      <c r="C103" s="269">
        <v>2</v>
      </c>
      <c r="I103" s="205" t="s">
        <v>1113</v>
      </c>
      <c r="J103" s="269">
        <v>3</v>
      </c>
      <c r="K103" s="269">
        <v>1</v>
      </c>
      <c r="Q103" s="205" t="s">
        <v>1113</v>
      </c>
      <c r="R103" s="271">
        <v>1</v>
      </c>
      <c r="S103" s="271">
        <v>3</v>
      </c>
      <c r="Y103" s="205" t="s">
        <v>1113</v>
      </c>
      <c r="Z103" s="269">
        <v>0</v>
      </c>
      <c r="AA103" s="269">
        <v>2</v>
      </c>
    </row>
    <row r="105" spans="1:29" x14ac:dyDescent="0.3">
      <c r="B105" s="1" t="s">
        <v>1236</v>
      </c>
      <c r="C105" t="s">
        <v>825</v>
      </c>
      <c r="D105" s="8">
        <v>23</v>
      </c>
      <c r="E105" s="8">
        <v>20</v>
      </c>
      <c r="J105" s="1" t="s">
        <v>1246</v>
      </c>
      <c r="K105" s="1" t="s">
        <v>1116</v>
      </c>
      <c r="L105" s="2" t="s">
        <v>959</v>
      </c>
      <c r="M105" s="2" t="s">
        <v>1151</v>
      </c>
      <c r="R105" s="1" t="s">
        <v>1269</v>
      </c>
      <c r="S105" s="1" t="s">
        <v>1116</v>
      </c>
      <c r="T105" s="2" t="s">
        <v>1151</v>
      </c>
      <c r="U105" s="2" t="s">
        <v>107</v>
      </c>
      <c r="Z105" s="272" t="s">
        <v>1280</v>
      </c>
      <c r="AA105" s="272" t="s">
        <v>501</v>
      </c>
      <c r="AB105" s="275" t="s">
        <v>1128</v>
      </c>
      <c r="AC105" s="275"/>
    </row>
    <row r="106" spans="1:29" x14ac:dyDescent="0.3">
      <c r="B106" s="1" t="s">
        <v>1237</v>
      </c>
      <c r="C106" s="1" t="s">
        <v>1176</v>
      </c>
      <c r="D106" s="8">
        <v>96</v>
      </c>
      <c r="E106" s="8">
        <v>25</v>
      </c>
      <c r="J106" s="1" t="s">
        <v>1247</v>
      </c>
      <c r="K106" s="1" t="s">
        <v>1118</v>
      </c>
      <c r="L106" s="2" t="s">
        <v>1151</v>
      </c>
      <c r="M106" s="2" t="s">
        <v>1214</v>
      </c>
      <c r="R106" s="272" t="s">
        <v>1270</v>
      </c>
      <c r="S106" s="272" t="s">
        <v>1132</v>
      </c>
      <c r="T106" s="275" t="s">
        <v>1128</v>
      </c>
      <c r="U106" s="275"/>
      <c r="Z106" s="1" t="s">
        <v>1281</v>
      </c>
      <c r="AA106" s="1" t="s">
        <v>501</v>
      </c>
      <c r="AB106" s="2" t="s">
        <v>1145</v>
      </c>
      <c r="AC106" s="2"/>
    </row>
    <row r="107" spans="1:29" x14ac:dyDescent="0.3">
      <c r="B107" s="272" t="s">
        <v>1238</v>
      </c>
      <c r="C107" s="272" t="s">
        <v>1171</v>
      </c>
      <c r="D107" s="274" t="s">
        <v>1128</v>
      </c>
      <c r="E107" s="274"/>
      <c r="J107" s="1" t="s">
        <v>1248</v>
      </c>
      <c r="K107" s="1" t="s">
        <v>785</v>
      </c>
      <c r="L107" s="2" t="s">
        <v>959</v>
      </c>
      <c r="M107" s="2" t="s">
        <v>1169</v>
      </c>
      <c r="R107" s="1" t="s">
        <v>1271</v>
      </c>
      <c r="S107" s="1" t="s">
        <v>909</v>
      </c>
      <c r="T107" s="2" t="s">
        <v>1151</v>
      </c>
      <c r="U107" s="2" t="s">
        <v>107</v>
      </c>
      <c r="Z107" s="272" t="s">
        <v>1282</v>
      </c>
      <c r="AA107" s="272" t="s">
        <v>501</v>
      </c>
      <c r="AB107" s="275" t="s">
        <v>1128</v>
      </c>
      <c r="AC107" s="275"/>
    </row>
    <row r="108" spans="1:29" x14ac:dyDescent="0.3">
      <c r="B108" s="1" t="s">
        <v>1239</v>
      </c>
      <c r="C108" s="1" t="s">
        <v>258</v>
      </c>
      <c r="D108" s="8">
        <v>66</v>
      </c>
      <c r="E108" s="8">
        <v>75</v>
      </c>
      <c r="J108" s="272" t="s">
        <v>1249</v>
      </c>
      <c r="K108" s="272" t="s">
        <v>565</v>
      </c>
      <c r="L108" s="275" t="s">
        <v>1128</v>
      </c>
      <c r="M108" s="275"/>
      <c r="R108" s="272" t="s">
        <v>1272</v>
      </c>
      <c r="S108" s="272" t="s">
        <v>939</v>
      </c>
      <c r="T108" s="275" t="s">
        <v>1128</v>
      </c>
      <c r="U108" s="275"/>
      <c r="Z108" s="1" t="s">
        <v>1284</v>
      </c>
      <c r="AA108" s="1" t="s">
        <v>825</v>
      </c>
      <c r="AB108" s="2" t="s">
        <v>1159</v>
      </c>
      <c r="AC108" s="2" t="s">
        <v>1151</v>
      </c>
    </row>
    <row r="109" spans="1:29" x14ac:dyDescent="0.3">
      <c r="B109" s="1" t="s">
        <v>1240</v>
      </c>
      <c r="C109" s="1" t="s">
        <v>501</v>
      </c>
      <c r="D109" s="8">
        <v>23</v>
      </c>
      <c r="E109" s="8"/>
      <c r="J109" s="1" t="s">
        <v>1250</v>
      </c>
      <c r="K109" s="1" t="s">
        <v>164</v>
      </c>
      <c r="L109" s="2" t="s">
        <v>1251</v>
      </c>
      <c r="M109" s="2" t="s">
        <v>1219</v>
      </c>
      <c r="R109" s="272" t="s">
        <v>1273</v>
      </c>
      <c r="S109" s="272" t="s">
        <v>897</v>
      </c>
      <c r="T109" s="275" t="s">
        <v>1128</v>
      </c>
      <c r="U109" s="275"/>
      <c r="Z109" s="272" t="s">
        <v>1283</v>
      </c>
      <c r="AA109" s="272" t="s">
        <v>1132</v>
      </c>
      <c r="AB109" s="275" t="s">
        <v>1128</v>
      </c>
      <c r="AC109" s="275"/>
    </row>
    <row r="110" spans="1:29" x14ac:dyDescent="0.3">
      <c r="B110" s="272" t="s">
        <v>1241</v>
      </c>
      <c r="C110" s="272" t="s">
        <v>1242</v>
      </c>
      <c r="D110" s="274" t="s">
        <v>1128</v>
      </c>
      <c r="E110" s="274"/>
      <c r="J110" s="272" t="s">
        <v>1252</v>
      </c>
      <c r="K110" s="272" t="s">
        <v>501</v>
      </c>
      <c r="L110" s="275" t="s">
        <v>1128</v>
      </c>
      <c r="M110" s="275"/>
      <c r="R110" s="272" t="s">
        <v>1274</v>
      </c>
      <c r="S110" s="272" t="s">
        <v>167</v>
      </c>
      <c r="T110" s="275" t="s">
        <v>1128</v>
      </c>
      <c r="U110" s="275"/>
      <c r="Z110" s="272" t="s">
        <v>1285</v>
      </c>
      <c r="AA110" s="272" t="s">
        <v>909</v>
      </c>
      <c r="AB110" s="275" t="s">
        <v>1128</v>
      </c>
      <c r="AC110" s="275"/>
    </row>
    <row r="111" spans="1:29" x14ac:dyDescent="0.3">
      <c r="B111" s="1" t="s">
        <v>1243</v>
      </c>
      <c r="C111" s="1" t="s">
        <v>167</v>
      </c>
      <c r="D111" s="8">
        <v>9</v>
      </c>
      <c r="E111" s="8">
        <v>96</v>
      </c>
      <c r="J111" s="1" t="s">
        <v>1253</v>
      </c>
      <c r="K111" s="1" t="s">
        <v>1254</v>
      </c>
      <c r="L111" s="2" t="s">
        <v>959</v>
      </c>
      <c r="M111" s="2"/>
      <c r="R111" s="272" t="s">
        <v>1275</v>
      </c>
      <c r="S111" s="272" t="s">
        <v>506</v>
      </c>
      <c r="T111" s="275" t="s">
        <v>1128</v>
      </c>
      <c r="U111" s="275"/>
      <c r="Z111" s="1" t="s">
        <v>1286</v>
      </c>
      <c r="AA111" s="1" t="s">
        <v>939</v>
      </c>
      <c r="AB111" s="2" t="s">
        <v>1159</v>
      </c>
      <c r="AC111" s="2" t="s">
        <v>581</v>
      </c>
    </row>
    <row r="112" spans="1:29" x14ac:dyDescent="0.3">
      <c r="B112" s="272" t="s">
        <v>1244</v>
      </c>
      <c r="C112" s="272" t="s">
        <v>501</v>
      </c>
      <c r="D112" s="274" t="s">
        <v>1128</v>
      </c>
      <c r="E112" s="273"/>
      <c r="J112" s="1" t="s">
        <v>1255</v>
      </c>
      <c r="K112" s="1" t="s">
        <v>501</v>
      </c>
      <c r="L112" s="2" t="s">
        <v>1251</v>
      </c>
      <c r="M112" s="2"/>
      <c r="R112" s="1" t="s">
        <v>1276</v>
      </c>
      <c r="S112" s="1" t="s">
        <v>254</v>
      </c>
      <c r="T112" s="2" t="s">
        <v>1214</v>
      </c>
      <c r="U112" s="2" t="s">
        <v>107</v>
      </c>
      <c r="Z112" s="1" t="s">
        <v>1119</v>
      </c>
      <c r="AA112" s="1" t="s">
        <v>897</v>
      </c>
      <c r="AB112" s="2" t="s">
        <v>959</v>
      </c>
      <c r="AC112" s="2" t="s">
        <v>1151</v>
      </c>
    </row>
    <row r="113" spans="1:31" x14ac:dyDescent="0.3">
      <c r="B113" s="1"/>
      <c r="C113" s="1"/>
      <c r="D113" s="8"/>
      <c r="E113" s="8"/>
      <c r="J113" s="272" t="s">
        <v>1255</v>
      </c>
      <c r="K113" s="272" t="s">
        <v>501</v>
      </c>
      <c r="L113" s="275" t="s">
        <v>1128</v>
      </c>
      <c r="M113" s="273"/>
      <c r="R113" s="272" t="s">
        <v>1277</v>
      </c>
      <c r="S113" s="272" t="s">
        <v>1278</v>
      </c>
      <c r="T113" s="275" t="s">
        <v>1128</v>
      </c>
      <c r="U113" s="275"/>
      <c r="Z113" s="1"/>
      <c r="AA113" s="1"/>
      <c r="AB113" s="2"/>
      <c r="AC113" s="2"/>
    </row>
    <row r="114" spans="1:31" x14ac:dyDescent="0.3">
      <c r="B114" s="1"/>
      <c r="C114" s="1"/>
      <c r="D114" s="8"/>
      <c r="E114" s="8"/>
      <c r="J114" s="1" t="s">
        <v>1256</v>
      </c>
      <c r="K114" s="1" t="s">
        <v>1257</v>
      </c>
      <c r="L114" s="2" t="s">
        <v>1145</v>
      </c>
      <c r="M114" s="2" t="s">
        <v>1159</v>
      </c>
      <c r="R114" s="1"/>
      <c r="S114" s="1"/>
      <c r="T114" s="2"/>
      <c r="U114" s="2"/>
      <c r="Z114" s="1"/>
      <c r="AA114" s="1"/>
      <c r="AB114" s="2"/>
      <c r="AC114" s="2"/>
    </row>
    <row r="115" spans="1:31" x14ac:dyDescent="0.3">
      <c r="B115" s="1"/>
      <c r="C115" s="1"/>
      <c r="D115" s="8"/>
      <c r="E115" s="8"/>
      <c r="J115" s="1" t="s">
        <v>1258</v>
      </c>
      <c r="K115" s="1" t="s">
        <v>82</v>
      </c>
      <c r="L115" s="2" t="s">
        <v>1251</v>
      </c>
      <c r="M115" s="2"/>
      <c r="R115" s="1"/>
      <c r="S115" s="1"/>
      <c r="T115" s="2"/>
      <c r="U115" s="2"/>
      <c r="Z115" s="1"/>
      <c r="AA115" s="1"/>
      <c r="AB115" s="2"/>
      <c r="AC115" s="2"/>
    </row>
    <row r="116" spans="1:31" x14ac:dyDescent="0.3">
      <c r="B116" s="1"/>
      <c r="C116" s="1"/>
      <c r="J116" s="272" t="s">
        <v>1206</v>
      </c>
      <c r="K116" s="272" t="s">
        <v>577</v>
      </c>
      <c r="L116" s="275" t="s">
        <v>1128</v>
      </c>
      <c r="M116" s="275"/>
      <c r="R116" s="1"/>
      <c r="S116" s="1"/>
      <c r="T116" s="2"/>
      <c r="U116" s="2"/>
      <c r="Z116" s="1"/>
      <c r="AA116" s="1"/>
      <c r="AB116" s="2"/>
      <c r="AC116" s="2"/>
    </row>
    <row r="117" spans="1:31" x14ac:dyDescent="0.3">
      <c r="B117" s="1"/>
      <c r="C117" s="1"/>
      <c r="D117" s="8"/>
      <c r="J117" s="272" t="s">
        <v>1259</v>
      </c>
      <c r="K117" s="272" t="s">
        <v>888</v>
      </c>
      <c r="L117" s="275" t="s">
        <v>1128</v>
      </c>
      <c r="M117" s="275"/>
      <c r="R117" s="1"/>
      <c r="S117" s="1"/>
      <c r="T117" s="2"/>
      <c r="U117" s="2"/>
      <c r="Z117" s="1"/>
      <c r="AA117" s="1"/>
      <c r="AB117" s="2"/>
      <c r="AC117" s="2"/>
    </row>
    <row r="118" spans="1:31" x14ac:dyDescent="0.3">
      <c r="B118" s="1"/>
      <c r="C118" s="1"/>
      <c r="D118" s="8"/>
      <c r="E118" s="8"/>
      <c r="J118" s="1" t="s">
        <v>1261</v>
      </c>
      <c r="K118" s="1" t="s">
        <v>501</v>
      </c>
      <c r="L118">
        <v>76</v>
      </c>
    </row>
    <row r="119" spans="1:31" x14ac:dyDescent="0.3">
      <c r="B119" s="1"/>
      <c r="C119" s="1"/>
      <c r="D119" s="8"/>
      <c r="E119" s="8"/>
      <c r="J119" s="1" t="s">
        <v>1260</v>
      </c>
      <c r="K119" s="1" t="s">
        <v>929</v>
      </c>
      <c r="L119" s="2" t="s">
        <v>959</v>
      </c>
      <c r="M119" s="2" t="s">
        <v>1151</v>
      </c>
    </row>
    <row r="120" spans="1:31" x14ac:dyDescent="0.3">
      <c r="B120" s="1"/>
      <c r="C120" s="1"/>
      <c r="D120" s="8"/>
      <c r="E120" s="8"/>
      <c r="J120" s="1" t="s">
        <v>1262</v>
      </c>
      <c r="K120" s="1" t="s">
        <v>757</v>
      </c>
      <c r="L120">
        <v>82</v>
      </c>
      <c r="M120">
        <v>19</v>
      </c>
    </row>
    <row r="121" spans="1:31" x14ac:dyDescent="0.3">
      <c r="B121" s="1"/>
      <c r="C121" s="1"/>
      <c r="D121" s="8"/>
      <c r="E121" s="8"/>
      <c r="J121" s="1" t="s">
        <v>1263</v>
      </c>
      <c r="K121" s="1" t="s">
        <v>781</v>
      </c>
      <c r="L121">
        <v>17</v>
      </c>
      <c r="M121">
        <v>96</v>
      </c>
    </row>
    <row r="122" spans="1:31" x14ac:dyDescent="0.3">
      <c r="B122" s="1"/>
      <c r="C122" s="1"/>
      <c r="D122" s="8"/>
      <c r="E122" s="8"/>
      <c r="J122" s="272" t="s">
        <v>1264</v>
      </c>
      <c r="K122" s="272" t="s">
        <v>501</v>
      </c>
      <c r="L122" s="273" t="s">
        <v>1128</v>
      </c>
      <c r="M122" s="273"/>
    </row>
    <row r="123" spans="1:31" x14ac:dyDescent="0.3">
      <c r="B123" s="1"/>
      <c r="C123" s="1"/>
      <c r="D123" s="8"/>
      <c r="E123" s="8"/>
      <c r="J123" s="1" t="s">
        <v>1266</v>
      </c>
      <c r="K123" s="1" t="s">
        <v>1267</v>
      </c>
      <c r="L123">
        <v>96</v>
      </c>
      <c r="M123">
        <v>14</v>
      </c>
    </row>
    <row r="124" spans="1:31" x14ac:dyDescent="0.3">
      <c r="B124" s="1"/>
      <c r="C124" s="1"/>
      <c r="D124" s="8"/>
      <c r="E124" s="8"/>
      <c r="J124" s="272" t="s">
        <v>1265</v>
      </c>
      <c r="K124" s="272" t="s">
        <v>1268</v>
      </c>
      <c r="L124" s="273" t="s">
        <v>1128</v>
      </c>
      <c r="M124" s="273"/>
    </row>
    <row r="125" spans="1:31" x14ac:dyDescent="0.3">
      <c r="B125" s="1"/>
      <c r="C125" s="1"/>
    </row>
    <row r="126" spans="1:31" x14ac:dyDescent="0.3">
      <c r="D126" s="265" t="s">
        <v>533</v>
      </c>
      <c r="E126" s="265" t="s">
        <v>534</v>
      </c>
      <c r="F126" s="265" t="s">
        <v>610</v>
      </c>
      <c r="G126" s="265" t="s">
        <v>535</v>
      </c>
      <c r="L126" s="265" t="s">
        <v>533</v>
      </c>
      <c r="M126" s="265" t="s">
        <v>534</v>
      </c>
      <c r="N126" s="265" t="s">
        <v>610</v>
      </c>
      <c r="O126" s="265" t="s">
        <v>535</v>
      </c>
      <c r="T126" s="265" t="s">
        <v>533</v>
      </c>
      <c r="U126" s="265" t="s">
        <v>534</v>
      </c>
      <c r="V126" s="265" t="s">
        <v>610</v>
      </c>
      <c r="W126" s="265" t="s">
        <v>535</v>
      </c>
      <c r="AB126" s="265" t="s">
        <v>533</v>
      </c>
      <c r="AC126" s="265" t="s">
        <v>534</v>
      </c>
      <c r="AD126" s="265" t="s">
        <v>610</v>
      </c>
      <c r="AE126" s="265" t="s">
        <v>535</v>
      </c>
    </row>
    <row r="127" spans="1:31" x14ac:dyDescent="0.3">
      <c r="A127" s="276">
        <v>1</v>
      </c>
      <c r="B127" s="277" t="s">
        <v>941</v>
      </c>
      <c r="C127" s="277"/>
      <c r="D127" s="119"/>
      <c r="E127" s="119"/>
      <c r="F127" s="119"/>
      <c r="G127" s="119"/>
      <c r="I127" s="276">
        <v>1</v>
      </c>
      <c r="J127" s="277" t="s">
        <v>941</v>
      </c>
      <c r="K127" s="277"/>
      <c r="L127" s="119"/>
      <c r="M127" s="119"/>
      <c r="N127" s="119"/>
      <c r="O127" s="119"/>
      <c r="Q127" s="276">
        <v>1</v>
      </c>
      <c r="R127" s="277" t="s">
        <v>941</v>
      </c>
      <c r="S127" s="277"/>
      <c r="T127" s="119"/>
      <c r="U127" s="119"/>
      <c r="V127" s="119"/>
      <c r="W127" s="119"/>
      <c r="Y127" s="276">
        <v>1</v>
      </c>
      <c r="Z127" s="277" t="s">
        <v>941</v>
      </c>
      <c r="AA127" s="277"/>
      <c r="AB127" s="119"/>
      <c r="AC127" s="119"/>
      <c r="AD127" s="119"/>
      <c r="AE127" s="119"/>
    </row>
    <row r="128" spans="1:31" x14ac:dyDescent="0.3">
      <c r="A128" s="278">
        <v>4</v>
      </c>
      <c r="B128" s="279" t="s">
        <v>530</v>
      </c>
      <c r="C128" s="279"/>
      <c r="D128" s="229"/>
      <c r="E128" s="229"/>
      <c r="F128" s="229"/>
      <c r="G128" s="229"/>
      <c r="I128" s="278">
        <v>4</v>
      </c>
      <c r="J128" s="279" t="s">
        <v>530</v>
      </c>
      <c r="K128" s="279"/>
      <c r="L128" s="229"/>
      <c r="M128" s="229"/>
      <c r="N128" s="229"/>
      <c r="O128" s="229"/>
      <c r="Q128" s="278">
        <v>4</v>
      </c>
      <c r="R128" s="279" t="s">
        <v>530</v>
      </c>
      <c r="S128" s="279"/>
      <c r="T128" s="229"/>
      <c r="U128" s="229"/>
      <c r="V128" s="229"/>
      <c r="W128" s="229"/>
      <c r="Y128" s="278">
        <v>4</v>
      </c>
      <c r="Z128" s="279" t="s">
        <v>530</v>
      </c>
      <c r="AA128" s="279"/>
      <c r="AB128" s="229"/>
      <c r="AC128" s="229"/>
      <c r="AD128" s="229"/>
      <c r="AE128" s="229"/>
    </row>
    <row r="129" spans="1:31" x14ac:dyDescent="0.3">
      <c r="A129" s="276">
        <v>9</v>
      </c>
      <c r="B129" s="277" t="s">
        <v>1077</v>
      </c>
      <c r="C129" s="277"/>
      <c r="D129" s="119"/>
      <c r="E129" s="119"/>
      <c r="F129" s="119"/>
      <c r="G129" s="119"/>
      <c r="I129" s="276">
        <v>9</v>
      </c>
      <c r="J129" s="277" t="s">
        <v>1077</v>
      </c>
      <c r="K129" s="277"/>
      <c r="L129" s="119"/>
      <c r="M129" s="119"/>
      <c r="N129" s="119"/>
      <c r="O129" s="119"/>
      <c r="Q129" s="276">
        <v>9</v>
      </c>
      <c r="R129" s="277" t="s">
        <v>1077</v>
      </c>
      <c r="S129" s="277"/>
      <c r="T129" s="119"/>
      <c r="U129" s="119"/>
      <c r="V129" s="119"/>
      <c r="W129" s="119"/>
      <c r="Y129" s="276">
        <v>9</v>
      </c>
      <c r="Z129" s="277" t="s">
        <v>1077</v>
      </c>
      <c r="AA129" s="277"/>
      <c r="AB129" s="119"/>
      <c r="AC129" s="119"/>
      <c r="AD129" s="119"/>
      <c r="AE129" s="119"/>
    </row>
    <row r="130" spans="1:31" x14ac:dyDescent="0.3">
      <c r="A130" s="278">
        <v>14</v>
      </c>
      <c r="B130" s="279" t="s">
        <v>1075</v>
      </c>
      <c r="C130" s="279"/>
      <c r="D130" s="229"/>
      <c r="E130" s="229"/>
      <c r="F130" s="229"/>
      <c r="G130" s="229"/>
      <c r="I130" s="278">
        <v>14</v>
      </c>
      <c r="J130" s="279" t="s">
        <v>1075</v>
      </c>
      <c r="K130" s="279"/>
      <c r="L130" s="229">
        <v>4</v>
      </c>
      <c r="M130" s="229">
        <v>1</v>
      </c>
      <c r="N130" s="229"/>
      <c r="O130" s="229"/>
      <c r="Q130" s="278">
        <v>14</v>
      </c>
      <c r="R130" s="279" t="s">
        <v>1075</v>
      </c>
      <c r="S130" s="279"/>
      <c r="T130" s="229"/>
      <c r="U130" s="229"/>
      <c r="V130" s="229"/>
      <c r="W130" s="229"/>
      <c r="Y130" s="278">
        <v>14</v>
      </c>
      <c r="Z130" s="279" t="s">
        <v>1075</v>
      </c>
      <c r="AA130" s="279"/>
      <c r="AB130" s="229">
        <v>1</v>
      </c>
      <c r="AC130" s="229"/>
      <c r="AD130" s="229"/>
      <c r="AE130" s="229"/>
    </row>
    <row r="131" spans="1:31" x14ac:dyDescent="0.3">
      <c r="A131" s="276">
        <v>17</v>
      </c>
      <c r="B131" s="277" t="s">
        <v>53</v>
      </c>
      <c r="C131" s="277"/>
      <c r="D131" s="119"/>
      <c r="E131" s="119"/>
      <c r="F131" s="119"/>
      <c r="G131" s="119"/>
      <c r="I131" s="276">
        <v>17</v>
      </c>
      <c r="J131" s="277" t="s">
        <v>53</v>
      </c>
      <c r="K131" s="277"/>
      <c r="L131" s="119">
        <v>1</v>
      </c>
      <c r="M131" s="119"/>
      <c r="N131" s="119"/>
      <c r="O131" s="119"/>
      <c r="Q131" s="276">
        <v>17</v>
      </c>
      <c r="R131" s="277" t="s">
        <v>53</v>
      </c>
      <c r="S131" s="277"/>
      <c r="T131" s="119"/>
      <c r="U131" s="119"/>
      <c r="V131" s="119"/>
      <c r="W131" s="119"/>
      <c r="Y131" s="276">
        <v>17</v>
      </c>
      <c r="Z131" s="277" t="s">
        <v>53</v>
      </c>
      <c r="AA131" s="277"/>
      <c r="AB131" s="119"/>
      <c r="AC131" s="119"/>
      <c r="AD131" s="119"/>
      <c r="AE131" s="119"/>
    </row>
    <row r="132" spans="1:31" x14ac:dyDescent="0.3">
      <c r="A132" s="278">
        <v>19</v>
      </c>
      <c r="B132" s="279" t="s">
        <v>1125</v>
      </c>
      <c r="C132" s="279"/>
      <c r="D132" s="229"/>
      <c r="E132" s="229"/>
      <c r="F132" s="229"/>
      <c r="G132" s="229"/>
      <c r="I132" s="278">
        <v>19</v>
      </c>
      <c r="J132" s="279" t="s">
        <v>1125</v>
      </c>
      <c r="K132" s="279"/>
      <c r="L132" s="229">
        <v>1</v>
      </c>
      <c r="M132" s="229">
        <v>1</v>
      </c>
      <c r="N132" s="229"/>
      <c r="O132" s="229"/>
      <c r="Q132" s="278">
        <v>19</v>
      </c>
      <c r="R132" s="279" t="s">
        <v>1125</v>
      </c>
      <c r="S132" s="279"/>
      <c r="T132" s="229"/>
      <c r="U132" s="229"/>
      <c r="V132" s="229"/>
      <c r="W132" s="229"/>
      <c r="Y132" s="278">
        <v>19</v>
      </c>
      <c r="Z132" s="279" t="s">
        <v>1125</v>
      </c>
      <c r="AA132" s="279"/>
      <c r="AB132" s="229"/>
      <c r="AC132" s="229"/>
      <c r="AD132" s="229"/>
      <c r="AE132" s="229">
        <v>2</v>
      </c>
    </row>
    <row r="133" spans="1:31" x14ac:dyDescent="0.3">
      <c r="A133" s="276">
        <v>20</v>
      </c>
      <c r="B133" s="277" t="s">
        <v>1124</v>
      </c>
      <c r="C133" s="277"/>
      <c r="D133" s="119"/>
      <c r="E133" s="119">
        <v>1</v>
      </c>
      <c r="F133" s="119"/>
      <c r="G133" s="119"/>
      <c r="I133" s="276">
        <v>20</v>
      </c>
      <c r="J133" s="277" t="s">
        <v>1124</v>
      </c>
      <c r="K133" s="277"/>
      <c r="L133" s="119"/>
      <c r="M133" s="119">
        <v>1</v>
      </c>
      <c r="N133" s="119"/>
      <c r="O133" s="119"/>
      <c r="Q133" s="276">
        <v>20</v>
      </c>
      <c r="R133" s="277" t="s">
        <v>1124</v>
      </c>
      <c r="S133" s="277"/>
      <c r="T133" s="119">
        <v>1</v>
      </c>
      <c r="U133" s="119"/>
      <c r="V133" s="119"/>
      <c r="W133" s="119"/>
      <c r="Y133" s="276">
        <v>20</v>
      </c>
      <c r="Z133" s="277" t="s">
        <v>1124</v>
      </c>
      <c r="AA133" s="277"/>
      <c r="AB133" s="119"/>
      <c r="AC133" s="119"/>
      <c r="AD133" s="119"/>
      <c r="AE133" s="119"/>
    </row>
    <row r="134" spans="1:31" x14ac:dyDescent="0.3">
      <c r="A134" s="299">
        <v>22</v>
      </c>
      <c r="B134" s="273" t="s">
        <v>59</v>
      </c>
      <c r="C134" s="273"/>
      <c r="D134" s="303"/>
      <c r="E134" s="303"/>
      <c r="F134" s="303"/>
      <c r="G134" s="303"/>
      <c r="I134" s="299">
        <v>22</v>
      </c>
      <c r="J134" s="273" t="s">
        <v>59</v>
      </c>
      <c r="K134" s="273"/>
      <c r="L134" s="303"/>
      <c r="M134" s="303"/>
      <c r="N134" s="303"/>
      <c r="O134" s="303"/>
      <c r="Q134" s="299">
        <v>22</v>
      </c>
      <c r="R134" s="273" t="s">
        <v>59</v>
      </c>
      <c r="S134" s="273"/>
      <c r="T134" s="303"/>
      <c r="U134" s="303"/>
      <c r="V134" s="303"/>
      <c r="W134" s="303"/>
      <c r="Y134" s="299">
        <v>22</v>
      </c>
      <c r="Z134" s="273" t="s">
        <v>59</v>
      </c>
      <c r="AA134" s="273"/>
      <c r="AB134" s="303"/>
      <c r="AC134" s="303"/>
      <c r="AD134" s="303"/>
      <c r="AE134" s="303"/>
    </row>
    <row r="135" spans="1:31" x14ac:dyDescent="0.3">
      <c r="A135" s="276">
        <v>23</v>
      </c>
      <c r="B135" s="277" t="s">
        <v>1076</v>
      </c>
      <c r="C135" s="277"/>
      <c r="D135" s="119">
        <v>2</v>
      </c>
      <c r="E135" s="119"/>
      <c r="F135" s="119"/>
      <c r="G135" s="119">
        <v>2</v>
      </c>
      <c r="I135" s="276">
        <v>23</v>
      </c>
      <c r="J135" s="277" t="s">
        <v>1076</v>
      </c>
      <c r="K135" s="277"/>
      <c r="L135" s="119"/>
      <c r="M135" s="119"/>
      <c r="N135" s="119"/>
      <c r="O135" s="119"/>
      <c r="Q135" s="276">
        <v>23</v>
      </c>
      <c r="R135" s="277" t="s">
        <v>1076</v>
      </c>
      <c r="S135" s="277"/>
      <c r="T135" s="119"/>
      <c r="U135" s="119"/>
      <c r="V135" s="119"/>
      <c r="W135" s="119"/>
      <c r="Y135" s="276">
        <v>23</v>
      </c>
      <c r="Z135" s="277" t="s">
        <v>1076</v>
      </c>
      <c r="AA135" s="277"/>
      <c r="AB135" s="119"/>
      <c r="AC135" s="119"/>
      <c r="AD135" s="119"/>
      <c r="AE135" s="119"/>
    </row>
    <row r="136" spans="1:31" x14ac:dyDescent="0.3">
      <c r="A136" s="301">
        <v>25</v>
      </c>
      <c r="B136" s="302" t="s">
        <v>1164</v>
      </c>
      <c r="C136" s="302"/>
      <c r="D136" s="229"/>
      <c r="E136" s="229">
        <v>1</v>
      </c>
      <c r="F136" s="229"/>
      <c r="G136" s="229"/>
      <c r="I136" s="301">
        <v>25</v>
      </c>
      <c r="J136" s="302" t="s">
        <v>1164</v>
      </c>
      <c r="K136" s="302"/>
      <c r="L136" s="229"/>
      <c r="M136" s="229">
        <v>1</v>
      </c>
      <c r="N136" s="229"/>
      <c r="O136" s="229"/>
      <c r="Q136" s="301">
        <v>25</v>
      </c>
      <c r="R136" s="302" t="s">
        <v>1164</v>
      </c>
      <c r="S136" s="302"/>
      <c r="T136" s="229"/>
      <c r="U136" s="229"/>
      <c r="V136" s="229"/>
      <c r="W136" s="229"/>
      <c r="Y136" s="301">
        <v>25</v>
      </c>
      <c r="Z136" s="302" t="s">
        <v>1164</v>
      </c>
      <c r="AA136" s="302"/>
      <c r="AB136" s="229"/>
      <c r="AC136" s="229"/>
      <c r="AD136" s="229"/>
      <c r="AE136" s="229"/>
    </row>
    <row r="137" spans="1:31" x14ac:dyDescent="0.3">
      <c r="A137" s="276">
        <v>50</v>
      </c>
      <c r="B137" s="277" t="s">
        <v>680</v>
      </c>
      <c r="C137" s="305"/>
      <c r="D137" s="119"/>
      <c r="E137" s="119"/>
      <c r="F137" s="119"/>
      <c r="G137" s="119"/>
      <c r="I137" s="276">
        <v>50</v>
      </c>
      <c r="J137" s="277" t="s">
        <v>680</v>
      </c>
      <c r="K137" s="305"/>
      <c r="L137" s="119"/>
      <c r="M137" s="119">
        <v>1</v>
      </c>
      <c r="N137" s="119"/>
      <c r="O137" s="119"/>
      <c r="Q137" s="276">
        <v>50</v>
      </c>
      <c r="R137" s="277" t="s">
        <v>680</v>
      </c>
      <c r="S137" s="305"/>
      <c r="T137" s="119"/>
      <c r="U137" s="119"/>
      <c r="V137" s="119"/>
      <c r="W137" s="119"/>
      <c r="Y137" s="276">
        <v>50</v>
      </c>
      <c r="Z137" s="277" t="s">
        <v>680</v>
      </c>
      <c r="AA137" s="305"/>
      <c r="AB137" s="119">
        <v>2</v>
      </c>
      <c r="AC137" s="119"/>
      <c r="AD137" s="119"/>
      <c r="AE137" s="119"/>
    </row>
    <row r="138" spans="1:31" x14ac:dyDescent="0.3">
      <c r="A138" s="293">
        <v>55</v>
      </c>
      <c r="B138" s="294" t="s">
        <v>942</v>
      </c>
      <c r="C138" s="306"/>
      <c r="D138" s="229"/>
      <c r="E138" s="229"/>
      <c r="F138" s="229"/>
      <c r="G138" s="229"/>
      <c r="I138" s="293">
        <v>55</v>
      </c>
      <c r="J138" s="294" t="s">
        <v>942</v>
      </c>
      <c r="K138" s="306"/>
      <c r="L138" s="229"/>
      <c r="M138" s="229"/>
      <c r="N138" s="229"/>
      <c r="O138" s="229"/>
      <c r="Q138" s="293">
        <v>55</v>
      </c>
      <c r="R138" s="294" t="s">
        <v>942</v>
      </c>
      <c r="S138" s="306"/>
      <c r="T138" s="229"/>
      <c r="U138" s="229"/>
      <c r="V138" s="229"/>
      <c r="W138" s="229"/>
      <c r="Y138" s="293">
        <v>55</v>
      </c>
      <c r="Z138" s="294" t="s">
        <v>942</v>
      </c>
      <c r="AA138" s="306"/>
      <c r="AB138" s="229"/>
      <c r="AC138" s="229">
        <v>1</v>
      </c>
      <c r="AD138" s="229"/>
      <c r="AE138" s="229"/>
    </row>
    <row r="139" spans="1:31" x14ac:dyDescent="0.3">
      <c r="A139" s="295">
        <v>66</v>
      </c>
      <c r="B139" s="296" t="s">
        <v>1165</v>
      </c>
      <c r="C139" s="296"/>
      <c r="D139" s="119">
        <v>1</v>
      </c>
      <c r="E139" s="119"/>
      <c r="F139" s="119"/>
      <c r="G139" s="119"/>
      <c r="I139" s="295">
        <v>66</v>
      </c>
      <c r="J139" s="296" t="s">
        <v>1165</v>
      </c>
      <c r="K139" s="296"/>
      <c r="L139" s="119"/>
      <c r="M139" s="119"/>
      <c r="N139" s="119"/>
      <c r="O139" s="119"/>
      <c r="Q139" s="295">
        <v>66</v>
      </c>
      <c r="R139" s="296" t="s">
        <v>1165</v>
      </c>
      <c r="S139" s="296"/>
      <c r="T139" s="119"/>
      <c r="U139" s="119"/>
      <c r="V139" s="119"/>
      <c r="W139" s="119"/>
      <c r="Y139" s="295">
        <v>66</v>
      </c>
      <c r="Z139" s="296" t="s">
        <v>1165</v>
      </c>
      <c r="AA139" s="296"/>
      <c r="AB139" s="119"/>
      <c r="AC139" s="119"/>
      <c r="AD139" s="119"/>
      <c r="AE139" s="119"/>
    </row>
    <row r="140" spans="1:31" x14ac:dyDescent="0.3">
      <c r="A140" s="299">
        <v>75</v>
      </c>
      <c r="B140" s="273" t="s">
        <v>55</v>
      </c>
      <c r="C140" s="273"/>
      <c r="D140" s="303"/>
      <c r="E140" s="303">
        <v>1</v>
      </c>
      <c r="F140" s="303"/>
      <c r="G140" s="303"/>
      <c r="I140" s="299">
        <v>75</v>
      </c>
      <c r="J140" s="273" t="s">
        <v>55</v>
      </c>
      <c r="K140" s="273"/>
      <c r="L140" s="229">
        <v>1</v>
      </c>
      <c r="M140" s="303"/>
      <c r="N140" s="303"/>
      <c r="O140" s="303">
        <v>12</v>
      </c>
      <c r="Q140" s="278">
        <v>76</v>
      </c>
      <c r="R140" s="279" t="s">
        <v>1172</v>
      </c>
      <c r="S140" s="279"/>
      <c r="T140" s="229"/>
      <c r="U140" s="303"/>
      <c r="V140" s="303"/>
      <c r="W140" s="303"/>
      <c r="Y140" s="278">
        <v>76</v>
      </c>
      <c r="Z140" s="279" t="s">
        <v>1172</v>
      </c>
      <c r="AA140" s="279"/>
      <c r="AB140" s="229"/>
      <c r="AC140" s="303"/>
      <c r="AD140" s="303"/>
      <c r="AE140" s="303"/>
    </row>
    <row r="141" spans="1:31" x14ac:dyDescent="0.3">
      <c r="A141" s="276">
        <v>76</v>
      </c>
      <c r="B141" s="277" t="s">
        <v>1172</v>
      </c>
      <c r="C141" s="277"/>
      <c r="D141" s="119"/>
      <c r="E141" s="128"/>
      <c r="F141" s="128"/>
      <c r="G141" s="128"/>
      <c r="I141" s="276">
        <v>76</v>
      </c>
      <c r="J141" s="277" t="s">
        <v>1172</v>
      </c>
      <c r="K141" s="277"/>
      <c r="L141" s="119"/>
      <c r="M141" s="119">
        <v>1</v>
      </c>
      <c r="N141" s="128"/>
      <c r="O141" s="128">
        <v>2</v>
      </c>
      <c r="Q141" s="295">
        <v>82</v>
      </c>
      <c r="R141" s="296" t="s">
        <v>47</v>
      </c>
      <c r="S141" s="296"/>
      <c r="T141" s="141"/>
      <c r="U141" s="141"/>
      <c r="V141" s="141"/>
      <c r="W141" s="141"/>
      <c r="Y141" s="295">
        <v>82</v>
      </c>
      <c r="Z141" s="296" t="s">
        <v>47</v>
      </c>
      <c r="AA141" s="296"/>
      <c r="AB141" s="141"/>
      <c r="AC141" s="141"/>
      <c r="AD141" s="141"/>
      <c r="AE141" s="141"/>
    </row>
    <row r="142" spans="1:31" x14ac:dyDescent="0.3">
      <c r="A142" s="293">
        <v>82</v>
      </c>
      <c r="B142" s="294" t="s">
        <v>47</v>
      </c>
      <c r="C142" s="294"/>
      <c r="D142" s="304"/>
      <c r="E142" s="304"/>
      <c r="F142" s="304"/>
      <c r="G142" s="304"/>
      <c r="I142" s="293">
        <v>82</v>
      </c>
      <c r="J142" s="294" t="s">
        <v>47</v>
      </c>
      <c r="K142" s="294"/>
      <c r="L142" s="230">
        <v>1</v>
      </c>
      <c r="M142" s="304"/>
      <c r="N142" s="304"/>
      <c r="O142" s="304"/>
      <c r="Q142" s="278">
        <v>96</v>
      </c>
      <c r="R142" s="279" t="s">
        <v>185</v>
      </c>
      <c r="S142" s="279"/>
      <c r="T142" s="229">
        <v>2</v>
      </c>
      <c r="U142" s="229"/>
      <c r="V142" s="229"/>
      <c r="W142" s="229"/>
      <c r="Y142" s="278">
        <v>96</v>
      </c>
      <c r="Z142" s="279" t="s">
        <v>185</v>
      </c>
      <c r="AA142" s="279"/>
      <c r="AB142" s="229"/>
      <c r="AC142" s="229">
        <v>2</v>
      </c>
      <c r="AD142" s="229"/>
      <c r="AE142" s="229"/>
    </row>
    <row r="143" spans="1:31" x14ac:dyDescent="0.3">
      <c r="A143" s="276">
        <v>96</v>
      </c>
      <c r="B143" s="277" t="s">
        <v>185</v>
      </c>
      <c r="C143" s="277"/>
      <c r="D143" s="119">
        <v>1</v>
      </c>
      <c r="E143" s="119">
        <v>1</v>
      </c>
      <c r="F143" s="119"/>
      <c r="G143" s="119"/>
      <c r="I143" s="276">
        <v>96</v>
      </c>
      <c r="J143" s="277" t="s">
        <v>185</v>
      </c>
      <c r="K143" s="277"/>
      <c r="L143" s="119">
        <v>2</v>
      </c>
      <c r="M143" s="119">
        <v>3</v>
      </c>
      <c r="N143" s="119"/>
      <c r="O143" s="119"/>
    </row>
    <row r="147" spans="1:29" x14ac:dyDescent="0.3">
      <c r="A147" s="205" t="s">
        <v>1114</v>
      </c>
      <c r="B147" s="266">
        <v>13</v>
      </c>
      <c r="I147" s="205"/>
      <c r="J147" s="266">
        <v>14</v>
      </c>
      <c r="Q147" s="205"/>
      <c r="R147" s="266">
        <v>15</v>
      </c>
      <c r="Y147" s="205"/>
      <c r="Z147" s="266">
        <v>16</v>
      </c>
    </row>
    <row r="148" spans="1:29" x14ac:dyDescent="0.3">
      <c r="A148" s="205"/>
      <c r="B148" s="267">
        <v>42028</v>
      </c>
      <c r="C148" s="205" t="s">
        <v>558</v>
      </c>
      <c r="I148" s="205"/>
      <c r="J148" s="267">
        <v>42028</v>
      </c>
      <c r="K148" s="205" t="s">
        <v>558</v>
      </c>
      <c r="Q148" s="205"/>
      <c r="R148" s="267">
        <v>42049</v>
      </c>
      <c r="S148" s="205" t="s">
        <v>558</v>
      </c>
      <c r="Y148" s="205"/>
      <c r="Z148" s="267">
        <v>42049</v>
      </c>
      <c r="AA148" s="205" t="s">
        <v>558</v>
      </c>
    </row>
    <row r="149" spans="1:29" x14ac:dyDescent="0.3">
      <c r="A149" s="205"/>
      <c r="B149" s="267"/>
      <c r="C149" s="205"/>
      <c r="I149" s="205"/>
      <c r="J149" s="267"/>
      <c r="K149" s="205"/>
      <c r="Q149" s="205"/>
      <c r="R149" s="267"/>
      <c r="S149" s="205"/>
      <c r="Y149" s="205"/>
      <c r="Z149" s="267"/>
      <c r="AA149" s="205"/>
    </row>
    <row r="150" spans="1:29" ht="15.6" x14ac:dyDescent="0.3">
      <c r="B150" s="268" t="s">
        <v>1195</v>
      </c>
      <c r="C150" s="268" t="s">
        <v>0</v>
      </c>
      <c r="J150" s="268" t="s">
        <v>0</v>
      </c>
      <c r="K150" s="268" t="s">
        <v>1000</v>
      </c>
      <c r="R150" s="268" t="s">
        <v>0</v>
      </c>
      <c r="S150" s="268" t="s">
        <v>1304</v>
      </c>
      <c r="Z150" s="268" t="s">
        <v>0</v>
      </c>
      <c r="AA150" s="268" t="s">
        <v>1279</v>
      </c>
    </row>
    <row r="151" spans="1:29" x14ac:dyDescent="0.3">
      <c r="B151" s="269">
        <v>4</v>
      </c>
      <c r="C151" s="269">
        <v>5</v>
      </c>
      <c r="J151" s="270">
        <v>3</v>
      </c>
      <c r="K151" s="270">
        <v>3</v>
      </c>
      <c r="R151" s="269">
        <v>12</v>
      </c>
      <c r="S151" s="269">
        <v>0</v>
      </c>
      <c r="Z151" s="271">
        <v>2</v>
      </c>
      <c r="AA151" s="271">
        <v>6</v>
      </c>
    </row>
    <row r="153" spans="1:29" x14ac:dyDescent="0.3">
      <c r="A153" s="205" t="s">
        <v>1111</v>
      </c>
      <c r="B153" s="270">
        <v>1</v>
      </c>
      <c r="C153" s="270">
        <v>1</v>
      </c>
      <c r="I153" s="205" t="s">
        <v>1111</v>
      </c>
      <c r="J153" s="269">
        <v>1</v>
      </c>
      <c r="K153" s="269">
        <v>0</v>
      </c>
      <c r="Q153" s="205" t="s">
        <v>1111</v>
      </c>
      <c r="R153" s="269">
        <v>6</v>
      </c>
      <c r="S153" s="269">
        <v>0</v>
      </c>
      <c r="Y153" s="205" t="s">
        <v>1111</v>
      </c>
      <c r="Z153" s="270">
        <v>1</v>
      </c>
      <c r="AA153" s="270">
        <v>1</v>
      </c>
    </row>
    <row r="154" spans="1:29" x14ac:dyDescent="0.3">
      <c r="A154" s="205" t="s">
        <v>1112</v>
      </c>
      <c r="B154" s="269">
        <v>1</v>
      </c>
      <c r="C154" s="269">
        <v>3</v>
      </c>
      <c r="I154" s="205" t="s">
        <v>1112</v>
      </c>
      <c r="J154" s="270">
        <v>2</v>
      </c>
      <c r="K154" s="270">
        <v>2</v>
      </c>
      <c r="Q154" s="205" t="s">
        <v>1112</v>
      </c>
      <c r="R154" s="269">
        <v>6</v>
      </c>
      <c r="S154" s="269">
        <v>0</v>
      </c>
      <c r="Y154" s="205" t="s">
        <v>1112</v>
      </c>
      <c r="Z154" s="271">
        <v>1</v>
      </c>
      <c r="AA154" s="271">
        <v>3</v>
      </c>
    </row>
    <row r="155" spans="1:29" x14ac:dyDescent="0.3">
      <c r="A155" s="205" t="s">
        <v>1113</v>
      </c>
      <c r="B155" s="271">
        <v>2</v>
      </c>
      <c r="C155" s="271">
        <v>1</v>
      </c>
      <c r="I155" s="205" t="s">
        <v>1113</v>
      </c>
      <c r="J155" s="271">
        <v>0</v>
      </c>
      <c r="K155" s="271">
        <v>1</v>
      </c>
      <c r="Q155" s="205" t="s">
        <v>1113</v>
      </c>
      <c r="R155" s="269" t="s">
        <v>107</v>
      </c>
      <c r="S155" s="269" t="s">
        <v>107</v>
      </c>
      <c r="Y155" s="205" t="s">
        <v>1113</v>
      </c>
      <c r="Z155" s="271">
        <v>0</v>
      </c>
      <c r="AA155" s="271">
        <v>2</v>
      </c>
    </row>
    <row r="157" spans="1:29" x14ac:dyDescent="0.3">
      <c r="B157" s="272" t="s">
        <v>561</v>
      </c>
      <c r="C157" s="273" t="s">
        <v>1116</v>
      </c>
      <c r="D157" s="274" t="s">
        <v>1128</v>
      </c>
      <c r="E157" s="274"/>
      <c r="J157" s="1" t="s">
        <v>1298</v>
      </c>
      <c r="K157" s="1" t="s">
        <v>1116</v>
      </c>
      <c r="L157" s="2" t="s">
        <v>1145</v>
      </c>
      <c r="M157" s="2" t="s">
        <v>1159</v>
      </c>
      <c r="R157" s="1" t="s">
        <v>1305</v>
      </c>
      <c r="S157" s="1" t="s">
        <v>1116</v>
      </c>
      <c r="T157" s="2" t="s">
        <v>1169</v>
      </c>
      <c r="U157" s="2" t="s">
        <v>1151</v>
      </c>
      <c r="Z157" s="1" t="s">
        <v>1330</v>
      </c>
      <c r="AA157" s="1" t="s">
        <v>1116</v>
      </c>
      <c r="AB157" s="2" t="s">
        <v>1210</v>
      </c>
      <c r="AC157" s="2" t="s">
        <v>1159</v>
      </c>
    </row>
    <row r="158" spans="1:29" x14ac:dyDescent="0.3">
      <c r="B158" s="1" t="s">
        <v>1287</v>
      </c>
      <c r="C158" s="1" t="s">
        <v>1288</v>
      </c>
      <c r="D158" s="8">
        <v>96</v>
      </c>
      <c r="E158" s="8"/>
      <c r="J158" s="1" t="s">
        <v>1299</v>
      </c>
      <c r="K158" s="1" t="s">
        <v>1132</v>
      </c>
      <c r="L158" s="2" t="s">
        <v>1128</v>
      </c>
      <c r="M158" s="2"/>
      <c r="R158" s="1" t="s">
        <v>1306</v>
      </c>
      <c r="S158" s="1" t="s">
        <v>1118</v>
      </c>
      <c r="T158" s="2" t="s">
        <v>1169</v>
      </c>
      <c r="U158" s="2" t="s">
        <v>959</v>
      </c>
      <c r="Z158" s="272" t="s">
        <v>1331</v>
      </c>
      <c r="AA158" s="272" t="s">
        <v>1132</v>
      </c>
      <c r="AB158" s="275" t="s">
        <v>1128</v>
      </c>
      <c r="AC158" s="275"/>
    </row>
    <row r="159" spans="1:29" x14ac:dyDescent="0.3">
      <c r="B159" s="1" t="s">
        <v>1289</v>
      </c>
      <c r="C159" s="1" t="s">
        <v>1171</v>
      </c>
      <c r="D159" s="8">
        <v>4</v>
      </c>
      <c r="E159" s="8" t="s">
        <v>107</v>
      </c>
      <c r="J159" s="1" t="s">
        <v>1300</v>
      </c>
      <c r="K159" s="1" t="s">
        <v>909</v>
      </c>
      <c r="L159" s="2" t="s">
        <v>959</v>
      </c>
      <c r="M159" s="2" t="s">
        <v>1203</v>
      </c>
      <c r="R159" s="1" t="s">
        <v>1307</v>
      </c>
      <c r="S159" s="1" t="s">
        <v>785</v>
      </c>
      <c r="T159" s="2" t="s">
        <v>1214</v>
      </c>
      <c r="U159" s="2" t="s">
        <v>5</v>
      </c>
      <c r="Z159" s="1" t="s">
        <v>1332</v>
      </c>
      <c r="AA159" s="1" t="s">
        <v>501</v>
      </c>
      <c r="AB159" s="2" t="s">
        <v>1159</v>
      </c>
      <c r="AC159" s="2"/>
    </row>
    <row r="160" spans="1:29" x14ac:dyDescent="0.3">
      <c r="B160" s="1" t="s">
        <v>1290</v>
      </c>
      <c r="C160" s="1" t="s">
        <v>258</v>
      </c>
      <c r="D160" s="8">
        <v>50</v>
      </c>
      <c r="E160" s="8">
        <v>14</v>
      </c>
      <c r="J160" s="1" t="s">
        <v>1301</v>
      </c>
      <c r="K160" s="1" t="s">
        <v>1302</v>
      </c>
      <c r="L160" s="2" t="s">
        <v>1128</v>
      </c>
      <c r="M160" s="2"/>
      <c r="R160" s="272" t="s">
        <v>1307</v>
      </c>
      <c r="S160" s="272" t="s">
        <v>501</v>
      </c>
      <c r="T160" s="275" t="s">
        <v>1128</v>
      </c>
      <c r="U160" s="275"/>
      <c r="Z160" s="272" t="s">
        <v>1333</v>
      </c>
      <c r="AA160" s="272" t="s">
        <v>501</v>
      </c>
      <c r="AB160" s="275" t="s">
        <v>1128</v>
      </c>
      <c r="AC160" s="275"/>
    </row>
    <row r="161" spans="2:29" x14ac:dyDescent="0.3">
      <c r="B161" s="272" t="s">
        <v>1295</v>
      </c>
      <c r="C161" s="272" t="s">
        <v>897</v>
      </c>
      <c r="D161" s="273" t="s">
        <v>1128</v>
      </c>
      <c r="E161" s="273"/>
      <c r="J161" s="1" t="s">
        <v>1291</v>
      </c>
      <c r="K161" s="1" t="s">
        <v>156</v>
      </c>
      <c r="L161" s="2" t="s">
        <v>1159</v>
      </c>
      <c r="M161" s="2" t="s">
        <v>1162</v>
      </c>
      <c r="R161" s="272" t="s">
        <v>1308</v>
      </c>
      <c r="S161" s="272" t="s">
        <v>501</v>
      </c>
      <c r="T161" s="275" t="s">
        <v>1128</v>
      </c>
      <c r="U161" s="275"/>
      <c r="Z161" s="1" t="s">
        <v>1334</v>
      </c>
      <c r="AA161" s="1" t="s">
        <v>909</v>
      </c>
      <c r="AB161" s="2" t="s">
        <v>1151</v>
      </c>
      <c r="AC161" s="2" t="s">
        <v>192</v>
      </c>
    </row>
    <row r="162" spans="2:29" x14ac:dyDescent="0.3">
      <c r="B162" s="1" t="s">
        <v>1291</v>
      </c>
      <c r="C162" s="1" t="s">
        <v>1292</v>
      </c>
      <c r="D162" s="8">
        <v>76</v>
      </c>
      <c r="E162" s="8">
        <v>75</v>
      </c>
      <c r="J162" s="1" t="s">
        <v>1303</v>
      </c>
      <c r="K162" s="1" t="s">
        <v>824</v>
      </c>
      <c r="L162" s="2" t="s">
        <v>1128</v>
      </c>
      <c r="M162" s="2"/>
      <c r="R162" s="272" t="s">
        <v>1308</v>
      </c>
      <c r="S162" s="272" t="s">
        <v>82</v>
      </c>
      <c r="T162" s="275" t="s">
        <v>1128</v>
      </c>
      <c r="U162" s="275"/>
      <c r="Z162" s="272" t="s">
        <v>1335</v>
      </c>
      <c r="AA162" s="272" t="s">
        <v>939</v>
      </c>
      <c r="AB162" s="275" t="s">
        <v>1128</v>
      </c>
      <c r="AC162" s="275"/>
    </row>
    <row r="163" spans="2:29" x14ac:dyDescent="0.3">
      <c r="B163" s="1" t="s">
        <v>1297</v>
      </c>
      <c r="C163" s="1" t="s">
        <v>501</v>
      </c>
      <c r="D163" s="8">
        <v>96</v>
      </c>
      <c r="J163" s="1"/>
      <c r="K163" s="1"/>
      <c r="L163" s="2"/>
      <c r="M163" s="2"/>
      <c r="R163" s="272" t="s">
        <v>1308</v>
      </c>
      <c r="S163" s="272" t="s">
        <v>708</v>
      </c>
      <c r="T163" s="275" t="s">
        <v>1128</v>
      </c>
      <c r="U163" s="275"/>
      <c r="Z163" s="272" t="s">
        <v>1336</v>
      </c>
      <c r="AA163" s="272" t="s">
        <v>897</v>
      </c>
      <c r="AB163" s="275" t="s">
        <v>1128</v>
      </c>
      <c r="AC163" s="275"/>
    </row>
    <row r="164" spans="2:29" x14ac:dyDescent="0.3">
      <c r="B164" s="272" t="s">
        <v>1293</v>
      </c>
      <c r="C164" s="272" t="s">
        <v>1296</v>
      </c>
      <c r="D164" s="274" t="s">
        <v>1128</v>
      </c>
      <c r="E164" s="274"/>
      <c r="J164" s="1"/>
      <c r="K164" s="1"/>
      <c r="L164" s="2"/>
      <c r="M164" s="2"/>
      <c r="R164" s="1" t="s">
        <v>1309</v>
      </c>
      <c r="S164" s="1" t="s">
        <v>1311</v>
      </c>
      <c r="T164" s="2" t="s">
        <v>1151</v>
      </c>
      <c r="U164" s="2" t="s">
        <v>1159</v>
      </c>
      <c r="Z164" s="272" t="s">
        <v>1337</v>
      </c>
      <c r="AA164" s="272" t="s">
        <v>167</v>
      </c>
      <c r="AB164" s="275" t="s">
        <v>1128</v>
      </c>
      <c r="AC164" s="275"/>
    </row>
    <row r="165" spans="2:29" x14ac:dyDescent="0.3">
      <c r="B165" s="1" t="s">
        <v>1294</v>
      </c>
      <c r="C165" s="1" t="s">
        <v>254</v>
      </c>
      <c r="D165" s="8">
        <v>96</v>
      </c>
      <c r="E165" s="8">
        <v>22</v>
      </c>
      <c r="J165" s="1"/>
      <c r="K165" s="1"/>
      <c r="L165" s="2"/>
      <c r="R165" s="272" t="s">
        <v>1312</v>
      </c>
      <c r="S165" s="272" t="s">
        <v>1313</v>
      </c>
      <c r="T165" s="275" t="s">
        <v>1128</v>
      </c>
      <c r="U165" s="275"/>
      <c r="Z165" s="1" t="s">
        <v>1338</v>
      </c>
      <c r="AA165" s="1" t="s">
        <v>708</v>
      </c>
      <c r="AB165" s="2" t="s">
        <v>959</v>
      </c>
      <c r="AC165" s="2"/>
    </row>
    <row r="166" spans="2:29" x14ac:dyDescent="0.3">
      <c r="B166" s="272" t="s">
        <v>1240</v>
      </c>
      <c r="C166" s="272" t="s">
        <v>245</v>
      </c>
      <c r="D166" s="274" t="s">
        <v>1128</v>
      </c>
      <c r="E166" s="273"/>
      <c r="J166" s="1"/>
      <c r="K166" s="1"/>
      <c r="L166" s="2"/>
      <c r="M166" s="2"/>
      <c r="R166" s="1" t="s">
        <v>1314</v>
      </c>
      <c r="S166" s="1" t="s">
        <v>1315</v>
      </c>
      <c r="T166" s="2" t="s">
        <v>1151</v>
      </c>
      <c r="U166" s="2" t="s">
        <v>1159</v>
      </c>
      <c r="Z166" s="1" t="s">
        <v>1338</v>
      </c>
      <c r="AA166" s="1" t="s">
        <v>1313</v>
      </c>
      <c r="AB166" s="2" t="s">
        <v>959</v>
      </c>
      <c r="AC166" s="2"/>
    </row>
    <row r="167" spans="2:29" x14ac:dyDescent="0.3">
      <c r="B167" s="1"/>
      <c r="C167" s="1"/>
      <c r="D167" s="8"/>
      <c r="E167" s="8"/>
      <c r="J167" s="1"/>
      <c r="K167" s="1"/>
      <c r="L167" s="2"/>
      <c r="M167" s="2"/>
      <c r="R167" s="1" t="s">
        <v>1316</v>
      </c>
      <c r="S167" s="1" t="s">
        <v>1317</v>
      </c>
      <c r="T167" s="2" t="s">
        <v>1169</v>
      </c>
      <c r="U167" s="2" t="s">
        <v>1151</v>
      </c>
      <c r="Z167" s="272" t="s">
        <v>1339</v>
      </c>
      <c r="AA167" s="272" t="s">
        <v>1340</v>
      </c>
      <c r="AB167" s="275" t="s">
        <v>1128</v>
      </c>
      <c r="AC167" s="275"/>
    </row>
    <row r="168" spans="2:29" x14ac:dyDescent="0.3">
      <c r="B168" s="1"/>
      <c r="C168" s="1"/>
      <c r="J168" s="1"/>
      <c r="K168" s="1"/>
      <c r="L168" s="2"/>
      <c r="M168" s="2"/>
      <c r="R168" s="1" t="s">
        <v>1318</v>
      </c>
      <c r="S168" s="1" t="s">
        <v>1319</v>
      </c>
      <c r="T168" s="2" t="s">
        <v>959</v>
      </c>
      <c r="U168" s="2" t="s">
        <v>1219</v>
      </c>
      <c r="Z168" s="272" t="s">
        <v>1341</v>
      </c>
      <c r="AA168" s="272" t="s">
        <v>1342</v>
      </c>
      <c r="AB168" s="275" t="s">
        <v>1128</v>
      </c>
      <c r="AC168" s="275"/>
    </row>
    <row r="169" spans="2:29" x14ac:dyDescent="0.3">
      <c r="B169" s="1"/>
      <c r="C169" s="1"/>
      <c r="D169" s="8"/>
      <c r="J169" s="1"/>
      <c r="K169" s="1"/>
      <c r="L169" s="2"/>
      <c r="M169" s="2"/>
      <c r="R169" s="1" t="s">
        <v>1320</v>
      </c>
      <c r="S169" s="1" t="s">
        <v>1321</v>
      </c>
      <c r="T169" s="2" t="s">
        <v>1151</v>
      </c>
      <c r="U169" s="2" t="s">
        <v>1145</v>
      </c>
      <c r="Z169" s="1"/>
      <c r="AA169" s="1"/>
      <c r="AB169" s="2"/>
      <c r="AC169" s="2"/>
    </row>
    <row r="170" spans="2:29" x14ac:dyDescent="0.3">
      <c r="B170" s="1"/>
      <c r="C170" s="1"/>
      <c r="D170" s="8"/>
      <c r="E170" s="8"/>
      <c r="J170" s="1"/>
      <c r="K170" s="1"/>
      <c r="R170" s="272" t="s">
        <v>1322</v>
      </c>
      <c r="S170" s="272" t="s">
        <v>501</v>
      </c>
      <c r="T170" s="275" t="s">
        <v>1128</v>
      </c>
      <c r="U170" s="273"/>
    </row>
    <row r="171" spans="2:29" x14ac:dyDescent="0.3">
      <c r="B171" s="1"/>
      <c r="C171" s="1"/>
      <c r="D171" s="8"/>
      <c r="E171" s="8"/>
      <c r="J171" s="1"/>
      <c r="K171" s="1"/>
      <c r="L171" s="2"/>
      <c r="M171" s="2"/>
      <c r="R171" s="1" t="s">
        <v>1323</v>
      </c>
      <c r="S171" s="1" t="s">
        <v>1324</v>
      </c>
      <c r="T171">
        <v>9</v>
      </c>
      <c r="U171">
        <v>19</v>
      </c>
    </row>
    <row r="172" spans="2:29" x14ac:dyDescent="0.3">
      <c r="B172" s="1"/>
      <c r="C172" s="1"/>
      <c r="D172" s="8"/>
      <c r="E172" s="8"/>
      <c r="J172" s="1"/>
      <c r="K172" s="1"/>
      <c r="R172" s="1" t="s">
        <v>1168</v>
      </c>
      <c r="S172" s="1" t="s">
        <v>1325</v>
      </c>
      <c r="T172">
        <v>19</v>
      </c>
      <c r="U172">
        <v>9</v>
      </c>
    </row>
    <row r="173" spans="2:29" x14ac:dyDescent="0.3">
      <c r="B173" s="1"/>
      <c r="C173" s="1"/>
      <c r="D173" s="8"/>
      <c r="E173" s="8"/>
      <c r="J173" s="1"/>
      <c r="K173" s="1"/>
      <c r="R173" s="1" t="s">
        <v>1326</v>
      </c>
      <c r="S173" s="1" t="s">
        <v>891</v>
      </c>
      <c r="T173">
        <v>66</v>
      </c>
      <c r="U173">
        <v>9</v>
      </c>
    </row>
    <row r="174" spans="2:29" x14ac:dyDescent="0.3">
      <c r="B174" s="1"/>
      <c r="C174" s="1"/>
      <c r="D174" s="8"/>
      <c r="E174" s="8"/>
      <c r="J174" s="1"/>
      <c r="K174" s="1"/>
      <c r="R174" s="1" t="s">
        <v>1327</v>
      </c>
      <c r="S174" s="1" t="s">
        <v>1328</v>
      </c>
      <c r="T174">
        <v>20</v>
      </c>
      <c r="U174">
        <v>9</v>
      </c>
    </row>
    <row r="175" spans="2:29" x14ac:dyDescent="0.3">
      <c r="B175" s="1"/>
      <c r="C175" s="1"/>
      <c r="D175" s="8"/>
      <c r="E175" s="8"/>
      <c r="J175" s="1"/>
      <c r="K175" s="1"/>
      <c r="R175" s="1" t="s">
        <v>1329</v>
      </c>
    </row>
    <row r="176" spans="2:29" x14ac:dyDescent="0.3">
      <c r="B176" s="1"/>
      <c r="C176" s="1"/>
      <c r="D176" s="8"/>
      <c r="E176" s="8"/>
      <c r="J176" s="1"/>
      <c r="K176" s="1"/>
    </row>
    <row r="177" spans="1:31" x14ac:dyDescent="0.3">
      <c r="B177" s="1"/>
      <c r="C177" s="1"/>
    </row>
    <row r="178" spans="1:31" x14ac:dyDescent="0.3">
      <c r="D178" s="265" t="s">
        <v>533</v>
      </c>
      <c r="E178" s="265" t="s">
        <v>534</v>
      </c>
      <c r="F178" s="265" t="s">
        <v>610</v>
      </c>
      <c r="G178" s="265" t="s">
        <v>535</v>
      </c>
      <c r="L178" s="265" t="s">
        <v>533</v>
      </c>
      <c r="M178" s="265" t="s">
        <v>534</v>
      </c>
      <c r="N178" s="265" t="s">
        <v>610</v>
      </c>
      <c r="O178" s="265" t="s">
        <v>535</v>
      </c>
      <c r="T178" s="265" t="s">
        <v>533</v>
      </c>
      <c r="U178" s="265" t="s">
        <v>534</v>
      </c>
      <c r="V178" s="265" t="s">
        <v>610</v>
      </c>
      <c r="W178" s="265" t="s">
        <v>535</v>
      </c>
      <c r="AB178" s="265" t="s">
        <v>533</v>
      </c>
      <c r="AC178" s="265" t="s">
        <v>534</v>
      </c>
      <c r="AD178" s="265" t="s">
        <v>610</v>
      </c>
      <c r="AE178" s="265" t="s">
        <v>535</v>
      </c>
    </row>
    <row r="179" spans="1:31" x14ac:dyDescent="0.3">
      <c r="A179" s="278">
        <v>1</v>
      </c>
      <c r="B179" s="279" t="s">
        <v>941</v>
      </c>
      <c r="C179" s="279"/>
      <c r="D179" s="229"/>
      <c r="E179" s="229"/>
      <c r="F179" s="229"/>
      <c r="G179" s="229"/>
      <c r="I179" s="276">
        <v>1</v>
      </c>
      <c r="J179" s="277" t="s">
        <v>941</v>
      </c>
      <c r="K179" s="277"/>
      <c r="L179" s="119"/>
      <c r="M179" s="119"/>
      <c r="N179" s="119"/>
      <c r="O179" s="119"/>
      <c r="Q179" s="278">
        <v>1</v>
      </c>
      <c r="R179" s="279" t="s">
        <v>941</v>
      </c>
      <c r="S179" s="279"/>
      <c r="T179" s="229"/>
      <c r="U179" s="229"/>
      <c r="V179" s="229"/>
      <c r="W179" s="229"/>
      <c r="Y179" s="276">
        <v>1</v>
      </c>
      <c r="Z179" s="277" t="s">
        <v>941</v>
      </c>
      <c r="AA179" s="277"/>
      <c r="AB179" s="119"/>
      <c r="AC179" s="119"/>
      <c r="AD179" s="119"/>
      <c r="AE179" s="119"/>
    </row>
    <row r="180" spans="1:31" x14ac:dyDescent="0.3">
      <c r="A180" s="276">
        <v>3</v>
      </c>
      <c r="B180" t="s">
        <v>54</v>
      </c>
      <c r="D180" s="128"/>
      <c r="E180" s="128"/>
      <c r="F180" s="128"/>
      <c r="G180" s="128"/>
      <c r="I180" s="278">
        <v>4</v>
      </c>
      <c r="J180" s="279" t="s">
        <v>530</v>
      </c>
      <c r="K180" s="279"/>
      <c r="L180" s="229"/>
      <c r="M180" s="229"/>
      <c r="N180" s="229"/>
      <c r="O180" s="229"/>
      <c r="Q180" s="276">
        <v>3</v>
      </c>
      <c r="R180" t="s">
        <v>54</v>
      </c>
      <c r="T180" s="128"/>
      <c r="U180" s="119">
        <v>1</v>
      </c>
      <c r="V180" s="128"/>
      <c r="W180" s="128"/>
      <c r="Y180" s="278">
        <v>4</v>
      </c>
      <c r="Z180" s="279" t="s">
        <v>530</v>
      </c>
      <c r="AA180" s="279"/>
      <c r="AB180" s="229"/>
      <c r="AC180" s="229"/>
      <c r="AD180" s="229"/>
      <c r="AE180" s="229"/>
    </row>
    <row r="181" spans="1:31" x14ac:dyDescent="0.3">
      <c r="A181" s="278">
        <v>4</v>
      </c>
      <c r="B181" s="279" t="s">
        <v>530</v>
      </c>
      <c r="C181" s="279"/>
      <c r="D181" s="229">
        <v>1</v>
      </c>
      <c r="E181" s="229"/>
      <c r="F181" s="229"/>
      <c r="G181" s="229"/>
      <c r="I181" s="276">
        <v>9</v>
      </c>
      <c r="J181" s="277" t="s">
        <v>1077</v>
      </c>
      <c r="K181" s="277"/>
      <c r="L181" s="119"/>
      <c r="M181" s="119"/>
      <c r="N181" s="119"/>
      <c r="O181" s="119"/>
      <c r="Q181" s="278">
        <v>4</v>
      </c>
      <c r="R181" s="279" t="s">
        <v>530</v>
      </c>
      <c r="S181" s="279"/>
      <c r="T181" s="229"/>
      <c r="U181" s="229"/>
      <c r="V181" s="229"/>
      <c r="W181" s="229"/>
      <c r="Y181" s="276">
        <v>9</v>
      </c>
      <c r="Z181" s="277" t="s">
        <v>1077</v>
      </c>
      <c r="AA181" s="277"/>
      <c r="AB181" s="119"/>
      <c r="AC181" s="119"/>
      <c r="AD181" s="119"/>
      <c r="AE181" s="119"/>
    </row>
    <row r="182" spans="1:31" x14ac:dyDescent="0.3">
      <c r="A182" s="276">
        <v>9</v>
      </c>
      <c r="B182" s="277" t="s">
        <v>1077</v>
      </c>
      <c r="C182" s="277"/>
      <c r="D182" s="119"/>
      <c r="E182" s="119"/>
      <c r="F182" s="119"/>
      <c r="G182" s="119"/>
      <c r="I182" s="278">
        <v>14</v>
      </c>
      <c r="J182" s="279" t="s">
        <v>1075</v>
      </c>
      <c r="K182" s="279"/>
      <c r="L182" s="229">
        <v>1</v>
      </c>
      <c r="M182" s="229"/>
      <c r="N182" s="229"/>
      <c r="O182" s="229"/>
      <c r="Q182" s="276">
        <v>9</v>
      </c>
      <c r="R182" s="277" t="s">
        <v>1077</v>
      </c>
      <c r="S182" s="277"/>
      <c r="T182" s="119">
        <v>1</v>
      </c>
      <c r="U182" s="119">
        <v>3</v>
      </c>
      <c r="V182" s="119"/>
      <c r="W182" s="119"/>
      <c r="Y182" s="278">
        <v>14</v>
      </c>
      <c r="Z182" s="279" t="s">
        <v>1075</v>
      </c>
      <c r="AA182" s="279"/>
      <c r="AB182" s="229"/>
      <c r="AC182" s="229"/>
      <c r="AD182" s="229"/>
      <c r="AE182" s="229">
        <v>25</v>
      </c>
    </row>
    <row r="183" spans="1:31" x14ac:dyDescent="0.3">
      <c r="A183" s="278">
        <v>14</v>
      </c>
      <c r="B183" s="279" t="s">
        <v>1075</v>
      </c>
      <c r="C183" s="279"/>
      <c r="D183" s="229"/>
      <c r="E183" s="229">
        <v>1</v>
      </c>
      <c r="F183" s="229"/>
      <c r="G183" s="229"/>
      <c r="I183" s="276">
        <v>17</v>
      </c>
      <c r="J183" s="277" t="s">
        <v>53</v>
      </c>
      <c r="K183" s="277"/>
      <c r="L183" s="119"/>
      <c r="M183" s="119"/>
      <c r="N183" s="119"/>
      <c r="O183" s="119"/>
      <c r="Q183" s="278">
        <v>14</v>
      </c>
      <c r="R183" s="279" t="s">
        <v>1075</v>
      </c>
      <c r="S183" s="279"/>
      <c r="T183" s="229">
        <v>1</v>
      </c>
      <c r="U183" s="229">
        <v>1</v>
      </c>
      <c r="V183" s="229"/>
      <c r="W183" s="229"/>
      <c r="Y183" s="276">
        <v>17</v>
      </c>
      <c r="Z183" s="277" t="s">
        <v>53</v>
      </c>
      <c r="AA183" s="277"/>
      <c r="AB183" s="119"/>
      <c r="AC183" s="119">
        <v>1</v>
      </c>
      <c r="AD183" s="119"/>
      <c r="AE183" s="119"/>
    </row>
    <row r="184" spans="1:31" x14ac:dyDescent="0.3">
      <c r="A184" s="276">
        <v>17</v>
      </c>
      <c r="B184" s="277" t="s">
        <v>53</v>
      </c>
      <c r="C184" s="277"/>
      <c r="D184" s="119"/>
      <c r="E184" s="119"/>
      <c r="F184" s="119"/>
      <c r="G184" s="119"/>
      <c r="I184" s="278">
        <v>19</v>
      </c>
      <c r="J184" s="279" t="s">
        <v>1125</v>
      </c>
      <c r="K184" s="279"/>
      <c r="L184" s="229">
        <v>1</v>
      </c>
      <c r="M184" s="229"/>
      <c r="N184" s="229"/>
      <c r="O184" s="229"/>
      <c r="Q184" s="276">
        <v>17</v>
      </c>
      <c r="R184" s="277" t="s">
        <v>53</v>
      </c>
      <c r="S184" s="277"/>
      <c r="T184" s="119"/>
      <c r="U184" s="119"/>
      <c r="V184" s="119"/>
      <c r="W184" s="119"/>
      <c r="Y184" s="278">
        <v>20</v>
      </c>
      <c r="Z184" s="279" t="s">
        <v>1124</v>
      </c>
      <c r="AA184" s="279"/>
      <c r="AB184" s="229"/>
      <c r="AC184" s="229"/>
      <c r="AD184" s="229"/>
      <c r="AE184" s="229"/>
    </row>
    <row r="185" spans="1:31" x14ac:dyDescent="0.3">
      <c r="A185" s="278">
        <v>19</v>
      </c>
      <c r="B185" s="279" t="s">
        <v>1125</v>
      </c>
      <c r="C185" s="279"/>
      <c r="D185" s="229"/>
      <c r="E185" s="229"/>
      <c r="F185" s="229"/>
      <c r="G185" s="229"/>
      <c r="I185" s="276">
        <v>20</v>
      </c>
      <c r="J185" s="277" t="s">
        <v>1124</v>
      </c>
      <c r="K185" s="277"/>
      <c r="L185" s="119"/>
      <c r="M185" s="119"/>
      <c r="N185" s="119"/>
      <c r="O185" s="119"/>
      <c r="Q185" s="278">
        <v>19</v>
      </c>
      <c r="R185" s="279" t="s">
        <v>1125</v>
      </c>
      <c r="S185" s="279"/>
      <c r="T185" s="229">
        <v>1</v>
      </c>
      <c r="U185" s="229">
        <v>2</v>
      </c>
      <c r="V185" s="229"/>
      <c r="W185" s="229"/>
      <c r="Y185" s="300">
        <v>22</v>
      </c>
      <c r="Z185" t="s">
        <v>59</v>
      </c>
      <c r="AB185" s="128"/>
      <c r="AC185" s="128"/>
      <c r="AD185" s="128"/>
      <c r="AE185" s="128"/>
    </row>
    <row r="186" spans="1:31" x14ac:dyDescent="0.3">
      <c r="A186" s="276">
        <v>20</v>
      </c>
      <c r="B186" s="277" t="s">
        <v>1124</v>
      </c>
      <c r="C186" s="277"/>
      <c r="D186" s="119"/>
      <c r="E186" s="119"/>
      <c r="F186" s="119"/>
      <c r="G186" s="119"/>
      <c r="I186" s="299">
        <v>22</v>
      </c>
      <c r="J186" s="273" t="s">
        <v>59</v>
      </c>
      <c r="K186" s="273"/>
      <c r="L186" s="303"/>
      <c r="M186" s="303">
        <v>1</v>
      </c>
      <c r="N186" s="303"/>
      <c r="O186" s="303"/>
      <c r="Q186" s="276">
        <v>20</v>
      </c>
      <c r="R186" s="277" t="s">
        <v>1124</v>
      </c>
      <c r="S186" s="277"/>
      <c r="T186" s="119">
        <v>2</v>
      </c>
      <c r="U186" s="119"/>
      <c r="V186" s="119"/>
      <c r="W186" s="119"/>
      <c r="Y186" s="301">
        <v>25</v>
      </c>
      <c r="Z186" s="302" t="s">
        <v>1164</v>
      </c>
      <c r="AA186" s="302"/>
      <c r="AB186" s="229"/>
      <c r="AC186" s="229"/>
      <c r="AD186" s="229"/>
      <c r="AE186" s="229"/>
    </row>
    <row r="187" spans="1:31" x14ac:dyDescent="0.3">
      <c r="A187" s="299">
        <v>22</v>
      </c>
      <c r="B187" s="273" t="s">
        <v>59</v>
      </c>
      <c r="C187" s="273"/>
      <c r="D187" s="303"/>
      <c r="E187" s="303">
        <v>1</v>
      </c>
      <c r="F187" s="303"/>
      <c r="G187" s="303"/>
      <c r="I187" s="276">
        <v>23</v>
      </c>
      <c r="J187" s="277" t="s">
        <v>1076</v>
      </c>
      <c r="K187" s="277"/>
      <c r="L187" s="119"/>
      <c r="M187" s="119"/>
      <c r="N187" s="119"/>
      <c r="O187" s="119"/>
      <c r="Q187" s="299">
        <v>22</v>
      </c>
      <c r="R187" s="273" t="s">
        <v>59</v>
      </c>
      <c r="S187" s="273"/>
      <c r="T187" s="303"/>
      <c r="U187" s="303"/>
      <c r="V187" s="303"/>
      <c r="W187" s="303"/>
      <c r="Y187" s="276">
        <v>50</v>
      </c>
      <c r="Z187" s="277" t="s">
        <v>680</v>
      </c>
      <c r="AA187" s="305"/>
      <c r="AB187" s="119"/>
      <c r="AC187" s="119">
        <v>1</v>
      </c>
      <c r="AD187" s="119"/>
      <c r="AE187" s="119">
        <v>2</v>
      </c>
    </row>
    <row r="188" spans="1:31" x14ac:dyDescent="0.3">
      <c r="A188" s="276">
        <v>23</v>
      </c>
      <c r="B188" s="277" t="s">
        <v>1076</v>
      </c>
      <c r="C188" s="277"/>
      <c r="D188" s="119"/>
      <c r="E188" s="119"/>
      <c r="F188" s="119"/>
      <c r="G188" s="119"/>
      <c r="I188" s="301">
        <v>25</v>
      </c>
      <c r="J188" s="302" t="s">
        <v>1164</v>
      </c>
      <c r="K188" s="302"/>
      <c r="L188" s="229"/>
      <c r="M188" s="229"/>
      <c r="N188" s="229"/>
      <c r="O188" s="229"/>
      <c r="Q188" s="276">
        <v>23</v>
      </c>
      <c r="R188" s="277" t="s">
        <v>1076</v>
      </c>
      <c r="S188" s="277"/>
      <c r="T188" s="119"/>
      <c r="U188" s="119"/>
      <c r="V188" s="119"/>
      <c r="W188" s="119"/>
      <c r="Y188" s="293">
        <v>66</v>
      </c>
      <c r="Z188" s="294" t="s">
        <v>1165</v>
      </c>
      <c r="AA188" s="294"/>
      <c r="AB188" s="229"/>
      <c r="AC188" s="229"/>
      <c r="AD188" s="229"/>
      <c r="AE188" s="229"/>
    </row>
    <row r="189" spans="1:31" x14ac:dyDescent="0.3">
      <c r="A189" s="301">
        <v>25</v>
      </c>
      <c r="B189" s="302" t="s">
        <v>1164</v>
      </c>
      <c r="C189" s="302"/>
      <c r="D189" s="229"/>
      <c r="E189" s="229"/>
      <c r="F189" s="229"/>
      <c r="G189" s="229"/>
      <c r="I189" s="276">
        <v>50</v>
      </c>
      <c r="J189" s="277" t="s">
        <v>680</v>
      </c>
      <c r="K189" s="305"/>
      <c r="L189" s="119">
        <v>1</v>
      </c>
      <c r="M189" s="119">
        <v>1</v>
      </c>
      <c r="N189" s="119"/>
      <c r="O189" s="119"/>
      <c r="Q189" s="301">
        <v>25</v>
      </c>
      <c r="R189" s="302" t="s">
        <v>1164</v>
      </c>
      <c r="S189" s="302"/>
      <c r="T189" s="229">
        <v>3</v>
      </c>
      <c r="U189" s="229"/>
      <c r="V189" s="229"/>
      <c r="W189" s="229"/>
      <c r="Y189" s="276">
        <v>76</v>
      </c>
      <c r="Z189" s="277" t="s">
        <v>1172</v>
      </c>
      <c r="AA189" s="277"/>
      <c r="AB189" s="119"/>
      <c r="AC189" s="128"/>
      <c r="AD189" s="128"/>
      <c r="AE189" s="128"/>
    </row>
    <row r="190" spans="1:31" x14ac:dyDescent="0.3">
      <c r="A190" s="276">
        <v>50</v>
      </c>
      <c r="B190" s="277" t="s">
        <v>680</v>
      </c>
      <c r="C190" s="305"/>
      <c r="D190" s="119">
        <v>1</v>
      </c>
      <c r="E190" s="119"/>
      <c r="F190" s="119"/>
      <c r="G190" s="119"/>
      <c r="I190" s="293">
        <v>55</v>
      </c>
      <c r="J190" s="294" t="s">
        <v>942</v>
      </c>
      <c r="K190" s="306"/>
      <c r="L190" s="229"/>
      <c r="M190" s="229"/>
      <c r="N190" s="229"/>
      <c r="O190" s="229"/>
      <c r="Q190" s="276">
        <v>50</v>
      </c>
      <c r="R190" s="277" t="s">
        <v>680</v>
      </c>
      <c r="S190" s="305"/>
      <c r="T190" s="119"/>
      <c r="U190" s="119">
        <v>2</v>
      </c>
      <c r="V190" s="119"/>
      <c r="W190" s="119"/>
      <c r="Y190" s="293">
        <v>82</v>
      </c>
      <c r="Z190" s="294" t="s">
        <v>47</v>
      </c>
      <c r="AA190" s="294"/>
      <c r="AB190" s="304">
        <v>1</v>
      </c>
      <c r="AC190" s="304"/>
      <c r="AD190" s="304"/>
      <c r="AE190" s="304"/>
    </row>
    <row r="191" spans="1:31" x14ac:dyDescent="0.3">
      <c r="A191" s="293">
        <v>55</v>
      </c>
      <c r="B191" s="294" t="s">
        <v>942</v>
      </c>
      <c r="C191" s="306"/>
      <c r="D191" s="229"/>
      <c r="E191" s="229"/>
      <c r="F191" s="229"/>
      <c r="G191" s="229"/>
      <c r="I191" s="295">
        <v>66</v>
      </c>
      <c r="J191" s="296" t="s">
        <v>1165</v>
      </c>
      <c r="K191" s="296"/>
      <c r="L191" s="119"/>
      <c r="M191" s="119">
        <v>1</v>
      </c>
      <c r="N191" s="119"/>
      <c r="O191" s="119"/>
      <c r="Q191" s="293">
        <v>55</v>
      </c>
      <c r="R191" s="294" t="s">
        <v>942</v>
      </c>
      <c r="S191" s="306"/>
      <c r="T191" s="229"/>
      <c r="U191" s="229"/>
      <c r="V191" s="229"/>
      <c r="W191" s="229"/>
      <c r="Y191" s="276">
        <v>96</v>
      </c>
      <c r="Z191" s="277" t="s">
        <v>185</v>
      </c>
      <c r="AA191" s="277"/>
      <c r="AB191" s="119">
        <v>1</v>
      </c>
      <c r="AC191" s="119"/>
      <c r="AD191" s="119"/>
      <c r="AE191" s="119"/>
    </row>
    <row r="192" spans="1:31" x14ac:dyDescent="0.3">
      <c r="A192" s="295">
        <v>66</v>
      </c>
      <c r="B192" s="296" t="s">
        <v>1165</v>
      </c>
      <c r="C192" s="296"/>
      <c r="D192" s="119"/>
      <c r="E192" s="119"/>
      <c r="F192" s="119"/>
      <c r="G192" s="119"/>
      <c r="I192" s="299">
        <v>75</v>
      </c>
      <c r="J192" s="273" t="s">
        <v>55</v>
      </c>
      <c r="K192" s="273"/>
      <c r="L192" s="229"/>
      <c r="M192" s="303"/>
      <c r="N192" s="303"/>
      <c r="O192" s="303"/>
      <c r="Q192" s="295">
        <v>66</v>
      </c>
      <c r="R192" s="296" t="s">
        <v>1165</v>
      </c>
      <c r="S192" s="296"/>
      <c r="T192" s="119">
        <v>1</v>
      </c>
      <c r="U192" s="119"/>
      <c r="V192" s="119"/>
      <c r="W192" s="119"/>
    </row>
    <row r="193" spans="1:27" x14ac:dyDescent="0.3">
      <c r="A193" s="299">
        <v>75</v>
      </c>
      <c r="B193" s="273" t="s">
        <v>55</v>
      </c>
      <c r="C193" s="273"/>
      <c r="D193" s="303"/>
      <c r="E193" s="303">
        <v>1</v>
      </c>
      <c r="F193" s="303"/>
      <c r="G193" s="303"/>
      <c r="I193" s="276">
        <v>76</v>
      </c>
      <c r="J193" s="277" t="s">
        <v>1172</v>
      </c>
      <c r="K193" s="277"/>
      <c r="L193" s="119"/>
      <c r="M193" s="119"/>
      <c r="N193" s="128"/>
      <c r="O193" s="128"/>
      <c r="Q193" s="299">
        <v>75</v>
      </c>
      <c r="R193" s="273" t="s">
        <v>55</v>
      </c>
      <c r="S193" s="273"/>
      <c r="T193" s="303"/>
      <c r="U193" s="303"/>
      <c r="V193" s="303"/>
      <c r="W193" s="303"/>
    </row>
    <row r="194" spans="1:27" x14ac:dyDescent="0.3">
      <c r="A194" s="276">
        <v>76</v>
      </c>
      <c r="B194" s="277" t="s">
        <v>1172</v>
      </c>
      <c r="C194" s="277"/>
      <c r="D194" s="119">
        <v>1</v>
      </c>
      <c r="E194" s="128"/>
      <c r="F194" s="128"/>
      <c r="G194" s="128"/>
      <c r="I194" s="293">
        <v>82</v>
      </c>
      <c r="J194" s="294" t="s">
        <v>47</v>
      </c>
      <c r="K194" s="294"/>
      <c r="L194" s="230"/>
      <c r="M194" s="304"/>
      <c r="N194" s="304"/>
      <c r="O194" s="304"/>
      <c r="Q194" s="276">
        <v>76</v>
      </c>
      <c r="R194" s="277" t="s">
        <v>1172</v>
      </c>
      <c r="S194" s="277"/>
      <c r="T194" s="119"/>
      <c r="U194" s="119">
        <v>1</v>
      </c>
      <c r="V194" s="128"/>
      <c r="W194" s="128"/>
    </row>
    <row r="195" spans="1:27" x14ac:dyDescent="0.3">
      <c r="A195" s="293">
        <v>82</v>
      </c>
      <c r="B195" s="294" t="s">
        <v>47</v>
      </c>
      <c r="C195" s="294"/>
      <c r="D195" s="304"/>
      <c r="E195" s="304"/>
      <c r="F195" s="304"/>
      <c r="G195" s="304"/>
      <c r="I195" s="276">
        <v>96</v>
      </c>
      <c r="J195" s="277" t="s">
        <v>185</v>
      </c>
      <c r="K195" s="277"/>
      <c r="L195" s="119"/>
      <c r="M195" s="119"/>
      <c r="N195" s="119"/>
      <c r="O195" s="119"/>
      <c r="Q195" s="293">
        <v>82</v>
      </c>
      <c r="R195" s="294" t="s">
        <v>47</v>
      </c>
      <c r="S195" s="294"/>
      <c r="T195" s="304"/>
      <c r="U195" s="304"/>
      <c r="V195" s="304"/>
      <c r="W195" s="304"/>
    </row>
    <row r="196" spans="1:27" x14ac:dyDescent="0.3">
      <c r="A196" s="276">
        <v>96</v>
      </c>
      <c r="B196" s="277" t="s">
        <v>185</v>
      </c>
      <c r="C196" s="277"/>
      <c r="D196" s="119">
        <v>2</v>
      </c>
      <c r="E196" s="119"/>
      <c r="F196" s="119"/>
      <c r="G196" s="119">
        <v>2</v>
      </c>
      <c r="Q196" s="276">
        <v>96</v>
      </c>
      <c r="R196" s="277" t="s">
        <v>185</v>
      </c>
      <c r="S196" s="277"/>
      <c r="T196" s="119">
        <v>3</v>
      </c>
      <c r="U196" s="119">
        <v>2</v>
      </c>
      <c r="V196" s="119"/>
      <c r="W196" s="119"/>
    </row>
    <row r="200" spans="1:27" x14ac:dyDescent="0.3">
      <c r="A200" s="205" t="s">
        <v>1114</v>
      </c>
      <c r="B200" s="266">
        <v>17</v>
      </c>
      <c r="I200" s="205"/>
      <c r="J200" s="266">
        <v>18</v>
      </c>
      <c r="Q200" s="205"/>
      <c r="R200" s="266">
        <v>19</v>
      </c>
      <c r="Y200" s="205"/>
      <c r="Z200" s="266">
        <v>20</v>
      </c>
    </row>
    <row r="201" spans="1:27" x14ac:dyDescent="0.3">
      <c r="A201" s="205"/>
      <c r="B201" s="267">
        <v>42063</v>
      </c>
      <c r="C201" s="205" t="s">
        <v>1343</v>
      </c>
      <c r="I201" s="205"/>
      <c r="J201" s="267">
        <v>42063</v>
      </c>
      <c r="K201" s="205" t="s">
        <v>1343</v>
      </c>
      <c r="Q201" s="205"/>
      <c r="R201" s="267">
        <v>42084</v>
      </c>
      <c r="S201" s="205" t="s">
        <v>255</v>
      </c>
      <c r="Y201" s="205"/>
      <c r="Z201" s="267">
        <v>42084</v>
      </c>
      <c r="AA201" s="205" t="s">
        <v>255</v>
      </c>
    </row>
    <row r="202" spans="1:27" x14ac:dyDescent="0.3">
      <c r="A202" s="205"/>
      <c r="B202" s="267"/>
      <c r="C202" s="205"/>
      <c r="I202" s="205"/>
      <c r="J202" s="267"/>
      <c r="K202" s="205"/>
      <c r="Q202" s="205"/>
      <c r="R202" s="267"/>
      <c r="S202" s="205"/>
      <c r="Y202" s="205"/>
      <c r="Z202" s="267"/>
      <c r="AA202" s="205"/>
    </row>
    <row r="203" spans="1:27" ht="15.6" x14ac:dyDescent="0.3">
      <c r="B203" s="268" t="s">
        <v>0</v>
      </c>
      <c r="C203" s="268" t="s">
        <v>1002</v>
      </c>
      <c r="J203" s="268" t="s">
        <v>1220</v>
      </c>
      <c r="K203" s="268" t="s">
        <v>0</v>
      </c>
      <c r="R203" s="268" t="s">
        <v>1166</v>
      </c>
      <c r="S203" s="268" t="s">
        <v>0</v>
      </c>
      <c r="Z203" s="268" t="s">
        <v>1245</v>
      </c>
      <c r="AA203" s="268" t="s">
        <v>0</v>
      </c>
    </row>
    <row r="204" spans="1:27" x14ac:dyDescent="0.3">
      <c r="B204" s="269">
        <v>6</v>
      </c>
      <c r="C204" s="269">
        <v>4</v>
      </c>
      <c r="J204" s="270">
        <v>4</v>
      </c>
      <c r="K204" s="270">
        <v>4</v>
      </c>
      <c r="R204" s="229">
        <v>0</v>
      </c>
      <c r="S204" s="229">
        <v>0</v>
      </c>
      <c r="Z204" s="229">
        <v>0</v>
      </c>
      <c r="AA204" s="229">
        <v>0</v>
      </c>
    </row>
    <row r="206" spans="1:27" x14ac:dyDescent="0.3">
      <c r="A206" s="205" t="s">
        <v>1111</v>
      </c>
      <c r="B206" s="269">
        <v>3</v>
      </c>
      <c r="C206" s="269">
        <v>0</v>
      </c>
      <c r="I206" s="205" t="s">
        <v>1111</v>
      </c>
      <c r="J206" s="270">
        <v>1</v>
      </c>
      <c r="K206" s="270">
        <v>1</v>
      </c>
      <c r="Q206" s="205" t="s">
        <v>1111</v>
      </c>
      <c r="R206" s="229">
        <v>0</v>
      </c>
      <c r="S206" s="229">
        <v>0</v>
      </c>
      <c r="Y206" s="205" t="s">
        <v>1111</v>
      </c>
      <c r="Z206" s="229">
        <v>0</v>
      </c>
      <c r="AA206" s="229">
        <v>0</v>
      </c>
    </row>
    <row r="207" spans="1:27" x14ac:dyDescent="0.3">
      <c r="A207" s="205" t="s">
        <v>1112</v>
      </c>
      <c r="B207" s="269">
        <v>2</v>
      </c>
      <c r="C207" s="269">
        <v>1</v>
      </c>
      <c r="I207" s="205" t="s">
        <v>1112</v>
      </c>
      <c r="J207" s="271">
        <v>2</v>
      </c>
      <c r="K207" s="271">
        <v>1</v>
      </c>
      <c r="Q207" s="205" t="s">
        <v>1112</v>
      </c>
      <c r="R207" s="229">
        <v>0</v>
      </c>
      <c r="S207" s="229">
        <v>0</v>
      </c>
      <c r="Y207" s="205" t="s">
        <v>1112</v>
      </c>
      <c r="Z207" s="229">
        <v>0</v>
      </c>
      <c r="AA207" s="229">
        <v>0</v>
      </c>
    </row>
    <row r="208" spans="1:27" x14ac:dyDescent="0.3">
      <c r="A208" s="205" t="s">
        <v>1113</v>
      </c>
      <c r="B208" s="271">
        <v>1</v>
      </c>
      <c r="C208" s="271">
        <v>3</v>
      </c>
      <c r="I208" s="205" t="s">
        <v>1113</v>
      </c>
      <c r="J208" s="269">
        <v>1</v>
      </c>
      <c r="K208" s="269">
        <v>2</v>
      </c>
      <c r="Q208" s="205" t="s">
        <v>1113</v>
      </c>
      <c r="R208" s="229">
        <v>0</v>
      </c>
      <c r="S208" s="229">
        <v>0</v>
      </c>
      <c r="Y208" s="205" t="s">
        <v>1113</v>
      </c>
      <c r="Z208" s="229">
        <v>0</v>
      </c>
      <c r="AA208" s="229">
        <v>0</v>
      </c>
    </row>
    <row r="210" spans="2:29" x14ac:dyDescent="0.3">
      <c r="B210" s="1" t="s">
        <v>1344</v>
      </c>
      <c r="C210" t="s">
        <v>1116</v>
      </c>
      <c r="D210" s="8">
        <v>96</v>
      </c>
      <c r="E210" s="8">
        <v>20</v>
      </c>
      <c r="J210" s="1" t="s">
        <v>1356</v>
      </c>
      <c r="K210" s="1" t="s">
        <v>825</v>
      </c>
      <c r="L210" s="2" t="s">
        <v>6</v>
      </c>
      <c r="M210" s="2" t="s">
        <v>1151</v>
      </c>
      <c r="R210" s="1"/>
      <c r="S210" s="1"/>
      <c r="T210" s="2"/>
      <c r="U210" s="2"/>
      <c r="Z210" s="1"/>
      <c r="AA210" s="1"/>
      <c r="AB210" s="2"/>
      <c r="AC210" s="2"/>
    </row>
    <row r="211" spans="2:29" x14ac:dyDescent="0.3">
      <c r="B211" s="1" t="s">
        <v>1345</v>
      </c>
      <c r="C211" s="1" t="s">
        <v>1118</v>
      </c>
      <c r="D211" s="8">
        <v>14</v>
      </c>
      <c r="E211" s="8">
        <v>96</v>
      </c>
      <c r="J211" s="272" t="s">
        <v>1357</v>
      </c>
      <c r="K211" s="272" t="s">
        <v>1132</v>
      </c>
      <c r="L211" s="275" t="s">
        <v>1128</v>
      </c>
      <c r="M211" s="275"/>
      <c r="R211" s="1"/>
      <c r="S211" s="1"/>
      <c r="T211" s="2"/>
      <c r="U211" s="2"/>
      <c r="Z211" s="1"/>
      <c r="AA211" s="1"/>
      <c r="AB211" s="2"/>
      <c r="AC211" s="2"/>
    </row>
    <row r="212" spans="2:29" x14ac:dyDescent="0.3">
      <c r="B212" s="1" t="s">
        <v>1204</v>
      </c>
      <c r="C212" s="1" t="s">
        <v>785</v>
      </c>
      <c r="D212" s="8">
        <v>76</v>
      </c>
      <c r="E212" s="8">
        <v>55</v>
      </c>
      <c r="J212" s="272" t="s">
        <v>1358</v>
      </c>
      <c r="K212" s="272" t="s">
        <v>909</v>
      </c>
      <c r="L212" s="275" t="s">
        <v>1128</v>
      </c>
      <c r="M212" s="275"/>
      <c r="R212" s="1"/>
      <c r="S212" s="1"/>
      <c r="T212" s="2"/>
      <c r="U212" s="2"/>
      <c r="Z212" s="1"/>
      <c r="AA212" s="1"/>
      <c r="AB212" s="2"/>
      <c r="AC212" s="2"/>
    </row>
    <row r="213" spans="2:29" x14ac:dyDescent="0.3">
      <c r="B213" s="273" t="s">
        <v>1350</v>
      </c>
      <c r="C213" s="273" t="s">
        <v>501</v>
      </c>
      <c r="D213" s="273" t="s">
        <v>1128</v>
      </c>
      <c r="E213" s="273"/>
      <c r="J213" s="272" t="s">
        <v>1283</v>
      </c>
      <c r="K213" s="272" t="s">
        <v>565</v>
      </c>
      <c r="L213" s="275" t="s">
        <v>1128</v>
      </c>
      <c r="M213" s="275"/>
      <c r="R213" s="1"/>
      <c r="S213" s="1"/>
      <c r="T213" s="2"/>
      <c r="U213" s="2"/>
      <c r="Z213" s="1"/>
      <c r="AA213" s="1"/>
      <c r="AB213" s="2"/>
      <c r="AC213" s="2"/>
    </row>
    <row r="214" spans="2:29" x14ac:dyDescent="0.3">
      <c r="B214" s="1" t="s">
        <v>1346</v>
      </c>
      <c r="C214" s="1" t="s">
        <v>1310</v>
      </c>
      <c r="D214" s="8">
        <v>96</v>
      </c>
      <c r="E214" s="8" t="s">
        <v>107</v>
      </c>
      <c r="J214" s="1" t="s">
        <v>1359</v>
      </c>
      <c r="K214" s="1" t="s">
        <v>1360</v>
      </c>
      <c r="L214" s="2" t="s">
        <v>1210</v>
      </c>
      <c r="M214" s="2" t="s">
        <v>959</v>
      </c>
      <c r="R214" s="1"/>
      <c r="S214" s="1"/>
      <c r="T214" s="2"/>
      <c r="U214" s="2"/>
      <c r="Z214" s="1"/>
      <c r="AA214" s="1"/>
      <c r="AB214" s="2"/>
      <c r="AC214" s="2"/>
    </row>
    <row r="215" spans="2:29" x14ac:dyDescent="0.3">
      <c r="B215" s="1" t="s">
        <v>1183</v>
      </c>
      <c r="C215" s="1" t="s">
        <v>1347</v>
      </c>
      <c r="D215" s="8">
        <v>82</v>
      </c>
      <c r="E215">
        <v>14</v>
      </c>
      <c r="J215" s="1" t="s">
        <v>1361</v>
      </c>
      <c r="K215" s="1" t="s">
        <v>824</v>
      </c>
      <c r="L215" s="2" t="s">
        <v>1219</v>
      </c>
      <c r="M215" s="2" t="s">
        <v>1151</v>
      </c>
      <c r="R215" s="1"/>
      <c r="S215" s="1"/>
      <c r="T215" s="2"/>
      <c r="U215" s="2"/>
      <c r="Z215" s="1"/>
      <c r="AA215" s="1"/>
      <c r="AB215" s="2"/>
      <c r="AC215" s="2"/>
    </row>
    <row r="216" spans="2:29" x14ac:dyDescent="0.3">
      <c r="B216" s="272" t="s">
        <v>1348</v>
      </c>
      <c r="C216" s="272" t="s">
        <v>1349</v>
      </c>
      <c r="D216" s="274" t="s">
        <v>1128</v>
      </c>
      <c r="E216" s="274"/>
      <c r="J216" s="1" t="s">
        <v>1362</v>
      </c>
      <c r="K216" s="1" t="s">
        <v>1058</v>
      </c>
      <c r="L216" s="2" t="s">
        <v>1210</v>
      </c>
      <c r="M216" s="2" t="s">
        <v>1214</v>
      </c>
      <c r="R216" s="1"/>
      <c r="S216" s="1"/>
      <c r="T216" s="2"/>
      <c r="U216" s="2"/>
      <c r="Z216" s="1"/>
      <c r="AA216" s="1"/>
      <c r="AB216" s="2"/>
      <c r="AC216" s="2"/>
    </row>
    <row r="217" spans="2:29" x14ac:dyDescent="0.3">
      <c r="B217" s="1" t="s">
        <v>1351</v>
      </c>
      <c r="C217" s="1" t="s">
        <v>903</v>
      </c>
      <c r="D217" s="8">
        <v>96</v>
      </c>
      <c r="E217">
        <v>76</v>
      </c>
      <c r="J217" s="272" t="s">
        <v>1363</v>
      </c>
      <c r="K217" s="272" t="s">
        <v>810</v>
      </c>
      <c r="L217" s="275" t="s">
        <v>1128</v>
      </c>
      <c r="M217" s="275"/>
      <c r="R217" s="1"/>
      <c r="S217" s="1"/>
      <c r="T217" s="2"/>
      <c r="U217" s="2"/>
      <c r="Z217" s="1"/>
      <c r="AA217" s="1"/>
      <c r="AB217" s="2"/>
      <c r="AC217" s="2"/>
    </row>
    <row r="218" spans="2:29" x14ac:dyDescent="0.3">
      <c r="B218" s="272" t="s">
        <v>1352</v>
      </c>
      <c r="C218" s="272" t="s">
        <v>577</v>
      </c>
      <c r="D218" s="274" t="s">
        <v>1128</v>
      </c>
      <c r="E218" s="274"/>
      <c r="J218" s="1"/>
      <c r="K218" s="1"/>
      <c r="L218" s="2"/>
      <c r="R218" s="1"/>
      <c r="S218" s="1"/>
      <c r="T218" s="2"/>
      <c r="U218" s="2"/>
      <c r="Z218" s="1"/>
      <c r="AA218" s="1"/>
      <c r="AB218" s="2"/>
      <c r="AC218" s="2"/>
    </row>
    <row r="219" spans="2:29" x14ac:dyDescent="0.3">
      <c r="B219" s="272" t="s">
        <v>1353</v>
      </c>
      <c r="C219" s="272" t="s">
        <v>888</v>
      </c>
      <c r="D219" s="274" t="s">
        <v>1128</v>
      </c>
      <c r="E219" s="274"/>
      <c r="J219" s="1"/>
      <c r="K219" s="1"/>
      <c r="L219" s="2"/>
      <c r="M219" s="2"/>
      <c r="R219" s="1"/>
      <c r="S219" s="1"/>
      <c r="T219" s="2"/>
      <c r="U219" s="2"/>
      <c r="Z219" s="1"/>
      <c r="AA219" s="1"/>
      <c r="AB219" s="2"/>
      <c r="AC219" s="2"/>
    </row>
    <row r="220" spans="2:29" x14ac:dyDescent="0.3">
      <c r="B220" s="272" t="s">
        <v>1354</v>
      </c>
      <c r="C220" s="272" t="s">
        <v>922</v>
      </c>
      <c r="D220" s="274" t="s">
        <v>1128</v>
      </c>
      <c r="E220" s="273"/>
      <c r="J220" s="1"/>
      <c r="K220" s="1"/>
      <c r="L220" s="2"/>
      <c r="M220" s="2"/>
      <c r="R220" s="1"/>
      <c r="S220" s="1"/>
      <c r="T220" s="2"/>
      <c r="U220" s="2"/>
      <c r="Z220" s="1"/>
      <c r="AA220" s="1"/>
      <c r="AB220" s="2"/>
      <c r="AC220" s="2"/>
    </row>
    <row r="221" spans="2:29" x14ac:dyDescent="0.3">
      <c r="B221" s="1"/>
      <c r="C221" s="1"/>
      <c r="J221" s="1"/>
      <c r="K221" s="1"/>
      <c r="L221" s="2"/>
      <c r="M221" s="2"/>
      <c r="R221" s="1"/>
      <c r="S221" s="1"/>
      <c r="T221" s="2"/>
      <c r="U221" s="2"/>
      <c r="Z221" s="1"/>
      <c r="AA221" s="1"/>
      <c r="AB221" s="2"/>
      <c r="AC221" s="2"/>
    </row>
    <row r="222" spans="2:29" x14ac:dyDescent="0.3">
      <c r="B222" s="1"/>
      <c r="C222" s="1"/>
      <c r="D222" s="8"/>
      <c r="J222" s="1"/>
      <c r="K222" s="1"/>
      <c r="L222" s="2"/>
      <c r="M222" s="2"/>
      <c r="R222" s="1"/>
      <c r="S222" s="1"/>
      <c r="T222" s="2"/>
      <c r="U222" s="2"/>
      <c r="Z222" s="1"/>
      <c r="AA222" s="1"/>
      <c r="AB222" s="2"/>
      <c r="AC222" s="2"/>
    </row>
    <row r="223" spans="2:29" x14ac:dyDescent="0.3">
      <c r="B223" s="1"/>
      <c r="C223" s="1"/>
      <c r="D223" s="8"/>
      <c r="E223" s="8"/>
      <c r="J223" s="1"/>
      <c r="K223" s="1"/>
      <c r="R223" s="1"/>
      <c r="S223" s="1"/>
      <c r="T223" s="2"/>
    </row>
    <row r="224" spans="2:29" x14ac:dyDescent="0.3">
      <c r="B224" s="1"/>
      <c r="C224" s="1"/>
      <c r="D224" s="8"/>
      <c r="E224" s="8"/>
      <c r="J224" s="1"/>
      <c r="K224" s="1"/>
      <c r="L224" s="2"/>
      <c r="M224" s="2"/>
      <c r="R224" s="1"/>
      <c r="S224" s="1"/>
    </row>
    <row r="225" spans="1:31" x14ac:dyDescent="0.3">
      <c r="B225" s="1"/>
      <c r="C225" s="1"/>
      <c r="D225" s="8"/>
      <c r="E225" s="8"/>
      <c r="J225" s="1"/>
      <c r="K225" s="1"/>
      <c r="R225" s="1"/>
      <c r="S225" s="1"/>
    </row>
    <row r="226" spans="1:31" x14ac:dyDescent="0.3">
      <c r="B226" s="1"/>
      <c r="C226" s="1"/>
      <c r="D226" s="8"/>
      <c r="E226" s="8"/>
      <c r="J226" s="1"/>
      <c r="K226" s="1"/>
      <c r="R226" s="1"/>
      <c r="S226" s="1"/>
    </row>
    <row r="227" spans="1:31" x14ac:dyDescent="0.3">
      <c r="B227" s="1"/>
      <c r="C227" s="1"/>
      <c r="D227" s="8"/>
      <c r="E227" s="8"/>
      <c r="J227" s="1"/>
      <c r="K227" s="1"/>
      <c r="R227" s="1"/>
      <c r="S227" s="1"/>
    </row>
    <row r="228" spans="1:31" x14ac:dyDescent="0.3">
      <c r="B228" s="1"/>
      <c r="C228" s="1"/>
      <c r="D228" s="8"/>
      <c r="E228" s="8"/>
      <c r="J228" s="1"/>
      <c r="K228" s="1"/>
      <c r="R228" s="1"/>
    </row>
    <row r="229" spans="1:31" x14ac:dyDescent="0.3">
      <c r="B229" s="1"/>
      <c r="C229" s="1"/>
      <c r="D229" s="8"/>
      <c r="E229" s="8"/>
      <c r="J229" s="1"/>
      <c r="K229" s="1"/>
    </row>
    <row r="230" spans="1:31" x14ac:dyDescent="0.3">
      <c r="B230" s="1"/>
      <c r="C230" s="1"/>
    </row>
    <row r="231" spans="1:31" x14ac:dyDescent="0.3">
      <c r="D231" s="265" t="s">
        <v>533</v>
      </c>
      <c r="E231" s="265" t="s">
        <v>534</v>
      </c>
      <c r="F231" s="265" t="s">
        <v>610</v>
      </c>
      <c r="G231" s="265" t="s">
        <v>535</v>
      </c>
      <c r="L231" s="265" t="s">
        <v>533</v>
      </c>
      <c r="M231" s="265" t="s">
        <v>534</v>
      </c>
      <c r="N231" s="265" t="s">
        <v>610</v>
      </c>
      <c r="O231" s="265" t="s">
        <v>535</v>
      </c>
      <c r="T231" s="265" t="s">
        <v>533</v>
      </c>
      <c r="U231" s="265" t="s">
        <v>534</v>
      </c>
      <c r="V231" s="265" t="s">
        <v>610</v>
      </c>
      <c r="W231" s="265" t="s">
        <v>535</v>
      </c>
      <c r="AB231" s="265" t="s">
        <v>533</v>
      </c>
      <c r="AC231" s="265" t="s">
        <v>534</v>
      </c>
      <c r="AD231" s="265" t="s">
        <v>610</v>
      </c>
      <c r="AE231" s="265" t="s">
        <v>535</v>
      </c>
    </row>
    <row r="232" spans="1:31" x14ac:dyDescent="0.3">
      <c r="A232" s="278">
        <v>1</v>
      </c>
      <c r="B232" s="279" t="s">
        <v>941</v>
      </c>
      <c r="C232" s="279"/>
      <c r="D232" s="229"/>
      <c r="E232" s="229"/>
      <c r="F232" s="229"/>
      <c r="G232" s="229"/>
      <c r="I232" s="278">
        <v>1</v>
      </c>
      <c r="J232" s="279" t="s">
        <v>941</v>
      </c>
      <c r="K232" s="279"/>
      <c r="L232" s="229"/>
      <c r="M232" s="229"/>
      <c r="N232" s="229"/>
      <c r="O232" s="229"/>
      <c r="Q232" s="278">
        <v>1</v>
      </c>
      <c r="R232" s="279" t="s">
        <v>941</v>
      </c>
      <c r="S232" s="279"/>
      <c r="T232" s="229"/>
      <c r="U232" s="229"/>
      <c r="V232" s="229"/>
      <c r="W232" s="229"/>
      <c r="Y232" s="278">
        <v>1</v>
      </c>
      <c r="Z232" s="279" t="s">
        <v>941</v>
      </c>
      <c r="AA232" s="279"/>
      <c r="AB232" s="229"/>
      <c r="AC232" s="229"/>
      <c r="AD232" s="229"/>
      <c r="AE232" s="229"/>
    </row>
    <row r="233" spans="1:31" x14ac:dyDescent="0.3">
      <c r="A233" s="276">
        <v>3</v>
      </c>
      <c r="B233" t="s">
        <v>54</v>
      </c>
      <c r="D233" s="128"/>
      <c r="E233" s="128"/>
      <c r="F233" s="128"/>
      <c r="G233" s="128"/>
      <c r="I233" s="276">
        <v>4</v>
      </c>
      <c r="J233" s="277" t="s">
        <v>530</v>
      </c>
      <c r="K233" s="277"/>
      <c r="L233" s="119">
        <v>1</v>
      </c>
      <c r="M233" s="119"/>
      <c r="N233" s="119"/>
      <c r="O233" s="119"/>
      <c r="Q233" s="276">
        <v>3</v>
      </c>
      <c r="R233" t="s">
        <v>54</v>
      </c>
      <c r="T233" s="128"/>
      <c r="U233" s="119"/>
      <c r="V233" s="128"/>
      <c r="W233" s="128"/>
      <c r="Y233" s="276">
        <v>3</v>
      </c>
      <c r="Z233" t="s">
        <v>54</v>
      </c>
      <c r="AB233" s="128"/>
      <c r="AC233" s="119"/>
      <c r="AD233" s="128"/>
      <c r="AE233" s="128"/>
    </row>
    <row r="234" spans="1:31" x14ac:dyDescent="0.3">
      <c r="A234" s="278">
        <v>4</v>
      </c>
      <c r="B234" s="279" t="s">
        <v>530</v>
      </c>
      <c r="C234" s="279"/>
      <c r="D234" s="229"/>
      <c r="E234" s="229"/>
      <c r="F234" s="229"/>
      <c r="G234" s="229"/>
      <c r="I234" s="278">
        <v>14</v>
      </c>
      <c r="J234" s="279" t="s">
        <v>1075</v>
      </c>
      <c r="K234" s="279"/>
      <c r="L234" s="229"/>
      <c r="M234" s="229">
        <v>1</v>
      </c>
      <c r="N234" s="229"/>
      <c r="O234" s="229"/>
      <c r="Q234" s="278">
        <v>4</v>
      </c>
      <c r="R234" s="279" t="s">
        <v>530</v>
      </c>
      <c r="S234" s="279"/>
      <c r="T234" s="229"/>
      <c r="U234" s="229"/>
      <c r="V234" s="229"/>
      <c r="W234" s="229"/>
      <c r="Y234" s="278">
        <v>4</v>
      </c>
      <c r="Z234" s="279" t="s">
        <v>530</v>
      </c>
      <c r="AA234" s="279"/>
      <c r="AB234" s="229"/>
      <c r="AC234" s="229"/>
      <c r="AD234" s="229"/>
      <c r="AE234" s="229"/>
    </row>
    <row r="235" spans="1:31" x14ac:dyDescent="0.3">
      <c r="A235" s="276">
        <v>14</v>
      </c>
      <c r="B235" s="277" t="s">
        <v>1075</v>
      </c>
      <c r="C235" s="277"/>
      <c r="D235" s="119">
        <v>1</v>
      </c>
      <c r="E235" s="119">
        <v>1</v>
      </c>
      <c r="F235" s="119"/>
      <c r="G235" s="119"/>
      <c r="I235" s="276">
        <v>17</v>
      </c>
      <c r="J235" s="277" t="s">
        <v>53</v>
      </c>
      <c r="K235" s="277"/>
      <c r="L235" s="119"/>
      <c r="M235" s="119"/>
      <c r="N235" s="119"/>
      <c r="O235" s="119"/>
      <c r="Q235" s="276">
        <v>9</v>
      </c>
      <c r="R235" s="277" t="s">
        <v>1077</v>
      </c>
      <c r="S235" s="277"/>
      <c r="T235" s="119"/>
      <c r="U235" s="119"/>
      <c r="V235" s="119"/>
      <c r="W235" s="119"/>
      <c r="Y235" s="276">
        <v>9</v>
      </c>
      <c r="Z235" s="277" t="s">
        <v>1077</v>
      </c>
      <c r="AA235" s="277"/>
      <c r="AB235" s="119"/>
      <c r="AC235" s="119"/>
      <c r="AD235" s="119"/>
      <c r="AE235" s="119"/>
    </row>
    <row r="236" spans="1:31" x14ac:dyDescent="0.3">
      <c r="A236" s="278">
        <v>17</v>
      </c>
      <c r="B236" s="279" t="s">
        <v>53</v>
      </c>
      <c r="C236" s="279"/>
      <c r="D236" s="229"/>
      <c r="E236" s="229"/>
      <c r="F236" s="229"/>
      <c r="G236" s="229"/>
      <c r="I236" s="278">
        <v>20</v>
      </c>
      <c r="J236" s="279" t="s">
        <v>1124</v>
      </c>
      <c r="K236" s="279"/>
      <c r="L236" s="229"/>
      <c r="M236" s="229">
        <v>1</v>
      </c>
      <c r="N236" s="229"/>
      <c r="O236" s="229"/>
      <c r="Q236" s="278">
        <v>14</v>
      </c>
      <c r="R236" s="279" t="s">
        <v>1075</v>
      </c>
      <c r="S236" s="279"/>
      <c r="T236" s="229"/>
      <c r="U236" s="229"/>
      <c r="V236" s="229"/>
      <c r="W236" s="229"/>
      <c r="Y236" s="278">
        <v>14</v>
      </c>
      <c r="Z236" s="279" t="s">
        <v>1075</v>
      </c>
      <c r="AA236" s="279"/>
      <c r="AB236" s="229"/>
      <c r="AC236" s="229"/>
      <c r="AD236" s="229"/>
      <c r="AE236" s="229"/>
    </row>
    <row r="237" spans="1:31" x14ac:dyDescent="0.3">
      <c r="A237" s="276">
        <v>20</v>
      </c>
      <c r="B237" s="277" t="s">
        <v>1124</v>
      </c>
      <c r="C237" s="277"/>
      <c r="D237" s="119"/>
      <c r="E237" s="119">
        <v>1</v>
      </c>
      <c r="F237" s="119"/>
      <c r="G237" s="119"/>
      <c r="I237" s="276">
        <v>23</v>
      </c>
      <c r="J237" s="277" t="s">
        <v>1076</v>
      </c>
      <c r="K237" s="277"/>
      <c r="L237" s="119"/>
      <c r="M237" s="119"/>
      <c r="N237" s="119"/>
      <c r="O237" s="119"/>
      <c r="Q237" s="276">
        <v>17</v>
      </c>
      <c r="R237" s="277" t="s">
        <v>53</v>
      </c>
      <c r="S237" s="277"/>
      <c r="T237" s="119"/>
      <c r="U237" s="119"/>
      <c r="V237" s="119"/>
      <c r="W237" s="119"/>
      <c r="Y237" s="276">
        <v>17</v>
      </c>
      <c r="Z237" s="277" t="s">
        <v>53</v>
      </c>
      <c r="AA237" s="277"/>
      <c r="AB237" s="119"/>
      <c r="AC237" s="119"/>
      <c r="AD237" s="119"/>
      <c r="AE237" s="119"/>
    </row>
    <row r="238" spans="1:31" x14ac:dyDescent="0.3">
      <c r="A238" s="278">
        <v>23</v>
      </c>
      <c r="B238" s="279" t="s">
        <v>1076</v>
      </c>
      <c r="C238" s="279"/>
      <c r="D238" s="229"/>
      <c r="E238" s="229"/>
      <c r="F238" s="229"/>
      <c r="G238" s="229"/>
      <c r="I238" s="293">
        <v>55</v>
      </c>
      <c r="J238" s="294" t="s">
        <v>942</v>
      </c>
      <c r="K238" s="306"/>
      <c r="L238" s="229"/>
      <c r="M238" s="229"/>
      <c r="N238" s="229"/>
      <c r="O238" s="229"/>
      <c r="Q238" s="278">
        <v>19</v>
      </c>
      <c r="R238" s="279" t="s">
        <v>1125</v>
      </c>
      <c r="S238" s="279"/>
      <c r="T238" s="229"/>
      <c r="U238" s="229"/>
      <c r="V238" s="229"/>
      <c r="W238" s="229"/>
      <c r="Y238" s="278">
        <v>19</v>
      </c>
      <c r="Z238" s="279" t="s">
        <v>1125</v>
      </c>
      <c r="AA238" s="279"/>
      <c r="AB238" s="229"/>
      <c r="AC238" s="229"/>
      <c r="AD238" s="229"/>
      <c r="AE238" s="229"/>
    </row>
    <row r="239" spans="1:31" x14ac:dyDescent="0.3">
      <c r="A239" s="295">
        <v>55</v>
      </c>
      <c r="B239" s="296" t="s">
        <v>942</v>
      </c>
      <c r="C239" s="297"/>
      <c r="D239" s="119"/>
      <c r="E239" s="119">
        <v>1</v>
      </c>
      <c r="F239" s="119"/>
      <c r="G239" s="119"/>
      <c r="I239" s="276">
        <v>76</v>
      </c>
      <c r="J239" s="277" t="s">
        <v>1172</v>
      </c>
      <c r="K239" s="277"/>
      <c r="L239" s="119">
        <v>1</v>
      </c>
      <c r="M239" s="119"/>
      <c r="N239" s="128"/>
      <c r="O239" s="128"/>
      <c r="Q239" s="276">
        <v>20</v>
      </c>
      <c r="R239" s="277" t="s">
        <v>1124</v>
      </c>
      <c r="S239" s="277"/>
      <c r="T239" s="119"/>
      <c r="U239" s="119"/>
      <c r="V239" s="119"/>
      <c r="W239" s="119"/>
      <c r="Y239" s="276">
        <v>20</v>
      </c>
      <c r="Z239" s="277" t="s">
        <v>1124</v>
      </c>
      <c r="AA239" s="277"/>
      <c r="AB239" s="119"/>
      <c r="AC239" s="119"/>
      <c r="AD239" s="119"/>
      <c r="AE239" s="119"/>
    </row>
    <row r="240" spans="1:31" x14ac:dyDescent="0.3">
      <c r="A240" s="293">
        <v>76</v>
      </c>
      <c r="B240" s="294" t="s">
        <v>1172</v>
      </c>
      <c r="C240" s="294"/>
      <c r="D240" s="229">
        <v>1</v>
      </c>
      <c r="E240" s="229">
        <v>1</v>
      </c>
      <c r="F240" s="229"/>
      <c r="G240" s="229"/>
      <c r="I240" s="293">
        <v>82</v>
      </c>
      <c r="J240" s="294" t="s">
        <v>1355</v>
      </c>
      <c r="K240" s="294"/>
      <c r="L240" s="230">
        <v>2</v>
      </c>
      <c r="M240" s="304"/>
      <c r="N240" s="304"/>
      <c r="O240" s="304"/>
      <c r="Q240" s="299">
        <v>22</v>
      </c>
      <c r="R240" s="273" t="s">
        <v>59</v>
      </c>
      <c r="S240" s="273"/>
      <c r="T240" s="303"/>
      <c r="U240" s="303"/>
      <c r="V240" s="303"/>
      <c r="W240" s="303"/>
      <c r="Y240" s="299">
        <v>22</v>
      </c>
      <c r="Z240" s="273" t="s">
        <v>59</v>
      </c>
      <c r="AA240" s="273"/>
      <c r="AB240" s="303"/>
      <c r="AC240" s="303"/>
      <c r="AD240" s="303"/>
      <c r="AE240" s="303"/>
    </row>
    <row r="241" spans="1:159" x14ac:dyDescent="0.3">
      <c r="A241" s="276">
        <v>82</v>
      </c>
      <c r="B241" s="277" t="s">
        <v>1355</v>
      </c>
      <c r="C241" s="277"/>
      <c r="D241" s="119">
        <v>1</v>
      </c>
      <c r="E241" s="119"/>
      <c r="F241" s="128"/>
      <c r="G241" s="128"/>
      <c r="I241" s="276">
        <v>96</v>
      </c>
      <c r="J241" s="277" t="s">
        <v>185</v>
      </c>
      <c r="K241" s="277"/>
      <c r="L241" s="119"/>
      <c r="M241" s="119">
        <v>2</v>
      </c>
      <c r="N241" s="119"/>
      <c r="O241" s="119"/>
      <c r="Q241" s="276">
        <v>23</v>
      </c>
      <c r="R241" s="277" t="s">
        <v>1076</v>
      </c>
      <c r="S241" s="277"/>
      <c r="T241" s="119"/>
      <c r="U241" s="119"/>
      <c r="V241" s="119"/>
      <c r="W241" s="119"/>
      <c r="Y241" s="276">
        <v>23</v>
      </c>
      <c r="Z241" s="277" t="s">
        <v>1076</v>
      </c>
      <c r="AA241" s="277"/>
      <c r="AB241" s="119"/>
      <c r="AC241" s="119"/>
      <c r="AD241" s="119"/>
      <c r="AE241" s="119"/>
    </row>
    <row r="242" spans="1:159" x14ac:dyDescent="0.3">
      <c r="A242" s="293">
        <v>96</v>
      </c>
      <c r="B242" s="294" t="s">
        <v>185</v>
      </c>
      <c r="C242" s="294"/>
      <c r="D242" s="230">
        <v>3</v>
      </c>
      <c r="E242" s="230">
        <v>1</v>
      </c>
      <c r="F242" s="304"/>
      <c r="G242" s="304"/>
      <c r="Q242" s="301">
        <v>25</v>
      </c>
      <c r="R242" s="302" t="s">
        <v>1164</v>
      </c>
      <c r="S242" s="302"/>
      <c r="T242" s="229"/>
      <c r="U242" s="229"/>
      <c r="V242" s="229"/>
      <c r="W242" s="229"/>
      <c r="Y242" s="301">
        <v>25</v>
      </c>
      <c r="Z242" s="302" t="s">
        <v>1164</v>
      </c>
      <c r="AA242" s="302"/>
      <c r="AB242" s="229"/>
      <c r="AC242" s="229"/>
      <c r="AD242" s="229"/>
      <c r="AE242" s="229"/>
    </row>
    <row r="243" spans="1:159" x14ac:dyDescent="0.3">
      <c r="A243" s="292"/>
      <c r="B243" s="292"/>
      <c r="C243" s="292"/>
      <c r="D243" s="307"/>
      <c r="E243" s="307"/>
      <c r="F243" s="307"/>
      <c r="G243" s="307"/>
      <c r="Q243" s="276">
        <v>50</v>
      </c>
      <c r="R243" s="277" t="s">
        <v>680</v>
      </c>
      <c r="S243" s="305"/>
      <c r="T243" s="119"/>
      <c r="U243" s="119"/>
      <c r="V243" s="119"/>
      <c r="W243" s="119"/>
      <c r="Y243" s="276">
        <v>50</v>
      </c>
      <c r="Z243" s="277" t="s">
        <v>680</v>
      </c>
      <c r="AA243" s="305"/>
      <c r="AB243" s="119"/>
      <c r="AC243" s="119"/>
      <c r="AD243" s="119"/>
      <c r="AE243" s="119"/>
    </row>
    <row r="244" spans="1:159" x14ac:dyDescent="0.3">
      <c r="Q244" s="293">
        <v>55</v>
      </c>
      <c r="R244" s="294" t="s">
        <v>942</v>
      </c>
      <c r="S244" s="306"/>
      <c r="T244" s="229"/>
      <c r="U244" s="229"/>
      <c r="V244" s="229"/>
      <c r="W244" s="229"/>
      <c r="Y244" s="293">
        <v>55</v>
      </c>
      <c r="Z244" s="294" t="s">
        <v>942</v>
      </c>
      <c r="AA244" s="306"/>
      <c r="AB244" s="229"/>
      <c r="AC244" s="229"/>
      <c r="AD244" s="229"/>
      <c r="AE244" s="229"/>
    </row>
    <row r="245" spans="1:159" x14ac:dyDescent="0.3">
      <c r="Q245" s="295">
        <v>66</v>
      </c>
      <c r="R245" s="296" t="s">
        <v>1165</v>
      </c>
      <c r="S245" s="296"/>
      <c r="T245" s="119"/>
      <c r="U245" s="119"/>
      <c r="V245" s="119"/>
      <c r="W245" s="119"/>
      <c r="Y245" s="295">
        <v>66</v>
      </c>
      <c r="Z245" s="296" t="s">
        <v>1165</v>
      </c>
      <c r="AA245" s="296"/>
      <c r="AB245" s="119"/>
      <c r="AC245" s="119"/>
      <c r="AD245" s="119"/>
      <c r="AE245" s="119"/>
    </row>
    <row r="246" spans="1:159" x14ac:dyDescent="0.3">
      <c r="Q246" s="299">
        <v>75</v>
      </c>
      <c r="R246" s="273" t="s">
        <v>55</v>
      </c>
      <c r="S246" s="273"/>
      <c r="T246" s="303"/>
      <c r="U246" s="303"/>
      <c r="V246" s="303"/>
      <c r="W246" s="303"/>
      <c r="Y246" s="299">
        <v>75</v>
      </c>
      <c r="Z246" s="273" t="s">
        <v>55</v>
      </c>
      <c r="AA246" s="273"/>
      <c r="AB246" s="303"/>
      <c r="AC246" s="303"/>
      <c r="AD246" s="303"/>
      <c r="AE246" s="303"/>
    </row>
    <row r="247" spans="1:159" x14ac:dyDescent="0.3">
      <c r="Q247" s="276">
        <v>76</v>
      </c>
      <c r="R247" s="277" t="s">
        <v>1172</v>
      </c>
      <c r="S247" s="277"/>
      <c r="T247" s="119"/>
      <c r="U247" s="119"/>
      <c r="V247" s="128"/>
      <c r="W247" s="128"/>
      <c r="Y247" s="276">
        <v>76</v>
      </c>
      <c r="Z247" s="277" t="s">
        <v>1172</v>
      </c>
      <c r="AA247" s="277"/>
      <c r="AB247" s="119"/>
      <c r="AC247" s="119"/>
      <c r="AD247" s="128"/>
      <c r="AE247" s="128"/>
    </row>
    <row r="248" spans="1:159" x14ac:dyDescent="0.3">
      <c r="Q248" s="293">
        <v>82</v>
      </c>
      <c r="R248" s="294" t="s">
        <v>47</v>
      </c>
      <c r="S248" s="294"/>
      <c r="T248" s="304"/>
      <c r="U248" s="304"/>
      <c r="V248" s="304"/>
      <c r="W248" s="304"/>
      <c r="Y248" s="293">
        <v>82</v>
      </c>
      <c r="Z248" s="294" t="s">
        <v>47</v>
      </c>
      <c r="AA248" s="294"/>
      <c r="AB248" s="304"/>
      <c r="AC248" s="304"/>
      <c r="AD248" s="304"/>
      <c r="AE248" s="304"/>
    </row>
    <row r="249" spans="1:159" x14ac:dyDescent="0.3">
      <c r="Q249" s="276">
        <v>96</v>
      </c>
      <c r="R249" s="277" t="s">
        <v>185</v>
      </c>
      <c r="S249" s="277"/>
      <c r="T249" s="119"/>
      <c r="U249" s="119"/>
      <c r="V249" s="119"/>
      <c r="W249" s="119"/>
      <c r="Y249" s="276">
        <v>96</v>
      </c>
      <c r="Z249" s="277" t="s">
        <v>185</v>
      </c>
      <c r="AA249" s="277"/>
      <c r="AB249" s="119"/>
      <c r="AC249" s="119"/>
      <c r="AD249" s="119"/>
      <c r="AE249" s="119"/>
    </row>
    <row r="256" spans="1:159" x14ac:dyDescent="0.3">
      <c r="D256" s="265" t="s">
        <v>533</v>
      </c>
      <c r="E256" s="265" t="s">
        <v>534</v>
      </c>
      <c r="F256" s="265" t="s">
        <v>610</v>
      </c>
      <c r="G256" s="265" t="s">
        <v>535</v>
      </c>
      <c r="L256" s="265" t="s">
        <v>533</v>
      </c>
      <c r="M256" s="265" t="s">
        <v>534</v>
      </c>
      <c r="N256" s="265" t="s">
        <v>610</v>
      </c>
      <c r="O256" s="265" t="s">
        <v>535</v>
      </c>
      <c r="T256" s="265" t="s">
        <v>533</v>
      </c>
      <c r="U256" s="265" t="s">
        <v>534</v>
      </c>
      <c r="V256" s="265" t="s">
        <v>610</v>
      </c>
      <c r="W256" s="265" t="s">
        <v>535</v>
      </c>
      <c r="AB256" s="265" t="s">
        <v>533</v>
      </c>
      <c r="AC256" s="265" t="s">
        <v>534</v>
      </c>
      <c r="AD256" s="265" t="s">
        <v>610</v>
      </c>
      <c r="AE256" s="265" t="s">
        <v>535</v>
      </c>
      <c r="AJ256" s="265" t="s">
        <v>533</v>
      </c>
      <c r="AK256" s="265" t="s">
        <v>534</v>
      </c>
      <c r="AL256" s="265" t="s">
        <v>610</v>
      </c>
      <c r="AM256" s="265" t="s">
        <v>535</v>
      </c>
      <c r="AR256" s="265" t="s">
        <v>533</v>
      </c>
      <c r="AS256" s="265" t="s">
        <v>534</v>
      </c>
      <c r="AT256" s="265" t="s">
        <v>610</v>
      </c>
      <c r="AU256" s="265" t="s">
        <v>535</v>
      </c>
      <c r="AZ256" s="265" t="s">
        <v>533</v>
      </c>
      <c r="BA256" s="265" t="s">
        <v>534</v>
      </c>
      <c r="BB256" s="265" t="s">
        <v>610</v>
      </c>
      <c r="BC256" s="265" t="s">
        <v>535</v>
      </c>
      <c r="BH256" s="265" t="s">
        <v>533</v>
      </c>
      <c r="BI256" s="265" t="s">
        <v>534</v>
      </c>
      <c r="BJ256" s="265" t="s">
        <v>610</v>
      </c>
      <c r="BK256" s="265" t="s">
        <v>535</v>
      </c>
      <c r="BP256" s="265" t="s">
        <v>533</v>
      </c>
      <c r="BQ256" s="265" t="s">
        <v>534</v>
      </c>
      <c r="BR256" s="265" t="s">
        <v>610</v>
      </c>
      <c r="BS256" s="265" t="s">
        <v>535</v>
      </c>
      <c r="BX256" s="265" t="s">
        <v>533</v>
      </c>
      <c r="BY256" s="265" t="s">
        <v>534</v>
      </c>
      <c r="BZ256" s="265" t="s">
        <v>610</v>
      </c>
      <c r="CA256" s="265" t="s">
        <v>535</v>
      </c>
      <c r="CF256" s="265" t="s">
        <v>533</v>
      </c>
      <c r="CG256" s="265" t="s">
        <v>534</v>
      </c>
      <c r="CH256" s="265" t="s">
        <v>610</v>
      </c>
      <c r="CI256" s="265" t="s">
        <v>535</v>
      </c>
      <c r="CN256" s="265" t="s">
        <v>533</v>
      </c>
      <c r="CO256" s="265" t="s">
        <v>534</v>
      </c>
      <c r="CP256" s="265" t="s">
        <v>610</v>
      </c>
      <c r="CQ256" s="265" t="s">
        <v>535</v>
      </c>
      <c r="CV256" s="265" t="s">
        <v>533</v>
      </c>
      <c r="CW256" s="265" t="s">
        <v>534</v>
      </c>
      <c r="CX256" s="265" t="s">
        <v>610</v>
      </c>
      <c r="CY256" s="265" t="s">
        <v>535</v>
      </c>
      <c r="DD256" s="265" t="s">
        <v>533</v>
      </c>
      <c r="DE256" s="265" t="s">
        <v>534</v>
      </c>
      <c r="DF256" s="265" t="s">
        <v>610</v>
      </c>
      <c r="DG256" s="265" t="s">
        <v>535</v>
      </c>
      <c r="DL256" s="265" t="s">
        <v>533</v>
      </c>
      <c r="DM256" s="265" t="s">
        <v>534</v>
      </c>
      <c r="DN256" s="265" t="s">
        <v>610</v>
      </c>
      <c r="DO256" s="265" t="s">
        <v>535</v>
      </c>
      <c r="DT256" s="265" t="s">
        <v>533</v>
      </c>
      <c r="DU256" s="265" t="s">
        <v>534</v>
      </c>
      <c r="DV256" s="265" t="s">
        <v>610</v>
      </c>
      <c r="DW256" s="265" t="s">
        <v>535</v>
      </c>
      <c r="EB256" s="265" t="s">
        <v>533</v>
      </c>
      <c r="EC256" s="265" t="s">
        <v>534</v>
      </c>
      <c r="ED256" s="265" t="s">
        <v>610</v>
      </c>
      <c r="EE256" s="265" t="s">
        <v>535</v>
      </c>
      <c r="EJ256" s="265" t="s">
        <v>533</v>
      </c>
      <c r="EK256" s="265" t="s">
        <v>534</v>
      </c>
      <c r="EL256" s="265" t="s">
        <v>610</v>
      </c>
      <c r="EM256" s="265" t="s">
        <v>535</v>
      </c>
      <c r="ER256" s="265" t="s">
        <v>533</v>
      </c>
      <c r="ES256" s="265" t="s">
        <v>534</v>
      </c>
      <c r="ET256" s="265" t="s">
        <v>610</v>
      </c>
      <c r="EU256" s="265" t="s">
        <v>535</v>
      </c>
      <c r="EZ256" s="265" t="s">
        <v>533</v>
      </c>
      <c r="FA256" s="265" t="s">
        <v>534</v>
      </c>
      <c r="FB256" s="265" t="s">
        <v>610</v>
      </c>
      <c r="FC256" s="265" t="s">
        <v>535</v>
      </c>
    </row>
    <row r="257" spans="1:159" x14ac:dyDescent="0.3">
      <c r="A257" s="276">
        <v>1</v>
      </c>
      <c r="B257" s="277" t="s">
        <v>941</v>
      </c>
      <c r="C257" s="277"/>
      <c r="D257" s="119"/>
      <c r="E257" s="119"/>
      <c r="F257" s="119"/>
      <c r="G257" s="119"/>
      <c r="I257" s="276">
        <v>1</v>
      </c>
      <c r="J257" s="277" t="s">
        <v>941</v>
      </c>
      <c r="K257" s="277"/>
      <c r="L257" s="119"/>
      <c r="M257" s="119"/>
      <c r="N257" s="119"/>
      <c r="O257" s="119"/>
      <c r="Q257" s="276">
        <v>1</v>
      </c>
      <c r="R257" s="277" t="s">
        <v>941</v>
      </c>
      <c r="S257" s="277"/>
      <c r="T257" s="119"/>
      <c r="U257" s="119"/>
      <c r="V257" s="119"/>
      <c r="W257" s="119"/>
      <c r="Y257" s="276">
        <v>1</v>
      </c>
      <c r="Z257" s="277" t="s">
        <v>941</v>
      </c>
      <c r="AA257" s="277"/>
      <c r="AB257" s="119"/>
      <c r="AC257" s="119"/>
      <c r="AD257" s="119"/>
      <c r="AE257" s="119"/>
      <c r="AG257" s="276">
        <v>1</v>
      </c>
      <c r="AH257" s="277" t="s">
        <v>941</v>
      </c>
      <c r="AI257" s="277"/>
      <c r="AJ257" s="119"/>
      <c r="AK257" s="119"/>
      <c r="AL257" s="119"/>
      <c r="AM257" s="119"/>
      <c r="AO257" s="276">
        <v>1</v>
      </c>
      <c r="AP257" s="277" t="s">
        <v>941</v>
      </c>
      <c r="AQ257" s="277"/>
      <c r="AR257" s="119"/>
      <c r="AS257" s="119"/>
      <c r="AT257" s="119"/>
      <c r="AU257" s="119"/>
      <c r="AW257" s="276">
        <v>1</v>
      </c>
      <c r="AX257" s="277" t="s">
        <v>941</v>
      </c>
      <c r="AY257" s="277"/>
      <c r="AZ257" s="119"/>
      <c r="BA257" s="119"/>
      <c r="BB257" s="119"/>
      <c r="BC257" s="119"/>
      <c r="BE257" s="276">
        <v>1</v>
      </c>
      <c r="BF257" s="277" t="s">
        <v>941</v>
      </c>
      <c r="BG257" s="277"/>
      <c r="BH257" s="119"/>
      <c r="BI257" s="119"/>
      <c r="BJ257" s="119"/>
      <c r="BK257" s="119"/>
      <c r="BM257" s="276">
        <v>1</v>
      </c>
      <c r="BN257" s="277" t="s">
        <v>941</v>
      </c>
      <c r="BO257" s="277"/>
      <c r="BP257" s="119"/>
      <c r="BQ257" s="119"/>
      <c r="BR257" s="119"/>
      <c r="BS257" s="119"/>
      <c r="BU257" s="276">
        <v>1</v>
      </c>
      <c r="BV257" s="277" t="s">
        <v>941</v>
      </c>
      <c r="BW257" s="277"/>
      <c r="BX257" s="119"/>
      <c r="BY257" s="119"/>
      <c r="BZ257" s="119"/>
      <c r="CA257" s="119"/>
      <c r="CC257" s="276">
        <v>1</v>
      </c>
      <c r="CD257" s="277" t="s">
        <v>941</v>
      </c>
      <c r="CE257" s="277"/>
      <c r="CF257" s="119"/>
      <c r="CG257" s="119"/>
      <c r="CH257" s="119"/>
      <c r="CI257" s="119"/>
      <c r="CK257" s="276">
        <v>1</v>
      </c>
      <c r="CL257" s="277" t="s">
        <v>941</v>
      </c>
      <c r="CM257" s="277"/>
      <c r="CN257" s="119"/>
      <c r="CO257" s="119"/>
      <c r="CP257" s="119"/>
      <c r="CQ257" s="119"/>
      <c r="CS257" s="278">
        <v>1</v>
      </c>
      <c r="CT257" s="279" t="s">
        <v>941</v>
      </c>
      <c r="CU257" s="279"/>
      <c r="CV257" s="229"/>
      <c r="CW257" s="229"/>
      <c r="CX257" s="229"/>
      <c r="CY257" s="229"/>
      <c r="DA257" s="276">
        <v>1</v>
      </c>
      <c r="DB257" s="277" t="s">
        <v>941</v>
      </c>
      <c r="DC257" s="277"/>
      <c r="DD257" s="119"/>
      <c r="DE257" s="119"/>
      <c r="DF257" s="119"/>
      <c r="DG257" s="119"/>
      <c r="DI257" s="278">
        <v>1</v>
      </c>
      <c r="DJ257" s="279" t="s">
        <v>941</v>
      </c>
      <c r="DK257" s="279"/>
      <c r="DL257" s="229"/>
      <c r="DM257" s="229"/>
      <c r="DN257" s="229"/>
      <c r="DO257" s="229"/>
      <c r="DQ257" s="276">
        <v>1</v>
      </c>
      <c r="DR257" s="277" t="s">
        <v>941</v>
      </c>
      <c r="DS257" s="277"/>
      <c r="DT257" s="119"/>
      <c r="DU257" s="119"/>
      <c r="DV257" s="119"/>
      <c r="DW257" s="119"/>
      <c r="DY257" s="278">
        <v>1</v>
      </c>
      <c r="DZ257" s="279" t="s">
        <v>941</v>
      </c>
      <c r="EA257" s="279"/>
      <c r="EB257" s="229"/>
      <c r="EC257" s="229"/>
      <c r="ED257" s="229"/>
      <c r="EE257" s="229"/>
      <c r="EG257" s="278">
        <v>1</v>
      </c>
      <c r="EH257" s="279" t="s">
        <v>941</v>
      </c>
      <c r="EI257" s="279"/>
      <c r="EJ257" s="229"/>
      <c r="EK257" s="229"/>
      <c r="EL257" s="229"/>
      <c r="EM257" s="229"/>
      <c r="EO257" s="278">
        <v>1</v>
      </c>
      <c r="EP257" s="279" t="s">
        <v>941</v>
      </c>
      <c r="EQ257" s="279"/>
      <c r="ER257" s="229"/>
      <c r="ES257" s="229"/>
      <c r="ET257" s="229"/>
      <c r="EU257" s="229"/>
      <c r="EW257" s="278">
        <v>1</v>
      </c>
      <c r="EX257" s="279" t="s">
        <v>941</v>
      </c>
      <c r="EY257" s="279"/>
      <c r="EZ257" s="229"/>
      <c r="FA257" s="229"/>
      <c r="FB257" s="229"/>
      <c r="FC257" s="229"/>
    </row>
    <row r="258" spans="1:159" x14ac:dyDescent="0.3">
      <c r="A258" s="278">
        <v>4</v>
      </c>
      <c r="B258" s="279" t="s">
        <v>530</v>
      </c>
      <c r="C258" s="279"/>
      <c r="D258" s="229"/>
      <c r="E258" s="229"/>
      <c r="F258" s="229"/>
      <c r="G258" s="229"/>
      <c r="I258" s="278">
        <v>4</v>
      </c>
      <c r="J258" s="279" t="s">
        <v>530</v>
      </c>
      <c r="K258" s="279"/>
      <c r="L258" s="229"/>
      <c r="M258" s="229"/>
      <c r="N258" s="229"/>
      <c r="O258" s="229"/>
      <c r="Q258" s="278">
        <v>4</v>
      </c>
      <c r="R258" s="279" t="s">
        <v>530</v>
      </c>
      <c r="S258" s="279"/>
      <c r="T258" s="229"/>
      <c r="U258" s="229"/>
      <c r="V258" s="229"/>
      <c r="W258" s="229"/>
      <c r="Y258" s="278">
        <v>4</v>
      </c>
      <c r="Z258" s="279" t="s">
        <v>530</v>
      </c>
      <c r="AA258" s="279"/>
      <c r="AB258" s="229"/>
      <c r="AC258" s="229"/>
      <c r="AD258" s="229"/>
      <c r="AE258" s="229"/>
      <c r="AG258" s="278">
        <v>4</v>
      </c>
      <c r="AH258" s="279" t="s">
        <v>530</v>
      </c>
      <c r="AI258" s="279"/>
      <c r="AJ258" s="229"/>
      <c r="AK258" s="229">
        <v>1</v>
      </c>
      <c r="AL258" s="229"/>
      <c r="AM258" s="229"/>
      <c r="AO258" s="278">
        <v>4</v>
      </c>
      <c r="AP258" s="279" t="s">
        <v>530</v>
      </c>
      <c r="AQ258" s="279"/>
      <c r="AR258" s="229"/>
      <c r="AS258" s="229">
        <v>1</v>
      </c>
      <c r="AT258" s="229"/>
      <c r="AU258" s="229"/>
      <c r="AW258" s="278">
        <v>4</v>
      </c>
      <c r="AX258" s="279" t="s">
        <v>530</v>
      </c>
      <c r="AY258" s="279"/>
      <c r="AZ258" s="229"/>
      <c r="BA258" s="229"/>
      <c r="BB258" s="229"/>
      <c r="BC258" s="229"/>
      <c r="BE258" s="278">
        <v>4</v>
      </c>
      <c r="BF258" s="279" t="s">
        <v>530</v>
      </c>
      <c r="BG258" s="279"/>
      <c r="BH258" s="229"/>
      <c r="BI258" s="229"/>
      <c r="BJ258" s="229"/>
      <c r="BK258" s="229"/>
      <c r="BM258" s="278">
        <v>4</v>
      </c>
      <c r="BN258" s="279" t="s">
        <v>530</v>
      </c>
      <c r="BO258" s="279"/>
      <c r="BP258" s="229"/>
      <c r="BQ258" s="229"/>
      <c r="BR258" s="229"/>
      <c r="BS258" s="229"/>
      <c r="BU258" s="278">
        <v>4</v>
      </c>
      <c r="BV258" s="279" t="s">
        <v>530</v>
      </c>
      <c r="BW258" s="279"/>
      <c r="BX258" s="229"/>
      <c r="BY258" s="229"/>
      <c r="BZ258" s="229"/>
      <c r="CA258" s="229"/>
      <c r="CC258" s="278">
        <v>4</v>
      </c>
      <c r="CD258" s="279" t="s">
        <v>530</v>
      </c>
      <c r="CE258" s="279"/>
      <c r="CF258" s="229"/>
      <c r="CG258" s="229"/>
      <c r="CH258" s="229"/>
      <c r="CI258" s="229"/>
      <c r="CK258" s="278">
        <v>4</v>
      </c>
      <c r="CL258" s="279" t="s">
        <v>530</v>
      </c>
      <c r="CM258" s="279"/>
      <c r="CN258" s="229"/>
      <c r="CO258" s="229"/>
      <c r="CP258" s="229"/>
      <c r="CQ258" s="229"/>
      <c r="CS258" s="276">
        <v>3</v>
      </c>
      <c r="CT258" t="s">
        <v>54</v>
      </c>
      <c r="CV258" s="128"/>
      <c r="CW258" s="128"/>
      <c r="CX258" s="128"/>
      <c r="CY258" s="128"/>
      <c r="DA258" s="278">
        <v>4</v>
      </c>
      <c r="DB258" s="279" t="s">
        <v>530</v>
      </c>
      <c r="DC258" s="279"/>
      <c r="DD258" s="229"/>
      <c r="DE258" s="229"/>
      <c r="DF258" s="229"/>
      <c r="DG258" s="229"/>
      <c r="DI258" s="276">
        <v>3</v>
      </c>
      <c r="DJ258" t="s">
        <v>54</v>
      </c>
      <c r="DL258" s="128"/>
      <c r="DM258" s="119">
        <v>1</v>
      </c>
      <c r="DN258" s="128"/>
      <c r="DO258" s="128"/>
      <c r="DQ258" s="278">
        <v>4</v>
      </c>
      <c r="DR258" s="279" t="s">
        <v>530</v>
      </c>
      <c r="DS258" s="279"/>
      <c r="DT258" s="229"/>
      <c r="DU258" s="229"/>
      <c r="DV258" s="229"/>
      <c r="DW258" s="229"/>
      <c r="DY258" s="276">
        <v>3</v>
      </c>
      <c r="DZ258" t="s">
        <v>54</v>
      </c>
      <c r="EB258" s="128"/>
      <c r="EC258" s="128"/>
      <c r="ED258" s="128"/>
      <c r="EE258" s="128"/>
      <c r="EG258" s="276">
        <v>4</v>
      </c>
      <c r="EH258" s="277" t="s">
        <v>530</v>
      </c>
      <c r="EI258" s="277"/>
      <c r="EJ258" s="119">
        <v>1</v>
      </c>
      <c r="EK258" s="119"/>
      <c r="EL258" s="119"/>
      <c r="EM258" s="119"/>
      <c r="EO258" s="276">
        <v>3</v>
      </c>
      <c r="EP258" t="s">
        <v>54</v>
      </c>
      <c r="ER258" s="128"/>
      <c r="ES258" s="119"/>
      <c r="ET258" s="128"/>
      <c r="EU258" s="128"/>
      <c r="EW258" s="276">
        <v>3</v>
      </c>
      <c r="EX258" t="s">
        <v>54</v>
      </c>
      <c r="EZ258" s="128"/>
      <c r="FA258" s="119"/>
      <c r="FB258" s="128"/>
      <c r="FC258" s="128"/>
    </row>
    <row r="259" spans="1:159" x14ac:dyDescent="0.3">
      <c r="A259" s="276">
        <v>9</v>
      </c>
      <c r="B259" s="277" t="s">
        <v>1077</v>
      </c>
      <c r="C259" s="277"/>
      <c r="D259" s="119"/>
      <c r="E259" s="119"/>
      <c r="F259" s="119"/>
      <c r="G259" s="119"/>
      <c r="I259" s="276">
        <v>9</v>
      </c>
      <c r="J259" s="277" t="s">
        <v>1077</v>
      </c>
      <c r="K259" s="277"/>
      <c r="L259" s="119"/>
      <c r="M259" s="119"/>
      <c r="N259" s="119"/>
      <c r="O259" s="119"/>
      <c r="Q259" s="276">
        <v>9</v>
      </c>
      <c r="R259" s="277" t="s">
        <v>1077</v>
      </c>
      <c r="S259" s="277"/>
      <c r="T259" s="119">
        <v>2</v>
      </c>
      <c r="U259" s="119"/>
      <c r="V259" s="119"/>
      <c r="W259" s="119"/>
      <c r="Y259" s="276">
        <v>9</v>
      </c>
      <c r="Z259" s="277" t="s">
        <v>1077</v>
      </c>
      <c r="AA259" s="277"/>
      <c r="AB259" s="119"/>
      <c r="AC259" s="119"/>
      <c r="AD259" s="119"/>
      <c r="AE259" s="119"/>
      <c r="AG259" s="276">
        <v>9</v>
      </c>
      <c r="AH259" s="277" t="s">
        <v>1077</v>
      </c>
      <c r="AI259" s="277"/>
      <c r="AJ259" s="119">
        <v>1</v>
      </c>
      <c r="AK259" s="119"/>
      <c r="AL259" s="119"/>
      <c r="AM259" s="119"/>
      <c r="AO259" s="276">
        <v>9</v>
      </c>
      <c r="AP259" s="277" t="s">
        <v>1077</v>
      </c>
      <c r="AQ259" s="277"/>
      <c r="AR259" s="119"/>
      <c r="AS259" s="119"/>
      <c r="AT259" s="119"/>
      <c r="AU259" s="119"/>
      <c r="AW259" s="276">
        <v>9</v>
      </c>
      <c r="AX259" s="277" t="s">
        <v>1077</v>
      </c>
      <c r="AY259" s="277"/>
      <c r="AZ259" s="119">
        <v>1</v>
      </c>
      <c r="BA259" s="119"/>
      <c r="BB259" s="119"/>
      <c r="BC259" s="119"/>
      <c r="BE259" s="276">
        <v>9</v>
      </c>
      <c r="BF259" s="277" t="s">
        <v>1077</v>
      </c>
      <c r="BG259" s="277"/>
      <c r="BH259" s="119"/>
      <c r="BI259" s="119">
        <v>1</v>
      </c>
      <c r="BJ259" s="119"/>
      <c r="BK259" s="119"/>
      <c r="BM259" s="276">
        <v>9</v>
      </c>
      <c r="BN259" s="277" t="s">
        <v>1077</v>
      </c>
      <c r="BO259" s="277"/>
      <c r="BP259" s="119"/>
      <c r="BQ259" s="119"/>
      <c r="BR259" s="119"/>
      <c r="BS259" s="119"/>
      <c r="BU259" s="276">
        <v>9</v>
      </c>
      <c r="BV259" s="277" t="s">
        <v>1077</v>
      </c>
      <c r="BW259" s="277"/>
      <c r="BX259" s="119"/>
      <c r="BY259" s="119"/>
      <c r="BZ259" s="119"/>
      <c r="CA259" s="119"/>
      <c r="CC259" s="276">
        <v>9</v>
      </c>
      <c r="CD259" s="277" t="s">
        <v>1077</v>
      </c>
      <c r="CE259" s="277"/>
      <c r="CF259" s="119"/>
      <c r="CG259" s="119"/>
      <c r="CH259" s="119"/>
      <c r="CI259" s="119"/>
      <c r="CK259" s="276">
        <v>9</v>
      </c>
      <c r="CL259" s="277" t="s">
        <v>1077</v>
      </c>
      <c r="CM259" s="277"/>
      <c r="CN259" s="119"/>
      <c r="CO259" s="119"/>
      <c r="CP259" s="119"/>
      <c r="CQ259" s="119"/>
      <c r="CS259" s="278">
        <v>4</v>
      </c>
      <c r="CT259" s="279" t="s">
        <v>530</v>
      </c>
      <c r="CU259" s="279"/>
      <c r="CV259" s="229">
        <v>1</v>
      </c>
      <c r="CW259" s="229"/>
      <c r="CX259" s="229"/>
      <c r="CY259" s="229"/>
      <c r="DA259" s="276">
        <v>9</v>
      </c>
      <c r="DB259" s="277" t="s">
        <v>1077</v>
      </c>
      <c r="DC259" s="277"/>
      <c r="DD259" s="119"/>
      <c r="DE259" s="119"/>
      <c r="DF259" s="119"/>
      <c r="DG259" s="119"/>
      <c r="DI259" s="278">
        <v>4</v>
      </c>
      <c r="DJ259" s="279" t="s">
        <v>530</v>
      </c>
      <c r="DK259" s="279"/>
      <c r="DL259" s="229"/>
      <c r="DM259" s="229"/>
      <c r="DN259" s="229"/>
      <c r="DO259" s="229"/>
      <c r="DQ259" s="276">
        <v>9</v>
      </c>
      <c r="DR259" s="277" t="s">
        <v>1077</v>
      </c>
      <c r="DS259" s="277"/>
      <c r="DT259" s="119"/>
      <c r="DU259" s="119"/>
      <c r="DV259" s="119"/>
      <c r="DW259" s="119"/>
      <c r="DY259" s="278">
        <v>4</v>
      </c>
      <c r="DZ259" s="279" t="s">
        <v>530</v>
      </c>
      <c r="EA259" s="279"/>
      <c r="EB259" s="229"/>
      <c r="EC259" s="229"/>
      <c r="ED259" s="229"/>
      <c r="EE259" s="229"/>
      <c r="EG259" s="278">
        <v>14</v>
      </c>
      <c r="EH259" s="279" t="s">
        <v>1075</v>
      </c>
      <c r="EI259" s="279"/>
      <c r="EJ259" s="229"/>
      <c r="EK259" s="229">
        <v>1</v>
      </c>
      <c r="EL259" s="229"/>
      <c r="EM259" s="229"/>
      <c r="EO259" s="278">
        <v>4</v>
      </c>
      <c r="EP259" s="279" t="s">
        <v>530</v>
      </c>
      <c r="EQ259" s="279"/>
      <c r="ER259" s="229"/>
      <c r="ES259" s="229"/>
      <c r="ET259" s="229"/>
      <c r="EU259" s="229"/>
      <c r="EW259" s="278">
        <v>4</v>
      </c>
      <c r="EX259" s="279" t="s">
        <v>530</v>
      </c>
      <c r="EY259" s="279"/>
      <c r="EZ259" s="229"/>
      <c r="FA259" s="229"/>
      <c r="FB259" s="229"/>
      <c r="FC259" s="229"/>
    </row>
    <row r="260" spans="1:159" x14ac:dyDescent="0.3">
      <c r="A260" s="278">
        <v>14</v>
      </c>
      <c r="B260" s="279" t="s">
        <v>1075</v>
      </c>
      <c r="C260" s="279"/>
      <c r="D260" s="229">
        <v>1</v>
      </c>
      <c r="E260" s="229"/>
      <c r="F260" s="229"/>
      <c r="G260" s="229"/>
      <c r="I260" s="278">
        <v>14</v>
      </c>
      <c r="J260" s="279" t="s">
        <v>1075</v>
      </c>
      <c r="K260" s="279"/>
      <c r="L260" s="229"/>
      <c r="M260" s="229">
        <v>1</v>
      </c>
      <c r="N260" s="229"/>
      <c r="O260" s="229">
        <v>4</v>
      </c>
      <c r="Q260" s="278">
        <v>14</v>
      </c>
      <c r="R260" s="279" t="s">
        <v>1075</v>
      </c>
      <c r="S260" s="279"/>
      <c r="T260" s="229">
        <v>1</v>
      </c>
      <c r="U260" s="229"/>
      <c r="V260" s="229"/>
      <c r="W260" s="229"/>
      <c r="Y260" s="278">
        <v>14</v>
      </c>
      <c r="Z260" s="279" t="s">
        <v>1075</v>
      </c>
      <c r="AA260" s="279"/>
      <c r="AB260" s="229"/>
      <c r="AC260" s="229"/>
      <c r="AD260" s="229"/>
      <c r="AE260" s="229"/>
      <c r="AG260" s="278">
        <v>14</v>
      </c>
      <c r="AH260" s="279" t="s">
        <v>1075</v>
      </c>
      <c r="AI260" s="279"/>
      <c r="AJ260" s="229">
        <v>1</v>
      </c>
      <c r="AK260" s="229"/>
      <c r="AL260" s="229"/>
      <c r="AM260" s="229">
        <v>2</v>
      </c>
      <c r="AO260" s="278">
        <v>14</v>
      </c>
      <c r="AP260" s="279" t="s">
        <v>1075</v>
      </c>
      <c r="AQ260" s="279"/>
      <c r="AR260" s="229"/>
      <c r="AS260" s="229"/>
      <c r="AT260" s="229"/>
      <c r="AU260" s="229">
        <v>2</v>
      </c>
      <c r="AW260" s="278">
        <v>14</v>
      </c>
      <c r="AX260" s="279" t="s">
        <v>1075</v>
      </c>
      <c r="AY260" s="279"/>
      <c r="AZ260" s="229"/>
      <c r="BA260" s="229"/>
      <c r="BB260" s="229"/>
      <c r="BC260" s="229"/>
      <c r="BE260" s="278">
        <v>14</v>
      </c>
      <c r="BF260" s="279" t="s">
        <v>1075</v>
      </c>
      <c r="BG260" s="279"/>
      <c r="BH260" s="229"/>
      <c r="BI260" s="229">
        <v>1</v>
      </c>
      <c r="BJ260" s="229"/>
      <c r="BK260" s="229"/>
      <c r="BM260" s="278">
        <v>14</v>
      </c>
      <c r="BN260" s="279" t="s">
        <v>1075</v>
      </c>
      <c r="BO260" s="279"/>
      <c r="BP260" s="229"/>
      <c r="BQ260" s="229"/>
      <c r="BR260" s="229"/>
      <c r="BS260" s="229"/>
      <c r="BU260" s="278">
        <v>14</v>
      </c>
      <c r="BV260" s="279" t="s">
        <v>1075</v>
      </c>
      <c r="BW260" s="279"/>
      <c r="BX260" s="229">
        <v>4</v>
      </c>
      <c r="BY260" s="229">
        <v>1</v>
      </c>
      <c r="BZ260" s="229"/>
      <c r="CA260" s="229"/>
      <c r="CC260" s="278">
        <v>14</v>
      </c>
      <c r="CD260" s="279" t="s">
        <v>1075</v>
      </c>
      <c r="CE260" s="279"/>
      <c r="CF260" s="229"/>
      <c r="CG260" s="229"/>
      <c r="CH260" s="229"/>
      <c r="CI260" s="229"/>
      <c r="CK260" s="278">
        <v>14</v>
      </c>
      <c r="CL260" s="279" t="s">
        <v>1075</v>
      </c>
      <c r="CM260" s="279"/>
      <c r="CN260" s="229">
        <v>1</v>
      </c>
      <c r="CO260" s="229"/>
      <c r="CP260" s="229"/>
      <c r="CQ260" s="229"/>
      <c r="CS260" s="276">
        <v>9</v>
      </c>
      <c r="CT260" s="277" t="s">
        <v>1077</v>
      </c>
      <c r="CU260" s="277"/>
      <c r="CV260" s="119"/>
      <c r="CW260" s="119"/>
      <c r="CX260" s="119"/>
      <c r="CY260" s="119"/>
      <c r="DA260" s="278">
        <v>14</v>
      </c>
      <c r="DB260" s="279" t="s">
        <v>1075</v>
      </c>
      <c r="DC260" s="279"/>
      <c r="DD260" s="229">
        <v>1</v>
      </c>
      <c r="DE260" s="229"/>
      <c r="DF260" s="229"/>
      <c r="DG260" s="229"/>
      <c r="DI260" s="276">
        <v>9</v>
      </c>
      <c r="DJ260" s="277" t="s">
        <v>1077</v>
      </c>
      <c r="DK260" s="277"/>
      <c r="DL260" s="119">
        <v>1</v>
      </c>
      <c r="DM260" s="119">
        <v>3</v>
      </c>
      <c r="DN260" s="119"/>
      <c r="DO260" s="119"/>
      <c r="DQ260" s="278">
        <v>14</v>
      </c>
      <c r="DR260" s="279" t="s">
        <v>1075</v>
      </c>
      <c r="DS260" s="279"/>
      <c r="DT260" s="229"/>
      <c r="DU260" s="229"/>
      <c r="DV260" s="229"/>
      <c r="DW260" s="229">
        <v>25</v>
      </c>
      <c r="DY260" s="276">
        <v>14</v>
      </c>
      <c r="DZ260" s="277" t="s">
        <v>1075</v>
      </c>
      <c r="EA260" s="277"/>
      <c r="EB260" s="119">
        <v>1</v>
      </c>
      <c r="EC260" s="119">
        <v>1</v>
      </c>
      <c r="ED260" s="119"/>
      <c r="EE260" s="119"/>
      <c r="EG260" s="276">
        <v>17</v>
      </c>
      <c r="EH260" s="277" t="s">
        <v>53</v>
      </c>
      <c r="EI260" s="277"/>
      <c r="EJ260" s="119"/>
      <c r="EK260" s="119"/>
      <c r="EL260" s="119"/>
      <c r="EM260" s="119"/>
      <c r="EO260" s="276">
        <v>9</v>
      </c>
      <c r="EP260" s="277" t="s">
        <v>1077</v>
      </c>
      <c r="EQ260" s="277"/>
      <c r="ER260" s="119"/>
      <c r="ES260" s="119"/>
      <c r="ET260" s="119"/>
      <c r="EU260" s="119"/>
      <c r="EW260" s="276">
        <v>9</v>
      </c>
      <c r="EX260" s="277" t="s">
        <v>1077</v>
      </c>
      <c r="EY260" s="277"/>
      <c r="EZ260" s="119"/>
      <c r="FA260" s="119"/>
      <c r="FB260" s="119"/>
      <c r="FC260" s="119"/>
    </row>
    <row r="261" spans="1:159" x14ac:dyDescent="0.3">
      <c r="A261" s="276">
        <v>17</v>
      </c>
      <c r="B261" s="277" t="s">
        <v>53</v>
      </c>
      <c r="C261" s="277"/>
      <c r="D261" s="119"/>
      <c r="E261" s="119"/>
      <c r="F261" s="119"/>
      <c r="G261" s="119">
        <v>2</v>
      </c>
      <c r="I261" s="276">
        <v>17</v>
      </c>
      <c r="J261" s="277" t="s">
        <v>53</v>
      </c>
      <c r="K261" s="277"/>
      <c r="L261" s="119"/>
      <c r="M261" s="119"/>
      <c r="N261" s="119"/>
      <c r="O261" s="119"/>
      <c r="Q261" s="276">
        <v>17</v>
      </c>
      <c r="R261" s="277" t="s">
        <v>53</v>
      </c>
      <c r="S261" s="277"/>
      <c r="T261" s="119"/>
      <c r="U261" s="119"/>
      <c r="V261" s="119"/>
      <c r="W261" s="119"/>
      <c r="Y261" s="276">
        <v>17</v>
      </c>
      <c r="Z261" s="277" t="s">
        <v>53</v>
      </c>
      <c r="AA261" s="277"/>
      <c r="AB261" s="119"/>
      <c r="AC261" s="119"/>
      <c r="AD261" s="119"/>
      <c r="AE261" s="119"/>
      <c r="AG261" s="276">
        <v>17</v>
      </c>
      <c r="AH261" s="277" t="s">
        <v>53</v>
      </c>
      <c r="AI261" s="277"/>
      <c r="AJ261" s="119"/>
      <c r="AK261" s="119"/>
      <c r="AL261" s="119"/>
      <c r="AM261" s="119"/>
      <c r="AO261" s="276">
        <v>17</v>
      </c>
      <c r="AP261" s="277" t="s">
        <v>53</v>
      </c>
      <c r="AQ261" s="277"/>
      <c r="AR261" s="119">
        <v>1</v>
      </c>
      <c r="AS261" s="119"/>
      <c r="AT261" s="119"/>
      <c r="AU261" s="119"/>
      <c r="AW261" s="276">
        <v>17</v>
      </c>
      <c r="AX261" s="277" t="s">
        <v>53</v>
      </c>
      <c r="AY261" s="277"/>
      <c r="AZ261" s="119"/>
      <c r="BA261" s="119">
        <v>1</v>
      </c>
      <c r="BB261" s="119"/>
      <c r="BC261" s="119"/>
      <c r="BE261" s="276">
        <v>17</v>
      </c>
      <c r="BF261" s="277" t="s">
        <v>53</v>
      </c>
      <c r="BG261" s="277"/>
      <c r="BH261" s="119"/>
      <c r="BI261" s="119"/>
      <c r="BJ261" s="119"/>
      <c r="BK261" s="119"/>
      <c r="BM261" s="276">
        <v>17</v>
      </c>
      <c r="BN261" s="277" t="s">
        <v>53</v>
      </c>
      <c r="BO261" s="277"/>
      <c r="BP261" s="119"/>
      <c r="BQ261" s="119"/>
      <c r="BR261" s="119"/>
      <c r="BS261" s="119"/>
      <c r="BU261" s="276">
        <v>17</v>
      </c>
      <c r="BV261" s="277" t="s">
        <v>53</v>
      </c>
      <c r="BW261" s="277"/>
      <c r="BX261" s="119">
        <v>1</v>
      </c>
      <c r="BY261" s="119"/>
      <c r="BZ261" s="119"/>
      <c r="CA261" s="119"/>
      <c r="CC261" s="276">
        <v>17</v>
      </c>
      <c r="CD261" s="277" t="s">
        <v>53</v>
      </c>
      <c r="CE261" s="277"/>
      <c r="CF261" s="119"/>
      <c r="CG261" s="119"/>
      <c r="CH261" s="119"/>
      <c r="CI261" s="119"/>
      <c r="CK261" s="276">
        <v>17</v>
      </c>
      <c r="CL261" s="277" t="s">
        <v>53</v>
      </c>
      <c r="CM261" s="277"/>
      <c r="CN261" s="119"/>
      <c r="CO261" s="119"/>
      <c r="CP261" s="119"/>
      <c r="CQ261" s="119"/>
      <c r="CS261" s="278">
        <v>14</v>
      </c>
      <c r="CT261" s="279" t="s">
        <v>1075</v>
      </c>
      <c r="CU261" s="279"/>
      <c r="CV261" s="229"/>
      <c r="CW261" s="229">
        <v>1</v>
      </c>
      <c r="CX261" s="229"/>
      <c r="CY261" s="229"/>
      <c r="DA261" s="276">
        <v>17</v>
      </c>
      <c r="DB261" s="277" t="s">
        <v>53</v>
      </c>
      <c r="DC261" s="277"/>
      <c r="DD261" s="119"/>
      <c r="DE261" s="119"/>
      <c r="DF261" s="119"/>
      <c r="DG261" s="119"/>
      <c r="DI261" s="278">
        <v>14</v>
      </c>
      <c r="DJ261" s="279" t="s">
        <v>1075</v>
      </c>
      <c r="DK261" s="279"/>
      <c r="DL261" s="229">
        <v>1</v>
      </c>
      <c r="DM261" s="229">
        <v>1</v>
      </c>
      <c r="DN261" s="229"/>
      <c r="DO261" s="229"/>
      <c r="DQ261" s="276">
        <v>17</v>
      </c>
      <c r="DR261" s="277" t="s">
        <v>53</v>
      </c>
      <c r="DS261" s="277"/>
      <c r="DT261" s="119"/>
      <c r="DU261" s="119">
        <v>1</v>
      </c>
      <c r="DV261" s="119"/>
      <c r="DW261" s="119"/>
      <c r="DY261" s="278">
        <v>17</v>
      </c>
      <c r="DZ261" s="279" t="s">
        <v>53</v>
      </c>
      <c r="EA261" s="279"/>
      <c r="EB261" s="229"/>
      <c r="EC261" s="229"/>
      <c r="ED261" s="229"/>
      <c r="EE261" s="229"/>
      <c r="EG261" s="278">
        <v>20</v>
      </c>
      <c r="EH261" s="279" t="s">
        <v>1124</v>
      </c>
      <c r="EI261" s="279"/>
      <c r="EJ261" s="229"/>
      <c r="EK261" s="229">
        <v>1</v>
      </c>
      <c r="EL261" s="229"/>
      <c r="EM261" s="229"/>
      <c r="EO261" s="278">
        <v>14</v>
      </c>
      <c r="EP261" s="279" t="s">
        <v>1075</v>
      </c>
      <c r="EQ261" s="279"/>
      <c r="ER261" s="229"/>
      <c r="ES261" s="229"/>
      <c r="ET261" s="229"/>
      <c r="EU261" s="229"/>
      <c r="EW261" s="278">
        <v>14</v>
      </c>
      <c r="EX261" s="279" t="s">
        <v>1075</v>
      </c>
      <c r="EY261" s="279"/>
      <c r="EZ261" s="229"/>
      <c r="FA261" s="229"/>
      <c r="FB261" s="229"/>
      <c r="FC261" s="229"/>
    </row>
    <row r="262" spans="1:159" x14ac:dyDescent="0.3">
      <c r="A262" s="278">
        <v>19</v>
      </c>
      <c r="B262" s="279" t="s">
        <v>1125</v>
      </c>
      <c r="C262" s="279"/>
      <c r="D262" s="229"/>
      <c r="E262" s="229"/>
      <c r="F262" s="229"/>
      <c r="G262" s="229"/>
      <c r="I262" s="278">
        <v>19</v>
      </c>
      <c r="J262" s="279" t="s">
        <v>1125</v>
      </c>
      <c r="K262" s="279"/>
      <c r="L262" s="229">
        <v>2</v>
      </c>
      <c r="M262" s="229"/>
      <c r="N262" s="229"/>
      <c r="O262" s="229"/>
      <c r="Q262" s="278">
        <v>19</v>
      </c>
      <c r="R262" s="279" t="s">
        <v>1125</v>
      </c>
      <c r="S262" s="279"/>
      <c r="T262" s="229">
        <v>1</v>
      </c>
      <c r="U262" s="229">
        <v>2</v>
      </c>
      <c r="V262" s="229"/>
      <c r="W262" s="229"/>
      <c r="Y262" s="278">
        <v>19</v>
      </c>
      <c r="Z262" s="279" t="s">
        <v>1125</v>
      </c>
      <c r="AA262" s="279"/>
      <c r="AB262" s="229"/>
      <c r="AC262" s="229"/>
      <c r="AD262" s="229"/>
      <c r="AE262" s="229"/>
      <c r="AG262" s="278">
        <v>19</v>
      </c>
      <c r="AH262" s="279" t="s">
        <v>1125</v>
      </c>
      <c r="AI262" s="279"/>
      <c r="AJ262" s="229">
        <v>3</v>
      </c>
      <c r="AK262" s="229"/>
      <c r="AL262" s="229"/>
      <c r="AM262" s="229"/>
      <c r="AO262" s="278">
        <v>19</v>
      </c>
      <c r="AP262" s="279" t="s">
        <v>1125</v>
      </c>
      <c r="AQ262" s="279"/>
      <c r="AR262" s="229">
        <v>3</v>
      </c>
      <c r="AS262" s="229">
        <v>2</v>
      </c>
      <c r="AT262" s="229"/>
      <c r="AU262" s="229"/>
      <c r="AW262" s="278">
        <v>19</v>
      </c>
      <c r="AX262" s="279" t="s">
        <v>1125</v>
      </c>
      <c r="AY262" s="279"/>
      <c r="AZ262" s="229"/>
      <c r="BA262" s="229">
        <v>1</v>
      </c>
      <c r="BB262" s="229"/>
      <c r="BC262" s="229"/>
      <c r="BE262" s="278">
        <v>19</v>
      </c>
      <c r="BF262" s="279" t="s">
        <v>1125</v>
      </c>
      <c r="BG262" s="279"/>
      <c r="BH262" s="229">
        <v>1</v>
      </c>
      <c r="BI262" s="229"/>
      <c r="BJ262" s="229"/>
      <c r="BK262" s="229"/>
      <c r="BM262" s="278">
        <v>19</v>
      </c>
      <c r="BN262" s="279" t="s">
        <v>1125</v>
      </c>
      <c r="BO262" s="279"/>
      <c r="BP262" s="229"/>
      <c r="BQ262" s="229"/>
      <c r="BR262" s="229"/>
      <c r="BS262" s="229"/>
      <c r="BU262" s="278">
        <v>19</v>
      </c>
      <c r="BV262" s="279" t="s">
        <v>1125</v>
      </c>
      <c r="BW262" s="279"/>
      <c r="BX262" s="229">
        <v>1</v>
      </c>
      <c r="BY262" s="229">
        <v>1</v>
      </c>
      <c r="BZ262" s="229"/>
      <c r="CA262" s="229"/>
      <c r="CC262" s="278">
        <v>19</v>
      </c>
      <c r="CD262" s="279" t="s">
        <v>1125</v>
      </c>
      <c r="CE262" s="279"/>
      <c r="CF262" s="229"/>
      <c r="CG262" s="229"/>
      <c r="CH262" s="229"/>
      <c r="CI262" s="229"/>
      <c r="CK262" s="278">
        <v>19</v>
      </c>
      <c r="CL262" s="279" t="s">
        <v>1125</v>
      </c>
      <c r="CM262" s="279"/>
      <c r="CN262" s="229"/>
      <c r="CO262" s="229"/>
      <c r="CP262" s="229"/>
      <c r="CQ262" s="229">
        <v>2</v>
      </c>
      <c r="CS262" s="276">
        <v>17</v>
      </c>
      <c r="CT262" s="277" t="s">
        <v>53</v>
      </c>
      <c r="CU262" s="277"/>
      <c r="CV262" s="119"/>
      <c r="CW262" s="119"/>
      <c r="CX262" s="119"/>
      <c r="CY262" s="119"/>
      <c r="DA262" s="278">
        <v>19</v>
      </c>
      <c r="DB262" s="279" t="s">
        <v>1125</v>
      </c>
      <c r="DC262" s="279"/>
      <c r="DD262" s="229">
        <v>1</v>
      </c>
      <c r="DE262" s="229"/>
      <c r="DF262" s="229"/>
      <c r="DG262" s="229"/>
      <c r="DI262" s="276">
        <v>17</v>
      </c>
      <c r="DJ262" s="277" t="s">
        <v>53</v>
      </c>
      <c r="DK262" s="277"/>
      <c r="DL262" s="119"/>
      <c r="DM262" s="119"/>
      <c r="DN262" s="119"/>
      <c r="DO262" s="119"/>
      <c r="DQ262" s="278">
        <v>20</v>
      </c>
      <c r="DR262" s="279" t="s">
        <v>1124</v>
      </c>
      <c r="DS262" s="279"/>
      <c r="DT262" s="229"/>
      <c r="DU262" s="229"/>
      <c r="DV262" s="229"/>
      <c r="DW262" s="229"/>
      <c r="DY262" s="276">
        <v>20</v>
      </c>
      <c r="DZ262" s="277" t="s">
        <v>1124</v>
      </c>
      <c r="EA262" s="277"/>
      <c r="EB262" s="119"/>
      <c r="EC262" s="119">
        <v>1</v>
      </c>
      <c r="ED262" s="119"/>
      <c r="EE262" s="119"/>
      <c r="EG262" s="276">
        <v>23</v>
      </c>
      <c r="EH262" s="277" t="s">
        <v>1076</v>
      </c>
      <c r="EI262" s="277"/>
      <c r="EJ262" s="119"/>
      <c r="EK262" s="119"/>
      <c r="EL262" s="119"/>
      <c r="EM262" s="119"/>
      <c r="EO262" s="276">
        <v>17</v>
      </c>
      <c r="EP262" s="277" t="s">
        <v>53</v>
      </c>
      <c r="EQ262" s="277"/>
      <c r="ER262" s="119"/>
      <c r="ES262" s="119"/>
      <c r="ET262" s="119"/>
      <c r="EU262" s="119"/>
      <c r="EW262" s="276">
        <v>17</v>
      </c>
      <c r="EX262" s="277" t="s">
        <v>53</v>
      </c>
      <c r="EY262" s="277"/>
      <c r="EZ262" s="119"/>
      <c r="FA262" s="119"/>
      <c r="FB262" s="119"/>
      <c r="FC262" s="119"/>
    </row>
    <row r="263" spans="1:159" x14ac:dyDescent="0.3">
      <c r="A263" s="276">
        <v>20</v>
      </c>
      <c r="B263" s="277" t="s">
        <v>1124</v>
      </c>
      <c r="C263" s="277"/>
      <c r="D263" s="119">
        <v>1</v>
      </c>
      <c r="E263" s="119"/>
      <c r="F263" s="119"/>
      <c r="G263" s="119"/>
      <c r="I263" s="276">
        <v>20</v>
      </c>
      <c r="J263" s="277" t="s">
        <v>1124</v>
      </c>
      <c r="K263" s="277"/>
      <c r="L263" s="119">
        <v>1</v>
      </c>
      <c r="M263" s="119">
        <v>1</v>
      </c>
      <c r="N263" s="119"/>
      <c r="O263" s="119"/>
      <c r="Q263" s="276">
        <v>20</v>
      </c>
      <c r="R263" s="277" t="s">
        <v>1124</v>
      </c>
      <c r="S263" s="277"/>
      <c r="T263" s="119"/>
      <c r="U263" s="119"/>
      <c r="V263" s="119"/>
      <c r="W263" s="119"/>
      <c r="Y263" s="276">
        <v>20</v>
      </c>
      <c r="Z263" s="277" t="s">
        <v>1124</v>
      </c>
      <c r="AA263" s="277"/>
      <c r="AB263" s="119"/>
      <c r="AC263" s="119"/>
      <c r="AD263" s="119"/>
      <c r="AE263" s="119"/>
      <c r="AG263" s="276">
        <v>20</v>
      </c>
      <c r="AH263" s="277" t="s">
        <v>1124</v>
      </c>
      <c r="AI263" s="277"/>
      <c r="AJ263" s="119"/>
      <c r="AK263" s="119">
        <v>2</v>
      </c>
      <c r="AL263" s="119"/>
      <c r="AM263" s="119"/>
      <c r="AO263" s="276">
        <v>20</v>
      </c>
      <c r="AP263" s="277" t="s">
        <v>1124</v>
      </c>
      <c r="AQ263" s="277"/>
      <c r="AR263" s="119"/>
      <c r="AS263" s="119">
        <v>1</v>
      </c>
      <c r="AT263" s="119"/>
      <c r="AU263" s="119"/>
      <c r="AW263" s="276">
        <v>20</v>
      </c>
      <c r="AX263" s="277" t="s">
        <v>1124</v>
      </c>
      <c r="AY263" s="277"/>
      <c r="AZ263" s="119"/>
      <c r="BA263" s="119">
        <v>1</v>
      </c>
      <c r="BB263" s="119"/>
      <c r="BC263" s="119"/>
      <c r="BE263" s="276">
        <v>20</v>
      </c>
      <c r="BF263" s="277" t="s">
        <v>1124</v>
      </c>
      <c r="BG263" s="277"/>
      <c r="BH263" s="119"/>
      <c r="BI263" s="119">
        <v>2</v>
      </c>
      <c r="BJ263" s="119"/>
      <c r="BK263" s="119"/>
      <c r="BM263" s="276">
        <v>20</v>
      </c>
      <c r="BN263" s="277" t="s">
        <v>1124</v>
      </c>
      <c r="BO263" s="277"/>
      <c r="BP263" s="119"/>
      <c r="BQ263" s="119">
        <v>1</v>
      </c>
      <c r="BR263" s="119"/>
      <c r="BS263" s="119"/>
      <c r="BU263" s="276">
        <v>20</v>
      </c>
      <c r="BV263" s="277" t="s">
        <v>1124</v>
      </c>
      <c r="BW263" s="277"/>
      <c r="BX263" s="119"/>
      <c r="BY263" s="119">
        <v>1</v>
      </c>
      <c r="BZ263" s="119"/>
      <c r="CA263" s="119"/>
      <c r="CC263" s="276">
        <v>20</v>
      </c>
      <c r="CD263" s="277" t="s">
        <v>1124</v>
      </c>
      <c r="CE263" s="277"/>
      <c r="CF263" s="119">
        <v>1</v>
      </c>
      <c r="CG263" s="119"/>
      <c r="CH263" s="119"/>
      <c r="CI263" s="119"/>
      <c r="CK263" s="276">
        <v>20</v>
      </c>
      <c r="CL263" s="277" t="s">
        <v>1124</v>
      </c>
      <c r="CM263" s="277"/>
      <c r="CN263" s="119"/>
      <c r="CO263" s="119"/>
      <c r="CP263" s="119"/>
      <c r="CQ263" s="119"/>
      <c r="CS263" s="278">
        <v>19</v>
      </c>
      <c r="CT263" s="279" t="s">
        <v>1125</v>
      </c>
      <c r="CU263" s="279"/>
      <c r="CV263" s="229"/>
      <c r="CW263" s="229"/>
      <c r="CX263" s="229"/>
      <c r="CY263" s="229"/>
      <c r="DA263" s="276">
        <v>20</v>
      </c>
      <c r="DB263" s="277" t="s">
        <v>1124</v>
      </c>
      <c r="DC263" s="277"/>
      <c r="DD263" s="119"/>
      <c r="DE263" s="119"/>
      <c r="DF263" s="119"/>
      <c r="DG263" s="119"/>
      <c r="DI263" s="278">
        <v>19</v>
      </c>
      <c r="DJ263" s="279" t="s">
        <v>1125</v>
      </c>
      <c r="DK263" s="279"/>
      <c r="DL263" s="229">
        <v>1</v>
      </c>
      <c r="DM263" s="229">
        <v>2</v>
      </c>
      <c r="DN263" s="229"/>
      <c r="DO263" s="229"/>
      <c r="DQ263" s="300">
        <v>22</v>
      </c>
      <c r="DR263" t="s">
        <v>59</v>
      </c>
      <c r="DT263" s="128"/>
      <c r="DU263" s="128"/>
      <c r="DV263" s="128"/>
      <c r="DW263" s="128"/>
      <c r="DY263" s="278">
        <v>23</v>
      </c>
      <c r="DZ263" s="279" t="s">
        <v>1076</v>
      </c>
      <c r="EA263" s="279"/>
      <c r="EB263" s="229"/>
      <c r="EC263" s="229"/>
      <c r="ED263" s="229"/>
      <c r="EE263" s="229"/>
      <c r="EG263" s="293">
        <v>55</v>
      </c>
      <c r="EH263" s="294" t="s">
        <v>942</v>
      </c>
      <c r="EI263" s="306"/>
      <c r="EJ263" s="229"/>
      <c r="EK263" s="229"/>
      <c r="EL263" s="229"/>
      <c r="EM263" s="229"/>
      <c r="EO263" s="278">
        <v>19</v>
      </c>
      <c r="EP263" s="279" t="s">
        <v>1125</v>
      </c>
      <c r="EQ263" s="279"/>
      <c r="ER263" s="229"/>
      <c r="ES263" s="229"/>
      <c r="ET263" s="229"/>
      <c r="EU263" s="229"/>
      <c r="EW263" s="278">
        <v>19</v>
      </c>
      <c r="EX263" s="279" t="s">
        <v>1125</v>
      </c>
      <c r="EY263" s="279"/>
      <c r="EZ263" s="229"/>
      <c r="FA263" s="229"/>
      <c r="FB263" s="229"/>
      <c r="FC263" s="229"/>
    </row>
    <row r="264" spans="1:159" x14ac:dyDescent="0.3">
      <c r="A264" s="278">
        <v>23</v>
      </c>
      <c r="B264" s="279" t="s">
        <v>1076</v>
      </c>
      <c r="C264" s="279"/>
      <c r="D264" s="229">
        <v>1</v>
      </c>
      <c r="E264" s="229"/>
      <c r="F264" s="229"/>
      <c r="G264" s="229"/>
      <c r="I264" s="278">
        <v>23</v>
      </c>
      <c r="J264" s="279" t="s">
        <v>1076</v>
      </c>
      <c r="K264" s="279"/>
      <c r="L264" s="229"/>
      <c r="M264" s="229"/>
      <c r="N264" s="229"/>
      <c r="O264" s="229"/>
      <c r="Q264" s="278">
        <v>23</v>
      </c>
      <c r="R264" s="279" t="s">
        <v>1076</v>
      </c>
      <c r="S264" s="279"/>
      <c r="T264" s="229"/>
      <c r="U264" s="229"/>
      <c r="V264" s="229"/>
      <c r="W264" s="229"/>
      <c r="Y264" s="278">
        <v>23</v>
      </c>
      <c r="Z264" s="279" t="s">
        <v>1076</v>
      </c>
      <c r="AA264" s="279"/>
      <c r="AB264" s="229"/>
      <c r="AC264" s="229"/>
      <c r="AD264" s="229"/>
      <c r="AE264" s="229"/>
      <c r="AG264" s="278">
        <v>23</v>
      </c>
      <c r="AH264" s="279" t="s">
        <v>1076</v>
      </c>
      <c r="AI264" s="279"/>
      <c r="AJ264" s="229">
        <v>1</v>
      </c>
      <c r="AK264" s="229"/>
      <c r="AL264" s="229"/>
      <c r="AM264" s="229">
        <v>2</v>
      </c>
      <c r="AO264" s="278">
        <v>23</v>
      </c>
      <c r="AP264" s="279" t="s">
        <v>1076</v>
      </c>
      <c r="AQ264" s="279"/>
      <c r="AR264" s="229"/>
      <c r="AS264" s="229"/>
      <c r="AT264" s="229"/>
      <c r="AU264" s="229">
        <v>2</v>
      </c>
      <c r="AW264" s="299">
        <v>22</v>
      </c>
      <c r="AX264" s="273" t="s">
        <v>59</v>
      </c>
      <c r="AY264" s="273"/>
      <c r="AZ264" s="303"/>
      <c r="BA264" s="303"/>
      <c r="BB264" s="303"/>
      <c r="BC264" s="303"/>
      <c r="BE264" s="299">
        <v>22</v>
      </c>
      <c r="BF264" s="273" t="s">
        <v>59</v>
      </c>
      <c r="BG264" s="273"/>
      <c r="BH264" s="303"/>
      <c r="BI264" s="303"/>
      <c r="BJ264" s="303"/>
      <c r="BK264" s="303"/>
      <c r="BM264" s="299">
        <v>22</v>
      </c>
      <c r="BN264" s="273" t="s">
        <v>59</v>
      </c>
      <c r="BO264" s="273"/>
      <c r="BP264" s="303"/>
      <c r="BQ264" s="303"/>
      <c r="BR264" s="303"/>
      <c r="BS264" s="303"/>
      <c r="BU264" s="299">
        <v>22</v>
      </c>
      <c r="BV264" s="273" t="s">
        <v>59</v>
      </c>
      <c r="BW264" s="273"/>
      <c r="BX264" s="303"/>
      <c r="BY264" s="303"/>
      <c r="BZ264" s="303"/>
      <c r="CA264" s="303"/>
      <c r="CC264" s="299">
        <v>22</v>
      </c>
      <c r="CD264" s="273" t="s">
        <v>59</v>
      </c>
      <c r="CE264" s="273"/>
      <c r="CF264" s="303"/>
      <c r="CG264" s="303"/>
      <c r="CH264" s="303"/>
      <c r="CI264" s="303"/>
      <c r="CK264" s="299">
        <v>22</v>
      </c>
      <c r="CL264" s="273" t="s">
        <v>59</v>
      </c>
      <c r="CM264" s="273"/>
      <c r="CN264" s="303"/>
      <c r="CO264" s="303"/>
      <c r="CP264" s="303"/>
      <c r="CQ264" s="303"/>
      <c r="CS264" s="276">
        <v>20</v>
      </c>
      <c r="CT264" s="277" t="s">
        <v>1124</v>
      </c>
      <c r="CU264" s="277"/>
      <c r="CV264" s="119"/>
      <c r="CW264" s="119"/>
      <c r="CX264" s="119"/>
      <c r="CY264" s="119"/>
      <c r="DA264" s="299">
        <v>22</v>
      </c>
      <c r="DB264" s="273" t="s">
        <v>59</v>
      </c>
      <c r="DC264" s="273"/>
      <c r="DD264" s="303"/>
      <c r="DE264" s="303">
        <v>1</v>
      </c>
      <c r="DF264" s="303"/>
      <c r="DG264" s="303"/>
      <c r="DI264" s="276">
        <v>20</v>
      </c>
      <c r="DJ264" s="277" t="s">
        <v>1124</v>
      </c>
      <c r="DK264" s="277"/>
      <c r="DL264" s="119">
        <v>2</v>
      </c>
      <c r="DM264" s="119"/>
      <c r="DN264" s="119"/>
      <c r="DO264" s="119"/>
      <c r="DQ264" s="301">
        <v>25</v>
      </c>
      <c r="DR264" s="302" t="s">
        <v>1164</v>
      </c>
      <c r="DS264" s="302"/>
      <c r="DT264" s="229"/>
      <c r="DU264" s="229"/>
      <c r="DV264" s="229"/>
      <c r="DW264" s="229"/>
      <c r="DY264" s="295">
        <v>55</v>
      </c>
      <c r="DZ264" s="296" t="s">
        <v>942</v>
      </c>
      <c r="EA264" s="297"/>
      <c r="EB264" s="119"/>
      <c r="EC264" s="119">
        <v>1</v>
      </c>
      <c r="ED264" s="119"/>
      <c r="EE264" s="119"/>
      <c r="EG264" s="276">
        <v>76</v>
      </c>
      <c r="EH264" s="277" t="s">
        <v>1172</v>
      </c>
      <c r="EI264" s="277"/>
      <c r="EJ264" s="119">
        <v>1</v>
      </c>
      <c r="EK264" s="119"/>
      <c r="EL264" s="128"/>
      <c r="EM264" s="128"/>
      <c r="EO264" s="276">
        <v>20</v>
      </c>
      <c r="EP264" s="277" t="s">
        <v>1124</v>
      </c>
      <c r="EQ264" s="277"/>
      <c r="ER264" s="119"/>
      <c r="ES264" s="119"/>
      <c r="ET264" s="119"/>
      <c r="EU264" s="119"/>
      <c r="EW264" s="276">
        <v>20</v>
      </c>
      <c r="EX264" s="277" t="s">
        <v>1124</v>
      </c>
      <c r="EY264" s="277"/>
      <c r="EZ264" s="119"/>
      <c r="FA264" s="119"/>
      <c r="FB264" s="119"/>
      <c r="FC264" s="119"/>
    </row>
    <row r="265" spans="1:159" x14ac:dyDescent="0.3">
      <c r="A265" s="276">
        <v>50</v>
      </c>
      <c r="B265" s="277" t="s">
        <v>680</v>
      </c>
      <c r="C265" s="277"/>
      <c r="D265" s="119"/>
      <c r="E265" s="119">
        <v>1</v>
      </c>
      <c r="F265" s="119"/>
      <c r="G265" s="119"/>
      <c r="I265" s="276">
        <v>75</v>
      </c>
      <c r="J265" s="277" t="s">
        <v>55</v>
      </c>
      <c r="K265" s="277"/>
      <c r="L265" s="119"/>
      <c r="M265" s="119"/>
      <c r="N265" s="119"/>
      <c r="O265" s="119"/>
      <c r="Q265" s="291">
        <v>25</v>
      </c>
      <c r="R265" s="292" t="s">
        <v>1164</v>
      </c>
      <c r="S265" s="292"/>
      <c r="T265" s="119"/>
      <c r="U265" s="119"/>
      <c r="V265" s="119"/>
      <c r="W265" s="119"/>
      <c r="Y265" s="291">
        <v>25</v>
      </c>
      <c r="Z265" s="292" t="s">
        <v>1164</v>
      </c>
      <c r="AA265" s="292"/>
      <c r="AB265" s="119"/>
      <c r="AC265" s="119">
        <v>1</v>
      </c>
      <c r="AD265" s="119"/>
      <c r="AE265" s="119"/>
      <c r="AG265" s="291">
        <v>25</v>
      </c>
      <c r="AH265" s="292" t="s">
        <v>1164</v>
      </c>
      <c r="AI265" s="292"/>
      <c r="AJ265" s="119"/>
      <c r="AK265" s="119"/>
      <c r="AL265" s="119"/>
      <c r="AM265" s="119"/>
      <c r="AO265" s="291">
        <v>25</v>
      </c>
      <c r="AP265" s="292" t="s">
        <v>1164</v>
      </c>
      <c r="AQ265" s="292"/>
      <c r="AR265" s="119">
        <v>1</v>
      </c>
      <c r="AS265" s="119"/>
      <c r="AT265" s="119"/>
      <c r="AU265" s="119"/>
      <c r="AW265" s="276">
        <v>23</v>
      </c>
      <c r="AX265" s="277" t="s">
        <v>1076</v>
      </c>
      <c r="AY265" s="277"/>
      <c r="AZ265" s="119">
        <v>1</v>
      </c>
      <c r="BA265" s="119"/>
      <c r="BB265" s="119"/>
      <c r="BC265" s="119"/>
      <c r="BE265" s="276">
        <v>23</v>
      </c>
      <c r="BF265" s="277" t="s">
        <v>1076</v>
      </c>
      <c r="BG265" s="277"/>
      <c r="BH265" s="119"/>
      <c r="BI265" s="119"/>
      <c r="BJ265" s="119"/>
      <c r="BK265" s="119"/>
      <c r="BM265" s="276">
        <v>23</v>
      </c>
      <c r="BN265" s="277" t="s">
        <v>1076</v>
      </c>
      <c r="BO265" s="277"/>
      <c r="BP265" s="119">
        <v>2</v>
      </c>
      <c r="BQ265" s="119"/>
      <c r="BR265" s="119"/>
      <c r="BS265" s="119">
        <v>2</v>
      </c>
      <c r="BU265" s="276">
        <v>23</v>
      </c>
      <c r="BV265" s="277" t="s">
        <v>1076</v>
      </c>
      <c r="BW265" s="277"/>
      <c r="BX265" s="119"/>
      <c r="BY265" s="119"/>
      <c r="BZ265" s="119"/>
      <c r="CA265" s="119"/>
      <c r="CC265" s="276">
        <v>23</v>
      </c>
      <c r="CD265" s="277" t="s">
        <v>1076</v>
      </c>
      <c r="CE265" s="277"/>
      <c r="CF265" s="119"/>
      <c r="CG265" s="119"/>
      <c r="CH265" s="119"/>
      <c r="CI265" s="119"/>
      <c r="CK265" s="276">
        <v>23</v>
      </c>
      <c r="CL265" s="277" t="s">
        <v>1076</v>
      </c>
      <c r="CM265" s="277"/>
      <c r="CN265" s="119"/>
      <c r="CO265" s="119"/>
      <c r="CP265" s="119"/>
      <c r="CQ265" s="119"/>
      <c r="CS265" s="299">
        <v>22</v>
      </c>
      <c r="CT265" s="273" t="s">
        <v>59</v>
      </c>
      <c r="CU265" s="273"/>
      <c r="CV265" s="303"/>
      <c r="CW265" s="303">
        <v>1</v>
      </c>
      <c r="CX265" s="303"/>
      <c r="CY265" s="303"/>
      <c r="DA265" s="276">
        <v>23</v>
      </c>
      <c r="DB265" s="277" t="s">
        <v>1076</v>
      </c>
      <c r="DC265" s="277"/>
      <c r="DD265" s="119"/>
      <c r="DE265" s="119"/>
      <c r="DF265" s="119"/>
      <c r="DG265" s="119"/>
      <c r="DI265" s="299">
        <v>22</v>
      </c>
      <c r="DJ265" s="273" t="s">
        <v>59</v>
      </c>
      <c r="DK265" s="273"/>
      <c r="DL265" s="303"/>
      <c r="DM265" s="303"/>
      <c r="DN265" s="303"/>
      <c r="DO265" s="303"/>
      <c r="DQ265" s="276">
        <v>50</v>
      </c>
      <c r="DR265" s="277" t="s">
        <v>680</v>
      </c>
      <c r="DS265" s="305"/>
      <c r="DT265" s="119"/>
      <c r="DU265" s="119">
        <v>1</v>
      </c>
      <c r="DV265" s="119"/>
      <c r="DW265" s="119">
        <v>2</v>
      </c>
      <c r="DY265" s="293">
        <v>76</v>
      </c>
      <c r="DZ265" s="294" t="s">
        <v>1172</v>
      </c>
      <c r="EA265" s="294"/>
      <c r="EB265" s="229">
        <v>1</v>
      </c>
      <c r="EC265" s="229">
        <v>1</v>
      </c>
      <c r="ED265" s="229"/>
      <c r="EE265" s="229"/>
      <c r="EG265" s="293">
        <v>82</v>
      </c>
      <c r="EH265" s="294" t="s">
        <v>1355</v>
      </c>
      <c r="EI265" s="294"/>
      <c r="EJ265" s="230">
        <v>2</v>
      </c>
      <c r="EK265" s="304"/>
      <c r="EL265" s="304"/>
      <c r="EM265" s="304"/>
      <c r="EO265" s="299">
        <v>22</v>
      </c>
      <c r="EP265" s="273" t="s">
        <v>59</v>
      </c>
      <c r="EQ265" s="273"/>
      <c r="ER265" s="303"/>
      <c r="ES265" s="303"/>
      <c r="ET265" s="303"/>
      <c r="EU265" s="303"/>
      <c r="EW265" s="299">
        <v>22</v>
      </c>
      <c r="EX265" s="273" t="s">
        <v>59</v>
      </c>
      <c r="EY265" s="273"/>
      <c r="EZ265" s="303"/>
      <c r="FA265" s="303"/>
      <c r="FB265" s="303"/>
      <c r="FC265" s="303"/>
    </row>
    <row r="266" spans="1:159" x14ac:dyDescent="0.3">
      <c r="A266" s="278">
        <v>75</v>
      </c>
      <c r="B266" s="279" t="s">
        <v>55</v>
      </c>
      <c r="C266" s="279"/>
      <c r="D266" s="229"/>
      <c r="E266" s="229"/>
      <c r="F266" s="229"/>
      <c r="G266" s="229"/>
      <c r="I266" s="278">
        <v>96</v>
      </c>
      <c r="J266" s="279" t="s">
        <v>185</v>
      </c>
      <c r="K266" s="279"/>
      <c r="L266" s="229"/>
      <c r="M266" s="229"/>
      <c r="N266" s="229"/>
      <c r="O266" s="229"/>
      <c r="Q266" s="278">
        <v>50</v>
      </c>
      <c r="R266" s="279" t="s">
        <v>680</v>
      </c>
      <c r="S266" s="298"/>
      <c r="T266" s="229"/>
      <c r="U266" s="229">
        <v>1</v>
      </c>
      <c r="V266" s="229"/>
      <c r="W266" s="229"/>
      <c r="Y266" s="278">
        <v>50</v>
      </c>
      <c r="Z266" s="279" t="s">
        <v>680</v>
      </c>
      <c r="AA266" s="298"/>
      <c r="AB266" s="229"/>
      <c r="AC266" s="229"/>
      <c r="AD266" s="229"/>
      <c r="AE266" s="229"/>
      <c r="AG266" s="278">
        <v>50</v>
      </c>
      <c r="AH266" s="279" t="s">
        <v>680</v>
      </c>
      <c r="AI266" s="298"/>
      <c r="AJ266" s="229"/>
      <c r="AK266" s="229">
        <v>1</v>
      </c>
      <c r="AL266" s="229"/>
      <c r="AM266" s="229"/>
      <c r="AO266" s="278">
        <v>50</v>
      </c>
      <c r="AP266" s="279" t="s">
        <v>680</v>
      </c>
      <c r="AQ266" s="298"/>
      <c r="AR266" s="229"/>
      <c r="AS266" s="229"/>
      <c r="AT266" s="229"/>
      <c r="AU266" s="229"/>
      <c r="AW266" s="301">
        <v>25</v>
      </c>
      <c r="AX266" s="302" t="s">
        <v>1164</v>
      </c>
      <c r="AY266" s="302"/>
      <c r="AZ266" s="229"/>
      <c r="BA266" s="229"/>
      <c r="BB266" s="229"/>
      <c r="BC266" s="229"/>
      <c r="BE266" s="301">
        <v>25</v>
      </c>
      <c r="BF266" s="302" t="s">
        <v>1164</v>
      </c>
      <c r="BG266" s="302"/>
      <c r="BH266" s="229"/>
      <c r="BI266" s="229"/>
      <c r="BJ266" s="229"/>
      <c r="BK266" s="229"/>
      <c r="BM266" s="301">
        <v>25</v>
      </c>
      <c r="BN266" s="302" t="s">
        <v>1164</v>
      </c>
      <c r="BO266" s="302"/>
      <c r="BP266" s="229"/>
      <c r="BQ266" s="229">
        <v>1</v>
      </c>
      <c r="BR266" s="229"/>
      <c r="BS266" s="229"/>
      <c r="BU266" s="301">
        <v>25</v>
      </c>
      <c r="BV266" s="302" t="s">
        <v>1164</v>
      </c>
      <c r="BW266" s="302"/>
      <c r="BX266" s="229"/>
      <c r="BY266" s="229">
        <v>1</v>
      </c>
      <c r="BZ266" s="229"/>
      <c r="CA266" s="229"/>
      <c r="CC266" s="301">
        <v>25</v>
      </c>
      <c r="CD266" s="302" t="s">
        <v>1164</v>
      </c>
      <c r="CE266" s="302"/>
      <c r="CF266" s="229"/>
      <c r="CG266" s="229"/>
      <c r="CH266" s="229"/>
      <c r="CI266" s="229"/>
      <c r="CK266" s="301">
        <v>25</v>
      </c>
      <c r="CL266" s="302" t="s">
        <v>1164</v>
      </c>
      <c r="CM266" s="302"/>
      <c r="CN266" s="229"/>
      <c r="CO266" s="229"/>
      <c r="CP266" s="229"/>
      <c r="CQ266" s="229"/>
      <c r="CS266" s="276">
        <v>23</v>
      </c>
      <c r="CT266" s="277" t="s">
        <v>1076</v>
      </c>
      <c r="CU266" s="277"/>
      <c r="CV266" s="119"/>
      <c r="CW266" s="119"/>
      <c r="CX266" s="119"/>
      <c r="CY266" s="119"/>
      <c r="DA266" s="301">
        <v>25</v>
      </c>
      <c r="DB266" s="302" t="s">
        <v>1164</v>
      </c>
      <c r="DC266" s="302"/>
      <c r="DD266" s="229"/>
      <c r="DE266" s="229"/>
      <c r="DF266" s="229"/>
      <c r="DG266" s="229"/>
      <c r="DI266" s="276">
        <v>23</v>
      </c>
      <c r="DJ266" s="277" t="s">
        <v>1076</v>
      </c>
      <c r="DK266" s="277"/>
      <c r="DL266" s="119"/>
      <c r="DM266" s="119"/>
      <c r="DN266" s="119"/>
      <c r="DO266" s="119"/>
      <c r="DQ266" s="293">
        <v>66</v>
      </c>
      <c r="DR266" s="294" t="s">
        <v>1165</v>
      </c>
      <c r="DS266" s="294"/>
      <c r="DT266" s="229"/>
      <c r="DU266" s="229"/>
      <c r="DV266" s="229"/>
      <c r="DW266" s="229"/>
      <c r="DY266" s="276">
        <v>82</v>
      </c>
      <c r="DZ266" s="277" t="s">
        <v>1355</v>
      </c>
      <c r="EA266" s="277"/>
      <c r="EB266" s="119">
        <v>1</v>
      </c>
      <c r="EC266" s="119"/>
      <c r="ED266" s="128"/>
      <c r="EE266" s="128"/>
      <c r="EG266" s="276">
        <v>96</v>
      </c>
      <c r="EH266" s="277" t="s">
        <v>185</v>
      </c>
      <c r="EI266" s="277"/>
      <c r="EJ266" s="119"/>
      <c r="EK266" s="119">
        <v>2</v>
      </c>
      <c r="EL266" s="119"/>
      <c r="EM266" s="119"/>
      <c r="EO266" s="276">
        <v>23</v>
      </c>
      <c r="EP266" s="277" t="s">
        <v>1076</v>
      </c>
      <c r="EQ266" s="277"/>
      <c r="ER266" s="119"/>
      <c r="ES266" s="119"/>
      <c r="ET266" s="119"/>
      <c r="EU266" s="119"/>
      <c r="EW266" s="276">
        <v>23</v>
      </c>
      <c r="EX266" s="277" t="s">
        <v>1076</v>
      </c>
      <c r="EY266" s="277"/>
      <c r="EZ266" s="119"/>
      <c r="FA266" s="119"/>
      <c r="FB266" s="119"/>
      <c r="FC266" s="119"/>
    </row>
    <row r="267" spans="1:159" x14ac:dyDescent="0.3">
      <c r="A267" s="276">
        <v>96</v>
      </c>
      <c r="B267" s="277" t="s">
        <v>185</v>
      </c>
      <c r="C267" s="277"/>
      <c r="D267" s="119"/>
      <c r="E267" s="119">
        <v>1</v>
      </c>
      <c r="F267" s="119"/>
      <c r="G267" s="119"/>
      <c r="Q267" s="295">
        <v>55</v>
      </c>
      <c r="R267" s="296" t="s">
        <v>942</v>
      </c>
      <c r="S267" s="297"/>
      <c r="T267" s="119"/>
      <c r="U267" s="119"/>
      <c r="V267" s="119"/>
      <c r="W267" s="119"/>
      <c r="Y267" s="295">
        <v>55</v>
      </c>
      <c r="Z267" s="296" t="s">
        <v>942</v>
      </c>
      <c r="AA267" s="297"/>
      <c r="AB267" s="119"/>
      <c r="AC267" s="119"/>
      <c r="AD267" s="119"/>
      <c r="AE267" s="119"/>
      <c r="AG267" s="295">
        <v>55</v>
      </c>
      <c r="AH267" s="296" t="s">
        <v>942</v>
      </c>
      <c r="AI267" s="297"/>
      <c r="AJ267" s="119">
        <v>1</v>
      </c>
      <c r="AK267" s="119">
        <v>1</v>
      </c>
      <c r="AL267" s="119"/>
      <c r="AM267" s="119"/>
      <c r="AO267" s="295">
        <v>55</v>
      </c>
      <c r="AP267" s="296" t="s">
        <v>942</v>
      </c>
      <c r="AQ267" s="297"/>
      <c r="AR267" s="119"/>
      <c r="AS267" s="119"/>
      <c r="AT267" s="119"/>
      <c r="AU267" s="119">
        <v>2</v>
      </c>
      <c r="AW267" s="276">
        <v>50</v>
      </c>
      <c r="AX267" s="277" t="s">
        <v>680</v>
      </c>
      <c r="AY267" s="305"/>
      <c r="AZ267" s="119"/>
      <c r="BA267" s="119"/>
      <c r="BB267" s="119"/>
      <c r="BC267" s="119"/>
      <c r="BE267" s="276">
        <v>50</v>
      </c>
      <c r="BF267" s="277" t="s">
        <v>680</v>
      </c>
      <c r="BG267" s="305"/>
      <c r="BH267" s="119"/>
      <c r="BI267" s="119"/>
      <c r="BJ267" s="119"/>
      <c r="BK267" s="119"/>
      <c r="BM267" s="276">
        <v>50</v>
      </c>
      <c r="BN267" s="277" t="s">
        <v>680</v>
      </c>
      <c r="BO267" s="305"/>
      <c r="BP267" s="119"/>
      <c r="BQ267" s="119"/>
      <c r="BR267" s="119"/>
      <c r="BS267" s="119"/>
      <c r="BU267" s="276">
        <v>50</v>
      </c>
      <c r="BV267" s="277" t="s">
        <v>680</v>
      </c>
      <c r="BW267" s="305"/>
      <c r="BX267" s="119"/>
      <c r="BY267" s="119">
        <v>1</v>
      </c>
      <c r="BZ267" s="119"/>
      <c r="CA267" s="119"/>
      <c r="CC267" s="276">
        <v>50</v>
      </c>
      <c r="CD267" s="277" t="s">
        <v>680</v>
      </c>
      <c r="CE267" s="305"/>
      <c r="CF267" s="119"/>
      <c r="CG267" s="119"/>
      <c r="CH267" s="119"/>
      <c r="CI267" s="119"/>
      <c r="CK267" s="276">
        <v>50</v>
      </c>
      <c r="CL267" s="277" t="s">
        <v>680</v>
      </c>
      <c r="CM267" s="305"/>
      <c r="CN267" s="119">
        <v>2</v>
      </c>
      <c r="CO267" s="119"/>
      <c r="CP267" s="119"/>
      <c r="CQ267" s="119"/>
      <c r="CS267" s="301">
        <v>25</v>
      </c>
      <c r="CT267" s="302" t="s">
        <v>1164</v>
      </c>
      <c r="CU267" s="302"/>
      <c r="CV267" s="229"/>
      <c r="CW267" s="229"/>
      <c r="CX267" s="229"/>
      <c r="CY267" s="229"/>
      <c r="DA267" s="276">
        <v>50</v>
      </c>
      <c r="DB267" s="277" t="s">
        <v>680</v>
      </c>
      <c r="DC267" s="305"/>
      <c r="DD267" s="119">
        <v>1</v>
      </c>
      <c r="DE267" s="119">
        <v>1</v>
      </c>
      <c r="DF267" s="119"/>
      <c r="DG267" s="119"/>
      <c r="DI267" s="301">
        <v>25</v>
      </c>
      <c r="DJ267" s="302" t="s">
        <v>1164</v>
      </c>
      <c r="DK267" s="302"/>
      <c r="DL267" s="229">
        <v>3</v>
      </c>
      <c r="DM267" s="229"/>
      <c r="DN267" s="229"/>
      <c r="DO267" s="229"/>
      <c r="DQ267" s="276">
        <v>76</v>
      </c>
      <c r="DR267" s="277" t="s">
        <v>1172</v>
      </c>
      <c r="DS267" s="277"/>
      <c r="DT267" s="119"/>
      <c r="DU267" s="128"/>
      <c r="DV267" s="128"/>
      <c r="DW267" s="128"/>
      <c r="DY267" s="293">
        <v>96</v>
      </c>
      <c r="DZ267" s="294" t="s">
        <v>185</v>
      </c>
      <c r="EA267" s="294"/>
      <c r="EB267" s="230">
        <v>3</v>
      </c>
      <c r="EC267" s="230">
        <v>1</v>
      </c>
      <c r="ED267" s="304"/>
      <c r="EE267" s="304"/>
      <c r="EO267" s="301">
        <v>25</v>
      </c>
      <c r="EP267" s="302" t="s">
        <v>1164</v>
      </c>
      <c r="EQ267" s="302"/>
      <c r="ER267" s="229"/>
      <c r="ES267" s="229"/>
      <c r="ET267" s="229"/>
      <c r="EU267" s="229"/>
      <c r="EW267" s="301">
        <v>25</v>
      </c>
      <c r="EX267" s="302" t="s">
        <v>1164</v>
      </c>
      <c r="EY267" s="302"/>
      <c r="EZ267" s="229"/>
      <c r="FA267" s="229"/>
      <c r="FB267" s="229"/>
      <c r="FC267" s="229"/>
    </row>
    <row r="268" spans="1:159" x14ac:dyDescent="0.3">
      <c r="Q268" s="293">
        <v>66</v>
      </c>
      <c r="R268" s="294" t="s">
        <v>1165</v>
      </c>
      <c r="S268" s="294"/>
      <c r="T268" s="229"/>
      <c r="U268" s="229">
        <v>1</v>
      </c>
      <c r="V268" s="229"/>
      <c r="W268" s="229"/>
      <c r="Y268" s="293">
        <v>66</v>
      </c>
      <c r="Z268" s="294" t="s">
        <v>1165</v>
      </c>
      <c r="AA268" s="294"/>
      <c r="AB268" s="229"/>
      <c r="AC268" s="229"/>
      <c r="AD268" s="229"/>
      <c r="AE268" s="229"/>
      <c r="AG268" s="293">
        <v>66</v>
      </c>
      <c r="AH268" s="294" t="s">
        <v>1165</v>
      </c>
      <c r="AI268" s="294"/>
      <c r="AJ268" s="229">
        <v>3</v>
      </c>
      <c r="AK268" s="229">
        <v>1</v>
      </c>
      <c r="AL268" s="229"/>
      <c r="AM268" s="229"/>
      <c r="AO268" s="293">
        <v>66</v>
      </c>
      <c r="AP268" s="294" t="s">
        <v>1165</v>
      </c>
      <c r="AQ268" s="294"/>
      <c r="AR268" s="229"/>
      <c r="AS268" s="229"/>
      <c r="AT268" s="229"/>
      <c r="AU268" s="229"/>
      <c r="AW268" s="293">
        <v>55</v>
      </c>
      <c r="AX268" s="294" t="s">
        <v>942</v>
      </c>
      <c r="AY268" s="306"/>
      <c r="AZ268" s="229"/>
      <c r="BA268" s="229"/>
      <c r="BB268" s="229"/>
      <c r="BC268" s="229"/>
      <c r="BE268" s="293">
        <v>55</v>
      </c>
      <c r="BF268" s="294" t="s">
        <v>942</v>
      </c>
      <c r="BG268" s="306"/>
      <c r="BH268" s="229"/>
      <c r="BI268" s="229"/>
      <c r="BJ268" s="229"/>
      <c r="BK268" s="229"/>
      <c r="BM268" s="293">
        <v>55</v>
      </c>
      <c r="BN268" s="294" t="s">
        <v>942</v>
      </c>
      <c r="BO268" s="306"/>
      <c r="BP268" s="229"/>
      <c r="BQ268" s="229"/>
      <c r="BR268" s="229"/>
      <c r="BS268" s="229"/>
      <c r="BU268" s="293">
        <v>55</v>
      </c>
      <c r="BV268" s="294" t="s">
        <v>942</v>
      </c>
      <c r="BW268" s="306"/>
      <c r="BX268" s="229"/>
      <c r="BY268" s="229"/>
      <c r="BZ268" s="229"/>
      <c r="CA268" s="229"/>
      <c r="CC268" s="293">
        <v>55</v>
      </c>
      <c r="CD268" s="294" t="s">
        <v>942</v>
      </c>
      <c r="CE268" s="306"/>
      <c r="CF268" s="229"/>
      <c r="CG268" s="229"/>
      <c r="CH268" s="229"/>
      <c r="CI268" s="229"/>
      <c r="CK268" s="293">
        <v>55</v>
      </c>
      <c r="CL268" s="294" t="s">
        <v>942</v>
      </c>
      <c r="CM268" s="306"/>
      <c r="CN268" s="229"/>
      <c r="CO268" s="229">
        <v>1</v>
      </c>
      <c r="CP268" s="229"/>
      <c r="CQ268" s="229"/>
      <c r="CS268" s="276">
        <v>50</v>
      </c>
      <c r="CT268" s="277" t="s">
        <v>680</v>
      </c>
      <c r="CU268" s="305"/>
      <c r="CV268" s="119">
        <v>1</v>
      </c>
      <c r="CW268" s="119"/>
      <c r="CX268" s="119"/>
      <c r="CY268" s="119"/>
      <c r="DA268" s="293">
        <v>55</v>
      </c>
      <c r="DB268" s="294" t="s">
        <v>942</v>
      </c>
      <c r="DC268" s="306"/>
      <c r="DD268" s="229"/>
      <c r="DE268" s="229"/>
      <c r="DF268" s="229"/>
      <c r="DG268" s="229"/>
      <c r="DI268" s="276">
        <v>50</v>
      </c>
      <c r="DJ268" s="277" t="s">
        <v>680</v>
      </c>
      <c r="DK268" s="305"/>
      <c r="DL268" s="119"/>
      <c r="DM268" s="119">
        <v>2</v>
      </c>
      <c r="DN268" s="119"/>
      <c r="DO268" s="119"/>
      <c r="DQ268" s="293">
        <v>82</v>
      </c>
      <c r="DR268" s="294" t="s">
        <v>47</v>
      </c>
      <c r="DS268" s="294"/>
      <c r="DT268" s="304">
        <v>1</v>
      </c>
      <c r="DU268" s="304"/>
      <c r="DV268" s="304"/>
      <c r="DW268" s="304"/>
      <c r="DY268" s="292"/>
      <c r="DZ268" s="292"/>
      <c r="EA268" s="292"/>
      <c r="EB268" s="307"/>
      <c r="EC268" s="307"/>
      <c r="ED268" s="307"/>
      <c r="EE268" s="307"/>
      <c r="EO268" s="276">
        <v>50</v>
      </c>
      <c r="EP268" s="277" t="s">
        <v>680</v>
      </c>
      <c r="EQ268" s="305"/>
      <c r="ER268" s="119"/>
      <c r="ES268" s="119"/>
      <c r="ET268" s="119"/>
      <c r="EU268" s="119"/>
      <c r="EW268" s="276">
        <v>50</v>
      </c>
      <c r="EX268" s="277" t="s">
        <v>680</v>
      </c>
      <c r="EY268" s="305"/>
      <c r="EZ268" s="119"/>
      <c r="FA268" s="119"/>
      <c r="FB268" s="119"/>
      <c r="FC268" s="119"/>
    </row>
    <row r="269" spans="1:159" x14ac:dyDescent="0.3">
      <c r="Q269" s="276">
        <v>75</v>
      </c>
      <c r="R269" s="277" t="s">
        <v>55</v>
      </c>
      <c r="S269" s="277"/>
      <c r="T269" s="119"/>
      <c r="U269" s="119"/>
      <c r="V269" s="119"/>
      <c r="W269" s="119"/>
      <c r="Y269" s="276">
        <v>75</v>
      </c>
      <c r="Z269" s="277" t="s">
        <v>55</v>
      </c>
      <c r="AA269" s="277"/>
      <c r="AB269" s="119"/>
      <c r="AC269" s="119"/>
      <c r="AD269" s="119"/>
      <c r="AE269" s="119"/>
      <c r="AG269" s="276">
        <v>76</v>
      </c>
      <c r="AH269" s="277" t="s">
        <v>1172</v>
      </c>
      <c r="AI269" s="277"/>
      <c r="AJ269" s="128"/>
      <c r="AK269" s="119">
        <v>2</v>
      </c>
      <c r="AL269" s="128"/>
      <c r="AM269" s="128"/>
      <c r="AO269" s="276">
        <v>76</v>
      </c>
      <c r="AP269" s="277" t="s">
        <v>1172</v>
      </c>
      <c r="AQ269" s="277"/>
      <c r="AR269" s="128"/>
      <c r="AS269" s="119"/>
      <c r="AT269" s="128"/>
      <c r="AU269" s="128"/>
      <c r="AW269" s="295">
        <v>66</v>
      </c>
      <c r="AX269" s="296" t="s">
        <v>1165</v>
      </c>
      <c r="AY269" s="296"/>
      <c r="AZ269" s="119"/>
      <c r="BA269" s="119"/>
      <c r="BB269" s="119"/>
      <c r="BC269" s="119"/>
      <c r="BE269" s="295">
        <v>66</v>
      </c>
      <c r="BF269" s="296" t="s">
        <v>1165</v>
      </c>
      <c r="BG269" s="296"/>
      <c r="BH269" s="119"/>
      <c r="BI269" s="119"/>
      <c r="BJ269" s="119"/>
      <c r="BK269" s="119"/>
      <c r="BM269" s="295">
        <v>66</v>
      </c>
      <c r="BN269" s="296" t="s">
        <v>1165</v>
      </c>
      <c r="BO269" s="296"/>
      <c r="BP269" s="119">
        <v>1</v>
      </c>
      <c r="BQ269" s="119"/>
      <c r="BR269" s="119"/>
      <c r="BS269" s="119"/>
      <c r="BU269" s="295">
        <v>66</v>
      </c>
      <c r="BV269" s="296" t="s">
        <v>1165</v>
      </c>
      <c r="BW269" s="296"/>
      <c r="BX269" s="119"/>
      <c r="BY269" s="119"/>
      <c r="BZ269" s="119"/>
      <c r="CA269" s="119"/>
      <c r="CC269" s="295">
        <v>66</v>
      </c>
      <c r="CD269" s="296" t="s">
        <v>1165</v>
      </c>
      <c r="CE269" s="296"/>
      <c r="CF269" s="119"/>
      <c r="CG269" s="119"/>
      <c r="CH269" s="119"/>
      <c r="CI269" s="119"/>
      <c r="CK269" s="295">
        <v>66</v>
      </c>
      <c r="CL269" s="296" t="s">
        <v>1165</v>
      </c>
      <c r="CM269" s="296"/>
      <c r="CN269" s="119"/>
      <c r="CO269" s="119"/>
      <c r="CP269" s="119"/>
      <c r="CQ269" s="119"/>
      <c r="CS269" s="293">
        <v>55</v>
      </c>
      <c r="CT269" s="294" t="s">
        <v>942</v>
      </c>
      <c r="CU269" s="306"/>
      <c r="CV269" s="229"/>
      <c r="CW269" s="229"/>
      <c r="CX269" s="229"/>
      <c r="CY269" s="229"/>
      <c r="DA269" s="295">
        <v>66</v>
      </c>
      <c r="DB269" s="296" t="s">
        <v>1165</v>
      </c>
      <c r="DC269" s="296"/>
      <c r="DD269" s="119"/>
      <c r="DE269" s="119">
        <v>1</v>
      </c>
      <c r="DF269" s="119"/>
      <c r="DG269" s="119"/>
      <c r="DI269" s="293">
        <v>55</v>
      </c>
      <c r="DJ269" s="294" t="s">
        <v>942</v>
      </c>
      <c r="DK269" s="306"/>
      <c r="DL269" s="229"/>
      <c r="DM269" s="229"/>
      <c r="DN269" s="229"/>
      <c r="DO269" s="229"/>
      <c r="DQ269" s="276">
        <v>96</v>
      </c>
      <c r="DR269" s="277" t="s">
        <v>185</v>
      </c>
      <c r="DS269" s="277"/>
      <c r="DT269" s="119">
        <v>1</v>
      </c>
      <c r="DU269" s="119"/>
      <c r="DV269" s="119"/>
      <c r="DW269" s="119"/>
      <c r="EO269" s="293">
        <v>55</v>
      </c>
      <c r="EP269" s="294" t="s">
        <v>942</v>
      </c>
      <c r="EQ269" s="306"/>
      <c r="ER269" s="229"/>
      <c r="ES269" s="229"/>
      <c r="ET269" s="229"/>
      <c r="EU269" s="229"/>
      <c r="EW269" s="293">
        <v>55</v>
      </c>
      <c r="EX269" s="294" t="s">
        <v>942</v>
      </c>
      <c r="EY269" s="306"/>
      <c r="EZ269" s="229"/>
      <c r="FA269" s="229"/>
      <c r="FB269" s="229"/>
      <c r="FC269" s="229"/>
    </row>
    <row r="270" spans="1:159" x14ac:dyDescent="0.3">
      <c r="Q270" s="278">
        <v>76</v>
      </c>
      <c r="R270" s="279" t="s">
        <v>1172</v>
      </c>
      <c r="S270" s="279"/>
      <c r="T270" s="303"/>
      <c r="U270" s="303"/>
      <c r="V270" s="303"/>
      <c r="W270" s="303"/>
      <c r="Y270" s="278">
        <v>76</v>
      </c>
      <c r="Z270" s="279" t="s">
        <v>1172</v>
      </c>
      <c r="AA270" s="279"/>
      <c r="AB270" s="303"/>
      <c r="AC270" s="303"/>
      <c r="AD270" s="303"/>
      <c r="AE270" s="303"/>
      <c r="AG270" s="293">
        <v>82</v>
      </c>
      <c r="AH270" s="294" t="s">
        <v>47</v>
      </c>
      <c r="AI270" s="294"/>
      <c r="AJ270" s="304"/>
      <c r="AK270" s="304"/>
      <c r="AL270" s="304"/>
      <c r="AM270" s="304"/>
      <c r="AO270" s="293">
        <v>82</v>
      </c>
      <c r="AP270" s="294" t="s">
        <v>47</v>
      </c>
      <c r="AQ270" s="294"/>
      <c r="AR270" s="304"/>
      <c r="AS270" s="230">
        <v>1</v>
      </c>
      <c r="AT270" s="304"/>
      <c r="AU270" s="304"/>
      <c r="AW270" s="278">
        <v>76</v>
      </c>
      <c r="AX270" s="279" t="s">
        <v>1172</v>
      </c>
      <c r="AY270" s="279"/>
      <c r="AZ270" s="229">
        <v>1</v>
      </c>
      <c r="BA270" s="303"/>
      <c r="BB270" s="303"/>
      <c r="BC270" s="303"/>
      <c r="BE270" s="278">
        <v>76</v>
      </c>
      <c r="BF270" s="279" t="s">
        <v>1172</v>
      </c>
      <c r="BG270" s="279"/>
      <c r="BH270" s="229"/>
      <c r="BI270" s="303"/>
      <c r="BJ270" s="303"/>
      <c r="BK270" s="303"/>
      <c r="BM270" s="299">
        <v>75</v>
      </c>
      <c r="BN270" s="273" t="s">
        <v>55</v>
      </c>
      <c r="BO270" s="273"/>
      <c r="BP270" s="303"/>
      <c r="BQ270" s="303">
        <v>1</v>
      </c>
      <c r="BR270" s="303"/>
      <c r="BS270" s="303"/>
      <c r="BU270" s="299">
        <v>75</v>
      </c>
      <c r="BV270" s="273" t="s">
        <v>55</v>
      </c>
      <c r="BW270" s="273"/>
      <c r="BX270" s="229">
        <v>1</v>
      </c>
      <c r="BY270" s="303"/>
      <c r="BZ270" s="303"/>
      <c r="CA270" s="303">
        <v>12</v>
      </c>
      <c r="CC270" s="278">
        <v>76</v>
      </c>
      <c r="CD270" s="279" t="s">
        <v>1172</v>
      </c>
      <c r="CE270" s="279"/>
      <c r="CF270" s="229"/>
      <c r="CG270" s="303"/>
      <c r="CH270" s="303"/>
      <c r="CI270" s="303"/>
      <c r="CK270" s="278">
        <v>76</v>
      </c>
      <c r="CL270" s="279" t="s">
        <v>1172</v>
      </c>
      <c r="CM270" s="279"/>
      <c r="CN270" s="229"/>
      <c r="CO270" s="303"/>
      <c r="CP270" s="303"/>
      <c r="CQ270" s="303"/>
      <c r="CS270" s="295">
        <v>66</v>
      </c>
      <c r="CT270" s="296" t="s">
        <v>1165</v>
      </c>
      <c r="CU270" s="296"/>
      <c r="CV270" s="119"/>
      <c r="CW270" s="119"/>
      <c r="CX270" s="119"/>
      <c r="CY270" s="119"/>
      <c r="DA270" s="299">
        <v>75</v>
      </c>
      <c r="DB270" s="273" t="s">
        <v>55</v>
      </c>
      <c r="DC270" s="273"/>
      <c r="DD270" s="229"/>
      <c r="DE270" s="303"/>
      <c r="DF270" s="303"/>
      <c r="DG270" s="303"/>
      <c r="DI270" s="295">
        <v>66</v>
      </c>
      <c r="DJ270" s="296" t="s">
        <v>1165</v>
      </c>
      <c r="DK270" s="296"/>
      <c r="DL270" s="119">
        <v>1</v>
      </c>
      <c r="DM270" s="119"/>
      <c r="DN270" s="119"/>
      <c r="DO270" s="119"/>
      <c r="EO270" s="295">
        <v>66</v>
      </c>
      <c r="EP270" s="296" t="s">
        <v>1165</v>
      </c>
      <c r="EQ270" s="296"/>
      <c r="ER270" s="119"/>
      <c r="ES270" s="119"/>
      <c r="ET270" s="119"/>
      <c r="EU270" s="119"/>
      <c r="EW270" s="295">
        <v>66</v>
      </c>
      <c r="EX270" s="296" t="s">
        <v>1165</v>
      </c>
      <c r="EY270" s="296"/>
      <c r="EZ270" s="119"/>
      <c r="FA270" s="119"/>
      <c r="FB270" s="119"/>
      <c r="FC270" s="119"/>
    </row>
    <row r="271" spans="1:159" x14ac:dyDescent="0.3">
      <c r="Q271" s="295">
        <v>82</v>
      </c>
      <c r="R271" s="296" t="s">
        <v>47</v>
      </c>
      <c r="S271" s="296"/>
      <c r="T271" s="141"/>
      <c r="U271" s="141"/>
      <c r="V271" s="141"/>
      <c r="W271" s="141"/>
      <c r="Y271" s="295">
        <v>82</v>
      </c>
      <c r="Z271" s="296" t="s">
        <v>47</v>
      </c>
      <c r="AA271" s="296"/>
      <c r="AB271" s="141"/>
      <c r="AC271" s="141"/>
      <c r="AD271" s="141"/>
      <c r="AE271" s="141"/>
      <c r="AG271" s="276">
        <v>96</v>
      </c>
      <c r="AH271" s="277" t="s">
        <v>185</v>
      </c>
      <c r="AI271" s="277"/>
      <c r="AJ271" s="119">
        <v>1</v>
      </c>
      <c r="AK271" s="119">
        <v>3</v>
      </c>
      <c r="AL271" s="119"/>
      <c r="AM271" s="119"/>
      <c r="AO271" s="276">
        <v>96</v>
      </c>
      <c r="AP271" s="277" t="s">
        <v>185</v>
      </c>
      <c r="AQ271" s="277"/>
      <c r="AR271" s="119">
        <v>1</v>
      </c>
      <c r="AS271" s="119">
        <v>1</v>
      </c>
      <c r="AT271" s="119"/>
      <c r="AU271" s="119"/>
      <c r="AW271" s="295">
        <v>82</v>
      </c>
      <c r="AX271" s="296" t="s">
        <v>47</v>
      </c>
      <c r="AY271" s="296"/>
      <c r="AZ271" s="141"/>
      <c r="BA271" s="141"/>
      <c r="BB271" s="141"/>
      <c r="BC271" s="141"/>
      <c r="BE271" s="295">
        <v>82</v>
      </c>
      <c r="BF271" s="296" t="s">
        <v>47</v>
      </c>
      <c r="BG271" s="296"/>
      <c r="BH271" s="141"/>
      <c r="BI271" s="141"/>
      <c r="BJ271" s="141"/>
      <c r="BK271" s="141"/>
      <c r="BM271" s="276">
        <v>76</v>
      </c>
      <c r="BN271" s="277" t="s">
        <v>1172</v>
      </c>
      <c r="BO271" s="277"/>
      <c r="BP271" s="119"/>
      <c r="BQ271" s="128"/>
      <c r="BR271" s="128"/>
      <c r="BS271" s="128"/>
      <c r="BU271" s="276">
        <v>76</v>
      </c>
      <c r="BV271" s="277" t="s">
        <v>1172</v>
      </c>
      <c r="BW271" s="277"/>
      <c r="BX271" s="119"/>
      <c r="BY271" s="119">
        <v>1</v>
      </c>
      <c r="BZ271" s="128"/>
      <c r="CA271" s="128">
        <v>2</v>
      </c>
      <c r="CC271" s="295">
        <v>82</v>
      </c>
      <c r="CD271" s="296" t="s">
        <v>47</v>
      </c>
      <c r="CE271" s="296"/>
      <c r="CF271" s="141"/>
      <c r="CG271" s="141"/>
      <c r="CH271" s="141"/>
      <c r="CI271" s="141"/>
      <c r="CK271" s="295">
        <v>82</v>
      </c>
      <c r="CL271" s="296" t="s">
        <v>47</v>
      </c>
      <c r="CM271" s="296"/>
      <c r="CN271" s="141"/>
      <c r="CO271" s="141"/>
      <c r="CP271" s="141"/>
      <c r="CQ271" s="141"/>
      <c r="CS271" s="299">
        <v>75</v>
      </c>
      <c r="CT271" s="273" t="s">
        <v>55</v>
      </c>
      <c r="CU271" s="273"/>
      <c r="CV271" s="303"/>
      <c r="CW271" s="303">
        <v>1</v>
      </c>
      <c r="CX271" s="303"/>
      <c r="CY271" s="303"/>
      <c r="DA271" s="276">
        <v>76</v>
      </c>
      <c r="DB271" s="277" t="s">
        <v>1172</v>
      </c>
      <c r="DC271" s="277"/>
      <c r="DD271" s="119"/>
      <c r="DE271" s="119"/>
      <c r="DF271" s="128"/>
      <c r="DG271" s="128"/>
      <c r="DI271" s="299">
        <v>75</v>
      </c>
      <c r="DJ271" s="273" t="s">
        <v>55</v>
      </c>
      <c r="DK271" s="273"/>
      <c r="DL271" s="303"/>
      <c r="DM271" s="303"/>
      <c r="DN271" s="303"/>
      <c r="DO271" s="303"/>
      <c r="EO271" s="299">
        <v>75</v>
      </c>
      <c r="EP271" s="273" t="s">
        <v>55</v>
      </c>
      <c r="EQ271" s="273"/>
      <c r="ER271" s="303"/>
      <c r="ES271" s="303"/>
      <c r="ET271" s="303"/>
      <c r="EU271" s="303"/>
      <c r="EW271" s="299">
        <v>75</v>
      </c>
      <c r="EX271" s="273" t="s">
        <v>55</v>
      </c>
      <c r="EY271" s="273"/>
      <c r="EZ271" s="303"/>
      <c r="FA271" s="303"/>
      <c r="FB271" s="303"/>
      <c r="FC271" s="303"/>
    </row>
    <row r="272" spans="1:159" x14ac:dyDescent="0.3">
      <c r="Q272" s="278">
        <v>96</v>
      </c>
      <c r="R272" s="279" t="s">
        <v>185</v>
      </c>
      <c r="S272" s="279"/>
      <c r="T272" s="229">
        <v>2</v>
      </c>
      <c r="U272" s="229">
        <v>1</v>
      </c>
      <c r="V272" s="229"/>
      <c r="W272" s="229"/>
      <c r="Y272" s="278">
        <v>96</v>
      </c>
      <c r="Z272" s="279" t="s">
        <v>185</v>
      </c>
      <c r="AA272" s="279"/>
      <c r="AB272" s="229">
        <v>1</v>
      </c>
      <c r="AC272" s="229"/>
      <c r="AD272" s="229"/>
      <c r="AE272" s="229"/>
      <c r="AW272" s="278">
        <v>96</v>
      </c>
      <c r="AX272" s="279" t="s">
        <v>185</v>
      </c>
      <c r="AY272" s="279"/>
      <c r="AZ272" s="229">
        <v>1</v>
      </c>
      <c r="BA272" s="229"/>
      <c r="BB272" s="229"/>
      <c r="BC272" s="229"/>
      <c r="BE272" s="278">
        <v>96</v>
      </c>
      <c r="BF272" s="279" t="s">
        <v>185</v>
      </c>
      <c r="BG272" s="279"/>
      <c r="BH272" s="229">
        <v>3</v>
      </c>
      <c r="BI272" s="229"/>
      <c r="BJ272" s="229"/>
      <c r="BK272" s="229"/>
      <c r="BM272" s="293">
        <v>82</v>
      </c>
      <c r="BN272" s="294" t="s">
        <v>47</v>
      </c>
      <c r="BO272" s="294"/>
      <c r="BP272" s="304"/>
      <c r="BQ272" s="304"/>
      <c r="BR272" s="304"/>
      <c r="BS272" s="304"/>
      <c r="BU272" s="293">
        <v>82</v>
      </c>
      <c r="BV272" s="294" t="s">
        <v>47</v>
      </c>
      <c r="BW272" s="294"/>
      <c r="BX272" s="230">
        <v>1</v>
      </c>
      <c r="BY272" s="304"/>
      <c r="BZ272" s="304"/>
      <c r="CA272" s="304"/>
      <c r="CC272" s="278">
        <v>96</v>
      </c>
      <c r="CD272" s="279" t="s">
        <v>185</v>
      </c>
      <c r="CE272" s="279"/>
      <c r="CF272" s="229">
        <v>2</v>
      </c>
      <c r="CG272" s="229"/>
      <c r="CH272" s="229"/>
      <c r="CI272" s="229"/>
      <c r="CK272" s="278">
        <v>96</v>
      </c>
      <c r="CL272" s="279" t="s">
        <v>185</v>
      </c>
      <c r="CM272" s="279"/>
      <c r="CN272" s="229"/>
      <c r="CO272" s="229">
        <v>2</v>
      </c>
      <c r="CP272" s="229"/>
      <c r="CQ272" s="229"/>
      <c r="CS272" s="276">
        <v>76</v>
      </c>
      <c r="CT272" s="277" t="s">
        <v>1172</v>
      </c>
      <c r="CU272" s="277"/>
      <c r="CV272" s="119">
        <v>1</v>
      </c>
      <c r="CW272" s="128"/>
      <c r="CX272" s="128"/>
      <c r="CY272" s="128"/>
      <c r="DA272" s="293">
        <v>82</v>
      </c>
      <c r="DB272" s="294" t="s">
        <v>47</v>
      </c>
      <c r="DC272" s="294"/>
      <c r="DD272" s="230"/>
      <c r="DE272" s="304"/>
      <c r="DF272" s="304"/>
      <c r="DG272" s="304"/>
      <c r="DI272" s="276">
        <v>76</v>
      </c>
      <c r="DJ272" s="277" t="s">
        <v>1172</v>
      </c>
      <c r="DK272" s="277"/>
      <c r="DL272" s="119"/>
      <c r="DM272" s="119">
        <v>1</v>
      </c>
      <c r="DN272" s="128"/>
      <c r="DO272" s="128"/>
      <c r="EO272" s="276">
        <v>76</v>
      </c>
      <c r="EP272" s="277" t="s">
        <v>1172</v>
      </c>
      <c r="EQ272" s="277"/>
      <c r="ER272" s="119"/>
      <c r="ES272" s="119"/>
      <c r="ET272" s="128"/>
      <c r="EU272" s="128"/>
      <c r="EW272" s="276">
        <v>76</v>
      </c>
      <c r="EX272" s="277" t="s">
        <v>1172</v>
      </c>
      <c r="EY272" s="277"/>
      <c r="EZ272" s="119"/>
      <c r="FA272" s="119"/>
      <c r="FB272" s="128"/>
      <c r="FC272" s="128"/>
    </row>
    <row r="273" spans="65:159" x14ac:dyDescent="0.3">
      <c r="BM273" s="276">
        <v>96</v>
      </c>
      <c r="BN273" s="277" t="s">
        <v>185</v>
      </c>
      <c r="BO273" s="277"/>
      <c r="BP273" s="119">
        <v>1</v>
      </c>
      <c r="BQ273" s="119">
        <v>1</v>
      </c>
      <c r="BR273" s="119"/>
      <c r="BS273" s="119"/>
      <c r="BU273" s="276">
        <v>96</v>
      </c>
      <c r="BV273" s="277" t="s">
        <v>185</v>
      </c>
      <c r="BW273" s="277"/>
      <c r="BX273" s="119">
        <v>2</v>
      </c>
      <c r="BY273" s="119">
        <v>3</v>
      </c>
      <c r="BZ273" s="119"/>
      <c r="CA273" s="119"/>
      <c r="CS273" s="293">
        <v>82</v>
      </c>
      <c r="CT273" s="294" t="s">
        <v>47</v>
      </c>
      <c r="CU273" s="294"/>
      <c r="CV273" s="304"/>
      <c r="CW273" s="304"/>
      <c r="CX273" s="304"/>
      <c r="CY273" s="304"/>
      <c r="DA273" s="276">
        <v>96</v>
      </c>
      <c r="DB273" s="277" t="s">
        <v>185</v>
      </c>
      <c r="DC273" s="277"/>
      <c r="DD273" s="119"/>
      <c r="DE273" s="119"/>
      <c r="DF273" s="119"/>
      <c r="DG273" s="119"/>
      <c r="DI273" s="293">
        <v>82</v>
      </c>
      <c r="DJ273" s="294" t="s">
        <v>47</v>
      </c>
      <c r="DK273" s="294"/>
      <c r="DL273" s="304"/>
      <c r="DM273" s="304"/>
      <c r="DN273" s="304"/>
      <c r="DO273" s="304"/>
      <c r="EO273" s="293">
        <v>82</v>
      </c>
      <c r="EP273" s="294" t="s">
        <v>47</v>
      </c>
      <c r="EQ273" s="294"/>
      <c r="ER273" s="304"/>
      <c r="ES273" s="304"/>
      <c r="ET273" s="304"/>
      <c r="EU273" s="304"/>
      <c r="EW273" s="293">
        <v>82</v>
      </c>
      <c r="EX273" s="294" t="s">
        <v>47</v>
      </c>
      <c r="EY273" s="294"/>
      <c r="EZ273" s="304"/>
      <c r="FA273" s="304"/>
      <c r="FB273" s="304"/>
      <c r="FC273" s="304"/>
    </row>
    <row r="274" spans="65:159" x14ac:dyDescent="0.3">
      <c r="CS274" s="276">
        <v>96</v>
      </c>
      <c r="CT274" s="277" t="s">
        <v>185</v>
      </c>
      <c r="CU274" s="277"/>
      <c r="CV274" s="119">
        <v>2</v>
      </c>
      <c r="CW274" s="119"/>
      <c r="CX274" s="119"/>
      <c r="CY274" s="119">
        <v>2</v>
      </c>
      <c r="DI274" s="276">
        <v>96</v>
      </c>
      <c r="DJ274" s="277" t="s">
        <v>185</v>
      </c>
      <c r="DK274" s="277"/>
      <c r="DL274" s="119">
        <v>3</v>
      </c>
      <c r="DM274" s="119">
        <v>2</v>
      </c>
      <c r="DN274" s="119"/>
      <c r="DO274" s="119"/>
      <c r="EO274" s="276">
        <v>96</v>
      </c>
      <c r="EP274" s="277" t="s">
        <v>185</v>
      </c>
      <c r="EQ274" s="277"/>
      <c r="ER274" s="119"/>
      <c r="ES274" s="119"/>
      <c r="ET274" s="119"/>
      <c r="EU274" s="119"/>
      <c r="EW274" s="276">
        <v>96</v>
      </c>
      <c r="EX274" s="277" t="s">
        <v>185</v>
      </c>
      <c r="EY274" s="277"/>
      <c r="EZ274" s="119"/>
      <c r="FA274" s="119"/>
      <c r="FB274" s="119"/>
      <c r="FC274" s="119"/>
    </row>
  </sheetData>
  <pageMargins left="0.7" right="0.7" top="0.75" bottom="0.75" header="0.3" footer="0.3"/>
  <pageSetup paperSize="9" orientation="portrait" verticalDpi="0" r:id="rId1"/>
  <ignoredErrors>
    <ignoredError sqref="B15 J15:J16" twoDigitTextYear="1"/>
    <ignoredError sqref="L27" numberStoredAsText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FO285"/>
  <sheetViews>
    <sheetView workbookViewId="0">
      <selection activeCell="Y80" sqref="Y80:AF95"/>
    </sheetView>
  </sheetViews>
  <sheetFormatPr defaultColWidth="9.109375" defaultRowHeight="14.4" x14ac:dyDescent="0.3"/>
  <cols>
    <col min="1" max="2" width="2.88671875" customWidth="1"/>
    <col min="4" max="5" width="14.33203125" customWidth="1"/>
    <col min="6" max="10" width="3.5546875" customWidth="1"/>
    <col min="11" max="13" width="2.88671875" customWidth="1"/>
    <col min="15" max="16" width="14.33203125" customWidth="1"/>
    <col min="17" max="21" width="3.5546875" customWidth="1"/>
    <col min="22" max="24" width="2.88671875" customWidth="1"/>
    <col min="26" max="27" width="14.33203125" customWidth="1"/>
    <col min="28" max="32" width="3.5546875" customWidth="1"/>
    <col min="33" max="35" width="2.88671875" customWidth="1"/>
    <col min="37" max="38" width="14.33203125" customWidth="1"/>
    <col min="39" max="43" width="3.5546875" customWidth="1"/>
    <col min="44" max="44" width="2.88671875" customWidth="1"/>
    <col min="48" max="51" width="2.88671875" customWidth="1"/>
    <col min="56" max="59" width="2.88671875" customWidth="1"/>
    <col min="64" max="67" width="2.88671875" customWidth="1"/>
    <col min="72" max="75" width="2.88671875" customWidth="1"/>
    <col min="80" max="83" width="2.88671875" customWidth="1"/>
    <col min="88" max="91" width="2.88671875" customWidth="1"/>
    <col min="96" max="99" width="2.88671875" customWidth="1"/>
    <col min="104" max="107" width="2.88671875" customWidth="1"/>
    <col min="112" max="115" width="2.88671875" customWidth="1"/>
    <col min="120" max="123" width="2.88671875" customWidth="1"/>
    <col min="128" max="131" width="2.88671875" customWidth="1"/>
    <col min="136" max="139" width="2.88671875" customWidth="1"/>
    <col min="144" max="147" width="2.88671875" customWidth="1"/>
    <col min="152" max="155" width="2.88671875" customWidth="1"/>
    <col min="160" max="163" width="2.88671875" customWidth="1"/>
    <col min="168" max="171" width="2.88671875" customWidth="1"/>
  </cols>
  <sheetData>
    <row r="2" spans="2:44" ht="21" x14ac:dyDescent="0.4">
      <c r="B2" s="94" t="s">
        <v>0</v>
      </c>
      <c r="C2" s="94"/>
      <c r="N2" s="94"/>
      <c r="O2" s="94"/>
      <c r="Y2" s="94"/>
      <c r="Z2" s="94"/>
      <c r="AJ2" s="94"/>
      <c r="AK2" s="94"/>
    </row>
    <row r="3" spans="2:44" ht="21" x14ac:dyDescent="0.4">
      <c r="B3" s="148" t="s">
        <v>1392</v>
      </c>
      <c r="C3" s="94"/>
      <c r="E3" s="264" t="s">
        <v>1108</v>
      </c>
      <c r="F3" s="264"/>
      <c r="G3" s="264" t="s">
        <v>1109</v>
      </c>
      <c r="N3" s="148"/>
      <c r="O3" s="94"/>
      <c r="P3" s="264"/>
      <c r="Q3" s="264"/>
      <c r="R3" s="264"/>
      <c r="Y3" s="148"/>
      <c r="Z3" s="94"/>
      <c r="AA3" s="264"/>
      <c r="AB3" s="264"/>
      <c r="AC3" s="264"/>
      <c r="AJ3" s="148"/>
      <c r="AK3" s="94"/>
      <c r="AL3" s="264"/>
      <c r="AM3" s="264"/>
      <c r="AN3" s="264"/>
    </row>
    <row r="4" spans="2:44" ht="15" customHeight="1" thickBot="1" x14ac:dyDescent="0.35"/>
    <row r="5" spans="2:44" ht="15" customHeight="1" x14ac:dyDescent="0.3">
      <c r="B5" s="313"/>
      <c r="C5" s="314"/>
      <c r="D5" s="314"/>
      <c r="E5" s="314"/>
      <c r="F5" s="314"/>
      <c r="G5" s="314"/>
      <c r="H5" s="314"/>
      <c r="I5" s="314"/>
      <c r="J5" s="314"/>
      <c r="K5" s="315"/>
      <c r="M5" s="313"/>
      <c r="N5" s="314"/>
      <c r="O5" s="314"/>
      <c r="P5" s="314"/>
      <c r="Q5" s="314"/>
      <c r="R5" s="314"/>
      <c r="S5" s="314"/>
      <c r="T5" s="314"/>
      <c r="U5" s="314"/>
      <c r="V5" s="315"/>
      <c r="X5" s="313"/>
      <c r="Y5" s="314"/>
      <c r="Z5" s="314"/>
      <c r="AA5" s="314"/>
      <c r="AB5" s="314"/>
      <c r="AC5" s="314"/>
      <c r="AD5" s="314"/>
      <c r="AE5" s="314"/>
      <c r="AF5" s="314"/>
      <c r="AG5" s="315"/>
      <c r="AI5" s="313"/>
      <c r="AJ5" s="314"/>
      <c r="AK5" s="314"/>
      <c r="AL5" s="314"/>
      <c r="AM5" s="314"/>
      <c r="AN5" s="314"/>
      <c r="AO5" s="314"/>
      <c r="AP5" s="314"/>
      <c r="AQ5" s="314"/>
      <c r="AR5" s="315"/>
    </row>
    <row r="6" spans="2:44" ht="15" customHeight="1" x14ac:dyDescent="0.3">
      <c r="B6" s="316"/>
      <c r="C6" s="317" t="s">
        <v>1114</v>
      </c>
      <c r="D6" s="318">
        <v>1</v>
      </c>
      <c r="E6" s="319"/>
      <c r="F6" s="319"/>
      <c r="G6" s="319"/>
      <c r="H6" s="319"/>
      <c r="I6" s="319"/>
      <c r="J6" s="319"/>
      <c r="K6" s="320"/>
      <c r="M6" s="316"/>
      <c r="N6" s="317" t="s">
        <v>1114</v>
      </c>
      <c r="O6" s="318">
        <v>2</v>
      </c>
      <c r="P6" s="319"/>
      <c r="Q6" s="319"/>
      <c r="R6" s="319"/>
      <c r="S6" s="319"/>
      <c r="T6" s="319"/>
      <c r="U6" s="319"/>
      <c r="V6" s="320"/>
      <c r="X6" s="316"/>
      <c r="Y6" s="317" t="s">
        <v>1114</v>
      </c>
      <c r="Z6" s="318">
        <v>3</v>
      </c>
      <c r="AA6" s="319"/>
      <c r="AB6" s="319"/>
      <c r="AC6" s="319"/>
      <c r="AD6" s="319"/>
      <c r="AE6" s="319"/>
      <c r="AF6" s="319"/>
      <c r="AG6" s="320"/>
      <c r="AI6" s="316"/>
      <c r="AJ6" s="317" t="s">
        <v>1114</v>
      </c>
      <c r="AK6" s="318">
        <v>4</v>
      </c>
      <c r="AL6" s="319"/>
      <c r="AM6" s="319"/>
      <c r="AN6" s="319"/>
      <c r="AO6" s="319"/>
      <c r="AP6" s="319"/>
      <c r="AQ6" s="319"/>
      <c r="AR6" s="320"/>
    </row>
    <row r="7" spans="2:44" ht="15" customHeight="1" x14ac:dyDescent="0.3">
      <c r="B7" s="316"/>
      <c r="C7" s="317"/>
      <c r="D7" s="321">
        <v>42273</v>
      </c>
      <c r="E7" s="317" t="s">
        <v>1398</v>
      </c>
      <c r="F7" s="317"/>
      <c r="G7" s="319"/>
      <c r="H7" s="319"/>
      <c r="I7" s="319"/>
      <c r="J7" s="319"/>
      <c r="K7" s="320"/>
      <c r="M7" s="316"/>
      <c r="N7" s="317"/>
      <c r="O7" s="321">
        <v>42273</v>
      </c>
      <c r="P7" s="317" t="s">
        <v>1398</v>
      </c>
      <c r="Q7" s="317"/>
      <c r="R7" s="319"/>
      <c r="S7" s="319"/>
      <c r="T7" s="319"/>
      <c r="U7" s="319"/>
      <c r="V7" s="320"/>
      <c r="X7" s="316"/>
      <c r="Y7" s="317"/>
      <c r="Z7" s="321">
        <v>42294</v>
      </c>
      <c r="AA7" s="317" t="s">
        <v>1399</v>
      </c>
      <c r="AB7" s="317"/>
      <c r="AC7" s="319"/>
      <c r="AD7" s="319"/>
      <c r="AE7" s="319"/>
      <c r="AF7" s="319"/>
      <c r="AG7" s="320"/>
      <c r="AI7" s="316"/>
      <c r="AJ7" s="317"/>
      <c r="AK7" s="321">
        <v>42294</v>
      </c>
      <c r="AL7" s="317" t="s">
        <v>1399</v>
      </c>
      <c r="AM7" s="317"/>
      <c r="AN7" s="319"/>
      <c r="AO7" s="319"/>
      <c r="AP7" s="319"/>
      <c r="AQ7" s="319"/>
      <c r="AR7" s="320"/>
    </row>
    <row r="8" spans="2:44" ht="15" customHeight="1" x14ac:dyDescent="0.3">
      <c r="B8" s="316"/>
      <c r="C8" s="317"/>
      <c r="D8" s="321"/>
      <c r="E8" s="317"/>
      <c r="F8" s="317"/>
      <c r="G8" s="319"/>
      <c r="H8" s="319"/>
      <c r="I8" s="319"/>
      <c r="J8" s="319"/>
      <c r="K8" s="320"/>
      <c r="M8" s="316"/>
      <c r="N8" s="317"/>
      <c r="O8" s="321"/>
      <c r="P8" s="317"/>
      <c r="Q8" s="317"/>
      <c r="R8" s="319"/>
      <c r="S8" s="319"/>
      <c r="T8" s="319"/>
      <c r="U8" s="319"/>
      <c r="V8" s="320"/>
      <c r="X8" s="316"/>
      <c r="Y8" s="317"/>
      <c r="Z8" s="321"/>
      <c r="AA8" s="317"/>
      <c r="AB8" s="317"/>
      <c r="AC8" s="319"/>
      <c r="AD8" s="319"/>
      <c r="AE8" s="319"/>
      <c r="AF8" s="319"/>
      <c r="AG8" s="320"/>
      <c r="AI8" s="316"/>
      <c r="AJ8" s="317"/>
      <c r="AK8" s="321"/>
      <c r="AL8" s="317"/>
      <c r="AM8" s="317"/>
      <c r="AN8" s="319"/>
      <c r="AO8" s="319"/>
      <c r="AP8" s="319"/>
      <c r="AQ8" s="319"/>
      <c r="AR8" s="320"/>
    </row>
    <row r="9" spans="2:44" ht="15" customHeight="1" x14ac:dyDescent="0.3">
      <c r="B9" s="316"/>
      <c r="C9" s="317"/>
      <c r="D9" s="343" t="s">
        <v>1407</v>
      </c>
      <c r="E9" s="344" t="s">
        <v>1410</v>
      </c>
      <c r="F9" s="317"/>
      <c r="G9" s="319"/>
      <c r="H9" s="319"/>
      <c r="I9" s="319"/>
      <c r="J9" s="319"/>
      <c r="K9" s="320"/>
      <c r="M9" s="316"/>
      <c r="N9" s="317"/>
      <c r="O9" s="343" t="s">
        <v>1407</v>
      </c>
      <c r="P9" s="344" t="s">
        <v>1410</v>
      </c>
      <c r="Q9" s="317"/>
      <c r="R9" s="319"/>
      <c r="S9" s="319"/>
      <c r="T9" s="319"/>
      <c r="U9" s="319"/>
      <c r="V9" s="320"/>
      <c r="X9" s="316"/>
      <c r="Y9" s="317"/>
      <c r="Z9" s="343" t="s">
        <v>1407</v>
      </c>
      <c r="AA9" s="344" t="s">
        <v>1409</v>
      </c>
      <c r="AB9" s="317"/>
      <c r="AC9" s="319"/>
      <c r="AD9" s="319"/>
      <c r="AE9" s="319"/>
      <c r="AF9" s="319"/>
      <c r="AG9" s="320"/>
      <c r="AI9" s="316"/>
      <c r="AJ9" s="317"/>
      <c r="AK9" s="343" t="s">
        <v>1407</v>
      </c>
      <c r="AL9" s="344" t="s">
        <v>1409</v>
      </c>
      <c r="AM9" s="317"/>
      <c r="AN9" s="319"/>
      <c r="AO9" s="319"/>
      <c r="AP9" s="319"/>
      <c r="AQ9" s="319"/>
      <c r="AR9" s="320"/>
    </row>
    <row r="10" spans="2:44" ht="15" customHeight="1" x14ac:dyDescent="0.3">
      <c r="B10" s="316"/>
      <c r="C10" s="317"/>
      <c r="D10" s="321"/>
      <c r="E10" s="317"/>
      <c r="F10" s="317"/>
      <c r="G10" s="319"/>
      <c r="H10" s="319"/>
      <c r="I10" s="319"/>
      <c r="J10" s="319"/>
      <c r="K10" s="320"/>
      <c r="M10" s="316"/>
      <c r="N10" s="317"/>
      <c r="O10" s="321"/>
      <c r="P10" s="317"/>
      <c r="Q10" s="317"/>
      <c r="R10" s="319"/>
      <c r="S10" s="319"/>
      <c r="T10" s="319"/>
      <c r="U10" s="319"/>
      <c r="V10" s="320"/>
      <c r="X10" s="316"/>
      <c r="Y10" s="317"/>
      <c r="Z10" s="321"/>
      <c r="AA10" s="317"/>
      <c r="AB10" s="317"/>
      <c r="AC10" s="319"/>
      <c r="AD10" s="319"/>
      <c r="AE10" s="319"/>
      <c r="AF10" s="319"/>
      <c r="AG10" s="320"/>
      <c r="AI10" s="316"/>
      <c r="AJ10" s="317"/>
      <c r="AK10" s="321"/>
      <c r="AL10" s="317"/>
      <c r="AM10" s="317"/>
      <c r="AN10" s="319"/>
      <c r="AO10" s="319"/>
      <c r="AP10" s="319"/>
      <c r="AQ10" s="319"/>
      <c r="AR10" s="320"/>
    </row>
    <row r="11" spans="2:44" ht="15" customHeight="1" x14ac:dyDescent="0.3">
      <c r="B11" s="316"/>
      <c r="C11" s="319"/>
      <c r="D11" s="322" t="s">
        <v>1394</v>
      </c>
      <c r="E11" s="322" t="s">
        <v>0</v>
      </c>
      <c r="F11" s="322"/>
      <c r="G11" s="319"/>
      <c r="H11" s="319"/>
      <c r="I11" s="319"/>
      <c r="J11" s="319"/>
      <c r="K11" s="320"/>
      <c r="M11" s="316"/>
      <c r="N11" s="319"/>
      <c r="O11" s="322" t="s">
        <v>1395</v>
      </c>
      <c r="P11" s="322" t="s">
        <v>0</v>
      </c>
      <c r="Q11" s="322"/>
      <c r="R11" s="319"/>
      <c r="S11" s="319"/>
      <c r="T11" s="319"/>
      <c r="U11" s="319"/>
      <c r="V11" s="320"/>
      <c r="X11" s="316"/>
      <c r="Y11" s="319"/>
      <c r="Z11" s="322" t="s">
        <v>0</v>
      </c>
      <c r="AA11" s="322" t="s">
        <v>1396</v>
      </c>
      <c r="AB11" s="322"/>
      <c r="AC11" s="319"/>
      <c r="AD11" s="319"/>
      <c r="AE11" s="319"/>
      <c r="AF11" s="319"/>
      <c r="AG11" s="320"/>
      <c r="AI11" s="316"/>
      <c r="AJ11" s="319"/>
      <c r="AK11" s="322" t="s">
        <v>0</v>
      </c>
      <c r="AL11" s="322" t="s">
        <v>1195</v>
      </c>
      <c r="AM11" s="322"/>
      <c r="AN11" s="319"/>
      <c r="AO11" s="319"/>
      <c r="AP11" s="319"/>
      <c r="AQ11" s="319"/>
      <c r="AR11" s="320"/>
    </row>
    <row r="12" spans="2:44" ht="15" customHeight="1" x14ac:dyDescent="0.3">
      <c r="B12" s="316"/>
      <c r="C12" s="319"/>
      <c r="D12" s="213">
        <f>D14+D15+D16</f>
        <v>5</v>
      </c>
      <c r="E12" s="213">
        <f>E14+E15+E16</f>
        <v>5</v>
      </c>
      <c r="F12" s="312"/>
      <c r="G12" s="319"/>
      <c r="H12" s="319"/>
      <c r="I12" s="319"/>
      <c r="J12" s="319"/>
      <c r="K12" s="320"/>
      <c r="M12" s="316"/>
      <c r="N12" s="319"/>
      <c r="O12" s="213">
        <f>O14+O15+O16</f>
        <v>7</v>
      </c>
      <c r="P12" s="213">
        <f>P14+P15+P16</f>
        <v>7</v>
      </c>
      <c r="Q12" s="312"/>
      <c r="R12" s="319"/>
      <c r="S12" s="319"/>
      <c r="T12" s="319"/>
      <c r="U12" s="319"/>
      <c r="V12" s="320"/>
      <c r="X12" s="316"/>
      <c r="Y12" s="319"/>
      <c r="Z12" s="213">
        <f>Z14+Z15+Z16</f>
        <v>8</v>
      </c>
      <c r="AA12" s="213">
        <f>AA14+AA15+AA16</f>
        <v>5</v>
      </c>
      <c r="AB12" s="312"/>
      <c r="AC12" s="319"/>
      <c r="AD12" s="319"/>
      <c r="AE12" s="319"/>
      <c r="AF12" s="319"/>
      <c r="AG12" s="320"/>
      <c r="AI12" s="316"/>
      <c r="AJ12" s="319"/>
      <c r="AK12" s="213">
        <f>AK14+AK15+AK16</f>
        <v>10</v>
      </c>
      <c r="AL12" s="213">
        <f>AL14+AL15+AL16</f>
        <v>9</v>
      </c>
      <c r="AM12" s="312"/>
      <c r="AN12" s="319"/>
      <c r="AO12" s="319"/>
      <c r="AP12" s="319"/>
      <c r="AQ12" s="319"/>
      <c r="AR12" s="320"/>
    </row>
    <row r="13" spans="2:44" ht="15" customHeight="1" x14ac:dyDescent="0.3">
      <c r="B13" s="316"/>
      <c r="C13" s="319"/>
      <c r="D13" s="319"/>
      <c r="E13" s="319"/>
      <c r="F13" s="319"/>
      <c r="G13" s="319"/>
      <c r="H13" s="319"/>
      <c r="I13" s="319"/>
      <c r="J13" s="319"/>
      <c r="K13" s="320"/>
      <c r="M13" s="316"/>
      <c r="N13" s="319"/>
      <c r="O13" s="319"/>
      <c r="P13" s="319"/>
      <c r="Q13" s="319"/>
      <c r="R13" s="319"/>
      <c r="S13" s="319"/>
      <c r="T13" s="319"/>
      <c r="U13" s="319"/>
      <c r="V13" s="320"/>
      <c r="X13" s="316"/>
      <c r="Y13" s="319"/>
      <c r="Z13" s="319"/>
      <c r="AA13" s="319"/>
      <c r="AB13" s="319"/>
      <c r="AC13" s="319"/>
      <c r="AD13" s="319"/>
      <c r="AE13" s="319"/>
      <c r="AF13" s="319"/>
      <c r="AG13" s="320"/>
      <c r="AI13" s="316"/>
      <c r="AJ13" s="319"/>
      <c r="AK13" s="319"/>
      <c r="AL13" s="319"/>
      <c r="AM13" s="319"/>
      <c r="AN13" s="319"/>
      <c r="AO13" s="319"/>
      <c r="AP13" s="319"/>
      <c r="AQ13" s="319"/>
      <c r="AR13" s="320"/>
    </row>
    <row r="14" spans="2:44" ht="15" customHeight="1" x14ac:dyDescent="0.3">
      <c r="B14" s="316"/>
      <c r="C14" s="317" t="s">
        <v>1111</v>
      </c>
      <c r="D14" s="213">
        <v>5</v>
      </c>
      <c r="E14" s="213">
        <v>5</v>
      </c>
      <c r="F14" s="312"/>
      <c r="G14" s="319"/>
      <c r="H14" s="319"/>
      <c r="I14" s="319"/>
      <c r="J14" s="319"/>
      <c r="K14" s="320"/>
      <c r="M14" s="316"/>
      <c r="N14" s="317" t="s">
        <v>1111</v>
      </c>
      <c r="O14" s="213">
        <v>7</v>
      </c>
      <c r="P14" s="213">
        <v>7</v>
      </c>
      <c r="Q14" s="312"/>
      <c r="R14" s="319"/>
      <c r="S14" s="319"/>
      <c r="T14" s="319"/>
      <c r="U14" s="319"/>
      <c r="V14" s="320"/>
      <c r="X14" s="316"/>
      <c r="Y14" s="317" t="s">
        <v>1111</v>
      </c>
      <c r="Z14" s="213">
        <v>4</v>
      </c>
      <c r="AA14" s="213">
        <v>3</v>
      </c>
      <c r="AB14" s="312"/>
      <c r="AC14" s="319"/>
      <c r="AD14" s="319"/>
      <c r="AE14" s="319"/>
      <c r="AF14" s="319"/>
      <c r="AG14" s="320"/>
      <c r="AI14" s="316"/>
      <c r="AJ14" s="317" t="s">
        <v>1111</v>
      </c>
      <c r="AK14" s="213">
        <v>4</v>
      </c>
      <c r="AL14" s="213">
        <v>4</v>
      </c>
      <c r="AM14" s="312"/>
      <c r="AN14" s="319"/>
      <c r="AO14" s="319"/>
      <c r="AP14" s="319"/>
      <c r="AQ14" s="319"/>
      <c r="AR14" s="320"/>
    </row>
    <row r="15" spans="2:44" ht="15" customHeight="1" x14ac:dyDescent="0.3">
      <c r="B15" s="316"/>
      <c r="C15" s="317" t="s">
        <v>1112</v>
      </c>
      <c r="D15" s="213">
        <v>0</v>
      </c>
      <c r="E15" s="213">
        <v>0</v>
      </c>
      <c r="F15" s="312"/>
      <c r="G15" s="319"/>
      <c r="H15" s="319"/>
      <c r="I15" s="319"/>
      <c r="J15" s="319"/>
      <c r="K15" s="320"/>
      <c r="M15" s="316"/>
      <c r="N15" s="317" t="s">
        <v>1112</v>
      </c>
      <c r="O15" s="213">
        <v>0</v>
      </c>
      <c r="P15" s="213">
        <v>0</v>
      </c>
      <c r="Q15" s="312"/>
      <c r="R15" s="319"/>
      <c r="S15" s="319"/>
      <c r="T15" s="319"/>
      <c r="U15" s="319"/>
      <c r="V15" s="320"/>
      <c r="X15" s="316"/>
      <c r="Y15" s="317" t="s">
        <v>1112</v>
      </c>
      <c r="Z15" s="213">
        <v>1</v>
      </c>
      <c r="AA15" s="213">
        <v>1</v>
      </c>
      <c r="AB15" s="312"/>
      <c r="AC15" s="319"/>
      <c r="AD15" s="319"/>
      <c r="AE15" s="319"/>
      <c r="AF15" s="319"/>
      <c r="AG15" s="320"/>
      <c r="AI15" s="316"/>
      <c r="AJ15" s="317" t="s">
        <v>1112</v>
      </c>
      <c r="AK15" s="213">
        <v>1</v>
      </c>
      <c r="AL15" s="213">
        <v>4</v>
      </c>
      <c r="AM15" s="312"/>
      <c r="AN15" s="319"/>
      <c r="AO15" s="319"/>
      <c r="AP15" s="319"/>
      <c r="AQ15" s="319"/>
      <c r="AR15" s="320"/>
    </row>
    <row r="16" spans="2:44" ht="15" customHeight="1" x14ac:dyDescent="0.3">
      <c r="B16" s="316"/>
      <c r="C16" s="317" t="s">
        <v>1113</v>
      </c>
      <c r="D16" s="213">
        <v>0</v>
      </c>
      <c r="E16" s="213">
        <v>0</v>
      </c>
      <c r="F16" s="312"/>
      <c r="G16" s="319"/>
      <c r="H16" s="319"/>
      <c r="I16" s="319"/>
      <c r="J16" s="319"/>
      <c r="K16" s="320"/>
      <c r="M16" s="316"/>
      <c r="N16" s="317" t="s">
        <v>1113</v>
      </c>
      <c r="O16" s="213">
        <v>0</v>
      </c>
      <c r="P16" s="213">
        <v>0</v>
      </c>
      <c r="Q16" s="312"/>
      <c r="R16" s="319"/>
      <c r="S16" s="319"/>
      <c r="T16" s="319"/>
      <c r="U16" s="319"/>
      <c r="V16" s="320"/>
      <c r="X16" s="316"/>
      <c r="Y16" s="317" t="s">
        <v>1113</v>
      </c>
      <c r="Z16" s="213">
        <v>3</v>
      </c>
      <c r="AA16" s="213">
        <v>1</v>
      </c>
      <c r="AB16" s="312"/>
      <c r="AC16" s="319"/>
      <c r="AD16" s="319"/>
      <c r="AE16" s="319"/>
      <c r="AF16" s="319"/>
      <c r="AG16" s="320"/>
      <c r="AI16" s="316"/>
      <c r="AJ16" s="317" t="s">
        <v>1113</v>
      </c>
      <c r="AK16" s="213">
        <v>5</v>
      </c>
      <c r="AL16" s="213">
        <v>1</v>
      </c>
      <c r="AM16" s="312"/>
      <c r="AN16" s="319"/>
      <c r="AO16" s="319"/>
      <c r="AP16" s="319"/>
      <c r="AQ16" s="319"/>
      <c r="AR16" s="320"/>
    </row>
    <row r="17" spans="2:44" ht="15" customHeight="1" x14ac:dyDescent="0.3">
      <c r="B17" s="316"/>
      <c r="C17" s="319"/>
      <c r="D17" s="319"/>
      <c r="E17" s="319"/>
      <c r="F17" s="319"/>
      <c r="G17" s="319"/>
      <c r="H17" s="319"/>
      <c r="I17" s="319"/>
      <c r="J17" s="319"/>
      <c r="K17" s="320"/>
      <c r="M17" s="316"/>
      <c r="N17" s="319"/>
      <c r="O17" s="319"/>
      <c r="P17" s="319"/>
      <c r="Q17" s="319"/>
      <c r="R17" s="319"/>
      <c r="S17" s="319"/>
      <c r="T17" s="319"/>
      <c r="U17" s="319"/>
      <c r="V17" s="320"/>
      <c r="X17" s="316"/>
      <c r="Y17" s="319"/>
      <c r="Z17" s="319"/>
      <c r="AA17" s="319"/>
      <c r="AB17" s="319"/>
      <c r="AC17" s="319"/>
      <c r="AD17" s="319"/>
      <c r="AE17" s="319"/>
      <c r="AF17" s="319"/>
      <c r="AG17" s="320"/>
      <c r="AI17" s="316"/>
      <c r="AJ17" s="319"/>
      <c r="AK17" s="319"/>
      <c r="AL17" s="319"/>
      <c r="AM17" s="319"/>
      <c r="AN17" s="319"/>
      <c r="AO17" s="319"/>
      <c r="AP17" s="319"/>
      <c r="AQ17" s="319"/>
      <c r="AR17" s="320"/>
    </row>
    <row r="18" spans="2:44" ht="15" customHeight="1" x14ac:dyDescent="0.3">
      <c r="B18" s="316"/>
      <c r="C18" s="319"/>
      <c r="D18" s="323" t="s">
        <v>1120</v>
      </c>
      <c r="E18" s="319" t="s">
        <v>501</v>
      </c>
      <c r="F18" s="319"/>
      <c r="G18" s="312" t="s">
        <v>1128</v>
      </c>
      <c r="H18" s="312"/>
      <c r="I18" s="319"/>
      <c r="J18" s="319"/>
      <c r="K18" s="320"/>
      <c r="M18" s="316"/>
      <c r="N18" s="319"/>
      <c r="O18" s="323" t="s">
        <v>1127</v>
      </c>
      <c r="P18" s="323" t="s">
        <v>1116</v>
      </c>
      <c r="Q18" s="323"/>
      <c r="R18" s="330" t="s">
        <v>1128</v>
      </c>
      <c r="S18" s="330"/>
      <c r="T18" s="319"/>
      <c r="U18" s="319"/>
      <c r="V18" s="320"/>
      <c r="X18" s="316"/>
      <c r="Y18" s="319"/>
      <c r="Z18" s="323" t="s">
        <v>1148</v>
      </c>
      <c r="AA18" s="323" t="s">
        <v>1149</v>
      </c>
      <c r="AB18" s="323"/>
      <c r="AC18" s="330" t="s">
        <v>1128</v>
      </c>
      <c r="AD18" s="330"/>
      <c r="AE18" s="319"/>
      <c r="AF18" s="319"/>
      <c r="AG18" s="320"/>
      <c r="AI18" s="316"/>
      <c r="AJ18" s="319"/>
      <c r="AK18" s="323" t="s">
        <v>1167</v>
      </c>
      <c r="AL18" s="323" t="s">
        <v>825</v>
      </c>
      <c r="AM18" s="323"/>
      <c r="AN18" s="330" t="s">
        <v>1128</v>
      </c>
      <c r="AO18" s="330"/>
      <c r="AP18" s="319"/>
      <c r="AQ18" s="319"/>
      <c r="AR18" s="320"/>
    </row>
    <row r="19" spans="2:44" ht="15" customHeight="1" x14ac:dyDescent="0.3">
      <c r="B19" s="316"/>
      <c r="C19" s="319"/>
      <c r="D19" s="319" t="s">
        <v>1115</v>
      </c>
      <c r="E19" s="323" t="s">
        <v>1116</v>
      </c>
      <c r="F19" s="323"/>
      <c r="G19" s="312">
        <v>14</v>
      </c>
      <c r="H19" s="312">
        <v>96</v>
      </c>
      <c r="I19" s="319"/>
      <c r="J19" s="319"/>
      <c r="K19" s="320"/>
      <c r="M19" s="316"/>
      <c r="N19" s="319"/>
      <c r="O19" s="323" t="s">
        <v>1131</v>
      </c>
      <c r="P19" s="323" t="s">
        <v>1132</v>
      </c>
      <c r="Q19" s="323"/>
      <c r="R19" s="330">
        <v>19</v>
      </c>
      <c r="S19" s="330">
        <v>20</v>
      </c>
      <c r="T19" s="319"/>
      <c r="U19" s="319"/>
      <c r="V19" s="320"/>
      <c r="X19" s="316"/>
      <c r="Y19" s="319"/>
      <c r="Z19" s="323" t="s">
        <v>1150</v>
      </c>
      <c r="AA19" s="323" t="s">
        <v>1132</v>
      </c>
      <c r="AB19" s="323"/>
      <c r="AC19" s="330">
        <v>19</v>
      </c>
      <c r="AD19" s="330" t="s">
        <v>1151</v>
      </c>
      <c r="AE19" s="319"/>
      <c r="AF19" s="319"/>
      <c r="AG19" s="320"/>
      <c r="AI19" s="316"/>
      <c r="AJ19" s="319"/>
      <c r="AK19" s="323" t="s">
        <v>1168</v>
      </c>
      <c r="AL19" s="323" t="s">
        <v>1132</v>
      </c>
      <c r="AM19" s="323"/>
      <c r="AN19" s="330" t="s">
        <v>1151</v>
      </c>
      <c r="AO19" s="330" t="s">
        <v>1169</v>
      </c>
      <c r="AP19" s="319"/>
      <c r="AQ19" s="319"/>
      <c r="AR19" s="320"/>
    </row>
    <row r="20" spans="2:44" ht="15" customHeight="1" x14ac:dyDescent="0.3">
      <c r="B20" s="316"/>
      <c r="C20" s="319"/>
      <c r="D20" s="319" t="s">
        <v>1117</v>
      </c>
      <c r="E20" s="323" t="s">
        <v>1118</v>
      </c>
      <c r="F20" s="323"/>
      <c r="G20" s="312">
        <v>23</v>
      </c>
      <c r="H20" s="312">
        <v>50</v>
      </c>
      <c r="I20" s="319"/>
      <c r="J20" s="319"/>
      <c r="K20" s="320"/>
      <c r="M20" s="316"/>
      <c r="N20" s="319"/>
      <c r="O20" s="323" t="s">
        <v>1130</v>
      </c>
      <c r="P20" s="323" t="s">
        <v>501</v>
      </c>
      <c r="Q20" s="323"/>
      <c r="R20" s="330">
        <v>14</v>
      </c>
      <c r="S20" s="330"/>
      <c r="T20" s="319"/>
      <c r="U20" s="319"/>
      <c r="V20" s="320"/>
      <c r="X20" s="316"/>
      <c r="Y20" s="319"/>
      <c r="Z20" s="323" t="s">
        <v>1152</v>
      </c>
      <c r="AA20" s="323" t="s">
        <v>909</v>
      </c>
      <c r="AB20" s="323"/>
      <c r="AC20" s="330" t="s">
        <v>1128</v>
      </c>
      <c r="AD20" s="330"/>
      <c r="AE20" s="319"/>
      <c r="AF20" s="319"/>
      <c r="AG20" s="320"/>
      <c r="AI20" s="316"/>
      <c r="AJ20" s="319"/>
      <c r="AK20" s="323" t="s">
        <v>1170</v>
      </c>
      <c r="AL20" s="323" t="s">
        <v>1171</v>
      </c>
      <c r="AM20" s="323"/>
      <c r="AN20" s="330" t="s">
        <v>1128</v>
      </c>
      <c r="AO20" s="330"/>
      <c r="AP20" s="319"/>
      <c r="AQ20" s="319"/>
      <c r="AR20" s="320"/>
    </row>
    <row r="21" spans="2:44" ht="15" customHeight="1" x14ac:dyDescent="0.3">
      <c r="B21" s="316"/>
      <c r="C21" s="319"/>
      <c r="D21" s="319" t="s">
        <v>1121</v>
      </c>
      <c r="E21" s="319" t="s">
        <v>501</v>
      </c>
      <c r="F21" s="319"/>
      <c r="G21" s="312">
        <v>17</v>
      </c>
      <c r="H21" s="312"/>
      <c r="I21" s="319"/>
      <c r="J21" s="319"/>
      <c r="K21" s="320"/>
      <c r="M21" s="316"/>
      <c r="N21" s="319"/>
      <c r="O21" s="323" t="s">
        <v>1129</v>
      </c>
      <c r="P21" s="323" t="s">
        <v>501</v>
      </c>
      <c r="Q21" s="323"/>
      <c r="R21" s="330" t="s">
        <v>1128</v>
      </c>
      <c r="S21" s="330"/>
      <c r="T21" s="319"/>
      <c r="U21" s="319"/>
      <c r="V21" s="320"/>
      <c r="X21" s="316"/>
      <c r="Y21" s="319"/>
      <c r="Z21" s="323" t="s">
        <v>1153</v>
      </c>
      <c r="AA21" s="323" t="s">
        <v>501</v>
      </c>
      <c r="AB21" s="323"/>
      <c r="AC21" s="330" t="s">
        <v>1128</v>
      </c>
      <c r="AD21" s="330"/>
      <c r="AE21" s="319"/>
      <c r="AF21" s="319"/>
      <c r="AG21" s="320"/>
      <c r="AI21" s="316"/>
      <c r="AJ21" s="319"/>
      <c r="AK21" s="323"/>
      <c r="AL21" s="323" t="s">
        <v>1400</v>
      </c>
      <c r="AM21" s="323"/>
      <c r="AN21" s="330"/>
      <c r="AO21" s="330"/>
      <c r="AP21" s="319"/>
      <c r="AQ21" s="319"/>
      <c r="AR21" s="320"/>
    </row>
    <row r="22" spans="2:44" ht="15" customHeight="1" x14ac:dyDescent="0.3">
      <c r="B22" s="316"/>
      <c r="C22" s="319"/>
      <c r="D22" s="319" t="s">
        <v>1119</v>
      </c>
      <c r="E22" s="323" t="s">
        <v>909</v>
      </c>
      <c r="F22" s="323"/>
      <c r="G22" s="312" t="s">
        <v>1128</v>
      </c>
      <c r="H22" s="312"/>
      <c r="I22" s="319"/>
      <c r="J22" s="319"/>
      <c r="K22" s="320"/>
      <c r="M22" s="316"/>
      <c r="N22" s="319"/>
      <c r="O22" s="323" t="s">
        <v>1133</v>
      </c>
      <c r="P22" s="323" t="s">
        <v>1134</v>
      </c>
      <c r="Q22" s="323"/>
      <c r="R22" s="330" t="s">
        <v>1128</v>
      </c>
      <c r="S22" s="330"/>
      <c r="T22" s="319"/>
      <c r="U22" s="319"/>
      <c r="V22" s="320"/>
      <c r="X22" s="316"/>
      <c r="Y22" s="319"/>
      <c r="Z22" s="323" t="s">
        <v>1154</v>
      </c>
      <c r="AA22" s="323" t="s">
        <v>611</v>
      </c>
      <c r="AB22" s="323"/>
      <c r="AC22" s="330" t="s">
        <v>1151</v>
      </c>
      <c r="AD22" s="330"/>
      <c r="AE22" s="319"/>
      <c r="AF22" s="319"/>
      <c r="AG22" s="320"/>
      <c r="AI22" s="316"/>
      <c r="AJ22" s="319"/>
      <c r="AK22" s="323"/>
      <c r="AL22" s="323"/>
      <c r="AM22" s="323"/>
      <c r="AN22" s="330"/>
      <c r="AO22" s="330"/>
      <c r="AP22" s="319"/>
      <c r="AQ22" s="319"/>
      <c r="AR22" s="320"/>
    </row>
    <row r="23" spans="2:44" ht="15" customHeight="1" x14ac:dyDescent="0.3">
      <c r="B23" s="316"/>
      <c r="C23" s="319"/>
      <c r="D23" s="319" t="s">
        <v>1122</v>
      </c>
      <c r="E23" s="323" t="s">
        <v>1123</v>
      </c>
      <c r="F23" s="323"/>
      <c r="G23" s="312">
        <v>20</v>
      </c>
      <c r="H23" s="312" t="s">
        <v>107</v>
      </c>
      <c r="I23" s="319"/>
      <c r="J23" s="319"/>
      <c r="K23" s="320"/>
      <c r="M23" s="316"/>
      <c r="N23" s="319"/>
      <c r="O23" s="323" t="s">
        <v>1135</v>
      </c>
      <c r="P23" s="323" t="s">
        <v>501</v>
      </c>
      <c r="Q23" s="323"/>
      <c r="R23" s="330">
        <v>14</v>
      </c>
      <c r="S23" s="330"/>
      <c r="T23" s="319"/>
      <c r="U23" s="319"/>
      <c r="V23" s="320"/>
      <c r="X23" s="316"/>
      <c r="Y23" s="319"/>
      <c r="Z23" s="323" t="s">
        <v>1154</v>
      </c>
      <c r="AA23" s="323" t="s">
        <v>501</v>
      </c>
      <c r="AB23" s="323"/>
      <c r="AC23" s="330" t="s">
        <v>1128</v>
      </c>
      <c r="AD23" s="330"/>
      <c r="AE23" s="319"/>
      <c r="AF23" s="319"/>
      <c r="AG23" s="320"/>
      <c r="AI23" s="316"/>
      <c r="AJ23" s="319"/>
      <c r="AK23" s="323"/>
      <c r="AL23" s="323"/>
      <c r="AM23" s="323"/>
      <c r="AN23" s="330"/>
      <c r="AO23" s="330"/>
      <c r="AP23" s="319"/>
      <c r="AQ23" s="319"/>
      <c r="AR23" s="320"/>
    </row>
    <row r="24" spans="2:44" ht="15" customHeight="1" x14ac:dyDescent="0.3">
      <c r="B24" s="316"/>
      <c r="C24" s="319"/>
      <c r="D24" s="319"/>
      <c r="E24" s="319" t="s">
        <v>1400</v>
      </c>
      <c r="F24" s="319"/>
      <c r="G24" s="319"/>
      <c r="H24" s="319"/>
      <c r="I24" s="319"/>
      <c r="J24" s="319"/>
      <c r="K24" s="320"/>
      <c r="M24" s="316"/>
      <c r="N24" s="319"/>
      <c r="O24" s="323" t="s">
        <v>1136</v>
      </c>
      <c r="P24" s="323" t="s">
        <v>939</v>
      </c>
      <c r="Q24" s="323"/>
      <c r="R24" s="330">
        <v>20</v>
      </c>
      <c r="S24" s="330">
        <v>14</v>
      </c>
      <c r="T24" s="319"/>
      <c r="U24" s="319"/>
      <c r="V24" s="320"/>
      <c r="X24" s="316"/>
      <c r="Y24" s="319"/>
      <c r="Z24" s="323" t="s">
        <v>1155</v>
      </c>
      <c r="AA24" s="323" t="s">
        <v>1156</v>
      </c>
      <c r="AB24" s="323"/>
      <c r="AC24" s="330" t="s">
        <v>170</v>
      </c>
      <c r="AD24" s="330" t="s">
        <v>1145</v>
      </c>
      <c r="AE24" s="319"/>
      <c r="AF24" s="319"/>
      <c r="AG24" s="320"/>
      <c r="AI24" s="316"/>
      <c r="AJ24" s="319"/>
      <c r="AK24" s="323"/>
      <c r="AL24" s="323"/>
      <c r="AM24" s="323"/>
      <c r="AN24" s="330"/>
      <c r="AO24" s="330"/>
      <c r="AP24" s="319"/>
      <c r="AQ24" s="319"/>
      <c r="AR24" s="320"/>
    </row>
    <row r="25" spans="2:44" ht="15" customHeight="1" x14ac:dyDescent="0.3">
      <c r="B25" s="316"/>
      <c r="C25" s="319"/>
      <c r="D25" s="319"/>
      <c r="E25" s="319"/>
      <c r="F25" s="319"/>
      <c r="G25" s="319"/>
      <c r="H25" s="319"/>
      <c r="I25" s="319"/>
      <c r="J25" s="319"/>
      <c r="K25" s="320"/>
      <c r="M25" s="316"/>
      <c r="N25" s="319"/>
      <c r="O25" s="323" t="s">
        <v>1137</v>
      </c>
      <c r="P25" s="323" t="s">
        <v>156</v>
      </c>
      <c r="Q25" s="323"/>
      <c r="R25" s="330" t="s">
        <v>1128</v>
      </c>
      <c r="S25" s="330"/>
      <c r="T25" s="319"/>
      <c r="U25" s="319"/>
      <c r="V25" s="320"/>
      <c r="X25" s="316"/>
      <c r="Y25" s="319"/>
      <c r="Z25" s="323" t="s">
        <v>1157</v>
      </c>
      <c r="AA25" s="323" t="s">
        <v>897</v>
      </c>
      <c r="AB25" s="323"/>
      <c r="AC25" s="330" t="s">
        <v>170</v>
      </c>
      <c r="AD25" s="330" t="s">
        <v>1145</v>
      </c>
      <c r="AE25" s="319"/>
      <c r="AF25" s="319"/>
      <c r="AG25" s="320"/>
      <c r="AI25" s="316"/>
      <c r="AJ25" s="319"/>
      <c r="AK25" s="323"/>
      <c r="AL25" s="323"/>
      <c r="AM25" s="323"/>
      <c r="AN25" s="330"/>
      <c r="AO25" s="330"/>
      <c r="AP25" s="319"/>
      <c r="AQ25" s="319"/>
      <c r="AR25" s="320"/>
    </row>
    <row r="26" spans="2:44" ht="15" customHeight="1" x14ac:dyDescent="0.3">
      <c r="B26" s="316"/>
      <c r="C26" s="319"/>
      <c r="D26" s="319"/>
      <c r="E26" s="319"/>
      <c r="F26" s="319"/>
      <c r="G26" s="319"/>
      <c r="H26" s="319"/>
      <c r="I26" s="319"/>
      <c r="J26" s="319"/>
      <c r="K26" s="320"/>
      <c r="M26" s="316"/>
      <c r="N26" s="319"/>
      <c r="O26" s="323" t="s">
        <v>1138</v>
      </c>
      <c r="P26" s="323" t="s">
        <v>260</v>
      </c>
      <c r="Q26" s="323"/>
      <c r="R26" s="330" t="s">
        <v>1128</v>
      </c>
      <c r="S26" s="330"/>
      <c r="T26" s="319"/>
      <c r="U26" s="319"/>
      <c r="V26" s="320"/>
      <c r="X26" s="316"/>
      <c r="Y26" s="319"/>
      <c r="Z26" s="323" t="s">
        <v>1158</v>
      </c>
      <c r="AA26" s="323" t="s">
        <v>167</v>
      </c>
      <c r="AB26" s="323"/>
      <c r="AC26" s="330" t="s">
        <v>1151</v>
      </c>
      <c r="AD26" s="330" t="s">
        <v>1159</v>
      </c>
      <c r="AE26" s="319"/>
      <c r="AF26" s="319"/>
      <c r="AG26" s="320"/>
      <c r="AI26" s="316"/>
      <c r="AJ26" s="319"/>
      <c r="AK26" s="323"/>
      <c r="AL26" s="323"/>
      <c r="AM26" s="323"/>
      <c r="AN26" s="330"/>
      <c r="AO26" s="330"/>
      <c r="AP26" s="319"/>
      <c r="AQ26" s="319"/>
      <c r="AR26" s="320"/>
    </row>
    <row r="27" spans="2:44" ht="15" customHeight="1" x14ac:dyDescent="0.3">
      <c r="B27" s="316"/>
      <c r="C27" s="319"/>
      <c r="D27" s="319"/>
      <c r="E27" s="319"/>
      <c r="F27" s="319"/>
      <c r="G27" s="319"/>
      <c r="H27" s="319"/>
      <c r="I27" s="319"/>
      <c r="J27" s="319"/>
      <c r="K27" s="320"/>
      <c r="M27" s="316"/>
      <c r="N27" s="319"/>
      <c r="O27" s="323" t="s">
        <v>1139</v>
      </c>
      <c r="P27" s="323" t="s">
        <v>1143</v>
      </c>
      <c r="Q27" s="323"/>
      <c r="R27" s="330" t="s">
        <v>1128</v>
      </c>
      <c r="S27" s="330"/>
      <c r="T27" s="319"/>
      <c r="U27" s="319"/>
      <c r="V27" s="320"/>
      <c r="X27" s="316"/>
      <c r="Y27" s="319"/>
      <c r="Z27" s="323" t="s">
        <v>1160</v>
      </c>
      <c r="AA27" s="323" t="s">
        <v>506</v>
      </c>
      <c r="AB27" s="323"/>
      <c r="AC27" s="330" t="s">
        <v>959</v>
      </c>
      <c r="AD27" s="330"/>
      <c r="AE27" s="319"/>
      <c r="AF27" s="319"/>
      <c r="AG27" s="320"/>
      <c r="AI27" s="316"/>
      <c r="AJ27" s="319"/>
      <c r="AK27" s="323"/>
      <c r="AL27" s="323"/>
      <c r="AM27" s="323"/>
      <c r="AN27" s="330"/>
      <c r="AO27" s="330"/>
      <c r="AP27" s="319"/>
      <c r="AQ27" s="319"/>
      <c r="AR27" s="320"/>
    </row>
    <row r="28" spans="2:44" ht="15" customHeight="1" x14ac:dyDescent="0.3">
      <c r="B28" s="316"/>
      <c r="C28" s="319"/>
      <c r="D28" s="319"/>
      <c r="E28" s="319"/>
      <c r="F28" s="319"/>
      <c r="G28" s="319"/>
      <c r="H28" s="319"/>
      <c r="I28" s="319"/>
      <c r="J28" s="319"/>
      <c r="K28" s="320"/>
      <c r="M28" s="316"/>
      <c r="N28" s="319"/>
      <c r="O28" s="323" t="s">
        <v>1140</v>
      </c>
      <c r="P28" s="323" t="s">
        <v>501</v>
      </c>
      <c r="Q28" s="323"/>
      <c r="R28" s="330" t="s">
        <v>1128</v>
      </c>
      <c r="S28" s="330"/>
      <c r="T28" s="319"/>
      <c r="U28" s="319"/>
      <c r="V28" s="320"/>
      <c r="X28" s="316"/>
      <c r="Y28" s="319"/>
      <c r="Z28" s="323" t="s">
        <v>1161</v>
      </c>
      <c r="AA28" s="323" t="s">
        <v>508</v>
      </c>
      <c r="AB28" s="323"/>
      <c r="AC28" s="330" t="s">
        <v>1151</v>
      </c>
      <c r="AD28" s="330" t="s">
        <v>1162</v>
      </c>
      <c r="AE28" s="319"/>
      <c r="AF28" s="319"/>
      <c r="AG28" s="320"/>
      <c r="AI28" s="316"/>
      <c r="AJ28" s="319"/>
      <c r="AK28" s="323"/>
      <c r="AL28" s="323"/>
      <c r="AM28" s="323"/>
      <c r="AN28" s="330"/>
      <c r="AO28" s="330"/>
      <c r="AP28" s="319"/>
      <c r="AQ28" s="319"/>
      <c r="AR28" s="320"/>
    </row>
    <row r="29" spans="2:44" ht="15" customHeight="1" x14ac:dyDescent="0.3">
      <c r="B29" s="316"/>
      <c r="C29" s="319"/>
      <c r="D29" s="319"/>
      <c r="E29" s="319"/>
      <c r="F29" s="319"/>
      <c r="G29" s="319"/>
      <c r="H29" s="319"/>
      <c r="I29" s="319"/>
      <c r="J29" s="319"/>
      <c r="K29" s="320"/>
      <c r="M29" s="316"/>
      <c r="N29" s="319"/>
      <c r="O29" s="323" t="s">
        <v>1141</v>
      </c>
      <c r="P29" s="323" t="s">
        <v>1144</v>
      </c>
      <c r="Q29" s="323"/>
      <c r="R29" s="330" t="s">
        <v>1128</v>
      </c>
      <c r="S29" s="330"/>
      <c r="T29" s="319"/>
      <c r="U29" s="319"/>
      <c r="V29" s="320"/>
      <c r="X29" s="316"/>
      <c r="Y29" s="319"/>
      <c r="Z29" s="323" t="s">
        <v>1163</v>
      </c>
      <c r="AA29" s="323" t="s">
        <v>1400</v>
      </c>
      <c r="AB29" s="323"/>
      <c r="AC29" s="330" t="s">
        <v>1128</v>
      </c>
      <c r="AD29" s="330"/>
      <c r="AE29" s="319"/>
      <c r="AF29" s="319"/>
      <c r="AG29" s="320"/>
      <c r="AI29" s="316"/>
      <c r="AJ29" s="319"/>
      <c r="AK29" s="323"/>
      <c r="AL29" s="323"/>
      <c r="AM29" s="323"/>
      <c r="AN29" s="330"/>
      <c r="AO29" s="330"/>
      <c r="AP29" s="319"/>
      <c r="AQ29" s="319"/>
      <c r="AR29" s="320"/>
    </row>
    <row r="30" spans="2:44" ht="15" customHeight="1" x14ac:dyDescent="0.3">
      <c r="B30" s="316"/>
      <c r="C30" s="319"/>
      <c r="D30" s="319"/>
      <c r="E30" s="319"/>
      <c r="F30" s="319"/>
      <c r="G30" s="319"/>
      <c r="H30" s="319"/>
      <c r="I30" s="319"/>
      <c r="J30" s="319"/>
      <c r="K30" s="320"/>
      <c r="M30" s="316"/>
      <c r="N30" s="319"/>
      <c r="O30" s="323" t="s">
        <v>1142</v>
      </c>
      <c r="P30" s="323" t="s">
        <v>1400</v>
      </c>
      <c r="Q30" s="323"/>
      <c r="R30" s="330" t="s">
        <v>1145</v>
      </c>
      <c r="S30" s="330" t="s">
        <v>107</v>
      </c>
      <c r="T30" s="319"/>
      <c r="U30" s="319"/>
      <c r="V30" s="320"/>
      <c r="X30" s="316"/>
      <c r="Y30" s="319"/>
      <c r="Z30" s="323"/>
      <c r="AA30" s="323"/>
      <c r="AB30" s="323"/>
      <c r="AC30" s="330"/>
      <c r="AD30" s="330"/>
      <c r="AE30" s="319"/>
      <c r="AF30" s="319"/>
      <c r="AG30" s="320"/>
      <c r="AI30" s="316"/>
      <c r="AJ30" s="319"/>
      <c r="AK30" s="323"/>
      <c r="AL30" s="323"/>
      <c r="AM30" s="323"/>
      <c r="AN30" s="330"/>
      <c r="AO30" s="330"/>
      <c r="AP30" s="319"/>
      <c r="AQ30" s="319"/>
      <c r="AR30" s="320"/>
    </row>
    <row r="31" spans="2:44" ht="15" customHeight="1" x14ac:dyDescent="0.3">
      <c r="B31" s="316"/>
      <c r="C31" s="319"/>
      <c r="D31" s="319"/>
      <c r="E31" s="319"/>
      <c r="F31" s="319"/>
      <c r="G31" s="319"/>
      <c r="H31" s="319"/>
      <c r="I31" s="319"/>
      <c r="J31" s="319"/>
      <c r="K31" s="320"/>
      <c r="M31" s="316"/>
      <c r="N31" s="319"/>
      <c r="O31" s="319"/>
      <c r="P31" s="319"/>
      <c r="Q31" s="319"/>
      <c r="R31" s="319"/>
      <c r="S31" s="319"/>
      <c r="T31" s="319"/>
      <c r="U31" s="319"/>
      <c r="V31" s="320"/>
      <c r="X31" s="316"/>
      <c r="Y31" s="319"/>
      <c r="Z31" s="319"/>
      <c r="AA31" s="319"/>
      <c r="AB31" s="319"/>
      <c r="AC31" s="319"/>
      <c r="AD31" s="319"/>
      <c r="AE31" s="319"/>
      <c r="AF31" s="319"/>
      <c r="AG31" s="320"/>
      <c r="AI31" s="316"/>
      <c r="AJ31" s="319"/>
      <c r="AK31" s="319"/>
      <c r="AL31" s="319"/>
      <c r="AM31" s="319"/>
      <c r="AN31" s="319"/>
      <c r="AO31" s="319"/>
      <c r="AP31" s="319"/>
      <c r="AQ31" s="319"/>
      <c r="AR31" s="320"/>
    </row>
    <row r="32" spans="2:44" ht="15" customHeight="1" x14ac:dyDescent="0.3">
      <c r="B32" s="316"/>
      <c r="C32" s="319"/>
      <c r="D32" s="319"/>
      <c r="E32" s="319"/>
      <c r="F32" s="335" t="s">
        <v>877</v>
      </c>
      <c r="G32" s="324" t="s">
        <v>533</v>
      </c>
      <c r="H32" s="324" t="s">
        <v>534</v>
      </c>
      <c r="I32" s="324" t="s">
        <v>610</v>
      </c>
      <c r="J32" s="324" t="s">
        <v>535</v>
      </c>
      <c r="K32" s="325"/>
      <c r="M32" s="316"/>
      <c r="N32" s="319"/>
      <c r="O32" s="319"/>
      <c r="P32" s="319"/>
      <c r="Q32" s="319" t="s">
        <v>877</v>
      </c>
      <c r="R32" s="324" t="s">
        <v>533</v>
      </c>
      <c r="S32" s="324" t="s">
        <v>534</v>
      </c>
      <c r="T32" s="324" t="s">
        <v>610</v>
      </c>
      <c r="U32" s="324" t="s">
        <v>535</v>
      </c>
      <c r="V32" s="325"/>
      <c r="X32" s="316"/>
      <c r="Y32" s="319"/>
      <c r="Z32" s="319"/>
      <c r="AA32" s="319"/>
      <c r="AB32" s="319" t="s">
        <v>877</v>
      </c>
      <c r="AC32" s="324" t="s">
        <v>533</v>
      </c>
      <c r="AD32" s="324" t="s">
        <v>534</v>
      </c>
      <c r="AE32" s="324" t="s">
        <v>610</v>
      </c>
      <c r="AF32" s="324" t="s">
        <v>535</v>
      </c>
      <c r="AG32" s="325"/>
      <c r="AH32" s="265"/>
      <c r="AI32" s="316"/>
      <c r="AJ32" s="319"/>
      <c r="AK32" s="319"/>
      <c r="AL32" s="319"/>
      <c r="AM32" s="319" t="s">
        <v>877</v>
      </c>
      <c r="AN32" s="324" t="s">
        <v>533</v>
      </c>
      <c r="AO32" s="324" t="s">
        <v>534</v>
      </c>
      <c r="AP32" s="324" t="s">
        <v>610</v>
      </c>
      <c r="AQ32" s="324" t="s">
        <v>535</v>
      </c>
      <c r="AR32" s="320"/>
    </row>
    <row r="33" spans="2:44" ht="15" customHeight="1" x14ac:dyDescent="0.3">
      <c r="B33" s="316"/>
      <c r="C33" s="310">
        <v>1</v>
      </c>
      <c r="D33" s="311" t="s">
        <v>941</v>
      </c>
      <c r="E33" s="311"/>
      <c r="F33" s="338"/>
      <c r="G33" s="352"/>
      <c r="H33" s="213"/>
      <c r="I33" s="213"/>
      <c r="J33" s="213"/>
      <c r="K33" s="326"/>
      <c r="M33" s="316"/>
      <c r="N33" s="310">
        <v>1</v>
      </c>
      <c r="O33" s="311" t="s">
        <v>941</v>
      </c>
      <c r="P33" s="311"/>
      <c r="Q33" s="311"/>
      <c r="R33" s="213"/>
      <c r="S33" s="213"/>
      <c r="T33" s="213"/>
      <c r="U33" s="213"/>
      <c r="V33" s="326"/>
      <c r="X33" s="316"/>
      <c r="Y33" s="310">
        <v>1</v>
      </c>
      <c r="Z33" s="311" t="s">
        <v>941</v>
      </c>
      <c r="AA33" s="311"/>
      <c r="AB33" s="311"/>
      <c r="AC33" s="213"/>
      <c r="AD33" s="213"/>
      <c r="AE33" s="213"/>
      <c r="AF33" s="213"/>
      <c r="AG33" s="326"/>
      <c r="AH33" s="8"/>
      <c r="AI33" s="316"/>
      <c r="AJ33" s="310">
        <v>1</v>
      </c>
      <c r="AK33" s="311" t="s">
        <v>941</v>
      </c>
      <c r="AL33" s="311"/>
      <c r="AM33" s="311"/>
      <c r="AN33" s="213"/>
      <c r="AO33" s="213"/>
      <c r="AP33" s="213"/>
      <c r="AQ33" s="213"/>
      <c r="AR33" s="320"/>
    </row>
    <row r="34" spans="2:44" ht="15" customHeight="1" x14ac:dyDescent="0.3">
      <c r="B34" s="316"/>
      <c r="C34" s="310">
        <v>4</v>
      </c>
      <c r="D34" s="311" t="s">
        <v>530</v>
      </c>
      <c r="E34" s="311"/>
      <c r="F34" s="337"/>
      <c r="G34" s="352"/>
      <c r="H34" s="213"/>
      <c r="I34" s="213"/>
      <c r="J34" s="213"/>
      <c r="K34" s="326"/>
      <c r="M34" s="316"/>
      <c r="N34" s="310">
        <v>4</v>
      </c>
      <c r="O34" s="311" t="s">
        <v>530</v>
      </c>
      <c r="P34" s="311"/>
      <c r="Q34" s="311"/>
      <c r="R34" s="213"/>
      <c r="S34" s="213"/>
      <c r="T34" s="213"/>
      <c r="U34" s="213"/>
      <c r="V34" s="326"/>
      <c r="X34" s="316"/>
      <c r="Y34" s="310">
        <v>4</v>
      </c>
      <c r="Z34" s="311" t="s">
        <v>530</v>
      </c>
      <c r="AA34" s="311"/>
      <c r="AB34" s="311"/>
      <c r="AC34" s="213"/>
      <c r="AD34" s="213"/>
      <c r="AE34" s="213"/>
      <c r="AF34" s="213"/>
      <c r="AG34" s="326"/>
      <c r="AH34" s="8"/>
      <c r="AI34" s="316"/>
      <c r="AJ34" s="310">
        <v>4</v>
      </c>
      <c r="AK34" s="311" t="s">
        <v>530</v>
      </c>
      <c r="AL34" s="311"/>
      <c r="AM34" s="311"/>
      <c r="AN34" s="213"/>
      <c r="AO34" s="213"/>
      <c r="AP34" s="213"/>
      <c r="AQ34" s="213"/>
      <c r="AR34" s="320"/>
    </row>
    <row r="35" spans="2:44" ht="15" customHeight="1" x14ac:dyDescent="0.3">
      <c r="B35" s="316"/>
      <c r="C35" s="310">
        <v>9</v>
      </c>
      <c r="D35" s="311" t="s">
        <v>1077</v>
      </c>
      <c r="E35" s="311"/>
      <c r="F35" s="337"/>
      <c r="G35" s="352"/>
      <c r="H35" s="213"/>
      <c r="I35" s="213"/>
      <c r="J35" s="213"/>
      <c r="K35" s="326"/>
      <c r="M35" s="316"/>
      <c r="N35" s="310">
        <v>9</v>
      </c>
      <c r="O35" s="311" t="s">
        <v>1077</v>
      </c>
      <c r="P35" s="311"/>
      <c r="Q35" s="311"/>
      <c r="R35" s="213"/>
      <c r="S35" s="213"/>
      <c r="T35" s="213"/>
      <c r="U35" s="213"/>
      <c r="V35" s="326"/>
      <c r="X35" s="316"/>
      <c r="Y35" s="310">
        <v>9</v>
      </c>
      <c r="Z35" s="311" t="s">
        <v>1077</v>
      </c>
      <c r="AA35" s="311"/>
      <c r="AB35" s="311"/>
      <c r="AC35" s="213">
        <v>2</v>
      </c>
      <c r="AD35" s="213"/>
      <c r="AE35" s="213"/>
      <c r="AF35" s="213"/>
      <c r="AG35" s="326"/>
      <c r="AH35" s="8"/>
      <c r="AI35" s="316"/>
      <c r="AJ35" s="310">
        <v>9</v>
      </c>
      <c r="AK35" s="311" t="s">
        <v>1077</v>
      </c>
      <c r="AL35" s="311"/>
      <c r="AM35" s="311"/>
      <c r="AN35" s="213"/>
      <c r="AO35" s="213"/>
      <c r="AP35" s="213"/>
      <c r="AQ35" s="213"/>
      <c r="AR35" s="320"/>
    </row>
    <row r="36" spans="2:44" ht="15" customHeight="1" x14ac:dyDescent="0.3">
      <c r="B36" s="316"/>
      <c r="C36" s="310">
        <v>14</v>
      </c>
      <c r="D36" s="311" t="s">
        <v>1075</v>
      </c>
      <c r="E36" s="311"/>
      <c r="F36" s="337"/>
      <c r="G36" s="352">
        <v>1</v>
      </c>
      <c r="H36" s="213"/>
      <c r="I36" s="213"/>
      <c r="J36" s="213"/>
      <c r="K36" s="326"/>
      <c r="M36" s="316"/>
      <c r="N36" s="310">
        <v>14</v>
      </c>
      <c r="O36" s="311" t="s">
        <v>1075</v>
      </c>
      <c r="P36" s="311"/>
      <c r="Q36" s="311"/>
      <c r="R36" s="213"/>
      <c r="S36" s="213">
        <v>1</v>
      </c>
      <c r="T36" s="213"/>
      <c r="U36" s="213">
        <v>2</v>
      </c>
      <c r="V36" s="326"/>
      <c r="X36" s="316"/>
      <c r="Y36" s="310">
        <v>14</v>
      </c>
      <c r="Z36" s="311" t="s">
        <v>1075</v>
      </c>
      <c r="AA36" s="311"/>
      <c r="AB36" s="311"/>
      <c r="AC36" s="213">
        <v>1</v>
      </c>
      <c r="AD36" s="213"/>
      <c r="AE36" s="213"/>
      <c r="AF36" s="213"/>
      <c r="AG36" s="326"/>
      <c r="AH36" s="8"/>
      <c r="AI36" s="316"/>
      <c r="AJ36" s="310">
        <v>14</v>
      </c>
      <c r="AK36" s="311" t="s">
        <v>1075</v>
      </c>
      <c r="AL36" s="311"/>
      <c r="AM36" s="311"/>
      <c r="AN36" s="213"/>
      <c r="AO36" s="213"/>
      <c r="AP36" s="213"/>
      <c r="AQ36" s="213"/>
      <c r="AR36" s="320"/>
    </row>
    <row r="37" spans="2:44" ht="15" customHeight="1" x14ac:dyDescent="0.3">
      <c r="B37" s="316"/>
      <c r="C37" s="310">
        <v>17</v>
      </c>
      <c r="D37" s="311" t="s">
        <v>53</v>
      </c>
      <c r="E37" s="311"/>
      <c r="F37" s="337"/>
      <c r="G37" s="352"/>
      <c r="H37" s="213"/>
      <c r="I37" s="213"/>
      <c r="J37" s="213">
        <v>1</v>
      </c>
      <c r="K37" s="326"/>
      <c r="M37" s="316"/>
      <c r="N37" s="310">
        <v>17</v>
      </c>
      <c r="O37" s="311" t="s">
        <v>53</v>
      </c>
      <c r="P37" s="311"/>
      <c r="Q37" s="311"/>
      <c r="R37" s="213"/>
      <c r="S37" s="213"/>
      <c r="T37" s="213"/>
      <c r="U37" s="213"/>
      <c r="V37" s="326"/>
      <c r="X37" s="316"/>
      <c r="Y37" s="310">
        <v>17</v>
      </c>
      <c r="Z37" s="311" t="s">
        <v>53</v>
      </c>
      <c r="AA37" s="311"/>
      <c r="AB37" s="311"/>
      <c r="AC37" s="213"/>
      <c r="AD37" s="213"/>
      <c r="AE37" s="213"/>
      <c r="AF37" s="213"/>
      <c r="AG37" s="326"/>
      <c r="AH37" s="8"/>
      <c r="AI37" s="316"/>
      <c r="AJ37" s="310">
        <v>17</v>
      </c>
      <c r="AK37" s="311" t="s">
        <v>53</v>
      </c>
      <c r="AL37" s="311"/>
      <c r="AM37" s="311"/>
      <c r="AN37" s="213"/>
      <c r="AO37" s="213"/>
      <c r="AP37" s="213"/>
      <c r="AQ37" s="213"/>
      <c r="AR37" s="320"/>
    </row>
    <row r="38" spans="2:44" ht="15" customHeight="1" x14ac:dyDescent="0.3">
      <c r="B38" s="316"/>
      <c r="C38" s="310">
        <v>19</v>
      </c>
      <c r="D38" s="311" t="s">
        <v>1125</v>
      </c>
      <c r="E38" s="311"/>
      <c r="F38" s="337"/>
      <c r="G38" s="352"/>
      <c r="H38" s="213"/>
      <c r="I38" s="213"/>
      <c r="J38" s="213"/>
      <c r="K38" s="326"/>
      <c r="M38" s="316"/>
      <c r="N38" s="310">
        <v>19</v>
      </c>
      <c r="O38" s="311" t="s">
        <v>1125</v>
      </c>
      <c r="P38" s="311"/>
      <c r="Q38" s="311"/>
      <c r="R38" s="213">
        <v>2</v>
      </c>
      <c r="S38" s="213"/>
      <c r="T38" s="213"/>
      <c r="U38" s="213"/>
      <c r="V38" s="326"/>
      <c r="X38" s="316"/>
      <c r="Y38" s="310">
        <v>19</v>
      </c>
      <c r="Z38" s="311" t="s">
        <v>1125</v>
      </c>
      <c r="AA38" s="311"/>
      <c r="AB38" s="311"/>
      <c r="AC38" s="213">
        <v>1</v>
      </c>
      <c r="AD38" s="213">
        <v>2</v>
      </c>
      <c r="AE38" s="213"/>
      <c r="AF38" s="213"/>
      <c r="AG38" s="326"/>
      <c r="AH38" s="8"/>
      <c r="AI38" s="316"/>
      <c r="AJ38" s="310">
        <v>19</v>
      </c>
      <c r="AK38" s="311" t="s">
        <v>1125</v>
      </c>
      <c r="AL38" s="311"/>
      <c r="AM38" s="311"/>
      <c r="AN38" s="213"/>
      <c r="AO38" s="213"/>
      <c r="AP38" s="213"/>
      <c r="AQ38" s="213"/>
      <c r="AR38" s="320"/>
    </row>
    <row r="39" spans="2:44" ht="15" customHeight="1" x14ac:dyDescent="0.3">
      <c r="B39" s="316"/>
      <c r="C39" s="310">
        <v>20</v>
      </c>
      <c r="D39" s="311" t="s">
        <v>1124</v>
      </c>
      <c r="E39" s="311"/>
      <c r="F39" s="337"/>
      <c r="G39" s="352">
        <v>1</v>
      </c>
      <c r="H39" s="213"/>
      <c r="I39" s="213"/>
      <c r="J39" s="213"/>
      <c r="K39" s="326"/>
      <c r="M39" s="316"/>
      <c r="N39" s="310">
        <v>20</v>
      </c>
      <c r="O39" s="311" t="s">
        <v>1124</v>
      </c>
      <c r="P39" s="311"/>
      <c r="Q39" s="311"/>
      <c r="R39" s="213">
        <v>1</v>
      </c>
      <c r="S39" s="213">
        <v>1</v>
      </c>
      <c r="T39" s="213"/>
      <c r="U39" s="213"/>
      <c r="V39" s="326"/>
      <c r="X39" s="316"/>
      <c r="Y39" s="310">
        <v>20</v>
      </c>
      <c r="Z39" s="311" t="s">
        <v>1124</v>
      </c>
      <c r="AA39" s="311"/>
      <c r="AB39" s="311"/>
      <c r="AC39" s="213"/>
      <c r="AD39" s="213"/>
      <c r="AE39" s="213"/>
      <c r="AF39" s="213"/>
      <c r="AG39" s="326"/>
      <c r="AH39" s="8"/>
      <c r="AI39" s="316"/>
      <c r="AJ39" s="310">
        <v>20</v>
      </c>
      <c r="AK39" s="311" t="s">
        <v>1124</v>
      </c>
      <c r="AL39" s="311"/>
      <c r="AM39" s="311"/>
      <c r="AN39" s="213"/>
      <c r="AO39" s="213"/>
      <c r="AP39" s="213"/>
      <c r="AQ39" s="213"/>
      <c r="AR39" s="320"/>
    </row>
    <row r="40" spans="2:44" ht="15" customHeight="1" x14ac:dyDescent="0.3">
      <c r="B40" s="316"/>
      <c r="C40" s="310">
        <v>23</v>
      </c>
      <c r="D40" s="311" t="s">
        <v>1076</v>
      </c>
      <c r="E40" s="311"/>
      <c r="F40" s="337"/>
      <c r="G40" s="352">
        <v>1</v>
      </c>
      <c r="H40" s="213"/>
      <c r="I40" s="213"/>
      <c r="J40" s="213"/>
      <c r="K40" s="326"/>
      <c r="M40" s="316"/>
      <c r="N40" s="310">
        <v>23</v>
      </c>
      <c r="O40" s="311" t="s">
        <v>1076</v>
      </c>
      <c r="P40" s="311"/>
      <c r="Q40" s="311"/>
      <c r="R40" s="213"/>
      <c r="S40" s="213"/>
      <c r="T40" s="213"/>
      <c r="U40" s="213"/>
      <c r="V40" s="326"/>
      <c r="X40" s="316"/>
      <c r="Y40" s="310">
        <v>23</v>
      </c>
      <c r="Z40" s="311" t="s">
        <v>1076</v>
      </c>
      <c r="AA40" s="311"/>
      <c r="AB40" s="311"/>
      <c r="AC40" s="213"/>
      <c r="AD40" s="213"/>
      <c r="AE40" s="213"/>
      <c r="AF40" s="213"/>
      <c r="AG40" s="326"/>
      <c r="AH40" s="8"/>
      <c r="AI40" s="316"/>
      <c r="AJ40" s="310">
        <v>23</v>
      </c>
      <c r="AK40" s="311" t="s">
        <v>1076</v>
      </c>
      <c r="AL40" s="311"/>
      <c r="AM40" s="311"/>
      <c r="AN40" s="213"/>
      <c r="AO40" s="213"/>
      <c r="AP40" s="213"/>
      <c r="AQ40" s="213"/>
      <c r="AR40" s="320"/>
    </row>
    <row r="41" spans="2:44" ht="15" customHeight="1" x14ac:dyDescent="0.3">
      <c r="B41" s="316"/>
      <c r="C41" s="310">
        <v>50</v>
      </c>
      <c r="D41" s="311" t="s">
        <v>680</v>
      </c>
      <c r="E41" s="311"/>
      <c r="F41" s="337"/>
      <c r="G41" s="352"/>
      <c r="H41" s="213">
        <v>1</v>
      </c>
      <c r="I41" s="213"/>
      <c r="J41" s="213"/>
      <c r="K41" s="326"/>
      <c r="M41" s="316"/>
      <c r="N41" s="310">
        <v>75</v>
      </c>
      <c r="O41" s="311" t="s">
        <v>55</v>
      </c>
      <c r="P41" s="311"/>
      <c r="Q41" s="311"/>
      <c r="R41" s="213"/>
      <c r="S41" s="213"/>
      <c r="T41" s="213"/>
      <c r="U41" s="213"/>
      <c r="V41" s="326"/>
      <c r="X41" s="316"/>
      <c r="Y41" s="331">
        <v>25</v>
      </c>
      <c r="Z41" s="332" t="s">
        <v>1164</v>
      </c>
      <c r="AA41" s="332"/>
      <c r="AB41" s="332"/>
      <c r="AC41" s="213"/>
      <c r="AD41" s="213"/>
      <c r="AE41" s="213"/>
      <c r="AF41" s="213"/>
      <c r="AG41" s="326"/>
      <c r="AH41" s="8"/>
      <c r="AI41" s="316"/>
      <c r="AJ41" s="331">
        <v>25</v>
      </c>
      <c r="AK41" s="332" t="s">
        <v>1164</v>
      </c>
      <c r="AL41" s="332"/>
      <c r="AM41" s="332"/>
      <c r="AN41" s="213"/>
      <c r="AO41" s="213">
        <v>1</v>
      </c>
      <c r="AP41" s="213"/>
      <c r="AQ41" s="213"/>
      <c r="AR41" s="320"/>
    </row>
    <row r="42" spans="2:44" ht="15" customHeight="1" x14ac:dyDescent="0.3">
      <c r="B42" s="316"/>
      <c r="C42" s="310">
        <v>75</v>
      </c>
      <c r="D42" s="311" t="s">
        <v>55</v>
      </c>
      <c r="E42" s="311"/>
      <c r="F42" s="337"/>
      <c r="G42" s="352"/>
      <c r="H42" s="213"/>
      <c r="I42" s="213"/>
      <c r="J42" s="213"/>
      <c r="K42" s="326"/>
      <c r="M42" s="316"/>
      <c r="N42" s="310">
        <v>96</v>
      </c>
      <c r="O42" s="311" t="s">
        <v>185</v>
      </c>
      <c r="P42" s="311"/>
      <c r="Q42" s="311"/>
      <c r="R42" s="213"/>
      <c r="S42" s="213"/>
      <c r="T42" s="213"/>
      <c r="U42" s="213"/>
      <c r="V42" s="326"/>
      <c r="X42" s="316"/>
      <c r="Y42" s="310">
        <v>50</v>
      </c>
      <c r="Z42" s="311" t="s">
        <v>680</v>
      </c>
      <c r="AA42" s="333"/>
      <c r="AB42" s="333"/>
      <c r="AC42" s="213"/>
      <c r="AD42" s="213">
        <v>1</v>
      </c>
      <c r="AE42" s="213"/>
      <c r="AF42" s="213"/>
      <c r="AG42" s="326"/>
      <c r="AH42" s="8"/>
      <c r="AI42" s="316"/>
      <c r="AJ42" s="310">
        <v>50</v>
      </c>
      <c r="AK42" s="311" t="s">
        <v>680</v>
      </c>
      <c r="AL42" s="333"/>
      <c r="AM42" s="333"/>
      <c r="AN42" s="213"/>
      <c r="AO42" s="213"/>
      <c r="AP42" s="213"/>
      <c r="AQ42" s="213"/>
      <c r="AR42" s="320"/>
    </row>
    <row r="43" spans="2:44" ht="15" customHeight="1" x14ac:dyDescent="0.3">
      <c r="B43" s="316"/>
      <c r="C43" s="310">
        <v>96</v>
      </c>
      <c r="D43" s="311" t="s">
        <v>185</v>
      </c>
      <c r="E43" s="311"/>
      <c r="F43" s="337"/>
      <c r="G43" s="352"/>
      <c r="H43" s="213">
        <v>1</v>
      </c>
      <c r="I43" s="213"/>
      <c r="J43" s="213"/>
      <c r="K43" s="326"/>
      <c r="M43" s="316"/>
      <c r="N43" s="319"/>
      <c r="O43" s="319"/>
      <c r="P43" s="319"/>
      <c r="Q43" s="319"/>
      <c r="R43" s="319"/>
      <c r="S43" s="319"/>
      <c r="T43" s="319"/>
      <c r="U43" s="319"/>
      <c r="V43" s="320"/>
      <c r="X43" s="316"/>
      <c r="Y43" s="334">
        <v>55</v>
      </c>
      <c r="Z43" s="335" t="s">
        <v>942</v>
      </c>
      <c r="AA43" s="336"/>
      <c r="AB43" s="336"/>
      <c r="AC43" s="213"/>
      <c r="AD43" s="213"/>
      <c r="AE43" s="213"/>
      <c r="AF43" s="213"/>
      <c r="AG43" s="326"/>
      <c r="AH43" s="8"/>
      <c r="AI43" s="316"/>
      <c r="AJ43" s="334">
        <v>55</v>
      </c>
      <c r="AK43" s="335" t="s">
        <v>942</v>
      </c>
      <c r="AL43" s="336"/>
      <c r="AM43" s="336"/>
      <c r="AN43" s="213"/>
      <c r="AO43" s="213"/>
      <c r="AP43" s="213"/>
      <c r="AQ43" s="213"/>
      <c r="AR43" s="320"/>
    </row>
    <row r="44" spans="2:44" ht="15" customHeight="1" x14ac:dyDescent="0.3">
      <c r="B44" s="316"/>
      <c r="C44" s="319"/>
      <c r="D44" s="319"/>
      <c r="E44" s="319"/>
      <c r="F44" s="319"/>
      <c r="G44" s="319"/>
      <c r="H44" s="319"/>
      <c r="I44" s="319"/>
      <c r="J44" s="319"/>
      <c r="K44" s="320"/>
      <c r="M44" s="316"/>
      <c r="N44" s="319"/>
      <c r="O44" s="319"/>
      <c r="P44" s="319"/>
      <c r="Q44" s="319"/>
      <c r="R44" s="319"/>
      <c r="S44" s="319"/>
      <c r="T44" s="319"/>
      <c r="U44" s="319"/>
      <c r="V44" s="320"/>
      <c r="X44" s="316"/>
      <c r="Y44" s="334">
        <v>66</v>
      </c>
      <c r="Z44" s="335" t="s">
        <v>1165</v>
      </c>
      <c r="AA44" s="335"/>
      <c r="AB44" s="335"/>
      <c r="AC44" s="213"/>
      <c r="AD44" s="213">
        <v>1</v>
      </c>
      <c r="AE44" s="213"/>
      <c r="AF44" s="213"/>
      <c r="AG44" s="326"/>
      <c r="AH44" s="8"/>
      <c r="AI44" s="316"/>
      <c r="AJ44" s="334">
        <v>66</v>
      </c>
      <c r="AK44" s="335" t="s">
        <v>1165</v>
      </c>
      <c r="AL44" s="335"/>
      <c r="AM44" s="335"/>
      <c r="AN44" s="213"/>
      <c r="AO44" s="213"/>
      <c r="AP44" s="213"/>
      <c r="AQ44" s="213"/>
      <c r="AR44" s="320"/>
    </row>
    <row r="45" spans="2:44" ht="15" customHeight="1" x14ac:dyDescent="0.3">
      <c r="B45" s="316"/>
      <c r="C45" s="319"/>
      <c r="D45" s="319"/>
      <c r="E45" s="319"/>
      <c r="F45" s="319"/>
      <c r="G45" s="319"/>
      <c r="H45" s="319"/>
      <c r="I45" s="319"/>
      <c r="J45" s="319"/>
      <c r="K45" s="320"/>
      <c r="M45" s="316"/>
      <c r="N45" s="319"/>
      <c r="O45" s="319"/>
      <c r="P45" s="319"/>
      <c r="Q45" s="319"/>
      <c r="R45" s="319"/>
      <c r="S45" s="319"/>
      <c r="T45" s="319"/>
      <c r="U45" s="319"/>
      <c r="V45" s="320"/>
      <c r="X45" s="316"/>
      <c r="Y45" s="310">
        <v>75</v>
      </c>
      <c r="Z45" s="311" t="s">
        <v>55</v>
      </c>
      <c r="AA45" s="311"/>
      <c r="AB45" s="311"/>
      <c r="AC45" s="213"/>
      <c r="AD45" s="213"/>
      <c r="AE45" s="213"/>
      <c r="AF45" s="213"/>
      <c r="AG45" s="326"/>
      <c r="AH45" s="8"/>
      <c r="AI45" s="316"/>
      <c r="AJ45" s="310">
        <v>75</v>
      </c>
      <c r="AK45" s="311" t="s">
        <v>55</v>
      </c>
      <c r="AL45" s="311"/>
      <c r="AM45" s="311"/>
      <c r="AN45" s="213"/>
      <c r="AO45" s="213"/>
      <c r="AP45" s="213"/>
      <c r="AQ45" s="213"/>
      <c r="AR45" s="320"/>
    </row>
    <row r="46" spans="2:44" ht="15" customHeight="1" x14ac:dyDescent="0.3">
      <c r="B46" s="316"/>
      <c r="C46" s="319"/>
      <c r="D46" s="319"/>
      <c r="E46" s="319"/>
      <c r="F46" s="319"/>
      <c r="G46" s="319"/>
      <c r="H46" s="319"/>
      <c r="I46" s="319"/>
      <c r="J46" s="319"/>
      <c r="K46" s="320"/>
      <c r="M46" s="316"/>
      <c r="N46" s="319"/>
      <c r="O46" s="319"/>
      <c r="P46" s="319"/>
      <c r="Q46" s="319"/>
      <c r="R46" s="319"/>
      <c r="S46" s="319"/>
      <c r="T46" s="319"/>
      <c r="U46" s="319"/>
      <c r="V46" s="320"/>
      <c r="X46" s="316"/>
      <c r="Y46" s="310">
        <v>76</v>
      </c>
      <c r="Z46" s="311" t="s">
        <v>1172</v>
      </c>
      <c r="AA46" s="311"/>
      <c r="AB46" s="311"/>
      <c r="AC46" s="337"/>
      <c r="AD46" s="337"/>
      <c r="AE46" s="337"/>
      <c r="AF46" s="337"/>
      <c r="AG46" s="320"/>
      <c r="AI46" s="316"/>
      <c r="AJ46" s="310">
        <v>76</v>
      </c>
      <c r="AK46" s="311" t="s">
        <v>1172</v>
      </c>
      <c r="AL46" s="311"/>
      <c r="AM46" s="311"/>
      <c r="AN46" s="337"/>
      <c r="AO46" s="337"/>
      <c r="AP46" s="337"/>
      <c r="AQ46" s="337"/>
      <c r="AR46" s="320"/>
    </row>
    <row r="47" spans="2:44" ht="15" customHeight="1" x14ac:dyDescent="0.3">
      <c r="B47" s="316"/>
      <c r="C47" s="319"/>
      <c r="D47" s="319"/>
      <c r="E47" s="319"/>
      <c r="F47" s="319"/>
      <c r="G47" s="319"/>
      <c r="H47" s="319"/>
      <c r="I47" s="319"/>
      <c r="J47" s="319"/>
      <c r="K47" s="320"/>
      <c r="M47" s="316"/>
      <c r="N47" s="319"/>
      <c r="O47" s="319"/>
      <c r="P47" s="319"/>
      <c r="Q47" s="319"/>
      <c r="R47" s="319"/>
      <c r="S47" s="319"/>
      <c r="T47" s="319"/>
      <c r="U47" s="319"/>
      <c r="V47" s="320"/>
      <c r="X47" s="316"/>
      <c r="Y47" s="334">
        <v>82</v>
      </c>
      <c r="Z47" s="335" t="s">
        <v>47</v>
      </c>
      <c r="AA47" s="335"/>
      <c r="AB47" s="335"/>
      <c r="AC47" s="338"/>
      <c r="AD47" s="338"/>
      <c r="AE47" s="338"/>
      <c r="AF47" s="338"/>
      <c r="AG47" s="320"/>
      <c r="AI47" s="316"/>
      <c r="AJ47" s="334">
        <v>82</v>
      </c>
      <c r="AK47" s="335" t="s">
        <v>47</v>
      </c>
      <c r="AL47" s="335"/>
      <c r="AM47" s="335"/>
      <c r="AN47" s="338"/>
      <c r="AO47" s="338"/>
      <c r="AP47" s="338"/>
      <c r="AQ47" s="338"/>
      <c r="AR47" s="320"/>
    </row>
    <row r="48" spans="2:44" ht="15" customHeight="1" x14ac:dyDescent="0.3">
      <c r="B48" s="316"/>
      <c r="C48" s="319"/>
      <c r="D48" s="319"/>
      <c r="E48" s="319"/>
      <c r="F48" s="319"/>
      <c r="G48" s="319"/>
      <c r="H48" s="319"/>
      <c r="I48" s="319"/>
      <c r="J48" s="319"/>
      <c r="K48" s="320"/>
      <c r="M48" s="316"/>
      <c r="N48" s="319"/>
      <c r="O48" s="319"/>
      <c r="P48" s="319"/>
      <c r="Q48" s="319"/>
      <c r="R48" s="319"/>
      <c r="S48" s="319"/>
      <c r="T48" s="319"/>
      <c r="U48" s="319"/>
      <c r="V48" s="320"/>
      <c r="X48" s="316"/>
      <c r="Y48" s="310">
        <v>96</v>
      </c>
      <c r="Z48" s="311" t="s">
        <v>185</v>
      </c>
      <c r="AA48" s="311"/>
      <c r="AB48" s="311"/>
      <c r="AC48" s="213">
        <v>2</v>
      </c>
      <c r="AD48" s="213">
        <v>1</v>
      </c>
      <c r="AE48" s="213"/>
      <c r="AF48" s="213"/>
      <c r="AG48" s="326"/>
      <c r="AH48" s="8"/>
      <c r="AI48" s="316"/>
      <c r="AJ48" s="310">
        <v>96</v>
      </c>
      <c r="AK48" s="311" t="s">
        <v>185</v>
      </c>
      <c r="AL48" s="311"/>
      <c r="AM48" s="311"/>
      <c r="AN48" s="213">
        <v>1</v>
      </c>
      <c r="AO48" s="213"/>
      <c r="AP48" s="213"/>
      <c r="AQ48" s="213"/>
      <c r="AR48" s="320"/>
    </row>
    <row r="49" spans="2:44" ht="15" customHeight="1" x14ac:dyDescent="0.3">
      <c r="B49" s="316"/>
      <c r="C49" s="319"/>
      <c r="D49" s="319"/>
      <c r="E49" s="319"/>
      <c r="F49" s="319"/>
      <c r="G49" s="319"/>
      <c r="H49" s="319"/>
      <c r="I49" s="319"/>
      <c r="J49" s="319"/>
      <c r="K49" s="320"/>
      <c r="M49" s="316"/>
      <c r="N49" s="319"/>
      <c r="O49" s="319"/>
      <c r="P49" s="319"/>
      <c r="Q49" s="319"/>
      <c r="R49" s="319"/>
      <c r="S49" s="319"/>
      <c r="T49" s="319"/>
      <c r="U49" s="319"/>
      <c r="V49" s="320"/>
      <c r="X49" s="316"/>
      <c r="Y49" s="319"/>
      <c r="Z49" s="319"/>
      <c r="AA49" s="319"/>
      <c r="AB49" s="319"/>
      <c r="AC49" s="319"/>
      <c r="AD49" s="319"/>
      <c r="AE49" s="319"/>
      <c r="AF49" s="319"/>
      <c r="AG49" s="320"/>
      <c r="AI49" s="316"/>
      <c r="AJ49" s="319"/>
      <c r="AK49" s="319"/>
      <c r="AL49" s="319"/>
      <c r="AM49" s="319"/>
      <c r="AN49" s="319"/>
      <c r="AO49" s="319"/>
      <c r="AP49" s="319"/>
      <c r="AQ49" s="319"/>
      <c r="AR49" s="320"/>
    </row>
    <row r="50" spans="2:44" ht="15" customHeight="1" thickBot="1" x14ac:dyDescent="0.35">
      <c r="B50" s="327"/>
      <c r="C50" s="328"/>
      <c r="D50" s="328"/>
      <c r="E50" s="328"/>
      <c r="F50" s="328"/>
      <c r="G50" s="328"/>
      <c r="H50" s="328"/>
      <c r="I50" s="328"/>
      <c r="J50" s="328"/>
      <c r="K50" s="329"/>
      <c r="M50" s="327"/>
      <c r="N50" s="328"/>
      <c r="O50" s="328"/>
      <c r="P50" s="328"/>
      <c r="Q50" s="328"/>
      <c r="R50" s="328"/>
      <c r="S50" s="328"/>
      <c r="T50" s="328"/>
      <c r="U50" s="328"/>
      <c r="V50" s="329"/>
      <c r="X50" s="327"/>
      <c r="Y50" s="328"/>
      <c r="Z50" s="328"/>
      <c r="AA50" s="328"/>
      <c r="AB50" s="328"/>
      <c r="AC50" s="328"/>
      <c r="AD50" s="328"/>
      <c r="AE50" s="328"/>
      <c r="AF50" s="328"/>
      <c r="AG50" s="329"/>
      <c r="AI50" s="327"/>
      <c r="AJ50" s="328"/>
      <c r="AK50" s="328"/>
      <c r="AL50" s="328"/>
      <c r="AM50" s="328"/>
      <c r="AN50" s="328"/>
      <c r="AO50" s="328"/>
      <c r="AP50" s="328"/>
      <c r="AQ50" s="328"/>
      <c r="AR50" s="329"/>
    </row>
    <row r="51" spans="2:44" ht="15" customHeight="1" thickBot="1" x14ac:dyDescent="0.35"/>
    <row r="52" spans="2:44" ht="15" customHeight="1" x14ac:dyDescent="0.3">
      <c r="B52" s="313"/>
      <c r="C52" s="314"/>
      <c r="D52" s="314"/>
      <c r="E52" s="314"/>
      <c r="F52" s="314"/>
      <c r="G52" s="314"/>
      <c r="H52" s="314"/>
      <c r="I52" s="314"/>
      <c r="J52" s="314"/>
      <c r="K52" s="315"/>
      <c r="M52" s="313"/>
      <c r="N52" s="314"/>
      <c r="O52" s="314"/>
      <c r="P52" s="314"/>
      <c r="Q52" s="314"/>
      <c r="R52" s="314"/>
      <c r="S52" s="314"/>
      <c r="T52" s="314"/>
      <c r="U52" s="314"/>
      <c r="V52" s="315"/>
      <c r="X52" s="313"/>
      <c r="Y52" s="314"/>
      <c r="Z52" s="314"/>
      <c r="AA52" s="314"/>
      <c r="AB52" s="314"/>
      <c r="AC52" s="314"/>
      <c r="AD52" s="314"/>
      <c r="AE52" s="314"/>
      <c r="AF52" s="314"/>
      <c r="AG52" s="315"/>
      <c r="AI52" s="313"/>
      <c r="AJ52" s="314"/>
      <c r="AK52" s="314"/>
      <c r="AL52" s="314"/>
      <c r="AM52" s="314"/>
      <c r="AN52" s="314"/>
      <c r="AO52" s="314"/>
      <c r="AP52" s="314"/>
      <c r="AQ52" s="314"/>
      <c r="AR52" s="315"/>
    </row>
    <row r="53" spans="2:44" ht="15" customHeight="1" x14ac:dyDescent="0.3">
      <c r="B53" s="316"/>
      <c r="C53" s="317" t="s">
        <v>1114</v>
      </c>
      <c r="D53" s="318">
        <v>5</v>
      </c>
      <c r="E53" s="319"/>
      <c r="F53" s="319"/>
      <c r="G53" s="319"/>
      <c r="H53" s="319"/>
      <c r="I53" s="319"/>
      <c r="J53" s="319"/>
      <c r="K53" s="320"/>
      <c r="M53" s="316"/>
      <c r="N53" s="317" t="s">
        <v>1114</v>
      </c>
      <c r="O53" s="318">
        <v>6</v>
      </c>
      <c r="P53" s="319"/>
      <c r="Q53" s="319"/>
      <c r="R53" s="319"/>
      <c r="S53" s="319"/>
      <c r="T53" s="319"/>
      <c r="U53" s="319"/>
      <c r="V53" s="320"/>
      <c r="X53" s="316"/>
      <c r="Y53" s="317" t="s">
        <v>1114</v>
      </c>
      <c r="Z53" s="318">
        <v>7</v>
      </c>
      <c r="AA53" s="319"/>
      <c r="AB53" s="319"/>
      <c r="AC53" s="319"/>
      <c r="AD53" s="319"/>
      <c r="AE53" s="319"/>
      <c r="AF53" s="319"/>
      <c r="AG53" s="320"/>
      <c r="AI53" s="316"/>
      <c r="AJ53" s="317" t="s">
        <v>1114</v>
      </c>
      <c r="AK53" s="318">
        <v>8</v>
      </c>
      <c r="AL53" s="319"/>
      <c r="AM53" s="319"/>
      <c r="AN53" s="319"/>
      <c r="AO53" s="319"/>
      <c r="AP53" s="319"/>
      <c r="AQ53" s="319"/>
      <c r="AR53" s="320"/>
    </row>
    <row r="54" spans="2:44" ht="15" customHeight="1" x14ac:dyDescent="0.3">
      <c r="B54" s="316"/>
      <c r="C54" s="317"/>
      <c r="D54" s="321">
        <v>42309</v>
      </c>
      <c r="E54" s="317" t="s">
        <v>1398</v>
      </c>
      <c r="F54" s="317"/>
      <c r="G54" s="319"/>
      <c r="H54" s="319"/>
      <c r="I54" s="319"/>
      <c r="J54" s="319"/>
      <c r="K54" s="320"/>
      <c r="M54" s="316"/>
      <c r="N54" s="317"/>
      <c r="O54" s="321">
        <v>42309</v>
      </c>
      <c r="P54" s="317" t="s">
        <v>1398</v>
      </c>
      <c r="Q54" s="317"/>
      <c r="R54" s="319"/>
      <c r="S54" s="319"/>
      <c r="T54" s="319"/>
      <c r="U54" s="319"/>
      <c r="V54" s="320"/>
      <c r="X54" s="316"/>
      <c r="Y54" s="317"/>
      <c r="Z54" s="321">
        <v>42337</v>
      </c>
      <c r="AA54" s="317" t="s">
        <v>1398</v>
      </c>
      <c r="AB54" s="317"/>
      <c r="AC54" s="319"/>
      <c r="AD54" s="319"/>
      <c r="AE54" s="319"/>
      <c r="AF54" s="319"/>
      <c r="AG54" s="320"/>
      <c r="AI54" s="316"/>
      <c r="AJ54" s="317"/>
      <c r="AK54" s="321">
        <v>42337</v>
      </c>
      <c r="AL54" s="317" t="s">
        <v>1398</v>
      </c>
      <c r="AM54" s="317"/>
      <c r="AN54" s="319"/>
      <c r="AO54" s="319"/>
      <c r="AP54" s="319"/>
      <c r="AQ54" s="319"/>
      <c r="AR54" s="320"/>
    </row>
    <row r="55" spans="2:44" ht="15" customHeight="1" x14ac:dyDescent="0.3">
      <c r="B55" s="316"/>
      <c r="C55" s="317"/>
      <c r="D55" s="321"/>
      <c r="E55" s="317"/>
      <c r="F55" s="317"/>
      <c r="G55" s="319"/>
      <c r="H55" s="319"/>
      <c r="I55" s="319"/>
      <c r="J55" s="319"/>
      <c r="K55" s="320"/>
      <c r="M55" s="316"/>
      <c r="N55" s="317"/>
      <c r="O55" s="321"/>
      <c r="P55" s="317"/>
      <c r="Q55" s="317"/>
      <c r="R55" s="319"/>
      <c r="S55" s="319"/>
      <c r="T55" s="319"/>
      <c r="U55" s="319"/>
      <c r="V55" s="320"/>
      <c r="X55" s="316"/>
      <c r="Y55" s="317"/>
      <c r="Z55" s="321"/>
      <c r="AA55" s="317"/>
      <c r="AB55" s="317"/>
      <c r="AC55" s="319"/>
      <c r="AD55" s="319"/>
      <c r="AE55" s="319"/>
      <c r="AF55" s="319"/>
      <c r="AG55" s="320"/>
      <c r="AI55" s="316"/>
      <c r="AJ55" s="317"/>
      <c r="AK55" s="321"/>
      <c r="AL55" s="317"/>
      <c r="AM55" s="317"/>
      <c r="AN55" s="319"/>
      <c r="AO55" s="319"/>
      <c r="AP55" s="319"/>
      <c r="AQ55" s="319"/>
      <c r="AR55" s="320"/>
    </row>
    <row r="56" spans="2:44" ht="15" customHeight="1" x14ac:dyDescent="0.3">
      <c r="B56" s="316"/>
      <c r="C56" s="317"/>
      <c r="D56" s="343" t="s">
        <v>1407</v>
      </c>
      <c r="E56" s="344" t="s">
        <v>1411</v>
      </c>
      <c r="F56" s="317"/>
      <c r="G56" s="319"/>
      <c r="H56" s="319"/>
      <c r="I56" s="319"/>
      <c r="J56" s="319"/>
      <c r="K56" s="320"/>
      <c r="M56" s="316"/>
      <c r="N56" s="317"/>
      <c r="O56" s="343" t="s">
        <v>1407</v>
      </c>
      <c r="P56" s="344" t="s">
        <v>1410</v>
      </c>
      <c r="Q56" s="317"/>
      <c r="R56" s="319"/>
      <c r="S56" s="319"/>
      <c r="T56" s="319"/>
      <c r="U56" s="319"/>
      <c r="V56" s="320"/>
      <c r="X56" s="316"/>
      <c r="Y56" s="317"/>
      <c r="Z56" s="343" t="s">
        <v>1407</v>
      </c>
      <c r="AA56" s="344" t="s">
        <v>1411</v>
      </c>
      <c r="AB56" s="317"/>
      <c r="AC56" s="319"/>
      <c r="AD56" s="319"/>
      <c r="AE56" s="319"/>
      <c r="AF56" s="319"/>
      <c r="AG56" s="320"/>
      <c r="AI56" s="316"/>
      <c r="AJ56" s="317"/>
      <c r="AK56" s="343" t="s">
        <v>1407</v>
      </c>
      <c r="AL56" s="344" t="s">
        <v>1411</v>
      </c>
      <c r="AM56" s="317"/>
      <c r="AN56" s="319"/>
      <c r="AO56" s="319"/>
      <c r="AP56" s="319"/>
      <c r="AQ56" s="319"/>
      <c r="AR56" s="320"/>
    </row>
    <row r="57" spans="2:44" ht="15" customHeight="1" x14ac:dyDescent="0.3">
      <c r="B57" s="316"/>
      <c r="C57" s="317"/>
      <c r="D57" s="321"/>
      <c r="E57" s="317"/>
      <c r="F57" s="317"/>
      <c r="G57" s="319"/>
      <c r="H57" s="319"/>
      <c r="I57" s="319"/>
      <c r="J57" s="319"/>
      <c r="K57" s="320"/>
      <c r="M57" s="316"/>
      <c r="N57" s="317"/>
      <c r="O57" s="321"/>
      <c r="P57" s="317"/>
      <c r="Q57" s="317"/>
      <c r="R57" s="319"/>
      <c r="S57" s="319"/>
      <c r="T57" s="319"/>
      <c r="U57" s="319"/>
      <c r="V57" s="320"/>
      <c r="X57" s="316"/>
      <c r="Y57" s="317"/>
      <c r="Z57" s="321"/>
      <c r="AA57" s="317"/>
      <c r="AB57" s="317"/>
      <c r="AC57" s="319"/>
      <c r="AD57" s="319"/>
      <c r="AE57" s="319"/>
      <c r="AF57" s="319"/>
      <c r="AG57" s="320"/>
      <c r="AI57" s="316"/>
      <c r="AJ57" s="317"/>
      <c r="AK57" s="321"/>
      <c r="AL57" s="317"/>
      <c r="AM57" s="317"/>
      <c r="AN57" s="319"/>
      <c r="AO57" s="319"/>
      <c r="AP57" s="319"/>
      <c r="AQ57" s="319"/>
      <c r="AR57" s="320"/>
    </row>
    <row r="58" spans="2:44" ht="15" customHeight="1" x14ac:dyDescent="0.3">
      <c r="B58" s="316"/>
      <c r="C58" s="319"/>
      <c r="D58" s="322" t="s">
        <v>1402</v>
      </c>
      <c r="E58" s="322" t="s">
        <v>0</v>
      </c>
      <c r="F58" s="322"/>
      <c r="G58" s="319"/>
      <c r="H58" s="319"/>
      <c r="I58" s="319"/>
      <c r="J58" s="319"/>
      <c r="K58" s="320"/>
      <c r="M58" s="316"/>
      <c r="N58" s="319"/>
      <c r="O58" s="322" t="s">
        <v>1245</v>
      </c>
      <c r="P58" s="322" t="s">
        <v>0</v>
      </c>
      <c r="Q58" s="322"/>
      <c r="R58" s="319"/>
      <c r="S58" s="319"/>
      <c r="T58" s="319"/>
      <c r="U58" s="319"/>
      <c r="V58" s="320"/>
      <c r="X58" s="316"/>
      <c r="Y58" s="319"/>
      <c r="Z58" s="322" t="s">
        <v>0</v>
      </c>
      <c r="AA58" s="322" t="s">
        <v>1403</v>
      </c>
      <c r="AB58" s="322"/>
      <c r="AC58" s="319"/>
      <c r="AD58" s="319"/>
      <c r="AE58" s="319"/>
      <c r="AF58" s="319"/>
      <c r="AG58" s="320"/>
      <c r="AI58" s="316"/>
      <c r="AJ58" s="319"/>
      <c r="AK58" s="322" t="s">
        <v>0</v>
      </c>
      <c r="AL58" s="322" t="s">
        <v>1220</v>
      </c>
      <c r="AM58" s="322"/>
      <c r="AN58" s="319"/>
      <c r="AO58" s="319"/>
      <c r="AP58" s="319"/>
      <c r="AQ58" s="319"/>
      <c r="AR58" s="320"/>
    </row>
    <row r="59" spans="2:44" ht="15" customHeight="1" x14ac:dyDescent="0.3">
      <c r="B59" s="316"/>
      <c r="C59" s="319"/>
      <c r="D59" s="213">
        <f>D61+D62+D63</f>
        <v>6</v>
      </c>
      <c r="E59" s="213">
        <f>E61+E62+E63</f>
        <v>1</v>
      </c>
      <c r="F59" s="312"/>
      <c r="G59" s="319"/>
      <c r="H59" s="319"/>
      <c r="I59" s="319"/>
      <c r="J59" s="319"/>
      <c r="K59" s="320"/>
      <c r="M59" s="316"/>
      <c r="N59" s="319"/>
      <c r="O59" s="213">
        <f>O61+O62+O63</f>
        <v>7</v>
      </c>
      <c r="P59" s="213">
        <f>P61+P62+P63</f>
        <v>7</v>
      </c>
      <c r="Q59" s="312"/>
      <c r="R59" s="319"/>
      <c r="S59" s="319"/>
      <c r="T59" s="319"/>
      <c r="U59" s="319"/>
      <c r="V59" s="320"/>
      <c r="X59" s="316"/>
      <c r="Y59" s="319"/>
      <c r="Z59" s="213">
        <f>Z61+Z62+Z63</f>
        <v>3</v>
      </c>
      <c r="AA59" s="213">
        <f>AA61+AA62+AA63</f>
        <v>8</v>
      </c>
      <c r="AB59" s="312"/>
      <c r="AC59" s="319"/>
      <c r="AD59" s="319"/>
      <c r="AE59" s="319"/>
      <c r="AF59" s="319"/>
      <c r="AG59" s="320"/>
      <c r="AI59" s="316"/>
      <c r="AJ59" s="319"/>
      <c r="AK59" s="213">
        <f>AK61+AK62+AK63</f>
        <v>2</v>
      </c>
      <c r="AL59" s="213">
        <f>AL61+AL62+AL63</f>
        <v>3</v>
      </c>
      <c r="AM59" s="312"/>
      <c r="AN59" s="319"/>
      <c r="AO59" s="319"/>
      <c r="AP59" s="319"/>
      <c r="AQ59" s="319"/>
      <c r="AR59" s="320"/>
    </row>
    <row r="60" spans="2:44" ht="15" customHeight="1" x14ac:dyDescent="0.3">
      <c r="B60" s="316"/>
      <c r="C60" s="319"/>
      <c r="D60" s="319"/>
      <c r="E60" s="319"/>
      <c r="F60" s="319"/>
      <c r="G60" s="319"/>
      <c r="H60" s="319"/>
      <c r="I60" s="319"/>
      <c r="J60" s="319"/>
      <c r="K60" s="320"/>
      <c r="M60" s="316"/>
      <c r="N60" s="319"/>
      <c r="O60" s="319"/>
      <c r="P60" s="319"/>
      <c r="Q60" s="319"/>
      <c r="R60" s="319"/>
      <c r="S60" s="319"/>
      <c r="T60" s="319"/>
      <c r="U60" s="319"/>
      <c r="V60" s="320"/>
      <c r="X60" s="316"/>
      <c r="Y60" s="319"/>
      <c r="Z60" s="319"/>
      <c r="AA60" s="319"/>
      <c r="AB60" s="319"/>
      <c r="AC60" s="319"/>
      <c r="AD60" s="319"/>
      <c r="AE60" s="319"/>
      <c r="AF60" s="319"/>
      <c r="AG60" s="320"/>
      <c r="AI60" s="316"/>
      <c r="AJ60" s="319"/>
      <c r="AK60" s="319"/>
      <c r="AL60" s="319"/>
      <c r="AM60" s="319"/>
      <c r="AN60" s="319"/>
      <c r="AO60" s="319"/>
      <c r="AP60" s="319"/>
      <c r="AQ60" s="319"/>
      <c r="AR60" s="320"/>
    </row>
    <row r="61" spans="2:44" ht="15" customHeight="1" x14ac:dyDescent="0.3">
      <c r="B61" s="316"/>
      <c r="C61" s="317" t="s">
        <v>1111</v>
      </c>
      <c r="D61" s="213">
        <v>3</v>
      </c>
      <c r="E61" s="213">
        <v>0</v>
      </c>
      <c r="F61" s="312"/>
      <c r="G61" s="319"/>
      <c r="H61" s="319"/>
      <c r="I61" s="319"/>
      <c r="J61" s="319"/>
      <c r="K61" s="320"/>
      <c r="M61" s="316"/>
      <c r="N61" s="317" t="s">
        <v>1111</v>
      </c>
      <c r="O61" s="213">
        <v>0</v>
      </c>
      <c r="P61" s="213">
        <v>1</v>
      </c>
      <c r="Q61" s="312"/>
      <c r="R61" s="319"/>
      <c r="S61" s="319"/>
      <c r="T61" s="319"/>
      <c r="U61" s="319"/>
      <c r="V61" s="320"/>
      <c r="X61" s="316"/>
      <c r="Y61" s="317" t="s">
        <v>1111</v>
      </c>
      <c r="Z61" s="213">
        <v>1</v>
      </c>
      <c r="AA61" s="213">
        <v>3</v>
      </c>
      <c r="AB61" s="312"/>
      <c r="AC61" s="319"/>
      <c r="AD61" s="319"/>
      <c r="AE61" s="319"/>
      <c r="AF61" s="319"/>
      <c r="AG61" s="320"/>
      <c r="AI61" s="316"/>
      <c r="AJ61" s="317" t="s">
        <v>1111</v>
      </c>
      <c r="AK61" s="213">
        <v>0</v>
      </c>
      <c r="AL61" s="213">
        <v>1</v>
      </c>
      <c r="AM61" s="312"/>
      <c r="AN61" s="319"/>
      <c r="AO61" s="319"/>
      <c r="AP61" s="319"/>
      <c r="AQ61" s="319"/>
      <c r="AR61" s="320"/>
    </row>
    <row r="62" spans="2:44" ht="15" customHeight="1" x14ac:dyDescent="0.3">
      <c r="B62" s="316"/>
      <c r="C62" s="317" t="s">
        <v>1112</v>
      </c>
      <c r="D62" s="213">
        <v>0</v>
      </c>
      <c r="E62" s="213">
        <v>0</v>
      </c>
      <c r="F62" s="312"/>
      <c r="G62" s="319"/>
      <c r="H62" s="319"/>
      <c r="I62" s="319"/>
      <c r="J62" s="319"/>
      <c r="K62" s="320"/>
      <c r="M62" s="316"/>
      <c r="N62" s="317" t="s">
        <v>1112</v>
      </c>
      <c r="O62" s="213">
        <v>4</v>
      </c>
      <c r="P62" s="213">
        <v>4</v>
      </c>
      <c r="Q62" s="312"/>
      <c r="R62" s="319"/>
      <c r="S62" s="319"/>
      <c r="T62" s="319"/>
      <c r="U62" s="319"/>
      <c r="V62" s="320"/>
      <c r="X62" s="316"/>
      <c r="Y62" s="317" t="s">
        <v>1112</v>
      </c>
      <c r="Z62" s="213">
        <v>1</v>
      </c>
      <c r="AA62" s="213">
        <v>4</v>
      </c>
      <c r="AB62" s="312"/>
      <c r="AC62" s="319"/>
      <c r="AD62" s="319"/>
      <c r="AE62" s="319"/>
      <c r="AF62" s="319"/>
      <c r="AG62" s="320"/>
      <c r="AI62" s="316"/>
      <c r="AJ62" s="317" t="s">
        <v>1112</v>
      </c>
      <c r="AK62" s="213">
        <v>1</v>
      </c>
      <c r="AL62" s="213">
        <v>2</v>
      </c>
      <c r="AM62" s="312"/>
      <c r="AN62" s="319"/>
      <c r="AO62" s="319"/>
      <c r="AP62" s="319"/>
      <c r="AQ62" s="319"/>
      <c r="AR62" s="320"/>
    </row>
    <row r="63" spans="2:44" ht="15" customHeight="1" x14ac:dyDescent="0.3">
      <c r="B63" s="316"/>
      <c r="C63" s="317" t="s">
        <v>1113</v>
      </c>
      <c r="D63" s="213">
        <v>3</v>
      </c>
      <c r="E63" s="213">
        <v>1</v>
      </c>
      <c r="F63" s="312"/>
      <c r="G63" s="319"/>
      <c r="H63" s="319"/>
      <c r="I63" s="319"/>
      <c r="J63" s="319"/>
      <c r="K63" s="320"/>
      <c r="M63" s="316"/>
      <c r="N63" s="317" t="s">
        <v>1113</v>
      </c>
      <c r="O63" s="213">
        <v>3</v>
      </c>
      <c r="P63" s="213">
        <v>2</v>
      </c>
      <c r="Q63" s="312"/>
      <c r="R63" s="319"/>
      <c r="S63" s="319"/>
      <c r="T63" s="319"/>
      <c r="U63" s="319"/>
      <c r="V63" s="320"/>
      <c r="X63" s="316"/>
      <c r="Y63" s="317" t="s">
        <v>1113</v>
      </c>
      <c r="Z63" s="213">
        <v>1</v>
      </c>
      <c r="AA63" s="213">
        <v>1</v>
      </c>
      <c r="AB63" s="312"/>
      <c r="AC63" s="319"/>
      <c r="AD63" s="319"/>
      <c r="AE63" s="319"/>
      <c r="AF63" s="319"/>
      <c r="AG63" s="320"/>
      <c r="AI63" s="316"/>
      <c r="AJ63" s="317" t="s">
        <v>1113</v>
      </c>
      <c r="AK63" s="213">
        <v>1</v>
      </c>
      <c r="AL63" s="213">
        <v>0</v>
      </c>
      <c r="AM63" s="312"/>
      <c r="AN63" s="319"/>
      <c r="AO63" s="319"/>
      <c r="AP63" s="319"/>
      <c r="AQ63" s="319"/>
      <c r="AR63" s="320"/>
    </row>
    <row r="64" spans="2:44" ht="15" customHeight="1" x14ac:dyDescent="0.3">
      <c r="B64" s="316"/>
      <c r="C64" s="319"/>
      <c r="D64" s="319"/>
      <c r="E64" s="319"/>
      <c r="F64" s="319"/>
      <c r="G64" s="319"/>
      <c r="H64" s="319"/>
      <c r="I64" s="319"/>
      <c r="J64" s="319"/>
      <c r="K64" s="320"/>
      <c r="M64" s="316"/>
      <c r="N64" s="319"/>
      <c r="O64" s="319"/>
      <c r="P64" s="319"/>
      <c r="Q64" s="319"/>
      <c r="R64" s="319"/>
      <c r="S64" s="319"/>
      <c r="T64" s="319"/>
      <c r="U64" s="319"/>
      <c r="V64" s="320"/>
      <c r="X64" s="316"/>
      <c r="Y64" s="319"/>
      <c r="Z64" s="319"/>
      <c r="AA64" s="319"/>
      <c r="AB64" s="319"/>
      <c r="AC64" s="319"/>
      <c r="AD64" s="319"/>
      <c r="AE64" s="319"/>
      <c r="AF64" s="319"/>
      <c r="AG64" s="320"/>
      <c r="AI64" s="316"/>
      <c r="AJ64" s="319"/>
      <c r="AK64" s="319"/>
      <c r="AL64" s="319"/>
      <c r="AM64" s="319"/>
      <c r="AN64" s="319"/>
      <c r="AO64" s="319"/>
      <c r="AP64" s="319"/>
      <c r="AQ64" s="319"/>
      <c r="AR64" s="320"/>
    </row>
    <row r="65" spans="2:44" ht="15" customHeight="1" x14ac:dyDescent="0.3">
      <c r="B65" s="316"/>
      <c r="C65" s="319"/>
      <c r="D65" s="323" t="s">
        <v>1120</v>
      </c>
      <c r="E65" s="319" t="s">
        <v>501</v>
      </c>
      <c r="F65" s="319"/>
      <c r="G65" s="312" t="s">
        <v>1128</v>
      </c>
      <c r="H65" s="312"/>
      <c r="I65" s="319"/>
      <c r="J65" s="319"/>
      <c r="K65" s="320"/>
      <c r="M65" s="316"/>
      <c r="N65" s="319"/>
      <c r="O65" s="323" t="s">
        <v>1127</v>
      </c>
      <c r="P65" s="323" t="s">
        <v>1116</v>
      </c>
      <c r="Q65" s="323"/>
      <c r="R65" s="330" t="s">
        <v>1128</v>
      </c>
      <c r="S65" s="330"/>
      <c r="T65" s="319"/>
      <c r="U65" s="319"/>
      <c r="V65" s="320"/>
      <c r="X65" s="316"/>
      <c r="Y65" s="319"/>
      <c r="Z65" s="323" t="s">
        <v>1148</v>
      </c>
      <c r="AA65" s="323" t="s">
        <v>1149</v>
      </c>
      <c r="AB65" s="323"/>
      <c r="AC65" s="330" t="s">
        <v>1128</v>
      </c>
      <c r="AD65" s="330"/>
      <c r="AE65" s="319"/>
      <c r="AF65" s="319"/>
      <c r="AG65" s="320"/>
      <c r="AI65" s="316"/>
      <c r="AJ65" s="319"/>
      <c r="AK65" s="323" t="s">
        <v>1167</v>
      </c>
      <c r="AL65" s="323" t="s">
        <v>825</v>
      </c>
      <c r="AM65" s="323"/>
      <c r="AN65" s="330" t="s">
        <v>1128</v>
      </c>
      <c r="AO65" s="330"/>
      <c r="AP65" s="319"/>
      <c r="AQ65" s="319"/>
      <c r="AR65" s="320"/>
    </row>
    <row r="66" spans="2:44" ht="15" customHeight="1" x14ac:dyDescent="0.3">
      <c r="B66" s="316"/>
      <c r="C66" s="319"/>
      <c r="D66" s="319" t="s">
        <v>1115</v>
      </c>
      <c r="E66" s="323" t="s">
        <v>1116</v>
      </c>
      <c r="F66" s="323"/>
      <c r="G66" s="312">
        <v>14</v>
      </c>
      <c r="H66" s="312">
        <v>96</v>
      </c>
      <c r="I66" s="319"/>
      <c r="J66" s="319"/>
      <c r="K66" s="320"/>
      <c r="M66" s="316"/>
      <c r="N66" s="319"/>
      <c r="O66" s="323" t="s">
        <v>1131</v>
      </c>
      <c r="P66" s="323" t="s">
        <v>1132</v>
      </c>
      <c r="Q66" s="323"/>
      <c r="R66" s="330">
        <v>19</v>
      </c>
      <c r="S66" s="330">
        <v>20</v>
      </c>
      <c r="T66" s="319"/>
      <c r="U66" s="319"/>
      <c r="V66" s="320"/>
      <c r="X66" s="316"/>
      <c r="Y66" s="319"/>
      <c r="Z66" s="323" t="s">
        <v>1150</v>
      </c>
      <c r="AA66" s="323" t="s">
        <v>1132</v>
      </c>
      <c r="AB66" s="323"/>
      <c r="AC66" s="330">
        <v>19</v>
      </c>
      <c r="AD66" s="330" t="s">
        <v>1151</v>
      </c>
      <c r="AE66" s="319"/>
      <c r="AF66" s="319"/>
      <c r="AG66" s="320"/>
      <c r="AI66" s="316"/>
      <c r="AJ66" s="319"/>
      <c r="AK66" s="323" t="s">
        <v>1168</v>
      </c>
      <c r="AL66" s="323" t="s">
        <v>1132</v>
      </c>
      <c r="AM66" s="323"/>
      <c r="AN66" s="330" t="s">
        <v>1151</v>
      </c>
      <c r="AO66" s="330" t="s">
        <v>1169</v>
      </c>
      <c r="AP66" s="319"/>
      <c r="AQ66" s="319"/>
      <c r="AR66" s="320"/>
    </row>
    <row r="67" spans="2:44" ht="15" customHeight="1" x14ac:dyDescent="0.3">
      <c r="B67" s="316"/>
      <c r="C67" s="319"/>
      <c r="D67" s="319" t="s">
        <v>1117</v>
      </c>
      <c r="E67" s="323" t="s">
        <v>1118</v>
      </c>
      <c r="F67" s="323"/>
      <c r="G67" s="312">
        <v>23</v>
      </c>
      <c r="H67" s="312">
        <v>50</v>
      </c>
      <c r="I67" s="319"/>
      <c r="J67" s="319"/>
      <c r="K67" s="320"/>
      <c r="M67" s="316"/>
      <c r="N67" s="319"/>
      <c r="O67" s="323" t="s">
        <v>1130</v>
      </c>
      <c r="P67" s="323" t="s">
        <v>501</v>
      </c>
      <c r="Q67" s="323"/>
      <c r="R67" s="330">
        <v>14</v>
      </c>
      <c r="S67" s="330"/>
      <c r="T67" s="319"/>
      <c r="U67" s="319"/>
      <c r="V67" s="320"/>
      <c r="X67" s="316"/>
      <c r="Y67" s="319"/>
      <c r="Z67" s="323" t="s">
        <v>1152</v>
      </c>
      <c r="AA67" s="323" t="s">
        <v>909</v>
      </c>
      <c r="AB67" s="323"/>
      <c r="AC67" s="330" t="s">
        <v>1128</v>
      </c>
      <c r="AD67" s="330"/>
      <c r="AE67" s="319"/>
      <c r="AF67" s="319"/>
      <c r="AG67" s="320"/>
      <c r="AI67" s="316"/>
      <c r="AJ67" s="319"/>
      <c r="AK67" s="323" t="s">
        <v>1170</v>
      </c>
      <c r="AL67" s="323" t="s">
        <v>1171</v>
      </c>
      <c r="AM67" s="323"/>
      <c r="AN67" s="330" t="s">
        <v>1128</v>
      </c>
      <c r="AO67" s="330"/>
      <c r="AP67" s="319"/>
      <c r="AQ67" s="319"/>
      <c r="AR67" s="320"/>
    </row>
    <row r="68" spans="2:44" ht="15" customHeight="1" x14ac:dyDescent="0.3">
      <c r="B68" s="316"/>
      <c r="C68" s="319"/>
      <c r="D68" s="319" t="s">
        <v>1121</v>
      </c>
      <c r="E68" s="319" t="s">
        <v>501</v>
      </c>
      <c r="F68" s="319"/>
      <c r="G68" s="312">
        <v>17</v>
      </c>
      <c r="H68" s="312"/>
      <c r="I68" s="319"/>
      <c r="J68" s="319"/>
      <c r="K68" s="320"/>
      <c r="M68" s="316"/>
      <c r="N68" s="319"/>
      <c r="O68" s="323" t="s">
        <v>1129</v>
      </c>
      <c r="P68" s="323" t="s">
        <v>501</v>
      </c>
      <c r="Q68" s="323"/>
      <c r="R68" s="330" t="s">
        <v>1128</v>
      </c>
      <c r="S68" s="330"/>
      <c r="T68" s="319"/>
      <c r="U68" s="319"/>
      <c r="V68" s="320"/>
      <c r="X68" s="316"/>
      <c r="Y68" s="319"/>
      <c r="Z68" s="323" t="s">
        <v>1153</v>
      </c>
      <c r="AA68" s="323" t="s">
        <v>501</v>
      </c>
      <c r="AB68" s="323"/>
      <c r="AC68" s="330" t="s">
        <v>1128</v>
      </c>
      <c r="AD68" s="330"/>
      <c r="AE68" s="319"/>
      <c r="AF68" s="319"/>
      <c r="AG68" s="320"/>
      <c r="AI68" s="316"/>
      <c r="AJ68" s="319"/>
      <c r="AK68" s="323"/>
      <c r="AL68" s="323" t="s">
        <v>1400</v>
      </c>
      <c r="AM68" s="323"/>
      <c r="AN68" s="330"/>
      <c r="AO68" s="330"/>
      <c r="AP68" s="319"/>
      <c r="AQ68" s="319"/>
      <c r="AR68" s="320"/>
    </row>
    <row r="69" spans="2:44" ht="15" customHeight="1" x14ac:dyDescent="0.3">
      <c r="B69" s="316"/>
      <c r="C69" s="319"/>
      <c r="D69" s="319" t="s">
        <v>1119</v>
      </c>
      <c r="E69" s="323" t="s">
        <v>909</v>
      </c>
      <c r="F69" s="323"/>
      <c r="G69" s="312" t="s">
        <v>1128</v>
      </c>
      <c r="H69" s="312"/>
      <c r="I69" s="319"/>
      <c r="J69" s="319"/>
      <c r="K69" s="320"/>
      <c r="M69" s="316"/>
      <c r="N69" s="319"/>
      <c r="O69" s="323" t="s">
        <v>1133</v>
      </c>
      <c r="P69" s="323" t="s">
        <v>1134</v>
      </c>
      <c r="Q69" s="323"/>
      <c r="R69" s="330" t="s">
        <v>1128</v>
      </c>
      <c r="S69" s="330"/>
      <c r="T69" s="319"/>
      <c r="U69" s="319"/>
      <c r="V69" s="320"/>
      <c r="X69" s="316"/>
      <c r="Y69" s="319"/>
      <c r="Z69" s="323" t="s">
        <v>1154</v>
      </c>
      <c r="AA69" s="323" t="s">
        <v>611</v>
      </c>
      <c r="AB69" s="323"/>
      <c r="AC69" s="330" t="s">
        <v>1151</v>
      </c>
      <c r="AD69" s="330"/>
      <c r="AE69" s="319"/>
      <c r="AF69" s="319"/>
      <c r="AG69" s="320"/>
      <c r="AI69" s="316"/>
      <c r="AJ69" s="319"/>
      <c r="AK69" s="323"/>
      <c r="AL69" s="323"/>
      <c r="AM69" s="323"/>
      <c r="AN69" s="330"/>
      <c r="AO69" s="330"/>
      <c r="AP69" s="319"/>
      <c r="AQ69" s="319"/>
      <c r="AR69" s="320"/>
    </row>
    <row r="70" spans="2:44" ht="15" customHeight="1" x14ac:dyDescent="0.3">
      <c r="B70" s="316"/>
      <c r="C70" s="319"/>
      <c r="D70" s="319" t="s">
        <v>1122</v>
      </c>
      <c r="E70" s="323" t="s">
        <v>1123</v>
      </c>
      <c r="F70" s="323"/>
      <c r="G70" s="312">
        <v>20</v>
      </c>
      <c r="H70" s="312" t="s">
        <v>107</v>
      </c>
      <c r="I70" s="319"/>
      <c r="J70" s="319"/>
      <c r="K70" s="320"/>
      <c r="M70" s="316"/>
      <c r="N70" s="319"/>
      <c r="O70" s="323" t="s">
        <v>1135</v>
      </c>
      <c r="P70" s="323" t="s">
        <v>501</v>
      </c>
      <c r="Q70" s="323"/>
      <c r="R70" s="330">
        <v>14</v>
      </c>
      <c r="S70" s="330"/>
      <c r="T70" s="319"/>
      <c r="U70" s="319"/>
      <c r="V70" s="320"/>
      <c r="X70" s="316"/>
      <c r="Y70" s="319"/>
      <c r="Z70" s="323" t="s">
        <v>1154</v>
      </c>
      <c r="AA70" s="323" t="s">
        <v>501</v>
      </c>
      <c r="AB70" s="323"/>
      <c r="AC70" s="330" t="s">
        <v>1128</v>
      </c>
      <c r="AD70" s="330"/>
      <c r="AE70" s="319"/>
      <c r="AF70" s="319"/>
      <c r="AG70" s="320"/>
      <c r="AI70" s="316"/>
      <c r="AJ70" s="319"/>
      <c r="AK70" s="323"/>
      <c r="AL70" s="323"/>
      <c r="AM70" s="323"/>
      <c r="AN70" s="330"/>
      <c r="AO70" s="330"/>
      <c r="AP70" s="319"/>
      <c r="AQ70" s="319"/>
      <c r="AR70" s="320"/>
    </row>
    <row r="71" spans="2:44" ht="15" customHeight="1" x14ac:dyDescent="0.3">
      <c r="B71" s="316"/>
      <c r="C71" s="319"/>
      <c r="D71" s="319"/>
      <c r="E71" s="319" t="s">
        <v>1400</v>
      </c>
      <c r="F71" s="319"/>
      <c r="G71" s="319"/>
      <c r="H71" s="319"/>
      <c r="I71" s="319"/>
      <c r="J71" s="319"/>
      <c r="K71" s="320"/>
      <c r="M71" s="316"/>
      <c r="N71" s="319"/>
      <c r="O71" s="323" t="s">
        <v>1136</v>
      </c>
      <c r="P71" s="323" t="s">
        <v>939</v>
      </c>
      <c r="Q71" s="323"/>
      <c r="R71" s="330">
        <v>20</v>
      </c>
      <c r="S71" s="330">
        <v>14</v>
      </c>
      <c r="T71" s="319"/>
      <c r="U71" s="319"/>
      <c r="V71" s="320"/>
      <c r="X71" s="316"/>
      <c r="Y71" s="319"/>
      <c r="Z71" s="323" t="s">
        <v>1155</v>
      </c>
      <c r="AA71" s="323" t="s">
        <v>1156</v>
      </c>
      <c r="AB71" s="323"/>
      <c r="AC71" s="330" t="s">
        <v>170</v>
      </c>
      <c r="AD71" s="330" t="s">
        <v>1145</v>
      </c>
      <c r="AE71" s="319"/>
      <c r="AF71" s="319"/>
      <c r="AG71" s="320"/>
      <c r="AI71" s="316"/>
      <c r="AJ71" s="319"/>
      <c r="AK71" s="323"/>
      <c r="AL71" s="323"/>
      <c r="AM71" s="323"/>
      <c r="AN71" s="330"/>
      <c r="AO71" s="330"/>
      <c r="AP71" s="319"/>
      <c r="AQ71" s="319"/>
      <c r="AR71" s="320"/>
    </row>
    <row r="72" spans="2:44" ht="15" customHeight="1" x14ac:dyDescent="0.3">
      <c r="B72" s="316"/>
      <c r="C72" s="319"/>
      <c r="D72" s="319"/>
      <c r="E72" s="319"/>
      <c r="F72" s="319"/>
      <c r="G72" s="319"/>
      <c r="H72" s="319"/>
      <c r="I72" s="319"/>
      <c r="J72" s="319"/>
      <c r="K72" s="320"/>
      <c r="M72" s="316"/>
      <c r="N72" s="319"/>
      <c r="O72" s="323" t="s">
        <v>1137</v>
      </c>
      <c r="P72" s="323" t="s">
        <v>156</v>
      </c>
      <c r="Q72" s="323"/>
      <c r="R72" s="330" t="s">
        <v>1128</v>
      </c>
      <c r="S72" s="330"/>
      <c r="T72" s="319"/>
      <c r="U72" s="319"/>
      <c r="V72" s="320"/>
      <c r="X72" s="316"/>
      <c r="Y72" s="319"/>
      <c r="Z72" s="323" t="s">
        <v>1157</v>
      </c>
      <c r="AA72" s="323" t="s">
        <v>897</v>
      </c>
      <c r="AB72" s="323"/>
      <c r="AC72" s="330" t="s">
        <v>170</v>
      </c>
      <c r="AD72" s="330" t="s">
        <v>1145</v>
      </c>
      <c r="AE72" s="319"/>
      <c r="AF72" s="319"/>
      <c r="AG72" s="320"/>
      <c r="AI72" s="316"/>
      <c r="AJ72" s="319"/>
      <c r="AK72" s="323"/>
      <c r="AL72" s="323"/>
      <c r="AM72" s="323"/>
      <c r="AN72" s="330"/>
      <c r="AO72" s="330"/>
      <c r="AP72" s="319"/>
      <c r="AQ72" s="319"/>
      <c r="AR72" s="320"/>
    </row>
    <row r="73" spans="2:44" ht="15" customHeight="1" x14ac:dyDescent="0.3">
      <c r="B73" s="316"/>
      <c r="C73" s="319"/>
      <c r="D73" s="319"/>
      <c r="E73" s="319"/>
      <c r="F73" s="319"/>
      <c r="G73" s="319"/>
      <c r="H73" s="319"/>
      <c r="I73" s="319"/>
      <c r="J73" s="319"/>
      <c r="K73" s="320"/>
      <c r="M73" s="316"/>
      <c r="N73" s="319"/>
      <c r="O73" s="323" t="s">
        <v>1138</v>
      </c>
      <c r="P73" s="323" t="s">
        <v>260</v>
      </c>
      <c r="Q73" s="323"/>
      <c r="R73" s="330" t="s">
        <v>1128</v>
      </c>
      <c r="S73" s="330"/>
      <c r="T73" s="319"/>
      <c r="U73" s="319"/>
      <c r="V73" s="320"/>
      <c r="X73" s="316"/>
      <c r="Y73" s="319"/>
      <c r="Z73" s="323" t="s">
        <v>1158</v>
      </c>
      <c r="AA73" s="323" t="s">
        <v>167</v>
      </c>
      <c r="AB73" s="323"/>
      <c r="AC73" s="330" t="s">
        <v>1151</v>
      </c>
      <c r="AD73" s="330" t="s">
        <v>1159</v>
      </c>
      <c r="AE73" s="319"/>
      <c r="AF73" s="319"/>
      <c r="AG73" s="320"/>
      <c r="AI73" s="316"/>
      <c r="AJ73" s="319"/>
      <c r="AK73" s="323"/>
      <c r="AL73" s="323"/>
      <c r="AM73" s="323"/>
      <c r="AN73" s="330"/>
      <c r="AO73" s="330"/>
      <c r="AP73" s="319"/>
      <c r="AQ73" s="319"/>
      <c r="AR73" s="320"/>
    </row>
    <row r="74" spans="2:44" ht="15" customHeight="1" x14ac:dyDescent="0.3">
      <c r="B74" s="316"/>
      <c r="C74" s="319"/>
      <c r="D74" s="319"/>
      <c r="E74" s="319"/>
      <c r="F74" s="319"/>
      <c r="G74" s="319"/>
      <c r="H74" s="319"/>
      <c r="I74" s="319"/>
      <c r="J74" s="319"/>
      <c r="K74" s="320"/>
      <c r="M74" s="316"/>
      <c r="N74" s="319"/>
      <c r="O74" s="323" t="s">
        <v>1139</v>
      </c>
      <c r="P74" s="323" t="s">
        <v>1143</v>
      </c>
      <c r="Q74" s="323"/>
      <c r="R74" s="330" t="s">
        <v>1128</v>
      </c>
      <c r="S74" s="330"/>
      <c r="T74" s="319"/>
      <c r="U74" s="319"/>
      <c r="V74" s="320"/>
      <c r="X74" s="316"/>
      <c r="Y74" s="319"/>
      <c r="Z74" s="323" t="s">
        <v>1160</v>
      </c>
      <c r="AA74" s="323" t="s">
        <v>506</v>
      </c>
      <c r="AB74" s="323"/>
      <c r="AC74" s="330" t="s">
        <v>959</v>
      </c>
      <c r="AD74" s="330"/>
      <c r="AE74" s="319"/>
      <c r="AF74" s="319"/>
      <c r="AG74" s="320"/>
      <c r="AI74" s="316"/>
      <c r="AJ74" s="319"/>
      <c r="AK74" s="323"/>
      <c r="AL74" s="323"/>
      <c r="AM74" s="323"/>
      <c r="AN74" s="330"/>
      <c r="AO74" s="330"/>
      <c r="AP74" s="319"/>
      <c r="AQ74" s="319"/>
      <c r="AR74" s="320"/>
    </row>
    <row r="75" spans="2:44" ht="15" customHeight="1" x14ac:dyDescent="0.3">
      <c r="B75" s="316"/>
      <c r="C75" s="319"/>
      <c r="D75" s="319"/>
      <c r="E75" s="319"/>
      <c r="F75" s="319"/>
      <c r="G75" s="319"/>
      <c r="H75" s="319"/>
      <c r="I75" s="319"/>
      <c r="J75" s="319"/>
      <c r="K75" s="320"/>
      <c r="M75" s="316"/>
      <c r="N75" s="319"/>
      <c r="O75" s="323" t="s">
        <v>1140</v>
      </c>
      <c r="P75" s="323" t="s">
        <v>501</v>
      </c>
      <c r="Q75" s="323"/>
      <c r="R75" s="330" t="s">
        <v>1128</v>
      </c>
      <c r="S75" s="330"/>
      <c r="T75" s="319"/>
      <c r="U75" s="319"/>
      <c r="V75" s="320"/>
      <c r="X75" s="316"/>
      <c r="Y75" s="319"/>
      <c r="Z75" s="323" t="s">
        <v>1161</v>
      </c>
      <c r="AA75" s="323" t="s">
        <v>508</v>
      </c>
      <c r="AB75" s="323"/>
      <c r="AC75" s="330" t="s">
        <v>1151</v>
      </c>
      <c r="AD75" s="330" t="s">
        <v>1162</v>
      </c>
      <c r="AE75" s="319"/>
      <c r="AF75" s="319"/>
      <c r="AG75" s="320"/>
      <c r="AI75" s="316"/>
      <c r="AJ75" s="319"/>
      <c r="AK75" s="323"/>
      <c r="AL75" s="323"/>
      <c r="AM75" s="323"/>
      <c r="AN75" s="330"/>
      <c r="AO75" s="330"/>
      <c r="AP75" s="319"/>
      <c r="AQ75" s="319"/>
      <c r="AR75" s="320"/>
    </row>
    <row r="76" spans="2:44" ht="15" customHeight="1" x14ac:dyDescent="0.3">
      <c r="B76" s="316"/>
      <c r="C76" s="319"/>
      <c r="D76" s="319"/>
      <c r="E76" s="319"/>
      <c r="F76" s="319"/>
      <c r="G76" s="319"/>
      <c r="H76" s="319"/>
      <c r="I76" s="319"/>
      <c r="J76" s="319"/>
      <c r="K76" s="320"/>
      <c r="M76" s="316"/>
      <c r="N76" s="319"/>
      <c r="O76" s="323" t="s">
        <v>1141</v>
      </c>
      <c r="P76" s="323" t="s">
        <v>1144</v>
      </c>
      <c r="Q76" s="323"/>
      <c r="R76" s="330" t="s">
        <v>1128</v>
      </c>
      <c r="S76" s="330"/>
      <c r="T76" s="319"/>
      <c r="U76" s="319"/>
      <c r="V76" s="320"/>
      <c r="X76" s="316"/>
      <c r="Y76" s="319"/>
      <c r="Z76" s="323" t="s">
        <v>1163</v>
      </c>
      <c r="AA76" s="323" t="s">
        <v>39</v>
      </c>
      <c r="AB76" s="323"/>
      <c r="AC76" s="330" t="s">
        <v>1128</v>
      </c>
      <c r="AD76" s="330"/>
      <c r="AE76" s="319"/>
      <c r="AF76" s="319"/>
      <c r="AG76" s="320"/>
      <c r="AI76" s="316"/>
      <c r="AJ76" s="319"/>
      <c r="AK76" s="323"/>
      <c r="AL76" s="323"/>
      <c r="AM76" s="323"/>
      <c r="AN76" s="330"/>
      <c r="AO76" s="330"/>
      <c r="AP76" s="319"/>
      <c r="AQ76" s="319"/>
      <c r="AR76" s="320"/>
    </row>
    <row r="77" spans="2:44" ht="15" customHeight="1" x14ac:dyDescent="0.3">
      <c r="B77" s="316"/>
      <c r="C77" s="319"/>
      <c r="D77" s="319"/>
      <c r="E77" s="319"/>
      <c r="F77" s="319"/>
      <c r="G77" s="319"/>
      <c r="H77" s="319"/>
      <c r="I77" s="319"/>
      <c r="J77" s="319"/>
      <c r="K77" s="320"/>
      <c r="M77" s="316"/>
      <c r="N77" s="319"/>
      <c r="O77" s="323" t="s">
        <v>1142</v>
      </c>
      <c r="P77" s="323" t="s">
        <v>888</v>
      </c>
      <c r="Q77" s="323"/>
      <c r="R77" s="330" t="s">
        <v>1145</v>
      </c>
      <c r="S77" s="330" t="s">
        <v>107</v>
      </c>
      <c r="T77" s="319"/>
      <c r="U77" s="319"/>
      <c r="V77" s="320"/>
      <c r="X77" s="316"/>
      <c r="Y77" s="319"/>
      <c r="Z77" s="323"/>
      <c r="AA77" s="323" t="s">
        <v>1401</v>
      </c>
      <c r="AB77" s="323"/>
      <c r="AC77" s="330"/>
      <c r="AD77" s="330"/>
      <c r="AE77" s="319"/>
      <c r="AF77" s="319"/>
      <c r="AG77" s="320"/>
      <c r="AI77" s="316"/>
      <c r="AJ77" s="319"/>
      <c r="AK77" s="323"/>
      <c r="AL77" s="323"/>
      <c r="AM77" s="323"/>
      <c r="AN77" s="330"/>
      <c r="AO77" s="330"/>
      <c r="AP77" s="319"/>
      <c r="AQ77" s="319"/>
      <c r="AR77" s="320"/>
    </row>
    <row r="78" spans="2:44" ht="15" customHeight="1" x14ac:dyDescent="0.3">
      <c r="B78" s="316"/>
      <c r="C78" s="319"/>
      <c r="D78" s="319"/>
      <c r="E78" s="319"/>
      <c r="F78" s="319"/>
      <c r="G78" s="319"/>
      <c r="H78" s="319"/>
      <c r="I78" s="319"/>
      <c r="J78" s="319"/>
      <c r="K78" s="320"/>
      <c r="M78" s="316"/>
      <c r="N78" s="319"/>
      <c r="O78" s="319"/>
      <c r="P78" s="319" t="s">
        <v>1400</v>
      </c>
      <c r="Q78" s="319"/>
      <c r="R78" s="319"/>
      <c r="S78" s="319"/>
      <c r="T78" s="319"/>
      <c r="U78" s="319"/>
      <c r="V78" s="320"/>
      <c r="X78" s="316"/>
      <c r="Y78" s="319"/>
      <c r="Z78" s="319"/>
      <c r="AA78" s="319"/>
      <c r="AB78" s="319"/>
      <c r="AC78" s="319"/>
      <c r="AD78" s="319"/>
      <c r="AE78" s="319"/>
      <c r="AF78" s="319"/>
      <c r="AG78" s="320"/>
      <c r="AI78" s="316"/>
      <c r="AJ78" s="319"/>
      <c r="AK78" s="319"/>
      <c r="AL78" s="319"/>
      <c r="AM78" s="319"/>
      <c r="AN78" s="319"/>
      <c r="AO78" s="319"/>
      <c r="AP78" s="319"/>
      <c r="AQ78" s="319"/>
      <c r="AR78" s="320"/>
    </row>
    <row r="79" spans="2:44" ht="15" customHeight="1" x14ac:dyDescent="0.3">
      <c r="B79" s="316"/>
      <c r="C79" s="319"/>
      <c r="D79" s="319"/>
      <c r="E79" s="319"/>
      <c r="F79" s="319"/>
      <c r="G79" s="324" t="s">
        <v>533</v>
      </c>
      <c r="H79" s="324" t="s">
        <v>534</v>
      </c>
      <c r="I79" s="324" t="s">
        <v>610</v>
      </c>
      <c r="J79" s="324" t="s">
        <v>535</v>
      </c>
      <c r="K79" s="325"/>
      <c r="M79" s="316"/>
      <c r="N79" s="319"/>
      <c r="O79" s="319"/>
      <c r="P79" s="319"/>
      <c r="Q79" s="319"/>
      <c r="R79" s="324" t="s">
        <v>533</v>
      </c>
      <c r="S79" s="324" t="s">
        <v>534</v>
      </c>
      <c r="T79" s="324" t="s">
        <v>610</v>
      </c>
      <c r="U79" s="324" t="s">
        <v>535</v>
      </c>
      <c r="V79" s="325"/>
      <c r="X79" s="316"/>
      <c r="Y79" s="319"/>
      <c r="Z79" s="319"/>
      <c r="AA79" s="319"/>
      <c r="AB79" s="319"/>
      <c r="AC79" s="324" t="s">
        <v>533</v>
      </c>
      <c r="AD79" s="324" t="s">
        <v>534</v>
      </c>
      <c r="AE79" s="324" t="s">
        <v>610</v>
      </c>
      <c r="AF79" s="324" t="s">
        <v>535</v>
      </c>
      <c r="AG79" s="325"/>
      <c r="AH79" s="265"/>
      <c r="AI79" s="316"/>
      <c r="AJ79" s="319"/>
      <c r="AK79" s="319"/>
      <c r="AL79" s="319"/>
      <c r="AM79" s="319"/>
      <c r="AN79" s="324" t="s">
        <v>533</v>
      </c>
      <c r="AO79" s="324" t="s">
        <v>534</v>
      </c>
      <c r="AP79" s="324" t="s">
        <v>610</v>
      </c>
      <c r="AQ79" s="324" t="s">
        <v>535</v>
      </c>
      <c r="AR79" s="320"/>
    </row>
    <row r="80" spans="2:44" ht="15" customHeight="1" x14ac:dyDescent="0.3">
      <c r="B80" s="316"/>
      <c r="C80" s="310">
        <v>1</v>
      </c>
      <c r="D80" s="311" t="s">
        <v>941</v>
      </c>
      <c r="E80" s="311"/>
      <c r="F80" s="311"/>
      <c r="G80" s="213"/>
      <c r="H80" s="213"/>
      <c r="I80" s="213"/>
      <c r="J80" s="213"/>
      <c r="K80" s="326"/>
      <c r="M80" s="316"/>
      <c r="N80" s="310">
        <v>1</v>
      </c>
      <c r="O80" s="311" t="s">
        <v>941</v>
      </c>
      <c r="P80" s="311"/>
      <c r="Q80" s="311"/>
      <c r="R80" s="213"/>
      <c r="S80" s="213"/>
      <c r="T80" s="213"/>
      <c r="U80" s="213"/>
      <c r="V80" s="326"/>
      <c r="X80" s="316"/>
      <c r="Y80" s="310">
        <v>1</v>
      </c>
      <c r="Z80" s="311" t="s">
        <v>941</v>
      </c>
      <c r="AA80" s="311"/>
      <c r="AB80" s="311"/>
      <c r="AC80" s="213"/>
      <c r="AD80" s="213"/>
      <c r="AE80" s="213"/>
      <c r="AF80" s="213"/>
      <c r="AG80" s="326"/>
      <c r="AH80" s="8"/>
      <c r="AI80" s="316"/>
      <c r="AJ80" s="310">
        <v>1</v>
      </c>
      <c r="AK80" s="311" t="s">
        <v>941</v>
      </c>
      <c r="AL80" s="311"/>
      <c r="AM80" s="311"/>
      <c r="AN80" s="213"/>
      <c r="AO80" s="213"/>
      <c r="AP80" s="213"/>
      <c r="AQ80" s="213"/>
      <c r="AR80" s="320"/>
    </row>
    <row r="81" spans="2:44" ht="15" customHeight="1" x14ac:dyDescent="0.3">
      <c r="B81" s="316"/>
      <c r="C81" s="310">
        <v>4</v>
      </c>
      <c r="D81" s="311" t="s">
        <v>530</v>
      </c>
      <c r="E81" s="311"/>
      <c r="F81" s="311"/>
      <c r="G81" s="213"/>
      <c r="H81" s="213"/>
      <c r="I81" s="213"/>
      <c r="J81" s="213"/>
      <c r="K81" s="326"/>
      <c r="M81" s="316"/>
      <c r="N81" s="310">
        <v>4</v>
      </c>
      <c r="O81" s="311" t="s">
        <v>530</v>
      </c>
      <c r="P81" s="311"/>
      <c r="Q81" s="311"/>
      <c r="R81" s="213"/>
      <c r="S81" s="213"/>
      <c r="T81" s="213"/>
      <c r="U81" s="213"/>
      <c r="V81" s="326"/>
      <c r="X81" s="316"/>
      <c r="Y81" s="310">
        <v>4</v>
      </c>
      <c r="Z81" s="311" t="s">
        <v>530</v>
      </c>
      <c r="AA81" s="311"/>
      <c r="AB81" s="311"/>
      <c r="AC81" s="213"/>
      <c r="AD81" s="213"/>
      <c r="AE81" s="213"/>
      <c r="AF81" s="213"/>
      <c r="AG81" s="326"/>
      <c r="AH81" s="8"/>
      <c r="AI81" s="316"/>
      <c r="AJ81" s="310">
        <v>4</v>
      </c>
      <c r="AK81" s="311" t="s">
        <v>530</v>
      </c>
      <c r="AL81" s="311"/>
      <c r="AM81" s="311"/>
      <c r="AN81" s="213"/>
      <c r="AO81" s="213"/>
      <c r="AP81" s="213"/>
      <c r="AQ81" s="213"/>
      <c r="AR81" s="320"/>
    </row>
    <row r="82" spans="2:44" ht="15" customHeight="1" x14ac:dyDescent="0.3">
      <c r="B82" s="316"/>
      <c r="C82" s="310">
        <v>9</v>
      </c>
      <c r="D82" s="311" t="s">
        <v>1077</v>
      </c>
      <c r="E82" s="311"/>
      <c r="F82" s="311"/>
      <c r="G82" s="213"/>
      <c r="H82" s="213"/>
      <c r="I82" s="213"/>
      <c r="J82" s="213"/>
      <c r="K82" s="326"/>
      <c r="M82" s="316"/>
      <c r="N82" s="310">
        <v>9</v>
      </c>
      <c r="O82" s="311" t="s">
        <v>1077</v>
      </c>
      <c r="P82" s="311"/>
      <c r="Q82" s="311"/>
      <c r="R82" s="213"/>
      <c r="S82" s="213"/>
      <c r="T82" s="213"/>
      <c r="U82" s="213"/>
      <c r="V82" s="326"/>
      <c r="X82" s="316"/>
      <c r="Y82" s="310">
        <v>9</v>
      </c>
      <c r="Z82" s="311" t="s">
        <v>1077</v>
      </c>
      <c r="AA82" s="311"/>
      <c r="AB82" s="311"/>
      <c r="AC82" s="213">
        <v>2</v>
      </c>
      <c r="AD82" s="213"/>
      <c r="AE82" s="213"/>
      <c r="AF82" s="213"/>
      <c r="AG82" s="326"/>
      <c r="AH82" s="8"/>
      <c r="AI82" s="316"/>
      <c r="AJ82" s="310">
        <v>9</v>
      </c>
      <c r="AK82" s="311" t="s">
        <v>1077</v>
      </c>
      <c r="AL82" s="311"/>
      <c r="AM82" s="311"/>
      <c r="AN82" s="213"/>
      <c r="AO82" s="213"/>
      <c r="AP82" s="213"/>
      <c r="AQ82" s="213"/>
      <c r="AR82" s="320"/>
    </row>
    <row r="83" spans="2:44" ht="15" customHeight="1" x14ac:dyDescent="0.3">
      <c r="B83" s="316"/>
      <c r="C83" s="310">
        <v>14</v>
      </c>
      <c r="D83" s="311" t="s">
        <v>1075</v>
      </c>
      <c r="E83" s="311"/>
      <c r="F83" s="311"/>
      <c r="G83" s="213">
        <v>1</v>
      </c>
      <c r="H83" s="213"/>
      <c r="I83" s="213"/>
      <c r="J83" s="213"/>
      <c r="K83" s="326"/>
      <c r="M83" s="316"/>
      <c r="N83" s="310">
        <v>14</v>
      </c>
      <c r="O83" s="311" t="s">
        <v>1075</v>
      </c>
      <c r="P83" s="311"/>
      <c r="Q83" s="311"/>
      <c r="R83" s="213"/>
      <c r="S83" s="213">
        <v>1</v>
      </c>
      <c r="T83" s="213"/>
      <c r="U83" s="213">
        <v>2</v>
      </c>
      <c r="V83" s="326"/>
      <c r="X83" s="316"/>
      <c r="Y83" s="310">
        <v>14</v>
      </c>
      <c r="Z83" s="311" t="s">
        <v>1075</v>
      </c>
      <c r="AA83" s="311"/>
      <c r="AB83" s="311"/>
      <c r="AC83" s="213">
        <v>1</v>
      </c>
      <c r="AD83" s="213"/>
      <c r="AE83" s="213"/>
      <c r="AF83" s="213"/>
      <c r="AG83" s="326"/>
      <c r="AH83" s="8"/>
      <c r="AI83" s="316"/>
      <c r="AJ83" s="310">
        <v>14</v>
      </c>
      <c r="AK83" s="311" t="s">
        <v>1075</v>
      </c>
      <c r="AL83" s="311"/>
      <c r="AM83" s="311"/>
      <c r="AN83" s="213"/>
      <c r="AO83" s="213"/>
      <c r="AP83" s="213"/>
      <c r="AQ83" s="213"/>
      <c r="AR83" s="320"/>
    </row>
    <row r="84" spans="2:44" ht="15" customHeight="1" x14ac:dyDescent="0.3">
      <c r="B84" s="316"/>
      <c r="C84" s="310">
        <v>17</v>
      </c>
      <c r="D84" s="311" t="s">
        <v>53</v>
      </c>
      <c r="E84" s="311"/>
      <c r="F84" s="311"/>
      <c r="G84" s="213"/>
      <c r="H84" s="213"/>
      <c r="I84" s="213"/>
      <c r="J84" s="213">
        <v>1</v>
      </c>
      <c r="K84" s="326"/>
      <c r="M84" s="316"/>
      <c r="N84" s="310">
        <v>17</v>
      </c>
      <c r="O84" s="311" t="s">
        <v>53</v>
      </c>
      <c r="P84" s="311"/>
      <c r="Q84" s="311"/>
      <c r="R84" s="213"/>
      <c r="S84" s="213"/>
      <c r="T84" s="213"/>
      <c r="U84" s="213"/>
      <c r="V84" s="326"/>
      <c r="X84" s="316"/>
      <c r="Y84" s="310">
        <v>17</v>
      </c>
      <c r="Z84" s="311" t="s">
        <v>53</v>
      </c>
      <c r="AA84" s="311"/>
      <c r="AB84" s="311"/>
      <c r="AC84" s="213"/>
      <c r="AD84" s="213"/>
      <c r="AE84" s="213"/>
      <c r="AF84" s="213"/>
      <c r="AG84" s="326"/>
      <c r="AH84" s="8"/>
      <c r="AI84" s="316"/>
      <c r="AJ84" s="310">
        <v>17</v>
      </c>
      <c r="AK84" s="311" t="s">
        <v>53</v>
      </c>
      <c r="AL84" s="311"/>
      <c r="AM84" s="311"/>
      <c r="AN84" s="213"/>
      <c r="AO84" s="213"/>
      <c r="AP84" s="213"/>
      <c r="AQ84" s="213"/>
      <c r="AR84" s="320"/>
    </row>
    <row r="85" spans="2:44" ht="15" customHeight="1" x14ac:dyDescent="0.3">
      <c r="B85" s="316"/>
      <c r="C85" s="310">
        <v>19</v>
      </c>
      <c r="D85" s="311" t="s">
        <v>1125</v>
      </c>
      <c r="E85" s="311"/>
      <c r="F85" s="311"/>
      <c r="G85" s="213"/>
      <c r="H85" s="213"/>
      <c r="I85" s="213"/>
      <c r="J85" s="213"/>
      <c r="K85" s="326"/>
      <c r="M85" s="316"/>
      <c r="N85" s="310">
        <v>19</v>
      </c>
      <c r="O85" s="311" t="s">
        <v>1125</v>
      </c>
      <c r="P85" s="311"/>
      <c r="Q85" s="311"/>
      <c r="R85" s="213">
        <v>2</v>
      </c>
      <c r="S85" s="213"/>
      <c r="T85" s="213"/>
      <c r="U85" s="213"/>
      <c r="V85" s="326"/>
      <c r="X85" s="316"/>
      <c r="Y85" s="310">
        <v>19</v>
      </c>
      <c r="Z85" s="311" t="s">
        <v>1125</v>
      </c>
      <c r="AA85" s="311"/>
      <c r="AB85" s="311"/>
      <c r="AC85" s="213">
        <v>1</v>
      </c>
      <c r="AD85" s="213">
        <v>2</v>
      </c>
      <c r="AE85" s="213"/>
      <c r="AF85" s="213"/>
      <c r="AG85" s="326"/>
      <c r="AH85" s="8"/>
      <c r="AI85" s="316"/>
      <c r="AJ85" s="310">
        <v>19</v>
      </c>
      <c r="AK85" s="311" t="s">
        <v>1125</v>
      </c>
      <c r="AL85" s="311"/>
      <c r="AM85" s="311"/>
      <c r="AN85" s="213"/>
      <c r="AO85" s="213"/>
      <c r="AP85" s="213"/>
      <c r="AQ85" s="213"/>
      <c r="AR85" s="320"/>
    </row>
    <row r="86" spans="2:44" ht="15" customHeight="1" x14ac:dyDescent="0.3">
      <c r="B86" s="316"/>
      <c r="C86" s="310">
        <v>20</v>
      </c>
      <c r="D86" s="311" t="s">
        <v>1124</v>
      </c>
      <c r="E86" s="311"/>
      <c r="F86" s="311"/>
      <c r="G86" s="213">
        <v>1</v>
      </c>
      <c r="H86" s="213"/>
      <c r="I86" s="213"/>
      <c r="J86" s="213"/>
      <c r="K86" s="326"/>
      <c r="M86" s="316"/>
      <c r="N86" s="310">
        <v>20</v>
      </c>
      <c r="O86" s="311" t="s">
        <v>1124</v>
      </c>
      <c r="P86" s="311"/>
      <c r="Q86" s="311"/>
      <c r="R86" s="213">
        <v>1</v>
      </c>
      <c r="S86" s="213">
        <v>1</v>
      </c>
      <c r="T86" s="213"/>
      <c r="U86" s="213"/>
      <c r="V86" s="326"/>
      <c r="X86" s="316"/>
      <c r="Y86" s="310">
        <v>20</v>
      </c>
      <c r="Z86" s="311" t="s">
        <v>1124</v>
      </c>
      <c r="AA86" s="311"/>
      <c r="AB86" s="311"/>
      <c r="AC86" s="213"/>
      <c r="AD86" s="213"/>
      <c r="AE86" s="213"/>
      <c r="AF86" s="213"/>
      <c r="AG86" s="326"/>
      <c r="AH86" s="8"/>
      <c r="AI86" s="316"/>
      <c r="AJ86" s="310">
        <v>20</v>
      </c>
      <c r="AK86" s="311" t="s">
        <v>1124</v>
      </c>
      <c r="AL86" s="311"/>
      <c r="AM86" s="311"/>
      <c r="AN86" s="213"/>
      <c r="AO86" s="213"/>
      <c r="AP86" s="213"/>
      <c r="AQ86" s="213"/>
      <c r="AR86" s="320"/>
    </row>
    <row r="87" spans="2:44" ht="15" customHeight="1" x14ac:dyDescent="0.3">
      <c r="B87" s="316"/>
      <c r="C87" s="310">
        <v>23</v>
      </c>
      <c r="D87" s="311" t="s">
        <v>1076</v>
      </c>
      <c r="E87" s="311"/>
      <c r="F87" s="311"/>
      <c r="G87" s="213">
        <v>1</v>
      </c>
      <c r="H87" s="213"/>
      <c r="I87" s="213"/>
      <c r="J87" s="213"/>
      <c r="K87" s="326"/>
      <c r="M87" s="316"/>
      <c r="N87" s="310">
        <v>23</v>
      </c>
      <c r="O87" s="311" t="s">
        <v>1076</v>
      </c>
      <c r="P87" s="311"/>
      <c r="Q87" s="311"/>
      <c r="R87" s="213"/>
      <c r="S87" s="213"/>
      <c r="T87" s="213"/>
      <c r="U87" s="213"/>
      <c r="V87" s="326"/>
      <c r="X87" s="316"/>
      <c r="Y87" s="310">
        <v>23</v>
      </c>
      <c r="Z87" s="311" t="s">
        <v>1076</v>
      </c>
      <c r="AA87" s="311"/>
      <c r="AB87" s="311"/>
      <c r="AC87" s="213"/>
      <c r="AD87" s="213"/>
      <c r="AE87" s="213"/>
      <c r="AF87" s="213"/>
      <c r="AG87" s="326"/>
      <c r="AH87" s="8"/>
      <c r="AI87" s="316"/>
      <c r="AJ87" s="310">
        <v>23</v>
      </c>
      <c r="AK87" s="311" t="s">
        <v>1076</v>
      </c>
      <c r="AL87" s="311"/>
      <c r="AM87" s="311"/>
      <c r="AN87" s="213"/>
      <c r="AO87" s="213"/>
      <c r="AP87" s="213"/>
      <c r="AQ87" s="213"/>
      <c r="AR87" s="320"/>
    </row>
    <row r="88" spans="2:44" ht="15" customHeight="1" x14ac:dyDescent="0.3">
      <c r="B88" s="316"/>
      <c r="C88" s="310">
        <v>50</v>
      </c>
      <c r="D88" s="311" t="s">
        <v>680</v>
      </c>
      <c r="E88" s="311"/>
      <c r="F88" s="311"/>
      <c r="G88" s="213"/>
      <c r="H88" s="213">
        <v>1</v>
      </c>
      <c r="I88" s="213"/>
      <c r="J88" s="213"/>
      <c r="K88" s="326"/>
      <c r="M88" s="316"/>
      <c r="N88" s="310">
        <v>75</v>
      </c>
      <c r="O88" s="311" t="s">
        <v>55</v>
      </c>
      <c r="P88" s="311"/>
      <c r="Q88" s="311"/>
      <c r="R88" s="213"/>
      <c r="S88" s="213"/>
      <c r="T88" s="213"/>
      <c r="U88" s="213"/>
      <c r="V88" s="326"/>
      <c r="X88" s="316"/>
      <c r="Y88" s="331">
        <v>25</v>
      </c>
      <c r="Z88" s="332" t="s">
        <v>1164</v>
      </c>
      <c r="AA88" s="332"/>
      <c r="AB88" s="332"/>
      <c r="AC88" s="213"/>
      <c r="AD88" s="213"/>
      <c r="AE88" s="213"/>
      <c r="AF88" s="213"/>
      <c r="AG88" s="326"/>
      <c r="AH88" s="8"/>
      <c r="AI88" s="316"/>
      <c r="AJ88" s="331">
        <v>25</v>
      </c>
      <c r="AK88" s="332" t="s">
        <v>1164</v>
      </c>
      <c r="AL88" s="332"/>
      <c r="AM88" s="332"/>
      <c r="AN88" s="213"/>
      <c r="AO88" s="213">
        <v>1</v>
      </c>
      <c r="AP88" s="213"/>
      <c r="AQ88" s="213"/>
      <c r="AR88" s="320"/>
    </row>
    <row r="89" spans="2:44" ht="15" customHeight="1" x14ac:dyDescent="0.3">
      <c r="B89" s="316"/>
      <c r="C89" s="310">
        <v>75</v>
      </c>
      <c r="D89" s="311" t="s">
        <v>55</v>
      </c>
      <c r="E89" s="311"/>
      <c r="F89" s="311"/>
      <c r="G89" s="213"/>
      <c r="H89" s="213"/>
      <c r="I89" s="213"/>
      <c r="J89" s="213"/>
      <c r="K89" s="326"/>
      <c r="M89" s="316"/>
      <c r="N89" s="310">
        <v>96</v>
      </c>
      <c r="O89" s="311" t="s">
        <v>185</v>
      </c>
      <c r="P89" s="311"/>
      <c r="Q89" s="311"/>
      <c r="R89" s="213"/>
      <c r="S89" s="213"/>
      <c r="T89" s="213"/>
      <c r="U89" s="213"/>
      <c r="V89" s="326"/>
      <c r="X89" s="316"/>
      <c r="Y89" s="310">
        <v>50</v>
      </c>
      <c r="Z89" s="311" t="s">
        <v>680</v>
      </c>
      <c r="AA89" s="333"/>
      <c r="AB89" s="333"/>
      <c r="AC89" s="213"/>
      <c r="AD89" s="213">
        <v>1</v>
      </c>
      <c r="AE89" s="213"/>
      <c r="AF89" s="213"/>
      <c r="AG89" s="326"/>
      <c r="AH89" s="8"/>
      <c r="AI89" s="316"/>
      <c r="AJ89" s="310">
        <v>50</v>
      </c>
      <c r="AK89" s="311" t="s">
        <v>680</v>
      </c>
      <c r="AL89" s="333"/>
      <c r="AM89" s="333"/>
      <c r="AN89" s="213"/>
      <c r="AO89" s="213"/>
      <c r="AP89" s="213"/>
      <c r="AQ89" s="213"/>
      <c r="AR89" s="320"/>
    </row>
    <row r="90" spans="2:44" ht="15" customHeight="1" x14ac:dyDescent="0.3">
      <c r="B90" s="316"/>
      <c r="C90" s="310">
        <v>96</v>
      </c>
      <c r="D90" s="311" t="s">
        <v>185</v>
      </c>
      <c r="E90" s="311"/>
      <c r="F90" s="311"/>
      <c r="G90" s="213"/>
      <c r="H90" s="213">
        <v>1</v>
      </c>
      <c r="I90" s="213"/>
      <c r="J90" s="213"/>
      <c r="K90" s="326"/>
      <c r="M90" s="316"/>
      <c r="N90" s="319"/>
      <c r="O90" s="319"/>
      <c r="P90" s="319"/>
      <c r="Q90" s="319"/>
      <c r="R90" s="319"/>
      <c r="S90" s="319"/>
      <c r="T90" s="319"/>
      <c r="U90" s="319"/>
      <c r="V90" s="320"/>
      <c r="X90" s="316"/>
      <c r="Y90" s="334">
        <v>55</v>
      </c>
      <c r="Z90" s="335" t="s">
        <v>942</v>
      </c>
      <c r="AA90" s="336"/>
      <c r="AB90" s="336"/>
      <c r="AC90" s="213"/>
      <c r="AD90" s="213"/>
      <c r="AE90" s="213"/>
      <c r="AF90" s="213"/>
      <c r="AG90" s="326"/>
      <c r="AH90" s="8"/>
      <c r="AI90" s="316"/>
      <c r="AJ90" s="334">
        <v>55</v>
      </c>
      <c r="AK90" s="335" t="s">
        <v>942</v>
      </c>
      <c r="AL90" s="336"/>
      <c r="AM90" s="336"/>
      <c r="AN90" s="213"/>
      <c r="AO90" s="213"/>
      <c r="AP90" s="213"/>
      <c r="AQ90" s="213"/>
      <c r="AR90" s="320"/>
    </row>
    <row r="91" spans="2:44" ht="15" customHeight="1" x14ac:dyDescent="0.3">
      <c r="B91" s="316"/>
      <c r="C91" s="319"/>
      <c r="D91" s="319"/>
      <c r="E91" s="319"/>
      <c r="F91" s="319"/>
      <c r="G91" s="319"/>
      <c r="H91" s="319"/>
      <c r="I91" s="319"/>
      <c r="J91" s="319"/>
      <c r="K91" s="320"/>
      <c r="M91" s="316"/>
      <c r="N91" s="319"/>
      <c r="O91" s="319"/>
      <c r="P91" s="319"/>
      <c r="Q91" s="319"/>
      <c r="R91" s="319"/>
      <c r="S91" s="319"/>
      <c r="T91" s="319"/>
      <c r="U91" s="319"/>
      <c r="V91" s="320"/>
      <c r="X91" s="316"/>
      <c r="Y91" s="334">
        <v>66</v>
      </c>
      <c r="Z91" s="335" t="s">
        <v>1165</v>
      </c>
      <c r="AA91" s="335"/>
      <c r="AB91" s="335"/>
      <c r="AC91" s="213"/>
      <c r="AD91" s="213">
        <v>1</v>
      </c>
      <c r="AE91" s="213"/>
      <c r="AF91" s="213"/>
      <c r="AG91" s="326"/>
      <c r="AH91" s="8"/>
      <c r="AI91" s="316"/>
      <c r="AJ91" s="334">
        <v>66</v>
      </c>
      <c r="AK91" s="335" t="s">
        <v>1165</v>
      </c>
      <c r="AL91" s="335"/>
      <c r="AM91" s="335"/>
      <c r="AN91" s="213"/>
      <c r="AO91" s="213"/>
      <c r="AP91" s="213"/>
      <c r="AQ91" s="213"/>
      <c r="AR91" s="320"/>
    </row>
    <row r="92" spans="2:44" ht="15" customHeight="1" x14ac:dyDescent="0.3">
      <c r="B92" s="316"/>
      <c r="C92" s="319"/>
      <c r="D92" s="319"/>
      <c r="E92" s="319"/>
      <c r="F92" s="319"/>
      <c r="G92" s="319"/>
      <c r="H92" s="319"/>
      <c r="I92" s="319"/>
      <c r="J92" s="319"/>
      <c r="K92" s="320"/>
      <c r="M92" s="316"/>
      <c r="N92" s="319"/>
      <c r="O92" s="319"/>
      <c r="P92" s="319"/>
      <c r="Q92" s="319"/>
      <c r="R92" s="319"/>
      <c r="S92" s="319"/>
      <c r="T92" s="319"/>
      <c r="U92" s="319"/>
      <c r="V92" s="320"/>
      <c r="X92" s="316"/>
      <c r="Y92" s="310">
        <v>75</v>
      </c>
      <c r="Z92" s="311" t="s">
        <v>55</v>
      </c>
      <c r="AA92" s="311"/>
      <c r="AB92" s="311"/>
      <c r="AC92" s="213"/>
      <c r="AD92" s="213"/>
      <c r="AE92" s="213"/>
      <c r="AF92" s="213"/>
      <c r="AG92" s="326"/>
      <c r="AH92" s="8"/>
      <c r="AI92" s="316"/>
      <c r="AJ92" s="310">
        <v>75</v>
      </c>
      <c r="AK92" s="311" t="s">
        <v>55</v>
      </c>
      <c r="AL92" s="311"/>
      <c r="AM92" s="311"/>
      <c r="AN92" s="213"/>
      <c r="AO92" s="213"/>
      <c r="AP92" s="213"/>
      <c r="AQ92" s="213"/>
      <c r="AR92" s="320"/>
    </row>
    <row r="93" spans="2:44" ht="15" customHeight="1" x14ac:dyDescent="0.3">
      <c r="B93" s="316"/>
      <c r="C93" s="319"/>
      <c r="D93" s="319"/>
      <c r="E93" s="319"/>
      <c r="F93" s="319"/>
      <c r="G93" s="319"/>
      <c r="H93" s="319"/>
      <c r="I93" s="319"/>
      <c r="J93" s="319"/>
      <c r="K93" s="320"/>
      <c r="M93" s="316"/>
      <c r="N93" s="319"/>
      <c r="O93" s="319"/>
      <c r="P93" s="319"/>
      <c r="Q93" s="319"/>
      <c r="R93" s="319"/>
      <c r="S93" s="319"/>
      <c r="T93" s="319"/>
      <c r="U93" s="319"/>
      <c r="V93" s="320"/>
      <c r="X93" s="316"/>
      <c r="Y93" s="310">
        <v>76</v>
      </c>
      <c r="Z93" s="311" t="s">
        <v>1172</v>
      </c>
      <c r="AA93" s="311"/>
      <c r="AB93" s="311"/>
      <c r="AC93" s="337"/>
      <c r="AD93" s="337"/>
      <c r="AE93" s="337"/>
      <c r="AF93" s="337"/>
      <c r="AG93" s="320"/>
      <c r="AI93" s="316"/>
      <c r="AJ93" s="310">
        <v>76</v>
      </c>
      <c r="AK93" s="311" t="s">
        <v>1172</v>
      </c>
      <c r="AL93" s="311"/>
      <c r="AM93" s="311"/>
      <c r="AN93" s="337"/>
      <c r="AO93" s="337"/>
      <c r="AP93" s="337"/>
      <c r="AQ93" s="337"/>
      <c r="AR93" s="320"/>
    </row>
    <row r="94" spans="2:44" ht="15" customHeight="1" x14ac:dyDescent="0.3">
      <c r="B94" s="316"/>
      <c r="C94" s="319"/>
      <c r="D94" s="319"/>
      <c r="E94" s="319"/>
      <c r="F94" s="319"/>
      <c r="G94" s="319"/>
      <c r="H94" s="319"/>
      <c r="I94" s="319"/>
      <c r="J94" s="319"/>
      <c r="K94" s="320"/>
      <c r="M94" s="316"/>
      <c r="N94" s="319"/>
      <c r="O94" s="319"/>
      <c r="P94" s="319"/>
      <c r="Q94" s="319"/>
      <c r="R94" s="319"/>
      <c r="S94" s="319"/>
      <c r="T94" s="319"/>
      <c r="U94" s="319"/>
      <c r="V94" s="320"/>
      <c r="X94" s="316"/>
      <c r="Y94" s="334">
        <v>82</v>
      </c>
      <c r="Z94" s="335" t="s">
        <v>47</v>
      </c>
      <c r="AA94" s="335"/>
      <c r="AB94" s="335"/>
      <c r="AC94" s="338"/>
      <c r="AD94" s="338"/>
      <c r="AE94" s="338"/>
      <c r="AF94" s="338"/>
      <c r="AG94" s="320"/>
      <c r="AI94" s="316"/>
      <c r="AJ94" s="334">
        <v>82</v>
      </c>
      <c r="AK94" s="335" t="s">
        <v>47</v>
      </c>
      <c r="AL94" s="335"/>
      <c r="AM94" s="335"/>
      <c r="AN94" s="338"/>
      <c r="AO94" s="338"/>
      <c r="AP94" s="338"/>
      <c r="AQ94" s="338"/>
      <c r="AR94" s="320"/>
    </row>
    <row r="95" spans="2:44" ht="15" customHeight="1" x14ac:dyDescent="0.3">
      <c r="B95" s="316"/>
      <c r="C95" s="319"/>
      <c r="D95" s="319"/>
      <c r="E95" s="319"/>
      <c r="F95" s="319"/>
      <c r="G95" s="319"/>
      <c r="H95" s="319"/>
      <c r="I95" s="319"/>
      <c r="J95" s="319"/>
      <c r="K95" s="320"/>
      <c r="M95" s="316"/>
      <c r="N95" s="319"/>
      <c r="O95" s="319"/>
      <c r="P95" s="319"/>
      <c r="Q95" s="319"/>
      <c r="R95" s="319"/>
      <c r="S95" s="319"/>
      <c r="T95" s="319"/>
      <c r="U95" s="319"/>
      <c r="V95" s="320"/>
      <c r="X95" s="316"/>
      <c r="Y95" s="310">
        <v>96</v>
      </c>
      <c r="Z95" s="311" t="s">
        <v>185</v>
      </c>
      <c r="AA95" s="311"/>
      <c r="AB95" s="311"/>
      <c r="AC95" s="213">
        <v>2</v>
      </c>
      <c r="AD95" s="213">
        <v>1</v>
      </c>
      <c r="AE95" s="213"/>
      <c r="AF95" s="213"/>
      <c r="AG95" s="326"/>
      <c r="AH95" s="8"/>
      <c r="AI95" s="316"/>
      <c r="AJ95" s="310">
        <v>96</v>
      </c>
      <c r="AK95" s="311" t="s">
        <v>185</v>
      </c>
      <c r="AL95" s="311"/>
      <c r="AM95" s="311"/>
      <c r="AN95" s="213">
        <v>1</v>
      </c>
      <c r="AO95" s="213"/>
      <c r="AP95" s="213"/>
      <c r="AQ95" s="213"/>
      <c r="AR95" s="320"/>
    </row>
    <row r="96" spans="2:44" ht="15" customHeight="1" x14ac:dyDescent="0.3">
      <c r="B96" s="316"/>
      <c r="C96" s="319"/>
      <c r="D96" s="319"/>
      <c r="E96" s="319"/>
      <c r="F96" s="319"/>
      <c r="G96" s="319"/>
      <c r="H96" s="319"/>
      <c r="I96" s="319"/>
      <c r="J96" s="319"/>
      <c r="K96" s="320"/>
      <c r="M96" s="316"/>
      <c r="N96" s="319"/>
      <c r="O96" s="319"/>
      <c r="P96" s="319"/>
      <c r="Q96" s="319"/>
      <c r="R96" s="319"/>
      <c r="S96" s="319"/>
      <c r="T96" s="319"/>
      <c r="U96" s="319"/>
      <c r="V96" s="320"/>
      <c r="X96" s="316"/>
      <c r="Y96" s="319"/>
      <c r="Z96" s="319"/>
      <c r="AA96" s="319"/>
      <c r="AB96" s="319"/>
      <c r="AC96" s="319"/>
      <c r="AD96" s="319"/>
      <c r="AE96" s="319"/>
      <c r="AF96" s="319"/>
      <c r="AG96" s="320"/>
      <c r="AI96" s="316"/>
      <c r="AJ96" s="319"/>
      <c r="AK96" s="319"/>
      <c r="AL96" s="319"/>
      <c r="AM96" s="319"/>
      <c r="AN96" s="319"/>
      <c r="AO96" s="319"/>
      <c r="AP96" s="319"/>
      <c r="AQ96" s="319"/>
      <c r="AR96" s="320"/>
    </row>
    <row r="97" spans="2:44" ht="15" customHeight="1" thickBot="1" x14ac:dyDescent="0.35">
      <c r="B97" s="327"/>
      <c r="C97" s="328"/>
      <c r="D97" s="328"/>
      <c r="E97" s="328"/>
      <c r="F97" s="328"/>
      <c r="G97" s="328"/>
      <c r="H97" s="328"/>
      <c r="I97" s="328"/>
      <c r="J97" s="328"/>
      <c r="K97" s="329"/>
      <c r="M97" s="327"/>
      <c r="N97" s="328"/>
      <c r="O97" s="328"/>
      <c r="P97" s="328"/>
      <c r="Q97" s="328"/>
      <c r="R97" s="328"/>
      <c r="S97" s="328"/>
      <c r="T97" s="328"/>
      <c r="U97" s="328"/>
      <c r="V97" s="329"/>
      <c r="X97" s="327"/>
      <c r="Y97" s="328"/>
      <c r="Z97" s="328"/>
      <c r="AA97" s="328"/>
      <c r="AB97" s="328"/>
      <c r="AC97" s="328"/>
      <c r="AD97" s="328"/>
      <c r="AE97" s="328"/>
      <c r="AF97" s="328"/>
      <c r="AG97" s="329"/>
      <c r="AI97" s="327"/>
      <c r="AJ97" s="328"/>
      <c r="AK97" s="328"/>
      <c r="AL97" s="328"/>
      <c r="AM97" s="328"/>
      <c r="AN97" s="328"/>
      <c r="AO97" s="328"/>
      <c r="AP97" s="328"/>
      <c r="AQ97" s="328"/>
      <c r="AR97" s="329"/>
    </row>
    <row r="98" spans="2:44" ht="15" customHeight="1" thickBot="1" x14ac:dyDescent="0.35"/>
    <row r="99" spans="2:44" ht="15" customHeight="1" x14ac:dyDescent="0.3">
      <c r="B99" s="313"/>
      <c r="C99" s="314"/>
      <c r="D99" s="314"/>
      <c r="E99" s="314"/>
      <c r="F99" s="314"/>
      <c r="G99" s="314"/>
      <c r="H99" s="314"/>
      <c r="I99" s="314"/>
      <c r="J99" s="314"/>
      <c r="K99" s="315"/>
      <c r="M99" s="313"/>
      <c r="N99" s="314"/>
      <c r="O99" s="314"/>
      <c r="P99" s="314"/>
      <c r="Q99" s="314"/>
      <c r="R99" s="314"/>
      <c r="S99" s="314"/>
      <c r="T99" s="314"/>
      <c r="U99" s="314"/>
      <c r="V99" s="315"/>
      <c r="X99" s="313"/>
      <c r="Y99" s="314"/>
      <c r="Z99" s="314"/>
      <c r="AA99" s="314"/>
      <c r="AB99" s="314"/>
      <c r="AC99" s="314"/>
      <c r="AD99" s="314"/>
      <c r="AE99" s="314"/>
      <c r="AF99" s="314"/>
      <c r="AG99" s="315"/>
      <c r="AI99" s="313"/>
      <c r="AJ99" s="314"/>
      <c r="AK99" s="314"/>
      <c r="AL99" s="314"/>
      <c r="AM99" s="314"/>
      <c r="AN99" s="314"/>
      <c r="AO99" s="314"/>
      <c r="AP99" s="314"/>
      <c r="AQ99" s="314"/>
      <c r="AR99" s="315"/>
    </row>
    <row r="100" spans="2:44" ht="15" customHeight="1" x14ac:dyDescent="0.3">
      <c r="B100" s="316"/>
      <c r="C100" s="317" t="s">
        <v>1114</v>
      </c>
      <c r="D100" s="318">
        <v>9</v>
      </c>
      <c r="E100" s="319"/>
      <c r="F100" s="319"/>
      <c r="G100" s="319"/>
      <c r="H100" s="319"/>
      <c r="I100" s="319"/>
      <c r="J100" s="319"/>
      <c r="K100" s="320"/>
      <c r="M100" s="316"/>
      <c r="N100" s="317" t="s">
        <v>1114</v>
      </c>
      <c r="O100" s="318">
        <v>10</v>
      </c>
      <c r="P100" s="319"/>
      <c r="Q100" s="319"/>
      <c r="R100" s="319"/>
      <c r="S100" s="319"/>
      <c r="T100" s="319"/>
      <c r="U100" s="319"/>
      <c r="V100" s="320"/>
      <c r="X100" s="316"/>
      <c r="Y100" s="317" t="s">
        <v>1114</v>
      </c>
      <c r="Z100" s="318">
        <v>11</v>
      </c>
      <c r="AA100" s="319"/>
      <c r="AB100" s="319"/>
      <c r="AC100" s="319"/>
      <c r="AD100" s="319"/>
      <c r="AE100" s="319"/>
      <c r="AF100" s="319"/>
      <c r="AG100" s="320"/>
      <c r="AI100" s="316"/>
      <c r="AJ100" s="317" t="s">
        <v>1114</v>
      </c>
      <c r="AK100" s="318">
        <v>12</v>
      </c>
      <c r="AL100" s="319"/>
      <c r="AM100" s="319"/>
      <c r="AN100" s="319"/>
      <c r="AO100" s="319"/>
      <c r="AP100" s="319"/>
      <c r="AQ100" s="319"/>
      <c r="AR100" s="320"/>
    </row>
    <row r="101" spans="2:44" ht="15" customHeight="1" x14ac:dyDescent="0.3">
      <c r="B101" s="316"/>
      <c r="C101" s="317"/>
      <c r="D101" s="321">
        <v>42358</v>
      </c>
      <c r="E101" s="317" t="s">
        <v>1398</v>
      </c>
      <c r="F101" s="317"/>
      <c r="G101" s="319"/>
      <c r="H101" s="319"/>
      <c r="I101" s="319"/>
      <c r="J101" s="319"/>
      <c r="K101" s="320"/>
      <c r="M101" s="316"/>
      <c r="N101" s="317"/>
      <c r="O101" s="321">
        <v>42358</v>
      </c>
      <c r="P101" s="317" t="s">
        <v>1398</v>
      </c>
      <c r="Q101" s="317"/>
      <c r="R101" s="319"/>
      <c r="S101" s="319"/>
      <c r="T101" s="319"/>
      <c r="U101" s="319"/>
      <c r="V101" s="320"/>
      <c r="X101" s="316"/>
      <c r="Y101" s="317"/>
      <c r="Z101" s="321">
        <v>42379</v>
      </c>
      <c r="AA101" s="317" t="s">
        <v>44</v>
      </c>
      <c r="AB101" s="317"/>
      <c r="AC101" s="319"/>
      <c r="AD101" s="319"/>
      <c r="AE101" s="319"/>
      <c r="AF101" s="319"/>
      <c r="AG101" s="320"/>
      <c r="AI101" s="316"/>
      <c r="AJ101" s="317"/>
      <c r="AK101" s="321">
        <v>42379</v>
      </c>
      <c r="AL101" s="317" t="s">
        <v>44</v>
      </c>
      <c r="AM101" s="317"/>
      <c r="AN101" s="319"/>
      <c r="AO101" s="319"/>
      <c r="AP101" s="319"/>
      <c r="AQ101" s="319"/>
      <c r="AR101" s="320"/>
    </row>
    <row r="102" spans="2:44" ht="15" customHeight="1" x14ac:dyDescent="0.3">
      <c r="B102" s="316"/>
      <c r="C102" s="317"/>
      <c r="D102" s="321"/>
      <c r="E102" s="317"/>
      <c r="F102" s="317"/>
      <c r="G102" s="319"/>
      <c r="H102" s="319"/>
      <c r="I102" s="319"/>
      <c r="J102" s="319"/>
      <c r="K102" s="320"/>
      <c r="M102" s="316"/>
      <c r="N102" s="317"/>
      <c r="O102" s="321"/>
      <c r="P102" s="317"/>
      <c r="Q102" s="317"/>
      <c r="R102" s="319"/>
      <c r="S102" s="319"/>
      <c r="T102" s="319"/>
      <c r="U102" s="319"/>
      <c r="V102" s="320"/>
      <c r="X102" s="316"/>
      <c r="Y102" s="317"/>
      <c r="Z102" s="321"/>
      <c r="AA102" s="317"/>
      <c r="AB102" s="317"/>
      <c r="AC102" s="319"/>
      <c r="AD102" s="319"/>
      <c r="AE102" s="319"/>
      <c r="AF102" s="319"/>
      <c r="AG102" s="320"/>
      <c r="AI102" s="316"/>
      <c r="AJ102" s="317"/>
      <c r="AK102" s="321"/>
      <c r="AL102" s="317"/>
      <c r="AM102" s="317"/>
      <c r="AN102" s="319"/>
      <c r="AO102" s="319"/>
      <c r="AP102" s="319"/>
      <c r="AQ102" s="319"/>
      <c r="AR102" s="320"/>
    </row>
    <row r="103" spans="2:44" ht="15" customHeight="1" x14ac:dyDescent="0.3">
      <c r="B103" s="316"/>
      <c r="C103" s="317"/>
      <c r="D103" s="343" t="s">
        <v>1407</v>
      </c>
      <c r="E103" s="344" t="s">
        <v>1409</v>
      </c>
      <c r="F103" s="317"/>
      <c r="G103" s="319"/>
      <c r="H103" s="319"/>
      <c r="I103" s="319"/>
      <c r="J103" s="319"/>
      <c r="K103" s="320"/>
      <c r="M103" s="316"/>
      <c r="N103" s="317"/>
      <c r="O103" s="343" t="s">
        <v>1407</v>
      </c>
      <c r="P103" s="344" t="s">
        <v>1411</v>
      </c>
      <c r="Q103" s="317"/>
      <c r="R103" s="319"/>
      <c r="S103" s="319"/>
      <c r="T103" s="319"/>
      <c r="U103" s="319"/>
      <c r="V103" s="320"/>
      <c r="X103" s="316"/>
      <c r="Y103" s="317"/>
      <c r="Z103" s="343" t="s">
        <v>1407</v>
      </c>
      <c r="AA103" s="344" t="s">
        <v>1410</v>
      </c>
      <c r="AB103" s="317"/>
      <c r="AC103" s="319"/>
      <c r="AD103" s="319"/>
      <c r="AE103" s="319"/>
      <c r="AF103" s="319"/>
      <c r="AG103" s="320"/>
      <c r="AI103" s="316"/>
      <c r="AJ103" s="317"/>
      <c r="AK103" s="343" t="s">
        <v>1407</v>
      </c>
      <c r="AL103" s="344" t="s">
        <v>1411</v>
      </c>
      <c r="AM103" s="317"/>
      <c r="AN103" s="319"/>
      <c r="AO103" s="319"/>
      <c r="AP103" s="319"/>
      <c r="AQ103" s="319"/>
      <c r="AR103" s="320"/>
    </row>
    <row r="104" spans="2:44" ht="15" customHeight="1" x14ac:dyDescent="0.3">
      <c r="B104" s="316"/>
      <c r="C104" s="317"/>
      <c r="D104" s="321"/>
      <c r="E104" s="317"/>
      <c r="F104" s="317"/>
      <c r="G104" s="319"/>
      <c r="H104" s="319"/>
      <c r="I104" s="319"/>
      <c r="J104" s="319"/>
      <c r="K104" s="320"/>
      <c r="M104" s="316"/>
      <c r="N104" s="317"/>
      <c r="O104" s="321"/>
      <c r="P104" s="317"/>
      <c r="Q104" s="317"/>
      <c r="R104" s="319"/>
      <c r="S104" s="319"/>
      <c r="T104" s="319"/>
      <c r="U104" s="319"/>
      <c r="V104" s="320"/>
      <c r="X104" s="316"/>
      <c r="Y104" s="317"/>
      <c r="Z104" s="321"/>
      <c r="AA104" s="317"/>
      <c r="AB104" s="317"/>
      <c r="AC104" s="319"/>
      <c r="AD104" s="319"/>
      <c r="AE104" s="319"/>
      <c r="AF104" s="319"/>
      <c r="AG104" s="320"/>
      <c r="AI104" s="316"/>
      <c r="AJ104" s="317"/>
      <c r="AK104" s="321"/>
      <c r="AL104" s="317"/>
      <c r="AM104" s="317"/>
      <c r="AN104" s="319"/>
      <c r="AO104" s="319"/>
      <c r="AP104" s="319"/>
      <c r="AQ104" s="319"/>
      <c r="AR104" s="320"/>
    </row>
    <row r="105" spans="2:44" ht="15" customHeight="1" x14ac:dyDescent="0.3">
      <c r="B105" s="316"/>
      <c r="C105" s="319"/>
      <c r="D105" s="322" t="s">
        <v>0</v>
      </c>
      <c r="E105" s="322" t="s">
        <v>1395</v>
      </c>
      <c r="F105" s="322"/>
      <c r="G105" s="319"/>
      <c r="H105" s="319"/>
      <c r="I105" s="319"/>
      <c r="J105" s="319"/>
      <c r="K105" s="320"/>
      <c r="M105" s="316"/>
      <c r="N105" s="319"/>
      <c r="O105" s="322" t="s">
        <v>0</v>
      </c>
      <c r="P105" s="322" t="s">
        <v>1404</v>
      </c>
      <c r="Q105" s="322"/>
      <c r="R105" s="319"/>
      <c r="S105" s="319"/>
      <c r="T105" s="319"/>
      <c r="U105" s="319"/>
      <c r="V105" s="320"/>
      <c r="X105" s="316"/>
      <c r="Y105" s="319"/>
      <c r="Z105" s="322" t="s">
        <v>0</v>
      </c>
      <c r="AA105" s="322" t="s">
        <v>1402</v>
      </c>
      <c r="AB105" s="322"/>
      <c r="AC105" s="319"/>
      <c r="AD105" s="319"/>
      <c r="AE105" s="319"/>
      <c r="AF105" s="319"/>
      <c r="AG105" s="320"/>
      <c r="AI105" s="316"/>
      <c r="AJ105" s="319"/>
      <c r="AK105" s="322" t="s">
        <v>0</v>
      </c>
      <c r="AL105" s="322" t="s">
        <v>1394</v>
      </c>
      <c r="AM105" s="322"/>
      <c r="AN105" s="319"/>
      <c r="AO105" s="319"/>
      <c r="AP105" s="319"/>
      <c r="AQ105" s="319"/>
      <c r="AR105" s="320"/>
    </row>
    <row r="106" spans="2:44" ht="15" customHeight="1" x14ac:dyDescent="0.3">
      <c r="B106" s="316"/>
      <c r="C106" s="319"/>
      <c r="D106" s="213">
        <f>D108+D109+D110</f>
        <v>7</v>
      </c>
      <c r="E106" s="213">
        <f>E108+E109+E110</f>
        <v>4</v>
      </c>
      <c r="F106" s="312"/>
      <c r="G106" s="319"/>
      <c r="H106" s="319"/>
      <c r="I106" s="319"/>
      <c r="J106" s="319"/>
      <c r="K106" s="320"/>
      <c r="M106" s="316"/>
      <c r="N106" s="319"/>
      <c r="O106" s="213">
        <f>O108+O109+O110</f>
        <v>3</v>
      </c>
      <c r="P106" s="213">
        <f>P108+P109+P110</f>
        <v>4</v>
      </c>
      <c r="Q106" s="312"/>
      <c r="R106" s="319"/>
      <c r="S106" s="319"/>
      <c r="T106" s="319"/>
      <c r="U106" s="319"/>
      <c r="V106" s="320"/>
      <c r="X106" s="316"/>
      <c r="Y106" s="319"/>
      <c r="Z106" s="213">
        <f>Z108+Z109+Z110</f>
        <v>5</v>
      </c>
      <c r="AA106" s="213">
        <f>AA108+AA109+AA110</f>
        <v>5</v>
      </c>
      <c r="AB106" s="312"/>
      <c r="AC106" s="319"/>
      <c r="AD106" s="319"/>
      <c r="AE106" s="319"/>
      <c r="AF106" s="319"/>
      <c r="AG106" s="320"/>
      <c r="AI106" s="316"/>
      <c r="AJ106" s="319"/>
      <c r="AK106" s="213">
        <f>AK108+AK109+AK110</f>
        <v>5</v>
      </c>
      <c r="AL106" s="213">
        <f>AL108+AL109+AL110</f>
        <v>7</v>
      </c>
      <c r="AM106" s="312"/>
      <c r="AN106" s="319"/>
      <c r="AO106" s="319"/>
      <c r="AP106" s="319"/>
      <c r="AQ106" s="319"/>
      <c r="AR106" s="320"/>
    </row>
    <row r="107" spans="2:44" ht="15" customHeight="1" x14ac:dyDescent="0.3">
      <c r="B107" s="316"/>
      <c r="C107" s="319"/>
      <c r="D107" s="319"/>
      <c r="E107" s="319"/>
      <c r="F107" s="319"/>
      <c r="G107" s="319"/>
      <c r="H107" s="319"/>
      <c r="I107" s="319"/>
      <c r="J107" s="319"/>
      <c r="K107" s="320"/>
      <c r="M107" s="316"/>
      <c r="N107" s="319"/>
      <c r="O107" s="319"/>
      <c r="P107" s="319"/>
      <c r="Q107" s="319"/>
      <c r="R107" s="319"/>
      <c r="S107" s="319"/>
      <c r="T107" s="319"/>
      <c r="U107" s="319"/>
      <c r="V107" s="320"/>
      <c r="X107" s="316"/>
      <c r="Y107" s="319"/>
      <c r="Z107" s="319"/>
      <c r="AA107" s="319"/>
      <c r="AB107" s="319"/>
      <c r="AC107" s="319"/>
      <c r="AD107" s="319"/>
      <c r="AE107" s="319"/>
      <c r="AF107" s="319"/>
      <c r="AG107" s="320"/>
      <c r="AI107" s="316"/>
      <c r="AJ107" s="319"/>
      <c r="AK107" s="319"/>
      <c r="AL107" s="319"/>
      <c r="AM107" s="319"/>
      <c r="AN107" s="319"/>
      <c r="AO107" s="319"/>
      <c r="AP107" s="319"/>
      <c r="AQ107" s="319"/>
      <c r="AR107" s="320"/>
    </row>
    <row r="108" spans="2:44" ht="15" customHeight="1" x14ac:dyDescent="0.3">
      <c r="B108" s="316"/>
      <c r="C108" s="317" t="s">
        <v>1111</v>
      </c>
      <c r="D108" s="213">
        <v>3</v>
      </c>
      <c r="E108" s="213">
        <v>1</v>
      </c>
      <c r="F108" s="312"/>
      <c r="G108" s="319"/>
      <c r="H108" s="319"/>
      <c r="I108" s="319"/>
      <c r="J108" s="319"/>
      <c r="K108" s="320"/>
      <c r="M108" s="316"/>
      <c r="N108" s="317" t="s">
        <v>1111</v>
      </c>
      <c r="O108" s="213">
        <v>0</v>
      </c>
      <c r="P108" s="213">
        <v>1</v>
      </c>
      <c r="Q108" s="312"/>
      <c r="R108" s="319"/>
      <c r="S108" s="319"/>
      <c r="T108" s="319"/>
      <c r="U108" s="319"/>
      <c r="V108" s="320"/>
      <c r="X108" s="316"/>
      <c r="Y108" s="317" t="s">
        <v>1111</v>
      </c>
      <c r="Z108" s="213">
        <v>0</v>
      </c>
      <c r="AA108" s="213">
        <v>4</v>
      </c>
      <c r="AB108" s="312"/>
      <c r="AC108" s="319"/>
      <c r="AD108" s="319"/>
      <c r="AE108" s="319"/>
      <c r="AF108" s="319"/>
      <c r="AG108" s="320"/>
      <c r="AI108" s="316"/>
      <c r="AJ108" s="317" t="s">
        <v>1111</v>
      </c>
      <c r="AK108" s="213">
        <v>2</v>
      </c>
      <c r="AL108" s="213">
        <v>2</v>
      </c>
      <c r="AM108" s="312"/>
      <c r="AN108" s="319"/>
      <c r="AO108" s="319"/>
      <c r="AP108" s="319"/>
      <c r="AQ108" s="319"/>
      <c r="AR108" s="320"/>
    </row>
    <row r="109" spans="2:44" ht="15" customHeight="1" x14ac:dyDescent="0.3">
      <c r="B109" s="316"/>
      <c r="C109" s="317" t="s">
        <v>1112</v>
      </c>
      <c r="D109" s="213">
        <v>2</v>
      </c>
      <c r="E109" s="213">
        <v>0</v>
      </c>
      <c r="F109" s="312"/>
      <c r="G109" s="319"/>
      <c r="H109" s="319"/>
      <c r="I109" s="319"/>
      <c r="J109" s="319"/>
      <c r="K109" s="320"/>
      <c r="M109" s="316"/>
      <c r="N109" s="317" t="s">
        <v>1112</v>
      </c>
      <c r="O109" s="213">
        <v>1</v>
      </c>
      <c r="P109" s="213">
        <v>3</v>
      </c>
      <c r="Q109" s="312"/>
      <c r="R109" s="319"/>
      <c r="S109" s="319"/>
      <c r="T109" s="319"/>
      <c r="U109" s="319"/>
      <c r="V109" s="320"/>
      <c r="X109" s="316"/>
      <c r="Y109" s="317" t="s">
        <v>1112</v>
      </c>
      <c r="Z109" s="213">
        <v>2</v>
      </c>
      <c r="AA109" s="213">
        <v>0</v>
      </c>
      <c r="AB109" s="312"/>
      <c r="AC109" s="319"/>
      <c r="AD109" s="319"/>
      <c r="AE109" s="319"/>
      <c r="AF109" s="319"/>
      <c r="AG109" s="320"/>
      <c r="AI109" s="316"/>
      <c r="AJ109" s="317" t="s">
        <v>1112</v>
      </c>
      <c r="AK109" s="213">
        <v>0</v>
      </c>
      <c r="AL109" s="213">
        <v>1</v>
      </c>
      <c r="AM109" s="312"/>
      <c r="AN109" s="319"/>
      <c r="AO109" s="319"/>
      <c r="AP109" s="319"/>
      <c r="AQ109" s="319"/>
      <c r="AR109" s="320"/>
    </row>
    <row r="110" spans="2:44" ht="15" customHeight="1" x14ac:dyDescent="0.3">
      <c r="B110" s="316"/>
      <c r="C110" s="317" t="s">
        <v>1113</v>
      </c>
      <c r="D110" s="213">
        <v>2</v>
      </c>
      <c r="E110" s="213">
        <v>3</v>
      </c>
      <c r="F110" s="312"/>
      <c r="G110" s="319"/>
      <c r="H110" s="319"/>
      <c r="I110" s="319"/>
      <c r="J110" s="319"/>
      <c r="K110" s="320"/>
      <c r="M110" s="316"/>
      <c r="N110" s="317" t="s">
        <v>1113</v>
      </c>
      <c r="O110" s="213">
        <v>2</v>
      </c>
      <c r="P110" s="213">
        <v>0</v>
      </c>
      <c r="Q110" s="312"/>
      <c r="R110" s="319"/>
      <c r="S110" s="319"/>
      <c r="T110" s="319"/>
      <c r="U110" s="319"/>
      <c r="V110" s="320"/>
      <c r="X110" s="316"/>
      <c r="Y110" s="317" t="s">
        <v>1113</v>
      </c>
      <c r="Z110" s="213">
        <v>3</v>
      </c>
      <c r="AA110" s="213">
        <v>1</v>
      </c>
      <c r="AB110" s="312"/>
      <c r="AC110" s="319"/>
      <c r="AD110" s="319"/>
      <c r="AE110" s="319"/>
      <c r="AF110" s="319"/>
      <c r="AG110" s="320"/>
      <c r="AI110" s="316"/>
      <c r="AJ110" s="317" t="s">
        <v>1113</v>
      </c>
      <c r="AK110" s="213">
        <v>3</v>
      </c>
      <c r="AL110" s="213">
        <v>4</v>
      </c>
      <c r="AM110" s="312"/>
      <c r="AN110" s="319"/>
      <c r="AO110" s="319"/>
      <c r="AP110" s="319"/>
      <c r="AQ110" s="319"/>
      <c r="AR110" s="320"/>
    </row>
    <row r="111" spans="2:44" ht="15" customHeight="1" x14ac:dyDescent="0.3">
      <c r="B111" s="316"/>
      <c r="C111" s="319"/>
      <c r="D111" s="319"/>
      <c r="E111" s="319"/>
      <c r="F111" s="319"/>
      <c r="G111" s="319"/>
      <c r="H111" s="319"/>
      <c r="I111" s="319"/>
      <c r="J111" s="319"/>
      <c r="K111" s="320"/>
      <c r="M111" s="316"/>
      <c r="N111" s="319"/>
      <c r="O111" s="319"/>
      <c r="P111" s="319"/>
      <c r="Q111" s="319"/>
      <c r="R111" s="319"/>
      <c r="S111" s="319"/>
      <c r="T111" s="319"/>
      <c r="U111" s="319"/>
      <c r="V111" s="320"/>
      <c r="X111" s="316"/>
      <c r="Y111" s="319"/>
      <c r="Z111" s="319"/>
      <c r="AA111" s="319"/>
      <c r="AB111" s="319"/>
      <c r="AC111" s="319"/>
      <c r="AD111" s="319"/>
      <c r="AE111" s="319"/>
      <c r="AF111" s="319"/>
      <c r="AG111" s="320"/>
      <c r="AI111" s="316"/>
      <c r="AJ111" s="319"/>
      <c r="AK111" s="319"/>
      <c r="AL111" s="319"/>
      <c r="AM111" s="319"/>
      <c r="AN111" s="319"/>
      <c r="AO111" s="319"/>
      <c r="AP111" s="319"/>
      <c r="AQ111" s="319"/>
      <c r="AR111" s="320"/>
    </row>
    <row r="112" spans="2:44" ht="15" customHeight="1" x14ac:dyDescent="0.3">
      <c r="B112" s="316"/>
      <c r="C112" s="319"/>
      <c r="D112" s="323" t="s">
        <v>1120</v>
      </c>
      <c r="E112" s="319" t="s">
        <v>501</v>
      </c>
      <c r="F112" s="319"/>
      <c r="G112" s="312" t="s">
        <v>1128</v>
      </c>
      <c r="H112" s="312"/>
      <c r="I112" s="319"/>
      <c r="J112" s="319"/>
      <c r="K112" s="320"/>
      <c r="M112" s="316"/>
      <c r="N112" s="319"/>
      <c r="O112" s="323" t="s">
        <v>1120</v>
      </c>
      <c r="P112" s="319" t="s">
        <v>501</v>
      </c>
      <c r="Q112" s="319"/>
      <c r="R112" s="312" t="s">
        <v>1128</v>
      </c>
      <c r="S112" s="312"/>
      <c r="T112" s="319"/>
      <c r="U112" s="319"/>
      <c r="V112" s="320"/>
      <c r="X112" s="316"/>
      <c r="Y112" s="319"/>
      <c r="Z112" s="323" t="s">
        <v>1120</v>
      </c>
      <c r="AA112" s="319" t="s">
        <v>501</v>
      </c>
      <c r="AB112" s="319"/>
      <c r="AC112" s="312" t="s">
        <v>1128</v>
      </c>
      <c r="AD112" s="312"/>
      <c r="AE112" s="319"/>
      <c r="AF112" s="319"/>
      <c r="AG112" s="320"/>
      <c r="AI112" s="316"/>
      <c r="AJ112" s="319"/>
      <c r="AK112" s="323" t="s">
        <v>1120</v>
      </c>
      <c r="AL112" s="319" t="s">
        <v>501</v>
      </c>
      <c r="AM112" s="319"/>
      <c r="AN112" s="312" t="s">
        <v>1128</v>
      </c>
      <c r="AO112" s="312"/>
      <c r="AP112" s="319"/>
      <c r="AQ112" s="319"/>
      <c r="AR112" s="320"/>
    </row>
    <row r="113" spans="2:44" ht="15" customHeight="1" x14ac:dyDescent="0.3">
      <c r="B113" s="316"/>
      <c r="C113" s="319"/>
      <c r="D113" s="319" t="s">
        <v>1115</v>
      </c>
      <c r="E113" s="323" t="s">
        <v>1116</v>
      </c>
      <c r="F113" s="323"/>
      <c r="G113" s="312">
        <v>14</v>
      </c>
      <c r="H113" s="312">
        <v>96</v>
      </c>
      <c r="I113" s="319"/>
      <c r="J113" s="319"/>
      <c r="K113" s="320"/>
      <c r="M113" s="316"/>
      <c r="N113" s="319"/>
      <c r="O113" s="319" t="s">
        <v>1115</v>
      </c>
      <c r="P113" s="323" t="s">
        <v>1116</v>
      </c>
      <c r="Q113" s="323"/>
      <c r="R113" s="312">
        <v>14</v>
      </c>
      <c r="S113" s="312">
        <v>96</v>
      </c>
      <c r="T113" s="319"/>
      <c r="U113" s="319"/>
      <c r="V113" s="320"/>
      <c r="X113" s="316"/>
      <c r="Y113" s="319"/>
      <c r="Z113" s="319" t="s">
        <v>1115</v>
      </c>
      <c r="AA113" s="323" t="s">
        <v>1116</v>
      </c>
      <c r="AB113" s="323"/>
      <c r="AC113" s="312">
        <v>14</v>
      </c>
      <c r="AD113" s="312">
        <v>96</v>
      </c>
      <c r="AE113" s="319"/>
      <c r="AF113" s="319"/>
      <c r="AG113" s="320"/>
      <c r="AI113" s="316"/>
      <c r="AJ113" s="319"/>
      <c r="AK113" s="319" t="s">
        <v>1115</v>
      </c>
      <c r="AL113" s="323" t="s">
        <v>1116</v>
      </c>
      <c r="AM113" s="323"/>
      <c r="AN113" s="312">
        <v>14</v>
      </c>
      <c r="AO113" s="312">
        <v>96</v>
      </c>
      <c r="AP113" s="319"/>
      <c r="AQ113" s="319"/>
      <c r="AR113" s="320"/>
    </row>
    <row r="114" spans="2:44" ht="15" customHeight="1" x14ac:dyDescent="0.3">
      <c r="B114" s="316"/>
      <c r="C114" s="319"/>
      <c r="D114" s="319" t="s">
        <v>1117</v>
      </c>
      <c r="E114" s="323" t="s">
        <v>1118</v>
      </c>
      <c r="F114" s="323"/>
      <c r="G114" s="312">
        <v>23</v>
      </c>
      <c r="H114" s="312">
        <v>50</v>
      </c>
      <c r="I114" s="319"/>
      <c r="J114" s="319"/>
      <c r="K114" s="320"/>
      <c r="M114" s="316"/>
      <c r="N114" s="319"/>
      <c r="O114" s="319" t="s">
        <v>1117</v>
      </c>
      <c r="P114" s="323" t="s">
        <v>1118</v>
      </c>
      <c r="Q114" s="323"/>
      <c r="R114" s="312">
        <v>23</v>
      </c>
      <c r="S114" s="312">
        <v>50</v>
      </c>
      <c r="T114" s="319"/>
      <c r="U114" s="319"/>
      <c r="V114" s="320"/>
      <c r="X114" s="316"/>
      <c r="Y114" s="319"/>
      <c r="Z114" s="319" t="s">
        <v>1117</v>
      </c>
      <c r="AA114" s="323" t="s">
        <v>1118</v>
      </c>
      <c r="AB114" s="323"/>
      <c r="AC114" s="312">
        <v>23</v>
      </c>
      <c r="AD114" s="312">
        <v>50</v>
      </c>
      <c r="AE114" s="319"/>
      <c r="AF114" s="319"/>
      <c r="AG114" s="320"/>
      <c r="AI114" s="316"/>
      <c r="AJ114" s="319"/>
      <c r="AK114" s="319" t="s">
        <v>1117</v>
      </c>
      <c r="AL114" s="323" t="s">
        <v>1118</v>
      </c>
      <c r="AM114" s="323"/>
      <c r="AN114" s="312">
        <v>23</v>
      </c>
      <c r="AO114" s="312">
        <v>50</v>
      </c>
      <c r="AP114" s="319"/>
      <c r="AQ114" s="319"/>
      <c r="AR114" s="320"/>
    </row>
    <row r="115" spans="2:44" ht="15" customHeight="1" x14ac:dyDescent="0.3">
      <c r="B115" s="316"/>
      <c r="C115" s="319"/>
      <c r="D115" s="319" t="s">
        <v>1121</v>
      </c>
      <c r="E115" s="319" t="s">
        <v>501</v>
      </c>
      <c r="F115" s="319"/>
      <c r="G115" s="312">
        <v>17</v>
      </c>
      <c r="H115" s="312"/>
      <c r="I115" s="319"/>
      <c r="J115" s="319"/>
      <c r="K115" s="320"/>
      <c r="M115" s="316"/>
      <c r="N115" s="319"/>
      <c r="O115" s="319" t="s">
        <v>1121</v>
      </c>
      <c r="P115" s="319" t="s">
        <v>501</v>
      </c>
      <c r="Q115" s="319"/>
      <c r="R115" s="312">
        <v>17</v>
      </c>
      <c r="S115" s="312"/>
      <c r="T115" s="319"/>
      <c r="U115" s="319"/>
      <c r="V115" s="320"/>
      <c r="X115" s="316"/>
      <c r="Y115" s="319"/>
      <c r="Z115" s="319" t="s">
        <v>1121</v>
      </c>
      <c r="AA115" s="319" t="s">
        <v>501</v>
      </c>
      <c r="AB115" s="319"/>
      <c r="AC115" s="312">
        <v>17</v>
      </c>
      <c r="AD115" s="312"/>
      <c r="AE115" s="319"/>
      <c r="AF115" s="319"/>
      <c r="AG115" s="320"/>
      <c r="AI115" s="316"/>
      <c r="AJ115" s="319"/>
      <c r="AK115" s="319" t="s">
        <v>1121</v>
      </c>
      <c r="AL115" s="319" t="s">
        <v>501</v>
      </c>
      <c r="AM115" s="319"/>
      <c r="AN115" s="312">
        <v>17</v>
      </c>
      <c r="AO115" s="312"/>
      <c r="AP115" s="319"/>
      <c r="AQ115" s="319"/>
      <c r="AR115" s="320"/>
    </row>
    <row r="116" spans="2:44" ht="15" customHeight="1" x14ac:dyDescent="0.3">
      <c r="B116" s="316"/>
      <c r="C116" s="319"/>
      <c r="D116" s="319" t="s">
        <v>1119</v>
      </c>
      <c r="E116" s="323" t="s">
        <v>909</v>
      </c>
      <c r="F116" s="323"/>
      <c r="G116" s="312" t="s">
        <v>1128</v>
      </c>
      <c r="H116" s="312"/>
      <c r="I116" s="319"/>
      <c r="J116" s="319"/>
      <c r="K116" s="320"/>
      <c r="M116" s="316"/>
      <c r="N116" s="319"/>
      <c r="O116" s="319" t="s">
        <v>1119</v>
      </c>
      <c r="P116" s="323" t="s">
        <v>909</v>
      </c>
      <c r="Q116" s="323"/>
      <c r="R116" s="312" t="s">
        <v>1128</v>
      </c>
      <c r="S116" s="312"/>
      <c r="T116" s="319"/>
      <c r="U116" s="319"/>
      <c r="V116" s="320"/>
      <c r="X116" s="316"/>
      <c r="Y116" s="319"/>
      <c r="Z116" s="319" t="s">
        <v>1119</v>
      </c>
      <c r="AA116" s="323" t="s">
        <v>909</v>
      </c>
      <c r="AB116" s="323"/>
      <c r="AC116" s="312" t="s">
        <v>1128</v>
      </c>
      <c r="AD116" s="312"/>
      <c r="AE116" s="319"/>
      <c r="AF116" s="319"/>
      <c r="AG116" s="320"/>
      <c r="AI116" s="316"/>
      <c r="AJ116" s="319"/>
      <c r="AK116" s="319" t="s">
        <v>1119</v>
      </c>
      <c r="AL116" s="323" t="s">
        <v>909</v>
      </c>
      <c r="AM116" s="323"/>
      <c r="AN116" s="312" t="s">
        <v>1128</v>
      </c>
      <c r="AO116" s="312"/>
      <c r="AP116" s="319"/>
      <c r="AQ116" s="319"/>
      <c r="AR116" s="320"/>
    </row>
    <row r="117" spans="2:44" ht="15" customHeight="1" x14ac:dyDescent="0.3">
      <c r="B117" s="316"/>
      <c r="C117" s="319"/>
      <c r="D117" s="319" t="s">
        <v>1122</v>
      </c>
      <c r="E117" s="323" t="s">
        <v>1123</v>
      </c>
      <c r="F117" s="323"/>
      <c r="G117" s="312">
        <v>20</v>
      </c>
      <c r="H117" s="312" t="s">
        <v>107</v>
      </c>
      <c r="I117" s="319"/>
      <c r="J117" s="319"/>
      <c r="K117" s="320"/>
      <c r="M117" s="316"/>
      <c r="N117" s="319"/>
      <c r="O117" s="319" t="s">
        <v>1122</v>
      </c>
      <c r="P117" s="323" t="s">
        <v>1123</v>
      </c>
      <c r="Q117" s="323"/>
      <c r="R117" s="312">
        <v>20</v>
      </c>
      <c r="S117" s="312" t="s">
        <v>107</v>
      </c>
      <c r="T117" s="319"/>
      <c r="U117" s="319"/>
      <c r="V117" s="320"/>
      <c r="X117" s="316"/>
      <c r="Y117" s="319"/>
      <c r="Z117" s="319" t="s">
        <v>1122</v>
      </c>
      <c r="AA117" s="323" t="s">
        <v>1123</v>
      </c>
      <c r="AB117" s="323"/>
      <c r="AC117" s="312">
        <v>20</v>
      </c>
      <c r="AD117" s="312" t="s">
        <v>107</v>
      </c>
      <c r="AE117" s="319"/>
      <c r="AF117" s="319"/>
      <c r="AG117" s="320"/>
      <c r="AI117" s="316"/>
      <c r="AJ117" s="319"/>
      <c r="AK117" s="319" t="s">
        <v>1122</v>
      </c>
      <c r="AL117" s="323" t="s">
        <v>1123</v>
      </c>
      <c r="AM117" s="323"/>
      <c r="AN117" s="312">
        <v>20</v>
      </c>
      <c r="AO117" s="312" t="s">
        <v>107</v>
      </c>
      <c r="AP117" s="319"/>
      <c r="AQ117" s="319"/>
      <c r="AR117" s="320"/>
    </row>
    <row r="118" spans="2:44" ht="15" customHeight="1" x14ac:dyDescent="0.3">
      <c r="B118" s="316"/>
      <c r="C118" s="319"/>
      <c r="D118" s="319"/>
      <c r="E118" s="319" t="s">
        <v>1400</v>
      </c>
      <c r="F118" s="319"/>
      <c r="G118" s="319"/>
      <c r="H118" s="319"/>
      <c r="I118" s="319"/>
      <c r="J118" s="319"/>
      <c r="K118" s="320"/>
      <c r="M118" s="316"/>
      <c r="N118" s="319"/>
      <c r="O118" s="319"/>
      <c r="P118" s="319" t="s">
        <v>1400</v>
      </c>
      <c r="Q118" s="319"/>
      <c r="R118" s="319"/>
      <c r="S118" s="319"/>
      <c r="T118" s="319"/>
      <c r="U118" s="319"/>
      <c r="V118" s="320"/>
      <c r="X118" s="316"/>
      <c r="Y118" s="319"/>
      <c r="Z118" s="319"/>
      <c r="AA118" s="319" t="s">
        <v>1400</v>
      </c>
      <c r="AB118" s="319"/>
      <c r="AC118" s="319"/>
      <c r="AD118" s="319"/>
      <c r="AE118" s="319"/>
      <c r="AF118" s="319"/>
      <c r="AG118" s="320"/>
      <c r="AI118" s="316"/>
      <c r="AJ118" s="319"/>
      <c r="AK118" s="319"/>
      <c r="AL118" s="319" t="s">
        <v>1400</v>
      </c>
      <c r="AM118" s="319"/>
      <c r="AN118" s="319"/>
      <c r="AO118" s="319"/>
      <c r="AP118" s="319"/>
      <c r="AQ118" s="319"/>
      <c r="AR118" s="320"/>
    </row>
    <row r="119" spans="2:44" ht="15" customHeight="1" x14ac:dyDescent="0.3">
      <c r="B119" s="316"/>
      <c r="C119" s="319"/>
      <c r="D119" s="319"/>
      <c r="E119" s="319"/>
      <c r="F119" s="319"/>
      <c r="G119" s="319"/>
      <c r="H119" s="319"/>
      <c r="I119" s="319"/>
      <c r="J119" s="319"/>
      <c r="K119" s="320"/>
      <c r="M119" s="316"/>
      <c r="N119" s="319"/>
      <c r="O119" s="319"/>
      <c r="P119" s="319"/>
      <c r="Q119" s="319"/>
      <c r="R119" s="319"/>
      <c r="S119" s="319"/>
      <c r="T119" s="319"/>
      <c r="U119" s="319"/>
      <c r="V119" s="320"/>
      <c r="X119" s="316"/>
      <c r="Y119" s="319"/>
      <c r="Z119" s="319"/>
      <c r="AA119" s="319"/>
      <c r="AB119" s="319"/>
      <c r="AC119" s="319"/>
      <c r="AD119" s="319"/>
      <c r="AE119" s="319"/>
      <c r="AF119" s="319"/>
      <c r="AG119" s="320"/>
      <c r="AI119" s="316"/>
      <c r="AJ119" s="319"/>
      <c r="AK119" s="319"/>
      <c r="AL119" s="319"/>
      <c r="AM119" s="319"/>
      <c r="AN119" s="319"/>
      <c r="AO119" s="319"/>
      <c r="AP119" s="319"/>
      <c r="AQ119" s="319"/>
      <c r="AR119" s="320"/>
    </row>
    <row r="120" spans="2:44" ht="15" customHeight="1" x14ac:dyDescent="0.3">
      <c r="B120" s="316"/>
      <c r="C120" s="319"/>
      <c r="D120" s="319"/>
      <c r="E120" s="319"/>
      <c r="F120" s="319"/>
      <c r="G120" s="319"/>
      <c r="H120" s="319"/>
      <c r="I120" s="319"/>
      <c r="J120" s="319"/>
      <c r="K120" s="320"/>
      <c r="M120" s="316"/>
      <c r="N120" s="319"/>
      <c r="O120" s="319"/>
      <c r="P120" s="319"/>
      <c r="Q120" s="319"/>
      <c r="R120" s="319"/>
      <c r="S120" s="319"/>
      <c r="T120" s="319"/>
      <c r="U120" s="319"/>
      <c r="V120" s="320"/>
      <c r="X120" s="316"/>
      <c r="Y120" s="319"/>
      <c r="Z120" s="319"/>
      <c r="AA120" s="319"/>
      <c r="AB120" s="319"/>
      <c r="AC120" s="319"/>
      <c r="AD120" s="319"/>
      <c r="AE120" s="319"/>
      <c r="AF120" s="319"/>
      <c r="AG120" s="320"/>
      <c r="AI120" s="316"/>
      <c r="AJ120" s="319"/>
      <c r="AK120" s="319"/>
      <c r="AL120" s="319"/>
      <c r="AM120" s="319"/>
      <c r="AN120" s="319"/>
      <c r="AO120" s="319"/>
      <c r="AP120" s="319"/>
      <c r="AQ120" s="319"/>
      <c r="AR120" s="320"/>
    </row>
    <row r="121" spans="2:44" ht="15" customHeight="1" x14ac:dyDescent="0.3">
      <c r="B121" s="316"/>
      <c r="C121" s="319"/>
      <c r="D121" s="319"/>
      <c r="E121" s="319"/>
      <c r="F121" s="319"/>
      <c r="G121" s="319"/>
      <c r="H121" s="319"/>
      <c r="I121" s="319"/>
      <c r="J121" s="319"/>
      <c r="K121" s="320"/>
      <c r="M121" s="316"/>
      <c r="N121" s="319"/>
      <c r="O121" s="319"/>
      <c r="P121" s="319"/>
      <c r="Q121" s="319"/>
      <c r="R121" s="319"/>
      <c r="S121" s="319"/>
      <c r="T121" s="319"/>
      <c r="U121" s="319"/>
      <c r="V121" s="320"/>
      <c r="X121" s="316"/>
      <c r="Y121" s="319"/>
      <c r="Z121" s="319"/>
      <c r="AA121" s="319"/>
      <c r="AB121" s="319"/>
      <c r="AC121" s="319"/>
      <c r="AD121" s="319"/>
      <c r="AE121" s="319"/>
      <c r="AF121" s="319"/>
      <c r="AG121" s="320"/>
      <c r="AI121" s="316"/>
      <c r="AJ121" s="319"/>
      <c r="AK121" s="319"/>
      <c r="AL121" s="319"/>
      <c r="AM121" s="319"/>
      <c r="AN121" s="319"/>
      <c r="AO121" s="319"/>
      <c r="AP121" s="319"/>
      <c r="AQ121" s="319"/>
      <c r="AR121" s="320"/>
    </row>
    <row r="122" spans="2:44" ht="15" customHeight="1" x14ac:dyDescent="0.3">
      <c r="B122" s="316"/>
      <c r="C122" s="319"/>
      <c r="D122" s="319"/>
      <c r="E122" s="319"/>
      <c r="F122" s="319"/>
      <c r="G122" s="319"/>
      <c r="H122" s="319"/>
      <c r="I122" s="319"/>
      <c r="J122" s="319"/>
      <c r="K122" s="320"/>
      <c r="M122" s="316"/>
      <c r="N122" s="319"/>
      <c r="O122" s="319"/>
      <c r="P122" s="319"/>
      <c r="Q122" s="319"/>
      <c r="R122" s="319"/>
      <c r="S122" s="319"/>
      <c r="T122" s="319"/>
      <c r="U122" s="319"/>
      <c r="V122" s="320"/>
      <c r="X122" s="316"/>
      <c r="Y122" s="319"/>
      <c r="Z122" s="319"/>
      <c r="AA122" s="319"/>
      <c r="AB122" s="319"/>
      <c r="AC122" s="319"/>
      <c r="AD122" s="319"/>
      <c r="AE122" s="319"/>
      <c r="AF122" s="319"/>
      <c r="AG122" s="320"/>
      <c r="AI122" s="316"/>
      <c r="AJ122" s="319"/>
      <c r="AK122" s="319"/>
      <c r="AL122" s="319"/>
      <c r="AM122" s="319"/>
      <c r="AN122" s="319"/>
      <c r="AO122" s="319"/>
      <c r="AP122" s="319"/>
      <c r="AQ122" s="319"/>
      <c r="AR122" s="320"/>
    </row>
    <row r="123" spans="2:44" ht="15" customHeight="1" x14ac:dyDescent="0.3">
      <c r="B123" s="316"/>
      <c r="C123" s="319"/>
      <c r="D123" s="319"/>
      <c r="E123" s="319"/>
      <c r="F123" s="319"/>
      <c r="G123" s="319"/>
      <c r="H123" s="319"/>
      <c r="I123" s="319"/>
      <c r="J123" s="319"/>
      <c r="K123" s="320"/>
      <c r="M123" s="316"/>
      <c r="N123" s="319"/>
      <c r="O123" s="319"/>
      <c r="P123" s="319"/>
      <c r="Q123" s="319"/>
      <c r="R123" s="319"/>
      <c r="S123" s="319"/>
      <c r="T123" s="319"/>
      <c r="U123" s="319"/>
      <c r="V123" s="320"/>
      <c r="X123" s="316"/>
      <c r="Y123" s="319"/>
      <c r="Z123" s="319"/>
      <c r="AA123" s="319"/>
      <c r="AB123" s="319"/>
      <c r="AC123" s="319"/>
      <c r="AD123" s="319"/>
      <c r="AE123" s="319"/>
      <c r="AF123" s="319"/>
      <c r="AG123" s="320"/>
      <c r="AI123" s="316"/>
      <c r="AJ123" s="319"/>
      <c r="AK123" s="319"/>
      <c r="AL123" s="319"/>
      <c r="AM123" s="319"/>
      <c r="AN123" s="319"/>
      <c r="AO123" s="319"/>
      <c r="AP123" s="319"/>
      <c r="AQ123" s="319"/>
      <c r="AR123" s="320"/>
    </row>
    <row r="124" spans="2:44" ht="15" customHeight="1" x14ac:dyDescent="0.3">
      <c r="B124" s="316"/>
      <c r="C124" s="319"/>
      <c r="D124" s="319"/>
      <c r="E124" s="319"/>
      <c r="F124" s="319"/>
      <c r="G124" s="319"/>
      <c r="H124" s="319"/>
      <c r="I124" s="319"/>
      <c r="J124" s="319"/>
      <c r="K124" s="320"/>
      <c r="M124" s="316"/>
      <c r="N124" s="319"/>
      <c r="O124" s="319"/>
      <c r="P124" s="319"/>
      <c r="Q124" s="319"/>
      <c r="R124" s="319"/>
      <c r="S124" s="319"/>
      <c r="T124" s="319"/>
      <c r="U124" s="319"/>
      <c r="V124" s="320"/>
      <c r="X124" s="316"/>
      <c r="Y124" s="319"/>
      <c r="Z124" s="319"/>
      <c r="AA124" s="319"/>
      <c r="AB124" s="319"/>
      <c r="AC124" s="319"/>
      <c r="AD124" s="319"/>
      <c r="AE124" s="319"/>
      <c r="AF124" s="319"/>
      <c r="AG124" s="320"/>
      <c r="AI124" s="316"/>
      <c r="AJ124" s="319"/>
      <c r="AK124" s="319"/>
      <c r="AL124" s="319"/>
      <c r="AM124" s="319"/>
      <c r="AN124" s="319"/>
      <c r="AO124" s="319"/>
      <c r="AP124" s="319"/>
      <c r="AQ124" s="319"/>
      <c r="AR124" s="320"/>
    </row>
    <row r="125" spans="2:44" ht="15" customHeight="1" x14ac:dyDescent="0.3">
      <c r="B125" s="316"/>
      <c r="C125" s="319"/>
      <c r="D125" s="319"/>
      <c r="E125" s="319"/>
      <c r="F125" s="319"/>
      <c r="G125" s="319"/>
      <c r="H125" s="319"/>
      <c r="I125" s="319"/>
      <c r="J125" s="319"/>
      <c r="K125" s="320"/>
      <c r="M125" s="316"/>
      <c r="N125" s="319"/>
      <c r="O125" s="319"/>
      <c r="P125" s="319"/>
      <c r="Q125" s="319"/>
      <c r="R125" s="319"/>
      <c r="S125" s="319"/>
      <c r="T125" s="319"/>
      <c r="U125" s="319"/>
      <c r="V125" s="320"/>
      <c r="X125" s="316"/>
      <c r="Y125" s="319"/>
      <c r="Z125" s="319"/>
      <c r="AA125" s="319"/>
      <c r="AB125" s="319"/>
      <c r="AC125" s="319"/>
      <c r="AD125" s="319"/>
      <c r="AE125" s="319"/>
      <c r="AF125" s="319"/>
      <c r="AG125" s="320"/>
      <c r="AI125" s="316"/>
      <c r="AJ125" s="319"/>
      <c r="AK125" s="319"/>
      <c r="AL125" s="319"/>
      <c r="AM125" s="319"/>
      <c r="AN125" s="319"/>
      <c r="AO125" s="319"/>
      <c r="AP125" s="319"/>
      <c r="AQ125" s="319"/>
      <c r="AR125" s="320"/>
    </row>
    <row r="126" spans="2:44" ht="15" customHeight="1" x14ac:dyDescent="0.3">
      <c r="B126" s="316"/>
      <c r="C126" s="319"/>
      <c r="D126" s="319"/>
      <c r="E126" s="319"/>
      <c r="F126" s="319"/>
      <c r="G126" s="324" t="s">
        <v>533</v>
      </c>
      <c r="H126" s="324" t="s">
        <v>534</v>
      </c>
      <c r="I126" s="324" t="s">
        <v>610</v>
      </c>
      <c r="J126" s="324" t="s">
        <v>535</v>
      </c>
      <c r="K126" s="325"/>
      <c r="M126" s="316"/>
      <c r="N126" s="319"/>
      <c r="O126" s="319"/>
      <c r="P126" s="319"/>
      <c r="Q126" s="319"/>
      <c r="R126" s="324" t="s">
        <v>533</v>
      </c>
      <c r="S126" s="324" t="s">
        <v>534</v>
      </c>
      <c r="T126" s="324" t="s">
        <v>610</v>
      </c>
      <c r="U126" s="324" t="s">
        <v>535</v>
      </c>
      <c r="V126" s="325"/>
      <c r="X126" s="316"/>
      <c r="Y126" s="319"/>
      <c r="Z126" s="319"/>
      <c r="AA126" s="319"/>
      <c r="AB126" s="319"/>
      <c r="AC126" s="324" t="s">
        <v>533</v>
      </c>
      <c r="AD126" s="324" t="s">
        <v>534</v>
      </c>
      <c r="AE126" s="324" t="s">
        <v>610</v>
      </c>
      <c r="AF126" s="324" t="s">
        <v>535</v>
      </c>
      <c r="AG126" s="325"/>
      <c r="AH126" s="265"/>
      <c r="AI126" s="316"/>
      <c r="AJ126" s="319"/>
      <c r="AK126" s="319"/>
      <c r="AL126" s="319"/>
      <c r="AM126" s="319"/>
      <c r="AN126" s="324" t="s">
        <v>533</v>
      </c>
      <c r="AO126" s="324" t="s">
        <v>534</v>
      </c>
      <c r="AP126" s="324" t="s">
        <v>610</v>
      </c>
      <c r="AQ126" s="324" t="s">
        <v>535</v>
      </c>
      <c r="AR126" s="325"/>
    </row>
    <row r="127" spans="2:44" ht="15" customHeight="1" x14ac:dyDescent="0.3">
      <c r="B127" s="316"/>
      <c r="C127" s="310">
        <v>1</v>
      </c>
      <c r="D127" s="311" t="s">
        <v>941</v>
      </c>
      <c r="E127" s="311"/>
      <c r="F127" s="311"/>
      <c r="G127" s="213"/>
      <c r="H127" s="213"/>
      <c r="I127" s="213"/>
      <c r="J127" s="213"/>
      <c r="K127" s="326"/>
      <c r="M127" s="316"/>
      <c r="N127" s="310">
        <v>1</v>
      </c>
      <c r="O127" s="311" t="s">
        <v>941</v>
      </c>
      <c r="P127" s="311"/>
      <c r="Q127" s="311"/>
      <c r="R127" s="213"/>
      <c r="S127" s="213"/>
      <c r="T127" s="213"/>
      <c r="U127" s="213"/>
      <c r="V127" s="326"/>
      <c r="X127" s="316"/>
      <c r="Y127" s="310">
        <v>1</v>
      </c>
      <c r="Z127" s="311" t="s">
        <v>941</v>
      </c>
      <c r="AA127" s="311"/>
      <c r="AB127" s="311"/>
      <c r="AC127" s="213"/>
      <c r="AD127" s="213"/>
      <c r="AE127" s="213"/>
      <c r="AF127" s="213"/>
      <c r="AG127" s="326"/>
      <c r="AH127" s="8"/>
      <c r="AI127" s="316"/>
      <c r="AJ127" s="310">
        <v>1</v>
      </c>
      <c r="AK127" s="311" t="s">
        <v>941</v>
      </c>
      <c r="AL127" s="311"/>
      <c r="AM127" s="311"/>
      <c r="AN127" s="213"/>
      <c r="AO127" s="213"/>
      <c r="AP127" s="213"/>
      <c r="AQ127" s="213"/>
      <c r="AR127" s="326"/>
    </row>
    <row r="128" spans="2:44" ht="15" customHeight="1" x14ac:dyDescent="0.3">
      <c r="B128" s="316"/>
      <c r="C128" s="310">
        <v>4</v>
      </c>
      <c r="D128" s="311" t="s">
        <v>530</v>
      </c>
      <c r="E128" s="311"/>
      <c r="F128" s="311"/>
      <c r="G128" s="213"/>
      <c r="H128" s="213"/>
      <c r="I128" s="213"/>
      <c r="J128" s="213"/>
      <c r="K128" s="326"/>
      <c r="M128" s="316"/>
      <c r="N128" s="310">
        <v>4</v>
      </c>
      <c r="O128" s="311" t="s">
        <v>530</v>
      </c>
      <c r="P128" s="311"/>
      <c r="Q128" s="311"/>
      <c r="R128" s="213"/>
      <c r="S128" s="213"/>
      <c r="T128" s="213"/>
      <c r="U128" s="213"/>
      <c r="V128" s="326"/>
      <c r="X128" s="316"/>
      <c r="Y128" s="310">
        <v>4</v>
      </c>
      <c r="Z128" s="311" t="s">
        <v>530</v>
      </c>
      <c r="AA128" s="311"/>
      <c r="AB128" s="311"/>
      <c r="AC128" s="213"/>
      <c r="AD128" s="213"/>
      <c r="AE128" s="213"/>
      <c r="AF128" s="213"/>
      <c r="AG128" s="326"/>
      <c r="AH128" s="8"/>
      <c r="AI128" s="316"/>
      <c r="AJ128" s="310">
        <v>4</v>
      </c>
      <c r="AK128" s="311" t="s">
        <v>530</v>
      </c>
      <c r="AL128" s="311"/>
      <c r="AM128" s="311"/>
      <c r="AN128" s="213"/>
      <c r="AO128" s="213"/>
      <c r="AP128" s="213"/>
      <c r="AQ128" s="213"/>
      <c r="AR128" s="326"/>
    </row>
    <row r="129" spans="2:44" ht="15" customHeight="1" x14ac:dyDescent="0.3">
      <c r="B129" s="316"/>
      <c r="C129" s="310">
        <v>9</v>
      </c>
      <c r="D129" s="311" t="s">
        <v>1077</v>
      </c>
      <c r="E129" s="311"/>
      <c r="F129" s="311"/>
      <c r="G129" s="213"/>
      <c r="H129" s="213"/>
      <c r="I129" s="213"/>
      <c r="J129" s="213"/>
      <c r="K129" s="326"/>
      <c r="M129" s="316"/>
      <c r="N129" s="310">
        <v>9</v>
      </c>
      <c r="O129" s="311" t="s">
        <v>1077</v>
      </c>
      <c r="P129" s="311"/>
      <c r="Q129" s="311"/>
      <c r="R129" s="213"/>
      <c r="S129" s="213"/>
      <c r="T129" s="213"/>
      <c r="U129" s="213"/>
      <c r="V129" s="326"/>
      <c r="X129" s="316"/>
      <c r="Y129" s="310">
        <v>9</v>
      </c>
      <c r="Z129" s="311" t="s">
        <v>1077</v>
      </c>
      <c r="AA129" s="311"/>
      <c r="AB129" s="311"/>
      <c r="AC129" s="213"/>
      <c r="AD129" s="213"/>
      <c r="AE129" s="213"/>
      <c r="AF129" s="213"/>
      <c r="AG129" s="326"/>
      <c r="AH129" s="8"/>
      <c r="AI129" s="316"/>
      <c r="AJ129" s="310">
        <v>9</v>
      </c>
      <c r="AK129" s="311" t="s">
        <v>1077</v>
      </c>
      <c r="AL129" s="311"/>
      <c r="AM129" s="311"/>
      <c r="AN129" s="213"/>
      <c r="AO129" s="213"/>
      <c r="AP129" s="213"/>
      <c r="AQ129" s="213"/>
      <c r="AR129" s="326"/>
    </row>
    <row r="130" spans="2:44" ht="15" customHeight="1" x14ac:dyDescent="0.3">
      <c r="B130" s="316"/>
      <c r="C130" s="310">
        <v>14</v>
      </c>
      <c r="D130" s="311" t="s">
        <v>1075</v>
      </c>
      <c r="E130" s="311"/>
      <c r="F130" s="311"/>
      <c r="G130" s="213">
        <v>1</v>
      </c>
      <c r="H130" s="213"/>
      <c r="I130" s="213"/>
      <c r="J130" s="213"/>
      <c r="K130" s="326"/>
      <c r="M130" s="316"/>
      <c r="N130" s="310">
        <v>14</v>
      </c>
      <c r="O130" s="311" t="s">
        <v>1075</v>
      </c>
      <c r="P130" s="311"/>
      <c r="Q130" s="311"/>
      <c r="R130" s="213">
        <v>1</v>
      </c>
      <c r="S130" s="213"/>
      <c r="T130" s="213"/>
      <c r="U130" s="213"/>
      <c r="V130" s="326"/>
      <c r="X130" s="316"/>
      <c r="Y130" s="310">
        <v>14</v>
      </c>
      <c r="Z130" s="311" t="s">
        <v>1075</v>
      </c>
      <c r="AA130" s="311"/>
      <c r="AB130" s="311"/>
      <c r="AC130" s="213">
        <v>1</v>
      </c>
      <c r="AD130" s="213"/>
      <c r="AE130" s="213"/>
      <c r="AF130" s="213"/>
      <c r="AG130" s="326"/>
      <c r="AH130" s="8"/>
      <c r="AI130" s="316"/>
      <c r="AJ130" s="310">
        <v>14</v>
      </c>
      <c r="AK130" s="311" t="s">
        <v>1075</v>
      </c>
      <c r="AL130" s="311"/>
      <c r="AM130" s="311"/>
      <c r="AN130" s="213">
        <v>1</v>
      </c>
      <c r="AO130" s="213"/>
      <c r="AP130" s="213"/>
      <c r="AQ130" s="213"/>
      <c r="AR130" s="326"/>
    </row>
    <row r="131" spans="2:44" ht="15" customHeight="1" x14ac:dyDescent="0.3">
      <c r="B131" s="316"/>
      <c r="C131" s="310">
        <v>17</v>
      </c>
      <c r="D131" s="311" t="s">
        <v>53</v>
      </c>
      <c r="E131" s="311"/>
      <c r="F131" s="311"/>
      <c r="G131" s="213"/>
      <c r="H131" s="213"/>
      <c r="I131" s="213"/>
      <c r="J131" s="213">
        <v>1</v>
      </c>
      <c r="K131" s="326"/>
      <c r="M131" s="316"/>
      <c r="N131" s="310">
        <v>17</v>
      </c>
      <c r="O131" s="311" t="s">
        <v>53</v>
      </c>
      <c r="P131" s="311"/>
      <c r="Q131" s="311"/>
      <c r="R131" s="213"/>
      <c r="S131" s="213"/>
      <c r="T131" s="213"/>
      <c r="U131" s="213">
        <v>1</v>
      </c>
      <c r="V131" s="326"/>
      <c r="X131" s="316"/>
      <c r="Y131" s="310">
        <v>17</v>
      </c>
      <c r="Z131" s="311" t="s">
        <v>53</v>
      </c>
      <c r="AA131" s="311"/>
      <c r="AB131" s="311"/>
      <c r="AC131" s="213"/>
      <c r="AD131" s="213"/>
      <c r="AE131" s="213"/>
      <c r="AF131" s="213">
        <v>1</v>
      </c>
      <c r="AG131" s="326"/>
      <c r="AH131" s="8"/>
      <c r="AI131" s="316"/>
      <c r="AJ131" s="310">
        <v>17</v>
      </c>
      <c r="AK131" s="311" t="s">
        <v>53</v>
      </c>
      <c r="AL131" s="311"/>
      <c r="AM131" s="311"/>
      <c r="AN131" s="213"/>
      <c r="AO131" s="213"/>
      <c r="AP131" s="213"/>
      <c r="AQ131" s="213">
        <v>1</v>
      </c>
      <c r="AR131" s="326"/>
    </row>
    <row r="132" spans="2:44" ht="15" customHeight="1" x14ac:dyDescent="0.3">
      <c r="B132" s="316"/>
      <c r="C132" s="310">
        <v>19</v>
      </c>
      <c r="D132" s="311" t="s">
        <v>1125</v>
      </c>
      <c r="E132" s="311"/>
      <c r="F132" s="311"/>
      <c r="G132" s="213"/>
      <c r="H132" s="213"/>
      <c r="I132" s="213"/>
      <c r="J132" s="213"/>
      <c r="K132" s="326"/>
      <c r="M132" s="316"/>
      <c r="N132" s="310">
        <v>19</v>
      </c>
      <c r="O132" s="311" t="s">
        <v>1125</v>
      </c>
      <c r="P132" s="311"/>
      <c r="Q132" s="311"/>
      <c r="R132" s="213"/>
      <c r="S132" s="213"/>
      <c r="T132" s="213"/>
      <c r="U132" s="213"/>
      <c r="V132" s="326"/>
      <c r="X132" s="316"/>
      <c r="Y132" s="310">
        <v>19</v>
      </c>
      <c r="Z132" s="311" t="s">
        <v>1125</v>
      </c>
      <c r="AA132" s="311"/>
      <c r="AB132" s="311"/>
      <c r="AC132" s="213"/>
      <c r="AD132" s="213"/>
      <c r="AE132" s="213"/>
      <c r="AF132" s="213"/>
      <c r="AG132" s="326"/>
      <c r="AH132" s="8"/>
      <c r="AI132" s="316"/>
      <c r="AJ132" s="310">
        <v>19</v>
      </c>
      <c r="AK132" s="311" t="s">
        <v>1125</v>
      </c>
      <c r="AL132" s="311"/>
      <c r="AM132" s="311"/>
      <c r="AN132" s="213"/>
      <c r="AO132" s="213"/>
      <c r="AP132" s="213"/>
      <c r="AQ132" s="213"/>
      <c r="AR132" s="326"/>
    </row>
    <row r="133" spans="2:44" ht="15" customHeight="1" x14ac:dyDescent="0.3">
      <c r="B133" s="316"/>
      <c r="C133" s="310">
        <v>20</v>
      </c>
      <c r="D133" s="311" t="s">
        <v>1124</v>
      </c>
      <c r="E133" s="311"/>
      <c r="F133" s="311"/>
      <c r="G133" s="213">
        <v>1</v>
      </c>
      <c r="H133" s="213"/>
      <c r="I133" s="213"/>
      <c r="J133" s="213"/>
      <c r="K133" s="326"/>
      <c r="M133" s="316"/>
      <c r="N133" s="310">
        <v>20</v>
      </c>
      <c r="O133" s="311" t="s">
        <v>1124</v>
      </c>
      <c r="P133" s="311"/>
      <c r="Q133" s="311"/>
      <c r="R133" s="213">
        <v>1</v>
      </c>
      <c r="S133" s="213"/>
      <c r="T133" s="213"/>
      <c r="U133" s="213"/>
      <c r="V133" s="326"/>
      <c r="X133" s="316"/>
      <c r="Y133" s="310">
        <v>20</v>
      </c>
      <c r="Z133" s="311" t="s">
        <v>1124</v>
      </c>
      <c r="AA133" s="311"/>
      <c r="AB133" s="311"/>
      <c r="AC133" s="213">
        <v>1</v>
      </c>
      <c r="AD133" s="213"/>
      <c r="AE133" s="213"/>
      <c r="AF133" s="213"/>
      <c r="AG133" s="326"/>
      <c r="AH133" s="8"/>
      <c r="AI133" s="316"/>
      <c r="AJ133" s="310">
        <v>20</v>
      </c>
      <c r="AK133" s="311" t="s">
        <v>1124</v>
      </c>
      <c r="AL133" s="311"/>
      <c r="AM133" s="311"/>
      <c r="AN133" s="213">
        <v>1</v>
      </c>
      <c r="AO133" s="213"/>
      <c r="AP133" s="213"/>
      <c r="AQ133" s="213"/>
      <c r="AR133" s="326"/>
    </row>
    <row r="134" spans="2:44" ht="15" customHeight="1" x14ac:dyDescent="0.3">
      <c r="B134" s="316"/>
      <c r="C134" s="310">
        <v>23</v>
      </c>
      <c r="D134" s="311" t="s">
        <v>1076</v>
      </c>
      <c r="E134" s="311"/>
      <c r="F134" s="311"/>
      <c r="G134" s="213">
        <v>1</v>
      </c>
      <c r="H134" s="213"/>
      <c r="I134" s="213"/>
      <c r="J134" s="213"/>
      <c r="K134" s="326"/>
      <c r="M134" s="316"/>
      <c r="N134" s="310">
        <v>23</v>
      </c>
      <c r="O134" s="311" t="s">
        <v>1076</v>
      </c>
      <c r="P134" s="311"/>
      <c r="Q134" s="311"/>
      <c r="R134" s="213">
        <v>1</v>
      </c>
      <c r="S134" s="213"/>
      <c r="T134" s="213"/>
      <c r="U134" s="213"/>
      <c r="V134" s="326"/>
      <c r="X134" s="316"/>
      <c r="Y134" s="310">
        <v>23</v>
      </c>
      <c r="Z134" s="311" t="s">
        <v>1076</v>
      </c>
      <c r="AA134" s="311"/>
      <c r="AB134" s="311"/>
      <c r="AC134" s="213">
        <v>1</v>
      </c>
      <c r="AD134" s="213"/>
      <c r="AE134" s="213"/>
      <c r="AF134" s="213"/>
      <c r="AG134" s="326"/>
      <c r="AH134" s="8"/>
      <c r="AI134" s="316"/>
      <c r="AJ134" s="310">
        <v>23</v>
      </c>
      <c r="AK134" s="311" t="s">
        <v>1076</v>
      </c>
      <c r="AL134" s="311"/>
      <c r="AM134" s="311"/>
      <c r="AN134" s="213">
        <v>1</v>
      </c>
      <c r="AO134" s="213"/>
      <c r="AP134" s="213"/>
      <c r="AQ134" s="213"/>
      <c r="AR134" s="326"/>
    </row>
    <row r="135" spans="2:44" ht="15" customHeight="1" x14ac:dyDescent="0.3">
      <c r="B135" s="316"/>
      <c r="C135" s="310">
        <v>50</v>
      </c>
      <c r="D135" s="311" t="s">
        <v>680</v>
      </c>
      <c r="E135" s="311"/>
      <c r="F135" s="311"/>
      <c r="G135" s="213"/>
      <c r="H135" s="213">
        <v>1</v>
      </c>
      <c r="I135" s="213"/>
      <c r="J135" s="213"/>
      <c r="K135" s="326"/>
      <c r="M135" s="316"/>
      <c r="N135" s="310">
        <v>50</v>
      </c>
      <c r="O135" s="311" t="s">
        <v>680</v>
      </c>
      <c r="P135" s="311"/>
      <c r="Q135" s="311"/>
      <c r="R135" s="213"/>
      <c r="S135" s="213">
        <v>1</v>
      </c>
      <c r="T135" s="213"/>
      <c r="U135" s="213"/>
      <c r="V135" s="326"/>
      <c r="X135" s="316"/>
      <c r="Y135" s="310">
        <v>50</v>
      </c>
      <c r="Z135" s="311" t="s">
        <v>680</v>
      </c>
      <c r="AA135" s="311"/>
      <c r="AB135" s="311"/>
      <c r="AC135" s="213"/>
      <c r="AD135" s="213">
        <v>1</v>
      </c>
      <c r="AE135" s="213"/>
      <c r="AF135" s="213"/>
      <c r="AG135" s="326"/>
      <c r="AH135" s="8"/>
      <c r="AI135" s="316"/>
      <c r="AJ135" s="310">
        <v>50</v>
      </c>
      <c r="AK135" s="311" t="s">
        <v>680</v>
      </c>
      <c r="AL135" s="311"/>
      <c r="AM135" s="311"/>
      <c r="AN135" s="213"/>
      <c r="AO135" s="213">
        <v>1</v>
      </c>
      <c r="AP135" s="213"/>
      <c r="AQ135" s="213"/>
      <c r="AR135" s="326"/>
    </row>
    <row r="136" spans="2:44" ht="15" customHeight="1" x14ac:dyDescent="0.3">
      <c r="B136" s="316"/>
      <c r="C136" s="310">
        <v>75</v>
      </c>
      <c r="D136" s="311" t="s">
        <v>55</v>
      </c>
      <c r="E136" s="311"/>
      <c r="F136" s="311"/>
      <c r="G136" s="213"/>
      <c r="H136" s="213"/>
      <c r="I136" s="213"/>
      <c r="J136" s="213"/>
      <c r="K136" s="326"/>
      <c r="M136" s="316"/>
      <c r="N136" s="310">
        <v>75</v>
      </c>
      <c r="O136" s="311" t="s">
        <v>55</v>
      </c>
      <c r="P136" s="311"/>
      <c r="Q136" s="311"/>
      <c r="R136" s="213"/>
      <c r="S136" s="213"/>
      <c r="T136" s="213"/>
      <c r="U136" s="213"/>
      <c r="V136" s="326"/>
      <c r="X136" s="316"/>
      <c r="Y136" s="310">
        <v>75</v>
      </c>
      <c r="Z136" s="311" t="s">
        <v>55</v>
      </c>
      <c r="AA136" s="311"/>
      <c r="AB136" s="311"/>
      <c r="AC136" s="213"/>
      <c r="AD136" s="213"/>
      <c r="AE136" s="213"/>
      <c r="AF136" s="213"/>
      <c r="AG136" s="326"/>
      <c r="AH136" s="8"/>
      <c r="AI136" s="316"/>
      <c r="AJ136" s="310">
        <v>75</v>
      </c>
      <c r="AK136" s="311" t="s">
        <v>55</v>
      </c>
      <c r="AL136" s="311"/>
      <c r="AM136" s="311"/>
      <c r="AN136" s="213"/>
      <c r="AO136" s="213"/>
      <c r="AP136" s="213"/>
      <c r="AQ136" s="213"/>
      <c r="AR136" s="326"/>
    </row>
    <row r="137" spans="2:44" ht="15" customHeight="1" x14ac:dyDescent="0.3">
      <c r="B137" s="316"/>
      <c r="C137" s="310">
        <v>96</v>
      </c>
      <c r="D137" s="311" t="s">
        <v>185</v>
      </c>
      <c r="E137" s="311"/>
      <c r="F137" s="311"/>
      <c r="G137" s="213"/>
      <c r="H137" s="213">
        <v>1</v>
      </c>
      <c r="I137" s="213"/>
      <c r="J137" s="213"/>
      <c r="K137" s="326"/>
      <c r="M137" s="316"/>
      <c r="N137" s="310">
        <v>96</v>
      </c>
      <c r="O137" s="311" t="s">
        <v>185</v>
      </c>
      <c r="P137" s="311"/>
      <c r="Q137" s="311"/>
      <c r="R137" s="213"/>
      <c r="S137" s="213">
        <v>1</v>
      </c>
      <c r="T137" s="213"/>
      <c r="U137" s="213"/>
      <c r="V137" s="326"/>
      <c r="X137" s="316"/>
      <c r="Y137" s="310">
        <v>96</v>
      </c>
      <c r="Z137" s="311" t="s">
        <v>185</v>
      </c>
      <c r="AA137" s="311"/>
      <c r="AB137" s="311"/>
      <c r="AC137" s="213"/>
      <c r="AD137" s="213">
        <v>1</v>
      </c>
      <c r="AE137" s="213"/>
      <c r="AF137" s="213"/>
      <c r="AG137" s="326"/>
      <c r="AH137" s="8"/>
      <c r="AI137" s="316"/>
      <c r="AJ137" s="310">
        <v>96</v>
      </c>
      <c r="AK137" s="311" t="s">
        <v>185</v>
      </c>
      <c r="AL137" s="311"/>
      <c r="AM137" s="311"/>
      <c r="AN137" s="213"/>
      <c r="AO137" s="213">
        <v>1</v>
      </c>
      <c r="AP137" s="213"/>
      <c r="AQ137" s="213"/>
      <c r="AR137" s="326"/>
    </row>
    <row r="138" spans="2:44" ht="15" customHeight="1" x14ac:dyDescent="0.3">
      <c r="B138" s="316"/>
      <c r="C138" s="319"/>
      <c r="D138" s="319"/>
      <c r="E138" s="319"/>
      <c r="F138" s="319"/>
      <c r="G138" s="319"/>
      <c r="H138" s="319"/>
      <c r="I138" s="319"/>
      <c r="J138" s="319"/>
      <c r="K138" s="320"/>
      <c r="M138" s="316"/>
      <c r="N138" s="319"/>
      <c r="O138" s="319"/>
      <c r="P138" s="319"/>
      <c r="Q138" s="319"/>
      <c r="R138" s="319"/>
      <c r="S138" s="319"/>
      <c r="T138" s="319"/>
      <c r="U138" s="319"/>
      <c r="V138" s="320"/>
      <c r="X138" s="316"/>
      <c r="Y138" s="319"/>
      <c r="Z138" s="319"/>
      <c r="AA138" s="319"/>
      <c r="AB138" s="319"/>
      <c r="AC138" s="319"/>
      <c r="AD138" s="319"/>
      <c r="AE138" s="319"/>
      <c r="AF138" s="319"/>
      <c r="AG138" s="320"/>
      <c r="AH138" s="8"/>
      <c r="AI138" s="316"/>
      <c r="AJ138" s="319"/>
      <c r="AK138" s="319"/>
      <c r="AL138" s="319"/>
      <c r="AM138" s="319"/>
      <c r="AN138" s="319"/>
      <c r="AO138" s="319"/>
      <c r="AP138" s="319"/>
      <c r="AQ138" s="319"/>
      <c r="AR138" s="320"/>
    </row>
    <row r="139" spans="2:44" ht="15" customHeight="1" x14ac:dyDescent="0.3">
      <c r="B139" s="316"/>
      <c r="C139" s="319"/>
      <c r="D139" s="319"/>
      <c r="E139" s="319"/>
      <c r="F139" s="319"/>
      <c r="G139" s="319"/>
      <c r="H139" s="319"/>
      <c r="I139" s="319"/>
      <c r="J139" s="319"/>
      <c r="K139" s="320"/>
      <c r="M139" s="316"/>
      <c r="N139" s="319"/>
      <c r="O139" s="319"/>
      <c r="P139" s="319"/>
      <c r="Q139" s="319"/>
      <c r="R139" s="319"/>
      <c r="S139" s="319"/>
      <c r="T139" s="319"/>
      <c r="U139" s="319"/>
      <c r="V139" s="320"/>
      <c r="X139" s="316"/>
      <c r="Y139" s="319"/>
      <c r="Z139" s="319"/>
      <c r="AA139" s="319"/>
      <c r="AB139" s="319"/>
      <c r="AC139" s="319"/>
      <c r="AD139" s="319"/>
      <c r="AE139" s="319"/>
      <c r="AF139" s="319"/>
      <c r="AG139" s="320"/>
      <c r="AH139" s="8"/>
      <c r="AI139" s="316"/>
      <c r="AJ139" s="319"/>
      <c r="AK139" s="319"/>
      <c r="AL139" s="319"/>
      <c r="AM139" s="319"/>
      <c r="AN139" s="319"/>
      <c r="AO139" s="319"/>
      <c r="AP139" s="319"/>
      <c r="AQ139" s="319"/>
      <c r="AR139" s="320"/>
    </row>
    <row r="140" spans="2:44" ht="15" customHeight="1" x14ac:dyDescent="0.3">
      <c r="B140" s="316"/>
      <c r="C140" s="319"/>
      <c r="D140" s="319"/>
      <c r="E140" s="319"/>
      <c r="F140" s="319"/>
      <c r="G140" s="319"/>
      <c r="H140" s="319"/>
      <c r="I140" s="319"/>
      <c r="J140" s="319"/>
      <c r="K140" s="320"/>
      <c r="M140" s="316"/>
      <c r="N140" s="319"/>
      <c r="O140" s="319"/>
      <c r="P140" s="319"/>
      <c r="Q140" s="319"/>
      <c r="R140" s="319"/>
      <c r="S140" s="319"/>
      <c r="T140" s="319"/>
      <c r="U140" s="319"/>
      <c r="V140" s="320"/>
      <c r="X140" s="316"/>
      <c r="Y140" s="319"/>
      <c r="Z140" s="319"/>
      <c r="AA140" s="319"/>
      <c r="AB140" s="319"/>
      <c r="AC140" s="319"/>
      <c r="AD140" s="319"/>
      <c r="AE140" s="319"/>
      <c r="AF140" s="319"/>
      <c r="AG140" s="320"/>
      <c r="AI140" s="316"/>
      <c r="AJ140" s="319"/>
      <c r="AK140" s="319"/>
      <c r="AL140" s="319"/>
      <c r="AM140" s="319"/>
      <c r="AN140" s="319"/>
      <c r="AO140" s="319"/>
      <c r="AP140" s="319"/>
      <c r="AQ140" s="319"/>
      <c r="AR140" s="320"/>
    </row>
    <row r="141" spans="2:44" ht="15" customHeight="1" x14ac:dyDescent="0.3">
      <c r="B141" s="316"/>
      <c r="C141" s="319"/>
      <c r="D141" s="319"/>
      <c r="E141" s="319"/>
      <c r="F141" s="319"/>
      <c r="G141" s="319"/>
      <c r="H141" s="319"/>
      <c r="I141" s="319"/>
      <c r="J141" s="319"/>
      <c r="K141" s="320"/>
      <c r="M141" s="316"/>
      <c r="N141" s="319"/>
      <c r="O141" s="319"/>
      <c r="P141" s="319"/>
      <c r="Q141" s="319"/>
      <c r="R141" s="319"/>
      <c r="S141" s="319"/>
      <c r="T141" s="319"/>
      <c r="U141" s="319"/>
      <c r="V141" s="320"/>
      <c r="X141" s="316"/>
      <c r="Y141" s="319"/>
      <c r="Z141" s="319"/>
      <c r="AA141" s="319"/>
      <c r="AB141" s="319"/>
      <c r="AC141" s="319"/>
      <c r="AD141" s="319"/>
      <c r="AE141" s="319"/>
      <c r="AF141" s="319"/>
      <c r="AG141" s="320"/>
      <c r="AI141" s="316"/>
      <c r="AJ141" s="319"/>
      <c r="AK141" s="319"/>
      <c r="AL141" s="319"/>
      <c r="AM141" s="319"/>
      <c r="AN141" s="319"/>
      <c r="AO141" s="319"/>
      <c r="AP141" s="319"/>
      <c r="AQ141" s="319"/>
      <c r="AR141" s="320"/>
    </row>
    <row r="142" spans="2:44" ht="15" customHeight="1" x14ac:dyDescent="0.3">
      <c r="B142" s="316"/>
      <c r="C142" s="319"/>
      <c r="D142" s="319"/>
      <c r="E142" s="319"/>
      <c r="F142" s="319"/>
      <c r="G142" s="319"/>
      <c r="H142" s="319"/>
      <c r="I142" s="319"/>
      <c r="J142" s="319"/>
      <c r="K142" s="320"/>
      <c r="M142" s="316"/>
      <c r="N142" s="319"/>
      <c r="O142" s="319"/>
      <c r="P142" s="319"/>
      <c r="Q142" s="319"/>
      <c r="R142" s="319"/>
      <c r="S142" s="319"/>
      <c r="T142" s="319"/>
      <c r="U142" s="319"/>
      <c r="V142" s="320"/>
      <c r="X142" s="316"/>
      <c r="Y142" s="319"/>
      <c r="Z142" s="319"/>
      <c r="AA142" s="319"/>
      <c r="AB142" s="319"/>
      <c r="AC142" s="319"/>
      <c r="AD142" s="319"/>
      <c r="AE142" s="319"/>
      <c r="AF142" s="319"/>
      <c r="AG142" s="320"/>
      <c r="AH142" s="8"/>
      <c r="AI142" s="316"/>
      <c r="AJ142" s="319"/>
      <c r="AK142" s="319"/>
      <c r="AL142" s="319"/>
      <c r="AM142" s="319"/>
      <c r="AN142" s="319"/>
      <c r="AO142" s="319"/>
      <c r="AP142" s="319"/>
      <c r="AQ142" s="319"/>
      <c r="AR142" s="320"/>
    </row>
    <row r="143" spans="2:44" ht="15" customHeight="1" x14ac:dyDescent="0.3">
      <c r="B143" s="316"/>
      <c r="C143" s="319"/>
      <c r="D143" s="319"/>
      <c r="E143" s="319"/>
      <c r="F143" s="319"/>
      <c r="G143" s="319"/>
      <c r="H143" s="319"/>
      <c r="I143" s="319"/>
      <c r="J143" s="319"/>
      <c r="K143" s="320"/>
      <c r="M143" s="316"/>
      <c r="N143" s="319"/>
      <c r="O143" s="319"/>
      <c r="P143" s="319"/>
      <c r="Q143" s="319"/>
      <c r="R143" s="319"/>
      <c r="S143" s="319"/>
      <c r="T143" s="319"/>
      <c r="U143" s="319"/>
      <c r="V143" s="320"/>
      <c r="X143" s="316"/>
      <c r="Y143" s="319"/>
      <c r="Z143" s="319"/>
      <c r="AA143" s="319"/>
      <c r="AB143" s="319"/>
      <c r="AC143" s="319"/>
      <c r="AD143" s="319"/>
      <c r="AE143" s="319"/>
      <c r="AF143" s="319"/>
      <c r="AG143" s="320"/>
      <c r="AI143" s="316"/>
      <c r="AJ143" s="319"/>
      <c r="AK143" s="319"/>
      <c r="AL143" s="319"/>
      <c r="AM143" s="319"/>
      <c r="AN143" s="319"/>
      <c r="AO143" s="319"/>
      <c r="AP143" s="319"/>
      <c r="AQ143" s="319"/>
      <c r="AR143" s="320"/>
    </row>
    <row r="144" spans="2:44" ht="15" customHeight="1" thickBot="1" x14ac:dyDescent="0.35">
      <c r="B144" s="327"/>
      <c r="C144" s="328"/>
      <c r="D144" s="328"/>
      <c r="E144" s="328"/>
      <c r="F144" s="328"/>
      <c r="G144" s="328"/>
      <c r="H144" s="328"/>
      <c r="I144" s="328"/>
      <c r="J144" s="328"/>
      <c r="K144" s="329"/>
      <c r="M144" s="327"/>
      <c r="N144" s="328"/>
      <c r="O144" s="328"/>
      <c r="P144" s="328"/>
      <c r="Q144" s="328"/>
      <c r="R144" s="328"/>
      <c r="S144" s="328"/>
      <c r="T144" s="328"/>
      <c r="U144" s="328"/>
      <c r="V144" s="329"/>
      <c r="X144" s="327"/>
      <c r="Y144" s="328"/>
      <c r="Z144" s="328"/>
      <c r="AA144" s="328"/>
      <c r="AB144" s="328"/>
      <c r="AC144" s="328"/>
      <c r="AD144" s="328"/>
      <c r="AE144" s="328"/>
      <c r="AF144" s="328"/>
      <c r="AG144" s="329"/>
      <c r="AI144" s="327"/>
      <c r="AJ144" s="328"/>
      <c r="AK144" s="328"/>
      <c r="AL144" s="328"/>
      <c r="AM144" s="328"/>
      <c r="AN144" s="328"/>
      <c r="AO144" s="328"/>
      <c r="AP144" s="328"/>
      <c r="AQ144" s="328"/>
      <c r="AR144" s="329"/>
    </row>
    <row r="145" spans="2:44" ht="15" customHeight="1" thickBot="1" x14ac:dyDescent="0.35">
      <c r="G145" s="8"/>
      <c r="H145" s="8"/>
      <c r="I145" s="8"/>
      <c r="J145" s="8"/>
      <c r="K145" s="8"/>
      <c r="R145" s="8"/>
      <c r="S145" s="8"/>
      <c r="T145" s="8"/>
      <c r="U145" s="8"/>
      <c r="V145" s="8"/>
      <c r="AC145" s="8"/>
      <c r="AD145" s="8"/>
      <c r="AE145" s="8"/>
      <c r="AF145" s="8"/>
      <c r="AG145" s="8"/>
      <c r="AH145" s="8"/>
      <c r="AN145" s="8"/>
      <c r="AO145" s="8"/>
      <c r="AP145" s="8"/>
      <c r="AQ145" s="8"/>
    </row>
    <row r="146" spans="2:44" ht="15" customHeight="1" x14ac:dyDescent="0.3">
      <c r="B146" s="313"/>
      <c r="C146" s="314"/>
      <c r="D146" s="314"/>
      <c r="E146" s="314"/>
      <c r="F146" s="314"/>
      <c r="G146" s="314"/>
      <c r="H146" s="314"/>
      <c r="I146" s="314"/>
      <c r="J146" s="314"/>
      <c r="K146" s="315"/>
      <c r="M146" s="313"/>
      <c r="N146" s="314"/>
      <c r="O146" s="314"/>
      <c r="P146" s="314"/>
      <c r="Q146" s="314"/>
      <c r="R146" s="314"/>
      <c r="S146" s="314"/>
      <c r="T146" s="314"/>
      <c r="U146" s="314"/>
      <c r="V146" s="315"/>
      <c r="X146" s="313"/>
      <c r="Y146" s="314"/>
      <c r="Z146" s="314"/>
      <c r="AA146" s="314"/>
      <c r="AB146" s="314"/>
      <c r="AC146" s="314"/>
      <c r="AD146" s="314"/>
      <c r="AE146" s="314"/>
      <c r="AF146" s="314"/>
      <c r="AG146" s="315"/>
      <c r="AI146" s="313"/>
      <c r="AJ146" s="314"/>
      <c r="AK146" s="314"/>
      <c r="AL146" s="314"/>
      <c r="AM146" s="314"/>
      <c r="AN146" s="314"/>
      <c r="AO146" s="314"/>
      <c r="AP146" s="314"/>
      <c r="AQ146" s="314"/>
      <c r="AR146" s="315"/>
    </row>
    <row r="147" spans="2:44" ht="15" customHeight="1" x14ac:dyDescent="0.3">
      <c r="B147" s="316"/>
      <c r="C147" s="317" t="s">
        <v>1114</v>
      </c>
      <c r="D147" s="318">
        <v>13</v>
      </c>
      <c r="E147" s="319"/>
      <c r="F147" s="319"/>
      <c r="G147" s="319"/>
      <c r="H147" s="319"/>
      <c r="I147" s="319"/>
      <c r="J147" s="319"/>
      <c r="K147" s="320"/>
      <c r="M147" s="316"/>
      <c r="N147" s="317" t="s">
        <v>1114</v>
      </c>
      <c r="O147" s="318">
        <v>14</v>
      </c>
      <c r="P147" s="319"/>
      <c r="Q147" s="319"/>
      <c r="R147" s="319"/>
      <c r="S147" s="319"/>
      <c r="T147" s="319"/>
      <c r="U147" s="319"/>
      <c r="V147" s="320"/>
      <c r="X147" s="316"/>
      <c r="Y147" s="317" t="s">
        <v>1114</v>
      </c>
      <c r="Z147" s="318">
        <v>15</v>
      </c>
      <c r="AA147" s="319"/>
      <c r="AB147" s="319"/>
      <c r="AC147" s="319"/>
      <c r="AD147" s="319"/>
      <c r="AE147" s="319"/>
      <c r="AF147" s="319"/>
      <c r="AG147" s="320"/>
      <c r="AI147" s="316"/>
      <c r="AJ147" s="317" t="s">
        <v>1114</v>
      </c>
      <c r="AK147" s="318">
        <v>16</v>
      </c>
      <c r="AL147" s="319"/>
      <c r="AM147" s="319"/>
      <c r="AN147" s="319"/>
      <c r="AO147" s="319"/>
      <c r="AP147" s="319"/>
      <c r="AQ147" s="319"/>
      <c r="AR147" s="320"/>
    </row>
    <row r="148" spans="2:44" ht="15" customHeight="1" x14ac:dyDescent="0.3">
      <c r="B148" s="316"/>
      <c r="C148" s="317"/>
      <c r="D148" s="321">
        <v>42399</v>
      </c>
      <c r="E148" s="317" t="s">
        <v>44</v>
      </c>
      <c r="F148" s="317"/>
      <c r="G148" s="319"/>
      <c r="H148" s="319"/>
      <c r="I148" s="319"/>
      <c r="J148" s="319"/>
      <c r="K148" s="320"/>
      <c r="M148" s="316"/>
      <c r="N148" s="317"/>
      <c r="O148" s="321">
        <v>42399</v>
      </c>
      <c r="P148" s="317" t="s">
        <v>44</v>
      </c>
      <c r="Q148" s="317"/>
      <c r="R148" s="319"/>
      <c r="S148" s="319"/>
      <c r="T148" s="319"/>
      <c r="U148" s="319"/>
      <c r="V148" s="320"/>
      <c r="X148" s="316"/>
      <c r="Y148" s="317"/>
      <c r="Z148" s="321">
        <v>42414</v>
      </c>
      <c r="AA148" s="317" t="s">
        <v>1398</v>
      </c>
      <c r="AB148" s="317"/>
      <c r="AC148" s="319"/>
      <c r="AD148" s="319"/>
      <c r="AE148" s="319"/>
      <c r="AF148" s="319"/>
      <c r="AG148" s="320"/>
      <c r="AI148" s="316"/>
      <c r="AJ148" s="317"/>
      <c r="AK148" s="321">
        <v>42414</v>
      </c>
      <c r="AL148" s="317" t="s">
        <v>1398</v>
      </c>
      <c r="AM148" s="317"/>
      <c r="AN148" s="319"/>
      <c r="AO148" s="319"/>
      <c r="AP148" s="319"/>
      <c r="AQ148" s="319"/>
      <c r="AR148" s="320"/>
    </row>
    <row r="149" spans="2:44" ht="15" customHeight="1" x14ac:dyDescent="0.3">
      <c r="B149" s="316"/>
      <c r="C149" s="317"/>
      <c r="D149" s="321"/>
      <c r="E149" s="317"/>
      <c r="F149" s="317"/>
      <c r="G149" s="319"/>
      <c r="H149" s="319"/>
      <c r="I149" s="319"/>
      <c r="J149" s="319"/>
      <c r="K149" s="320"/>
      <c r="M149" s="316"/>
      <c r="N149" s="317"/>
      <c r="O149" s="321"/>
      <c r="P149" s="317"/>
      <c r="Q149" s="317"/>
      <c r="R149" s="319"/>
      <c r="S149" s="319"/>
      <c r="T149" s="319"/>
      <c r="U149" s="319"/>
      <c r="V149" s="320"/>
      <c r="X149" s="316"/>
      <c r="Y149" s="317"/>
      <c r="Z149" s="321"/>
      <c r="AA149" s="317"/>
      <c r="AB149" s="317"/>
      <c r="AC149" s="319"/>
      <c r="AD149" s="319"/>
      <c r="AE149" s="319"/>
      <c r="AF149" s="319"/>
      <c r="AG149" s="320"/>
      <c r="AI149" s="316"/>
      <c r="AJ149" s="317"/>
      <c r="AK149" s="321"/>
      <c r="AL149" s="317"/>
      <c r="AM149" s="317"/>
      <c r="AN149" s="319"/>
      <c r="AO149" s="319"/>
      <c r="AP149" s="319"/>
      <c r="AQ149" s="319"/>
      <c r="AR149" s="320"/>
    </row>
    <row r="150" spans="2:44" ht="15" customHeight="1" x14ac:dyDescent="0.3">
      <c r="B150" s="316"/>
      <c r="C150" s="317"/>
      <c r="D150" s="343" t="s">
        <v>1407</v>
      </c>
      <c r="E150" s="344" t="s">
        <v>1409</v>
      </c>
      <c r="F150" s="317"/>
      <c r="G150" s="319"/>
      <c r="H150" s="319"/>
      <c r="I150" s="319"/>
      <c r="J150" s="319"/>
      <c r="K150" s="320"/>
      <c r="M150" s="316"/>
      <c r="N150" s="317"/>
      <c r="O150" s="343" t="s">
        <v>1407</v>
      </c>
      <c r="P150" s="344" t="s">
        <v>1411</v>
      </c>
      <c r="Q150" s="317"/>
      <c r="R150" s="319"/>
      <c r="S150" s="319"/>
      <c r="T150" s="319"/>
      <c r="U150" s="319"/>
      <c r="V150" s="320"/>
      <c r="X150" s="316"/>
      <c r="Y150" s="317"/>
      <c r="Z150" s="343" t="s">
        <v>1407</v>
      </c>
      <c r="AA150" s="344" t="s">
        <v>1410</v>
      </c>
      <c r="AB150" s="317"/>
      <c r="AC150" s="319"/>
      <c r="AD150" s="319"/>
      <c r="AE150" s="319"/>
      <c r="AF150" s="319"/>
      <c r="AG150" s="320"/>
      <c r="AI150" s="316"/>
      <c r="AJ150" s="317"/>
      <c r="AK150" s="343" t="s">
        <v>1407</v>
      </c>
      <c r="AL150" s="344" t="s">
        <v>1411</v>
      </c>
      <c r="AM150" s="317"/>
      <c r="AN150" s="319"/>
      <c r="AO150" s="319"/>
      <c r="AP150" s="319"/>
      <c r="AQ150" s="319"/>
      <c r="AR150" s="320"/>
    </row>
    <row r="151" spans="2:44" ht="15" customHeight="1" x14ac:dyDescent="0.3">
      <c r="B151" s="316"/>
      <c r="C151" s="317"/>
      <c r="D151" s="321"/>
      <c r="E151" s="317"/>
      <c r="F151" s="317"/>
      <c r="G151" s="319"/>
      <c r="H151" s="319"/>
      <c r="I151" s="319"/>
      <c r="J151" s="319"/>
      <c r="K151" s="320"/>
      <c r="M151" s="316"/>
      <c r="N151" s="317"/>
      <c r="O151" s="321"/>
      <c r="P151" s="317"/>
      <c r="Q151" s="317"/>
      <c r="R151" s="319"/>
      <c r="S151" s="319"/>
      <c r="T151" s="319"/>
      <c r="U151" s="319"/>
      <c r="V151" s="320"/>
      <c r="X151" s="316"/>
      <c r="Y151" s="317"/>
      <c r="Z151" s="321"/>
      <c r="AA151" s="317"/>
      <c r="AB151" s="317"/>
      <c r="AC151" s="319"/>
      <c r="AD151" s="319"/>
      <c r="AE151" s="319"/>
      <c r="AF151" s="319"/>
      <c r="AG151" s="320"/>
      <c r="AI151" s="316"/>
      <c r="AJ151" s="317"/>
      <c r="AK151" s="321"/>
      <c r="AL151" s="317"/>
      <c r="AM151" s="317"/>
      <c r="AN151" s="319"/>
      <c r="AO151" s="319"/>
      <c r="AP151" s="319"/>
      <c r="AQ151" s="319"/>
      <c r="AR151" s="320"/>
    </row>
    <row r="152" spans="2:44" ht="15" customHeight="1" x14ac:dyDescent="0.3">
      <c r="B152" s="316"/>
      <c r="C152" s="319"/>
      <c r="D152" s="322" t="s">
        <v>1396</v>
      </c>
      <c r="E152" s="322" t="s">
        <v>0</v>
      </c>
      <c r="F152" s="322"/>
      <c r="G152" s="319"/>
      <c r="H152" s="319"/>
      <c r="I152" s="319"/>
      <c r="J152" s="319"/>
      <c r="K152" s="320"/>
      <c r="M152" s="316"/>
      <c r="N152" s="319"/>
      <c r="O152" s="322" t="s">
        <v>1195</v>
      </c>
      <c r="P152" s="322" t="s">
        <v>0</v>
      </c>
      <c r="Q152" s="322"/>
      <c r="R152" s="319"/>
      <c r="S152" s="319"/>
      <c r="T152" s="319"/>
      <c r="U152" s="319"/>
      <c r="V152" s="320"/>
      <c r="X152" s="316"/>
      <c r="Y152" s="319"/>
      <c r="Z152" s="322" t="s">
        <v>1405</v>
      </c>
      <c r="AA152" s="322" t="s">
        <v>0</v>
      </c>
      <c r="AB152" s="322"/>
      <c r="AC152" s="319"/>
      <c r="AD152" s="319"/>
      <c r="AE152" s="319"/>
      <c r="AF152" s="319"/>
      <c r="AG152" s="320"/>
      <c r="AI152" s="316"/>
      <c r="AJ152" s="319"/>
      <c r="AK152" s="322" t="s">
        <v>1404</v>
      </c>
      <c r="AL152" s="322" t="s">
        <v>0</v>
      </c>
      <c r="AM152" s="322"/>
      <c r="AN152" s="319"/>
      <c r="AO152" s="319"/>
      <c r="AP152" s="319"/>
      <c r="AQ152" s="319"/>
      <c r="AR152" s="320"/>
    </row>
    <row r="153" spans="2:44" ht="15" customHeight="1" x14ac:dyDescent="0.3">
      <c r="B153" s="316"/>
      <c r="C153" s="319"/>
      <c r="D153" s="213">
        <f>D155+D156+D157</f>
        <v>3</v>
      </c>
      <c r="E153" s="213">
        <f>E155+E156+E157</f>
        <v>10</v>
      </c>
      <c r="F153" s="312"/>
      <c r="G153" s="319"/>
      <c r="H153" s="319"/>
      <c r="I153" s="319"/>
      <c r="J153" s="319"/>
      <c r="K153" s="320"/>
      <c r="M153" s="316"/>
      <c r="N153" s="319"/>
      <c r="O153" s="213">
        <f>O155+O156+O157</f>
        <v>3</v>
      </c>
      <c r="P153" s="213">
        <f>P155+P156+P157</f>
        <v>2</v>
      </c>
      <c r="Q153" s="312"/>
      <c r="R153" s="319"/>
      <c r="S153" s="319"/>
      <c r="T153" s="319"/>
      <c r="U153" s="319"/>
      <c r="V153" s="320"/>
      <c r="X153" s="316"/>
      <c r="Y153" s="319"/>
      <c r="Z153" s="213">
        <f>Z155+Z156+Z157</f>
        <v>3</v>
      </c>
      <c r="AA153" s="213">
        <f>AA155+AA156+AA157</f>
        <v>3</v>
      </c>
      <c r="AB153" s="312"/>
      <c r="AC153" s="319"/>
      <c r="AD153" s="319"/>
      <c r="AE153" s="319"/>
      <c r="AF153" s="319"/>
      <c r="AG153" s="320"/>
      <c r="AI153" s="316"/>
      <c r="AJ153" s="319"/>
      <c r="AK153" s="213">
        <f>AK155+AK156+AK157</f>
        <v>6</v>
      </c>
      <c r="AL153" s="213">
        <f>AL155+AL156+AL157</f>
        <v>2</v>
      </c>
      <c r="AM153" s="312"/>
      <c r="AN153" s="319"/>
      <c r="AO153" s="319"/>
      <c r="AP153" s="319"/>
      <c r="AQ153" s="319"/>
      <c r="AR153" s="320"/>
    </row>
    <row r="154" spans="2:44" ht="15" customHeight="1" x14ac:dyDescent="0.3">
      <c r="B154" s="316"/>
      <c r="C154" s="319"/>
      <c r="D154" s="319"/>
      <c r="E154" s="319"/>
      <c r="F154" s="319"/>
      <c r="G154" s="319"/>
      <c r="H154" s="319"/>
      <c r="I154" s="319"/>
      <c r="J154" s="319"/>
      <c r="K154" s="320"/>
      <c r="M154" s="316"/>
      <c r="N154" s="319"/>
      <c r="O154" s="319"/>
      <c r="P154" s="319"/>
      <c r="Q154" s="319"/>
      <c r="R154" s="319"/>
      <c r="S154" s="319"/>
      <c r="T154" s="319"/>
      <c r="U154" s="319"/>
      <c r="V154" s="320"/>
      <c r="X154" s="316"/>
      <c r="Y154" s="319"/>
      <c r="Z154" s="319"/>
      <c r="AA154" s="319"/>
      <c r="AB154" s="319"/>
      <c r="AC154" s="319"/>
      <c r="AD154" s="319"/>
      <c r="AE154" s="319"/>
      <c r="AF154" s="319"/>
      <c r="AG154" s="320"/>
      <c r="AI154" s="316"/>
      <c r="AJ154" s="319"/>
      <c r="AK154" s="319"/>
      <c r="AL154" s="319"/>
      <c r="AM154" s="319"/>
      <c r="AN154" s="319"/>
      <c r="AO154" s="319"/>
      <c r="AP154" s="319"/>
      <c r="AQ154" s="319"/>
      <c r="AR154" s="320"/>
    </row>
    <row r="155" spans="2:44" ht="15" customHeight="1" x14ac:dyDescent="0.3">
      <c r="B155" s="316"/>
      <c r="C155" s="317" t="s">
        <v>1111</v>
      </c>
      <c r="D155" s="213">
        <v>0</v>
      </c>
      <c r="E155" s="213">
        <v>4</v>
      </c>
      <c r="F155" s="312"/>
      <c r="G155" s="319"/>
      <c r="H155" s="319"/>
      <c r="I155" s="319"/>
      <c r="J155" s="319"/>
      <c r="K155" s="320"/>
      <c r="M155" s="316"/>
      <c r="N155" s="317" t="s">
        <v>1111</v>
      </c>
      <c r="O155" s="213">
        <v>1</v>
      </c>
      <c r="P155" s="213">
        <v>2</v>
      </c>
      <c r="Q155" s="312"/>
      <c r="R155" s="319"/>
      <c r="S155" s="319"/>
      <c r="T155" s="319"/>
      <c r="U155" s="319"/>
      <c r="V155" s="320"/>
      <c r="X155" s="316"/>
      <c r="Y155" s="317" t="s">
        <v>1111</v>
      </c>
      <c r="Z155" s="213">
        <v>0</v>
      </c>
      <c r="AA155" s="213">
        <v>0</v>
      </c>
      <c r="AB155" s="312"/>
      <c r="AC155" s="319"/>
      <c r="AD155" s="319"/>
      <c r="AE155" s="319"/>
      <c r="AF155" s="319"/>
      <c r="AG155" s="320"/>
      <c r="AI155" s="316"/>
      <c r="AJ155" s="317" t="s">
        <v>1111</v>
      </c>
      <c r="AK155" s="213">
        <v>4</v>
      </c>
      <c r="AL155" s="213">
        <v>1</v>
      </c>
      <c r="AM155" s="312"/>
      <c r="AN155" s="319"/>
      <c r="AO155" s="319"/>
      <c r="AP155" s="319"/>
      <c r="AQ155" s="319"/>
      <c r="AR155" s="320"/>
    </row>
    <row r="156" spans="2:44" ht="15" customHeight="1" x14ac:dyDescent="0.3">
      <c r="B156" s="316"/>
      <c r="C156" s="317" t="s">
        <v>1112</v>
      </c>
      <c r="D156" s="213">
        <v>0</v>
      </c>
      <c r="E156" s="213">
        <v>4</v>
      </c>
      <c r="F156" s="312"/>
      <c r="G156" s="319"/>
      <c r="H156" s="319"/>
      <c r="I156" s="319"/>
      <c r="J156" s="319"/>
      <c r="K156" s="320"/>
      <c r="M156" s="316"/>
      <c r="N156" s="317" t="s">
        <v>1112</v>
      </c>
      <c r="O156" s="213">
        <v>1</v>
      </c>
      <c r="P156" s="213">
        <v>0</v>
      </c>
      <c r="Q156" s="312"/>
      <c r="R156" s="319"/>
      <c r="S156" s="319"/>
      <c r="T156" s="319"/>
      <c r="U156" s="319"/>
      <c r="V156" s="320"/>
      <c r="X156" s="316"/>
      <c r="Y156" s="317" t="s">
        <v>1112</v>
      </c>
      <c r="Z156" s="213">
        <v>1</v>
      </c>
      <c r="AA156" s="213">
        <v>2</v>
      </c>
      <c r="AB156" s="312"/>
      <c r="AC156" s="319"/>
      <c r="AD156" s="319"/>
      <c r="AE156" s="319"/>
      <c r="AF156" s="319"/>
      <c r="AG156" s="320"/>
      <c r="AI156" s="316"/>
      <c r="AJ156" s="317" t="s">
        <v>1112</v>
      </c>
      <c r="AK156" s="213">
        <v>1</v>
      </c>
      <c r="AL156" s="213">
        <v>1</v>
      </c>
      <c r="AM156" s="312"/>
      <c r="AN156" s="319"/>
      <c r="AO156" s="319"/>
      <c r="AP156" s="319"/>
      <c r="AQ156" s="319"/>
      <c r="AR156" s="320"/>
    </row>
    <row r="157" spans="2:44" ht="15" customHeight="1" x14ac:dyDescent="0.3">
      <c r="B157" s="316"/>
      <c r="C157" s="317" t="s">
        <v>1113</v>
      </c>
      <c r="D157" s="213">
        <v>3</v>
      </c>
      <c r="E157" s="213">
        <v>2</v>
      </c>
      <c r="F157" s="312"/>
      <c r="G157" s="319"/>
      <c r="H157" s="319"/>
      <c r="I157" s="319"/>
      <c r="J157" s="319"/>
      <c r="K157" s="320"/>
      <c r="M157" s="316"/>
      <c r="N157" s="317" t="s">
        <v>1113</v>
      </c>
      <c r="O157" s="213">
        <v>1</v>
      </c>
      <c r="P157" s="213">
        <v>0</v>
      </c>
      <c r="Q157" s="312"/>
      <c r="R157" s="319"/>
      <c r="S157" s="319"/>
      <c r="T157" s="319"/>
      <c r="U157" s="319"/>
      <c r="V157" s="320"/>
      <c r="X157" s="316"/>
      <c r="Y157" s="317" t="s">
        <v>1113</v>
      </c>
      <c r="Z157" s="213">
        <v>2</v>
      </c>
      <c r="AA157" s="213">
        <v>1</v>
      </c>
      <c r="AB157" s="312"/>
      <c r="AC157" s="319"/>
      <c r="AD157" s="319"/>
      <c r="AE157" s="319"/>
      <c r="AF157" s="319"/>
      <c r="AG157" s="320"/>
      <c r="AI157" s="316"/>
      <c r="AJ157" s="317" t="s">
        <v>1113</v>
      </c>
      <c r="AK157" s="213">
        <v>1</v>
      </c>
      <c r="AL157" s="213">
        <v>0</v>
      </c>
      <c r="AM157" s="312"/>
      <c r="AN157" s="319"/>
      <c r="AO157" s="319"/>
      <c r="AP157" s="319"/>
      <c r="AQ157" s="319"/>
      <c r="AR157" s="320"/>
    </row>
    <row r="158" spans="2:44" ht="15" customHeight="1" x14ac:dyDescent="0.3">
      <c r="B158" s="316"/>
      <c r="C158" s="319"/>
      <c r="D158" s="319"/>
      <c r="E158" s="319"/>
      <c r="F158" s="319"/>
      <c r="G158" s="319"/>
      <c r="H158" s="319"/>
      <c r="I158" s="319"/>
      <c r="J158" s="319"/>
      <c r="K158" s="320"/>
      <c r="M158" s="316"/>
      <c r="N158" s="319"/>
      <c r="O158" s="319"/>
      <c r="P158" s="319"/>
      <c r="Q158" s="319"/>
      <c r="R158" s="319"/>
      <c r="S158" s="319"/>
      <c r="T158" s="319"/>
      <c r="U158" s="319"/>
      <c r="V158" s="320"/>
      <c r="X158" s="316"/>
      <c r="Y158" s="319"/>
      <c r="Z158" s="319"/>
      <c r="AA158" s="319"/>
      <c r="AB158" s="319"/>
      <c r="AC158" s="319"/>
      <c r="AD158" s="319"/>
      <c r="AE158" s="319"/>
      <c r="AF158" s="319"/>
      <c r="AG158" s="320"/>
      <c r="AI158" s="316"/>
      <c r="AJ158" s="319"/>
      <c r="AK158" s="319"/>
      <c r="AL158" s="319"/>
      <c r="AM158" s="319"/>
      <c r="AN158" s="319"/>
      <c r="AO158" s="319"/>
      <c r="AP158" s="319"/>
      <c r="AQ158" s="319"/>
      <c r="AR158" s="320"/>
    </row>
    <row r="159" spans="2:44" ht="15" customHeight="1" x14ac:dyDescent="0.3">
      <c r="B159" s="316"/>
      <c r="C159" s="319"/>
      <c r="D159" s="323" t="s">
        <v>1120</v>
      </c>
      <c r="E159" s="319" t="s">
        <v>501</v>
      </c>
      <c r="F159" s="319"/>
      <c r="G159" s="312" t="s">
        <v>1128</v>
      </c>
      <c r="H159" s="312"/>
      <c r="I159" s="319"/>
      <c r="J159" s="319"/>
      <c r="K159" s="320"/>
      <c r="M159" s="316"/>
      <c r="N159" s="319"/>
      <c r="O159" s="323" t="s">
        <v>1120</v>
      </c>
      <c r="P159" s="319" t="s">
        <v>501</v>
      </c>
      <c r="Q159" s="319"/>
      <c r="R159" s="312" t="s">
        <v>1128</v>
      </c>
      <c r="S159" s="312"/>
      <c r="T159" s="319"/>
      <c r="U159" s="319"/>
      <c r="V159" s="320"/>
      <c r="X159" s="316"/>
      <c r="Y159" s="319"/>
      <c r="Z159" s="323" t="s">
        <v>1120</v>
      </c>
      <c r="AA159" s="319" t="s">
        <v>501</v>
      </c>
      <c r="AB159" s="319"/>
      <c r="AC159" s="312" t="s">
        <v>1128</v>
      </c>
      <c r="AD159" s="312"/>
      <c r="AE159" s="319"/>
      <c r="AF159" s="319"/>
      <c r="AG159" s="320"/>
      <c r="AI159" s="316"/>
      <c r="AJ159" s="319"/>
      <c r="AK159" s="323" t="s">
        <v>1120</v>
      </c>
      <c r="AL159" s="319" t="s">
        <v>501</v>
      </c>
      <c r="AM159" s="319"/>
      <c r="AN159" s="312" t="s">
        <v>1128</v>
      </c>
      <c r="AO159" s="312"/>
      <c r="AP159" s="319"/>
      <c r="AQ159" s="319"/>
      <c r="AR159" s="320"/>
    </row>
    <row r="160" spans="2:44" ht="15" customHeight="1" x14ac:dyDescent="0.3">
      <c r="B160" s="316"/>
      <c r="C160" s="319"/>
      <c r="D160" s="319" t="s">
        <v>1115</v>
      </c>
      <c r="E160" s="323" t="s">
        <v>1116</v>
      </c>
      <c r="F160" s="323"/>
      <c r="G160" s="312">
        <v>14</v>
      </c>
      <c r="H160" s="312">
        <v>96</v>
      </c>
      <c r="I160" s="319"/>
      <c r="J160" s="319"/>
      <c r="K160" s="320"/>
      <c r="M160" s="316"/>
      <c r="N160" s="319"/>
      <c r="O160" s="319" t="s">
        <v>1115</v>
      </c>
      <c r="P160" s="323" t="s">
        <v>1116</v>
      </c>
      <c r="Q160" s="323"/>
      <c r="R160" s="312">
        <v>14</v>
      </c>
      <c r="S160" s="312">
        <v>96</v>
      </c>
      <c r="T160" s="319"/>
      <c r="U160" s="319"/>
      <c r="V160" s="320"/>
      <c r="X160" s="316"/>
      <c r="Y160" s="319"/>
      <c r="Z160" s="319" t="s">
        <v>1115</v>
      </c>
      <c r="AA160" s="323" t="s">
        <v>1116</v>
      </c>
      <c r="AB160" s="323"/>
      <c r="AC160" s="312">
        <v>14</v>
      </c>
      <c r="AD160" s="312">
        <v>96</v>
      </c>
      <c r="AE160" s="319"/>
      <c r="AF160" s="319"/>
      <c r="AG160" s="320"/>
      <c r="AI160" s="316"/>
      <c r="AJ160" s="319"/>
      <c r="AK160" s="319" t="s">
        <v>1115</v>
      </c>
      <c r="AL160" s="323" t="s">
        <v>1116</v>
      </c>
      <c r="AM160" s="323"/>
      <c r="AN160" s="312">
        <v>14</v>
      </c>
      <c r="AO160" s="312">
        <v>96</v>
      </c>
      <c r="AP160" s="319"/>
      <c r="AQ160" s="319"/>
      <c r="AR160" s="320"/>
    </row>
    <row r="161" spans="2:44" ht="15" customHeight="1" x14ac:dyDescent="0.3">
      <c r="B161" s="316"/>
      <c r="C161" s="319"/>
      <c r="D161" s="319" t="s">
        <v>1117</v>
      </c>
      <c r="E161" s="323" t="s">
        <v>1118</v>
      </c>
      <c r="F161" s="323"/>
      <c r="G161" s="312">
        <v>23</v>
      </c>
      <c r="H161" s="312">
        <v>50</v>
      </c>
      <c r="I161" s="319"/>
      <c r="J161" s="319"/>
      <c r="K161" s="320"/>
      <c r="M161" s="316"/>
      <c r="N161" s="319"/>
      <c r="O161" s="319" t="s">
        <v>1117</v>
      </c>
      <c r="P161" s="323" t="s">
        <v>1118</v>
      </c>
      <c r="Q161" s="323"/>
      <c r="R161" s="312">
        <v>23</v>
      </c>
      <c r="S161" s="312">
        <v>50</v>
      </c>
      <c r="T161" s="319"/>
      <c r="U161" s="319"/>
      <c r="V161" s="320"/>
      <c r="X161" s="316"/>
      <c r="Y161" s="319"/>
      <c r="Z161" s="319" t="s">
        <v>1117</v>
      </c>
      <c r="AA161" s="323" t="s">
        <v>1118</v>
      </c>
      <c r="AB161" s="323"/>
      <c r="AC161" s="312">
        <v>23</v>
      </c>
      <c r="AD161" s="312">
        <v>50</v>
      </c>
      <c r="AE161" s="319"/>
      <c r="AF161" s="319"/>
      <c r="AG161" s="320"/>
      <c r="AI161" s="316"/>
      <c r="AJ161" s="319"/>
      <c r="AK161" s="319" t="s">
        <v>1117</v>
      </c>
      <c r="AL161" s="323" t="s">
        <v>1118</v>
      </c>
      <c r="AM161" s="323"/>
      <c r="AN161" s="312">
        <v>23</v>
      </c>
      <c r="AO161" s="312">
        <v>50</v>
      </c>
      <c r="AP161" s="319"/>
      <c r="AQ161" s="319"/>
      <c r="AR161" s="320"/>
    </row>
    <row r="162" spans="2:44" ht="15" customHeight="1" x14ac:dyDescent="0.3">
      <c r="B162" s="316"/>
      <c r="C162" s="319"/>
      <c r="D162" s="319" t="s">
        <v>1121</v>
      </c>
      <c r="E162" s="319" t="s">
        <v>501</v>
      </c>
      <c r="F162" s="319"/>
      <c r="G162" s="312">
        <v>17</v>
      </c>
      <c r="H162" s="312"/>
      <c r="I162" s="319"/>
      <c r="J162" s="319"/>
      <c r="K162" s="320"/>
      <c r="M162" s="316"/>
      <c r="N162" s="319"/>
      <c r="O162" s="319" t="s">
        <v>1121</v>
      </c>
      <c r="P162" s="319" t="s">
        <v>501</v>
      </c>
      <c r="Q162" s="319"/>
      <c r="R162" s="312">
        <v>17</v>
      </c>
      <c r="S162" s="312"/>
      <c r="T162" s="319"/>
      <c r="U162" s="319"/>
      <c r="V162" s="320"/>
      <c r="X162" s="316"/>
      <c r="Y162" s="319"/>
      <c r="Z162" s="319" t="s">
        <v>1121</v>
      </c>
      <c r="AA162" s="319" t="s">
        <v>501</v>
      </c>
      <c r="AB162" s="319"/>
      <c r="AC162" s="312">
        <v>17</v>
      </c>
      <c r="AD162" s="312"/>
      <c r="AE162" s="319"/>
      <c r="AF162" s="319"/>
      <c r="AG162" s="320"/>
      <c r="AI162" s="316"/>
      <c r="AJ162" s="319"/>
      <c r="AK162" s="319" t="s">
        <v>1121</v>
      </c>
      <c r="AL162" s="319" t="s">
        <v>501</v>
      </c>
      <c r="AM162" s="319"/>
      <c r="AN162" s="312">
        <v>17</v>
      </c>
      <c r="AO162" s="312"/>
      <c r="AP162" s="319"/>
      <c r="AQ162" s="319"/>
      <c r="AR162" s="320"/>
    </row>
    <row r="163" spans="2:44" ht="15" customHeight="1" x14ac:dyDescent="0.3">
      <c r="B163" s="316"/>
      <c r="C163" s="319"/>
      <c r="D163" s="319" t="s">
        <v>1119</v>
      </c>
      <c r="E163" s="323" t="s">
        <v>909</v>
      </c>
      <c r="F163" s="323"/>
      <c r="G163" s="312" t="s">
        <v>1128</v>
      </c>
      <c r="H163" s="312"/>
      <c r="I163" s="319"/>
      <c r="J163" s="319"/>
      <c r="K163" s="320"/>
      <c r="M163" s="316"/>
      <c r="N163" s="319"/>
      <c r="O163" s="319" t="s">
        <v>1119</v>
      </c>
      <c r="P163" s="323" t="s">
        <v>909</v>
      </c>
      <c r="Q163" s="323"/>
      <c r="R163" s="312" t="s">
        <v>1128</v>
      </c>
      <c r="S163" s="312"/>
      <c r="T163" s="319"/>
      <c r="U163" s="319"/>
      <c r="V163" s="320"/>
      <c r="X163" s="316"/>
      <c r="Y163" s="319"/>
      <c r="Z163" s="319" t="s">
        <v>1119</v>
      </c>
      <c r="AA163" s="323" t="s">
        <v>909</v>
      </c>
      <c r="AB163" s="323"/>
      <c r="AC163" s="312" t="s">
        <v>1128</v>
      </c>
      <c r="AD163" s="312"/>
      <c r="AE163" s="319"/>
      <c r="AF163" s="319"/>
      <c r="AG163" s="320"/>
      <c r="AI163" s="316"/>
      <c r="AJ163" s="319"/>
      <c r="AK163" s="319" t="s">
        <v>1119</v>
      </c>
      <c r="AL163" s="323" t="s">
        <v>909</v>
      </c>
      <c r="AM163" s="323"/>
      <c r="AN163" s="312" t="s">
        <v>1128</v>
      </c>
      <c r="AO163" s="312"/>
      <c r="AP163" s="319"/>
      <c r="AQ163" s="319"/>
      <c r="AR163" s="320"/>
    </row>
    <row r="164" spans="2:44" ht="15" customHeight="1" x14ac:dyDescent="0.3">
      <c r="B164" s="316"/>
      <c r="C164" s="319"/>
      <c r="D164" s="319" t="s">
        <v>1122</v>
      </c>
      <c r="E164" s="323" t="s">
        <v>1123</v>
      </c>
      <c r="F164" s="323"/>
      <c r="G164" s="312">
        <v>20</v>
      </c>
      <c r="H164" s="312" t="s">
        <v>107</v>
      </c>
      <c r="I164" s="319"/>
      <c r="J164" s="319"/>
      <c r="K164" s="320"/>
      <c r="M164" s="316"/>
      <c r="N164" s="319"/>
      <c r="O164" s="319" t="s">
        <v>1122</v>
      </c>
      <c r="P164" s="323" t="s">
        <v>1123</v>
      </c>
      <c r="Q164" s="323"/>
      <c r="R164" s="312">
        <v>20</v>
      </c>
      <c r="S164" s="312" t="s">
        <v>107</v>
      </c>
      <c r="T164" s="319"/>
      <c r="U164" s="319"/>
      <c r="V164" s="320"/>
      <c r="X164" s="316"/>
      <c r="Y164" s="319"/>
      <c r="Z164" s="319" t="s">
        <v>1122</v>
      </c>
      <c r="AA164" s="323" t="s">
        <v>1123</v>
      </c>
      <c r="AB164" s="323"/>
      <c r="AC164" s="312">
        <v>20</v>
      </c>
      <c r="AD164" s="312" t="s">
        <v>107</v>
      </c>
      <c r="AE164" s="319"/>
      <c r="AF164" s="319"/>
      <c r="AG164" s="320"/>
      <c r="AI164" s="316"/>
      <c r="AJ164" s="319"/>
      <c r="AK164" s="319" t="s">
        <v>1122</v>
      </c>
      <c r="AL164" s="323" t="s">
        <v>1123</v>
      </c>
      <c r="AM164" s="323"/>
      <c r="AN164" s="312">
        <v>20</v>
      </c>
      <c r="AO164" s="312" t="s">
        <v>107</v>
      </c>
      <c r="AP164" s="319"/>
      <c r="AQ164" s="319"/>
      <c r="AR164" s="320"/>
    </row>
    <row r="165" spans="2:44" ht="15" customHeight="1" x14ac:dyDescent="0.3">
      <c r="B165" s="316"/>
      <c r="C165" s="319"/>
      <c r="D165" s="319"/>
      <c r="E165" s="319" t="s">
        <v>1400</v>
      </c>
      <c r="F165" s="319"/>
      <c r="G165" s="319"/>
      <c r="H165" s="319"/>
      <c r="I165" s="319"/>
      <c r="J165" s="319"/>
      <c r="K165" s="320"/>
      <c r="M165" s="316"/>
      <c r="N165" s="319"/>
      <c r="O165" s="319"/>
      <c r="P165" s="319" t="s">
        <v>1400</v>
      </c>
      <c r="Q165" s="319"/>
      <c r="R165" s="319"/>
      <c r="S165" s="319"/>
      <c r="T165" s="319"/>
      <c r="U165" s="319"/>
      <c r="V165" s="320"/>
      <c r="X165" s="316"/>
      <c r="Y165" s="319"/>
      <c r="Z165" s="319"/>
      <c r="AA165" s="319" t="s">
        <v>1400</v>
      </c>
      <c r="AB165" s="319"/>
      <c r="AC165" s="319"/>
      <c r="AD165" s="319"/>
      <c r="AE165" s="319"/>
      <c r="AF165" s="319"/>
      <c r="AG165" s="320"/>
      <c r="AI165" s="316"/>
      <c r="AJ165" s="319"/>
      <c r="AK165" s="319"/>
      <c r="AL165" s="319" t="s">
        <v>1400</v>
      </c>
      <c r="AM165" s="319"/>
      <c r="AN165" s="319"/>
      <c r="AO165" s="319"/>
      <c r="AP165" s="319"/>
      <c r="AQ165" s="319"/>
      <c r="AR165" s="320"/>
    </row>
    <row r="166" spans="2:44" ht="15" customHeight="1" x14ac:dyDescent="0.3">
      <c r="B166" s="316"/>
      <c r="C166" s="319"/>
      <c r="D166" s="319"/>
      <c r="E166" s="319"/>
      <c r="F166" s="319"/>
      <c r="G166" s="319"/>
      <c r="H166" s="319"/>
      <c r="I166" s="319"/>
      <c r="J166" s="319"/>
      <c r="K166" s="320"/>
      <c r="M166" s="316"/>
      <c r="N166" s="319"/>
      <c r="O166" s="319"/>
      <c r="P166" s="319"/>
      <c r="Q166" s="319"/>
      <c r="R166" s="319"/>
      <c r="S166" s="319"/>
      <c r="T166" s="319"/>
      <c r="U166" s="319"/>
      <c r="V166" s="320"/>
      <c r="X166" s="316"/>
      <c r="Y166" s="319"/>
      <c r="Z166" s="319"/>
      <c r="AA166" s="319"/>
      <c r="AB166" s="319"/>
      <c r="AC166" s="319"/>
      <c r="AD166" s="319"/>
      <c r="AE166" s="319"/>
      <c r="AF166" s="319"/>
      <c r="AG166" s="320"/>
      <c r="AI166" s="316"/>
      <c r="AJ166" s="319"/>
      <c r="AK166" s="319"/>
      <c r="AL166" s="319"/>
      <c r="AM166" s="319"/>
      <c r="AN166" s="319"/>
      <c r="AO166" s="319"/>
      <c r="AP166" s="319"/>
      <c r="AQ166" s="319"/>
      <c r="AR166" s="320"/>
    </row>
    <row r="167" spans="2:44" ht="15" customHeight="1" x14ac:dyDescent="0.3">
      <c r="B167" s="316"/>
      <c r="C167" s="319"/>
      <c r="D167" s="319"/>
      <c r="E167" s="319"/>
      <c r="F167" s="319"/>
      <c r="G167" s="319"/>
      <c r="H167" s="319"/>
      <c r="I167" s="319"/>
      <c r="J167" s="319"/>
      <c r="K167" s="320"/>
      <c r="M167" s="316"/>
      <c r="N167" s="319"/>
      <c r="O167" s="319"/>
      <c r="P167" s="319"/>
      <c r="Q167" s="319"/>
      <c r="R167" s="319"/>
      <c r="S167" s="319"/>
      <c r="T167" s="319"/>
      <c r="U167" s="319"/>
      <c r="V167" s="320"/>
      <c r="X167" s="316"/>
      <c r="Y167" s="319"/>
      <c r="Z167" s="319"/>
      <c r="AA167" s="319"/>
      <c r="AB167" s="319"/>
      <c r="AC167" s="319"/>
      <c r="AD167" s="319"/>
      <c r="AE167" s="319"/>
      <c r="AF167" s="319"/>
      <c r="AG167" s="320"/>
      <c r="AI167" s="316"/>
      <c r="AJ167" s="319"/>
      <c r="AK167" s="319"/>
      <c r="AL167" s="319"/>
      <c r="AM167" s="319"/>
      <c r="AN167" s="319"/>
      <c r="AO167" s="319"/>
      <c r="AP167" s="319"/>
      <c r="AQ167" s="319"/>
      <c r="AR167" s="320"/>
    </row>
    <row r="168" spans="2:44" ht="15" customHeight="1" x14ac:dyDescent="0.3">
      <c r="B168" s="316"/>
      <c r="C168" s="319"/>
      <c r="D168" s="319"/>
      <c r="E168" s="319"/>
      <c r="F168" s="319"/>
      <c r="G168" s="319"/>
      <c r="H168" s="319"/>
      <c r="I168" s="319"/>
      <c r="J168" s="319"/>
      <c r="K168" s="320"/>
      <c r="M168" s="316"/>
      <c r="N168" s="319"/>
      <c r="O168" s="319"/>
      <c r="P168" s="319"/>
      <c r="Q168" s="319"/>
      <c r="R168" s="319"/>
      <c r="S168" s="319"/>
      <c r="T168" s="319"/>
      <c r="U168" s="319"/>
      <c r="V168" s="320"/>
      <c r="X168" s="316"/>
      <c r="Y168" s="319"/>
      <c r="Z168" s="319"/>
      <c r="AA168" s="319"/>
      <c r="AB168" s="319"/>
      <c r="AC168" s="319"/>
      <c r="AD168" s="319"/>
      <c r="AE168" s="319"/>
      <c r="AF168" s="319"/>
      <c r="AG168" s="320"/>
      <c r="AI168" s="316"/>
      <c r="AJ168" s="319"/>
      <c r="AK168" s="319"/>
      <c r="AL168" s="319"/>
      <c r="AM168" s="319"/>
      <c r="AN168" s="319"/>
      <c r="AO168" s="319"/>
      <c r="AP168" s="319"/>
      <c r="AQ168" s="319"/>
      <c r="AR168" s="320"/>
    </row>
    <row r="169" spans="2:44" ht="15" customHeight="1" x14ac:dyDescent="0.3">
      <c r="B169" s="316"/>
      <c r="C169" s="319"/>
      <c r="D169" s="319"/>
      <c r="E169" s="319"/>
      <c r="F169" s="319"/>
      <c r="G169" s="319"/>
      <c r="H169" s="319"/>
      <c r="I169" s="319"/>
      <c r="J169" s="319"/>
      <c r="K169" s="320"/>
      <c r="M169" s="316"/>
      <c r="N169" s="319"/>
      <c r="O169" s="319"/>
      <c r="P169" s="319"/>
      <c r="Q169" s="319"/>
      <c r="R169" s="319"/>
      <c r="S169" s="319"/>
      <c r="T169" s="319"/>
      <c r="U169" s="319"/>
      <c r="V169" s="320"/>
      <c r="X169" s="316"/>
      <c r="Y169" s="319"/>
      <c r="Z169" s="319"/>
      <c r="AA169" s="319"/>
      <c r="AB169" s="319"/>
      <c r="AC169" s="319"/>
      <c r="AD169" s="319"/>
      <c r="AE169" s="319"/>
      <c r="AF169" s="319"/>
      <c r="AG169" s="320"/>
      <c r="AI169" s="316"/>
      <c r="AJ169" s="319"/>
      <c r="AK169" s="319"/>
      <c r="AL169" s="319"/>
      <c r="AM169" s="319"/>
      <c r="AN169" s="319"/>
      <c r="AO169" s="319"/>
      <c r="AP169" s="319"/>
      <c r="AQ169" s="319"/>
      <c r="AR169" s="320"/>
    </row>
    <row r="170" spans="2:44" ht="15" customHeight="1" x14ac:dyDescent="0.3">
      <c r="B170" s="316"/>
      <c r="C170" s="319"/>
      <c r="D170" s="319"/>
      <c r="E170" s="319"/>
      <c r="F170" s="319"/>
      <c r="G170" s="319"/>
      <c r="H170" s="319"/>
      <c r="I170" s="319"/>
      <c r="J170" s="319"/>
      <c r="K170" s="320"/>
      <c r="M170" s="316"/>
      <c r="N170" s="319"/>
      <c r="O170" s="319"/>
      <c r="P170" s="319"/>
      <c r="Q170" s="319"/>
      <c r="R170" s="319"/>
      <c r="S170" s="319"/>
      <c r="T170" s="319"/>
      <c r="U170" s="319"/>
      <c r="V170" s="320"/>
      <c r="X170" s="316"/>
      <c r="Y170" s="319"/>
      <c r="Z170" s="319"/>
      <c r="AA170" s="319"/>
      <c r="AB170" s="319"/>
      <c r="AC170" s="319"/>
      <c r="AD170" s="319"/>
      <c r="AE170" s="319"/>
      <c r="AF170" s="319"/>
      <c r="AG170" s="320"/>
      <c r="AI170" s="316"/>
      <c r="AJ170" s="319"/>
      <c r="AK170" s="319"/>
      <c r="AL170" s="319"/>
      <c r="AM170" s="319"/>
      <c r="AN170" s="319"/>
      <c r="AO170" s="319"/>
      <c r="AP170" s="319"/>
      <c r="AQ170" s="319"/>
      <c r="AR170" s="320"/>
    </row>
    <row r="171" spans="2:44" ht="15" customHeight="1" x14ac:dyDescent="0.3">
      <c r="B171" s="316"/>
      <c r="C171" s="319"/>
      <c r="D171" s="319"/>
      <c r="E171" s="319"/>
      <c r="F171" s="319"/>
      <c r="G171" s="319"/>
      <c r="H171" s="319"/>
      <c r="I171" s="319"/>
      <c r="J171" s="319"/>
      <c r="K171" s="320"/>
      <c r="M171" s="316"/>
      <c r="N171" s="319"/>
      <c r="O171" s="319"/>
      <c r="P171" s="319"/>
      <c r="Q171" s="319"/>
      <c r="R171" s="319"/>
      <c r="S171" s="319"/>
      <c r="T171" s="319"/>
      <c r="U171" s="319"/>
      <c r="V171" s="320"/>
      <c r="X171" s="316"/>
      <c r="Y171" s="319"/>
      <c r="Z171" s="319"/>
      <c r="AA171" s="319"/>
      <c r="AB171" s="319"/>
      <c r="AC171" s="319"/>
      <c r="AD171" s="319"/>
      <c r="AE171" s="319"/>
      <c r="AF171" s="319"/>
      <c r="AG171" s="320"/>
      <c r="AI171" s="316"/>
      <c r="AJ171" s="319"/>
      <c r="AK171" s="319"/>
      <c r="AL171" s="319"/>
      <c r="AM171" s="319"/>
      <c r="AN171" s="319"/>
      <c r="AO171" s="319"/>
      <c r="AP171" s="319"/>
      <c r="AQ171" s="319"/>
      <c r="AR171" s="320"/>
    </row>
    <row r="172" spans="2:44" ht="15" customHeight="1" x14ac:dyDescent="0.3">
      <c r="B172" s="316"/>
      <c r="C172" s="319"/>
      <c r="D172" s="319"/>
      <c r="E172" s="319"/>
      <c r="F172" s="319"/>
      <c r="G172" s="319"/>
      <c r="H172" s="319"/>
      <c r="I172" s="319"/>
      <c r="J172" s="319"/>
      <c r="K172" s="320"/>
      <c r="M172" s="316"/>
      <c r="N172" s="319"/>
      <c r="O172" s="319"/>
      <c r="P172" s="319"/>
      <c r="Q172" s="319"/>
      <c r="R172" s="319"/>
      <c r="S172" s="319"/>
      <c r="T172" s="319"/>
      <c r="U172" s="319"/>
      <c r="V172" s="320"/>
      <c r="X172" s="316"/>
      <c r="Y172" s="319"/>
      <c r="Z172" s="319"/>
      <c r="AA172" s="319"/>
      <c r="AB172" s="319"/>
      <c r="AC172" s="319"/>
      <c r="AD172" s="319"/>
      <c r="AE172" s="319"/>
      <c r="AF172" s="319"/>
      <c r="AG172" s="320"/>
      <c r="AI172" s="316"/>
      <c r="AJ172" s="319"/>
      <c r="AK172" s="319"/>
      <c r="AL172" s="319"/>
      <c r="AM172" s="319"/>
      <c r="AN172" s="319"/>
      <c r="AO172" s="319"/>
      <c r="AP172" s="319"/>
      <c r="AQ172" s="319"/>
      <c r="AR172" s="320"/>
    </row>
    <row r="173" spans="2:44" ht="15" customHeight="1" x14ac:dyDescent="0.3">
      <c r="B173" s="316"/>
      <c r="C173" s="319"/>
      <c r="D173" s="319"/>
      <c r="E173" s="319"/>
      <c r="F173" s="319"/>
      <c r="G173" s="324" t="s">
        <v>533</v>
      </c>
      <c r="H173" s="324" t="s">
        <v>534</v>
      </c>
      <c r="I173" s="324" t="s">
        <v>610</v>
      </c>
      <c r="J173" s="324" t="s">
        <v>535</v>
      </c>
      <c r="K173" s="325"/>
      <c r="M173" s="316"/>
      <c r="N173" s="319"/>
      <c r="O173" s="319"/>
      <c r="P173" s="319"/>
      <c r="Q173" s="319"/>
      <c r="R173" s="324" t="s">
        <v>533</v>
      </c>
      <c r="S173" s="324" t="s">
        <v>534</v>
      </c>
      <c r="T173" s="324" t="s">
        <v>610</v>
      </c>
      <c r="U173" s="324" t="s">
        <v>535</v>
      </c>
      <c r="V173" s="325"/>
      <c r="X173" s="316"/>
      <c r="Y173" s="319"/>
      <c r="Z173" s="319"/>
      <c r="AA173" s="319"/>
      <c r="AB173" s="319"/>
      <c r="AC173" s="324" t="s">
        <v>533</v>
      </c>
      <c r="AD173" s="324" t="s">
        <v>534</v>
      </c>
      <c r="AE173" s="324" t="s">
        <v>610</v>
      </c>
      <c r="AF173" s="324" t="s">
        <v>535</v>
      </c>
      <c r="AG173" s="325"/>
      <c r="AH173" s="265"/>
      <c r="AI173" s="316"/>
      <c r="AJ173" s="319"/>
      <c r="AK173" s="319"/>
      <c r="AL173" s="319"/>
      <c r="AM173" s="319"/>
      <c r="AN173" s="324" t="s">
        <v>533</v>
      </c>
      <c r="AO173" s="324" t="s">
        <v>534</v>
      </c>
      <c r="AP173" s="324" t="s">
        <v>610</v>
      </c>
      <c r="AQ173" s="324" t="s">
        <v>535</v>
      </c>
      <c r="AR173" s="325"/>
    </row>
    <row r="174" spans="2:44" ht="15" customHeight="1" x14ac:dyDescent="0.3">
      <c r="B174" s="316"/>
      <c r="C174" s="310">
        <v>1</v>
      </c>
      <c r="D174" s="311" t="s">
        <v>941</v>
      </c>
      <c r="E174" s="311"/>
      <c r="F174" s="311"/>
      <c r="G174" s="213"/>
      <c r="H174" s="213"/>
      <c r="I174" s="213"/>
      <c r="J174" s="213"/>
      <c r="K174" s="326"/>
      <c r="M174" s="316"/>
      <c r="N174" s="310">
        <v>1</v>
      </c>
      <c r="O174" s="311" t="s">
        <v>941</v>
      </c>
      <c r="P174" s="311"/>
      <c r="Q174" s="311"/>
      <c r="R174" s="213"/>
      <c r="S174" s="213"/>
      <c r="T174" s="213"/>
      <c r="U174" s="213"/>
      <c r="V174" s="326"/>
      <c r="X174" s="316"/>
      <c r="Y174" s="310">
        <v>1</v>
      </c>
      <c r="Z174" s="311" t="s">
        <v>941</v>
      </c>
      <c r="AA174" s="311"/>
      <c r="AB174" s="311"/>
      <c r="AC174" s="213"/>
      <c r="AD174" s="213"/>
      <c r="AE174" s="213"/>
      <c r="AF174" s="213"/>
      <c r="AG174" s="326"/>
      <c r="AH174" s="8"/>
      <c r="AI174" s="316"/>
      <c r="AJ174" s="310">
        <v>1</v>
      </c>
      <c r="AK174" s="311" t="s">
        <v>941</v>
      </c>
      <c r="AL174" s="311"/>
      <c r="AM174" s="311"/>
      <c r="AN174" s="213"/>
      <c r="AO174" s="213"/>
      <c r="AP174" s="213"/>
      <c r="AQ174" s="213"/>
      <c r="AR174" s="326"/>
    </row>
    <row r="175" spans="2:44" ht="15" customHeight="1" x14ac:dyDescent="0.3">
      <c r="B175" s="316"/>
      <c r="C175" s="310">
        <v>4</v>
      </c>
      <c r="D175" s="311" t="s">
        <v>530</v>
      </c>
      <c r="E175" s="311"/>
      <c r="F175" s="311"/>
      <c r="G175" s="213"/>
      <c r="H175" s="213"/>
      <c r="I175" s="213"/>
      <c r="J175" s="213"/>
      <c r="K175" s="326"/>
      <c r="M175" s="316"/>
      <c r="N175" s="310">
        <v>4</v>
      </c>
      <c r="O175" s="311" t="s">
        <v>530</v>
      </c>
      <c r="P175" s="311"/>
      <c r="Q175" s="311"/>
      <c r="R175" s="213"/>
      <c r="S175" s="213"/>
      <c r="T175" s="213"/>
      <c r="U175" s="213"/>
      <c r="V175" s="326"/>
      <c r="X175" s="316"/>
      <c r="Y175" s="310">
        <v>4</v>
      </c>
      <c r="Z175" s="311" t="s">
        <v>530</v>
      </c>
      <c r="AA175" s="311"/>
      <c r="AB175" s="311"/>
      <c r="AC175" s="213"/>
      <c r="AD175" s="213"/>
      <c r="AE175" s="213"/>
      <c r="AF175" s="213"/>
      <c r="AG175" s="326"/>
      <c r="AH175" s="8"/>
      <c r="AI175" s="316"/>
      <c r="AJ175" s="310">
        <v>4</v>
      </c>
      <c r="AK175" s="311" t="s">
        <v>530</v>
      </c>
      <c r="AL175" s="311"/>
      <c r="AM175" s="311"/>
      <c r="AN175" s="213"/>
      <c r="AO175" s="213"/>
      <c r="AP175" s="213"/>
      <c r="AQ175" s="213"/>
      <c r="AR175" s="326"/>
    </row>
    <row r="176" spans="2:44" ht="15" customHeight="1" x14ac:dyDescent="0.3">
      <c r="B176" s="316"/>
      <c r="C176" s="310">
        <v>9</v>
      </c>
      <c r="D176" s="311" t="s">
        <v>1077</v>
      </c>
      <c r="E176" s="311"/>
      <c r="F176" s="311"/>
      <c r="G176" s="213"/>
      <c r="H176" s="213"/>
      <c r="I176" s="213"/>
      <c r="J176" s="213"/>
      <c r="K176" s="326"/>
      <c r="M176" s="316"/>
      <c r="N176" s="310">
        <v>9</v>
      </c>
      <c r="O176" s="311" t="s">
        <v>1077</v>
      </c>
      <c r="P176" s="311"/>
      <c r="Q176" s="311"/>
      <c r="R176" s="213"/>
      <c r="S176" s="213"/>
      <c r="T176" s="213"/>
      <c r="U176" s="213"/>
      <c r="V176" s="326"/>
      <c r="X176" s="316"/>
      <c r="Y176" s="310">
        <v>9</v>
      </c>
      <c r="Z176" s="311" t="s">
        <v>1077</v>
      </c>
      <c r="AA176" s="311"/>
      <c r="AB176" s="311"/>
      <c r="AC176" s="213"/>
      <c r="AD176" s="213"/>
      <c r="AE176" s="213"/>
      <c r="AF176" s="213"/>
      <c r="AG176" s="326"/>
      <c r="AH176" s="8"/>
      <c r="AI176" s="316"/>
      <c r="AJ176" s="310">
        <v>9</v>
      </c>
      <c r="AK176" s="311" t="s">
        <v>1077</v>
      </c>
      <c r="AL176" s="311"/>
      <c r="AM176" s="311"/>
      <c r="AN176" s="213"/>
      <c r="AO176" s="213"/>
      <c r="AP176" s="213"/>
      <c r="AQ176" s="213"/>
      <c r="AR176" s="326"/>
    </row>
    <row r="177" spans="2:44" ht="15" customHeight="1" x14ac:dyDescent="0.3">
      <c r="B177" s="316"/>
      <c r="C177" s="310">
        <v>14</v>
      </c>
      <c r="D177" s="311" t="s">
        <v>1075</v>
      </c>
      <c r="E177" s="311"/>
      <c r="F177" s="311"/>
      <c r="G177" s="213">
        <v>1</v>
      </c>
      <c r="H177" s="213"/>
      <c r="I177" s="213"/>
      <c r="J177" s="213"/>
      <c r="K177" s="326"/>
      <c r="M177" s="316"/>
      <c r="N177" s="310">
        <v>14</v>
      </c>
      <c r="O177" s="311" t="s">
        <v>1075</v>
      </c>
      <c r="P177" s="311"/>
      <c r="Q177" s="311"/>
      <c r="R177" s="213">
        <v>1</v>
      </c>
      <c r="S177" s="213"/>
      <c r="T177" s="213"/>
      <c r="U177" s="213"/>
      <c r="V177" s="326"/>
      <c r="X177" s="316"/>
      <c r="Y177" s="310">
        <v>14</v>
      </c>
      <c r="Z177" s="311" t="s">
        <v>1075</v>
      </c>
      <c r="AA177" s="311"/>
      <c r="AB177" s="311"/>
      <c r="AC177" s="213">
        <v>1</v>
      </c>
      <c r="AD177" s="213"/>
      <c r="AE177" s="213"/>
      <c r="AF177" s="213"/>
      <c r="AG177" s="326"/>
      <c r="AH177" s="8"/>
      <c r="AI177" s="316"/>
      <c r="AJ177" s="310">
        <v>14</v>
      </c>
      <c r="AK177" s="311" t="s">
        <v>1075</v>
      </c>
      <c r="AL177" s="311"/>
      <c r="AM177" s="311"/>
      <c r="AN177" s="213">
        <v>1</v>
      </c>
      <c r="AO177" s="213"/>
      <c r="AP177" s="213"/>
      <c r="AQ177" s="213"/>
      <c r="AR177" s="326"/>
    </row>
    <row r="178" spans="2:44" ht="15" customHeight="1" x14ac:dyDescent="0.3">
      <c r="B178" s="316"/>
      <c r="C178" s="310">
        <v>17</v>
      </c>
      <c r="D178" s="311" t="s">
        <v>53</v>
      </c>
      <c r="E178" s="311"/>
      <c r="F178" s="311"/>
      <c r="G178" s="213"/>
      <c r="H178" s="213"/>
      <c r="I178" s="213"/>
      <c r="J178" s="213">
        <v>1</v>
      </c>
      <c r="K178" s="326"/>
      <c r="M178" s="316"/>
      <c r="N178" s="310">
        <v>17</v>
      </c>
      <c r="O178" s="311" t="s">
        <v>53</v>
      </c>
      <c r="P178" s="311"/>
      <c r="Q178" s="311"/>
      <c r="R178" s="213"/>
      <c r="S178" s="213"/>
      <c r="T178" s="213"/>
      <c r="U178" s="213">
        <v>1</v>
      </c>
      <c r="V178" s="326"/>
      <c r="X178" s="316"/>
      <c r="Y178" s="310">
        <v>17</v>
      </c>
      <c r="Z178" s="311" t="s">
        <v>53</v>
      </c>
      <c r="AA178" s="311"/>
      <c r="AB178" s="311"/>
      <c r="AC178" s="213"/>
      <c r="AD178" s="213"/>
      <c r="AE178" s="213"/>
      <c r="AF178" s="213">
        <v>1</v>
      </c>
      <c r="AG178" s="326"/>
      <c r="AH178" s="8"/>
      <c r="AI178" s="316"/>
      <c r="AJ178" s="310">
        <v>17</v>
      </c>
      <c r="AK178" s="311" t="s">
        <v>53</v>
      </c>
      <c r="AL178" s="311"/>
      <c r="AM178" s="311"/>
      <c r="AN178" s="213"/>
      <c r="AO178" s="213"/>
      <c r="AP178" s="213"/>
      <c r="AQ178" s="213">
        <v>1</v>
      </c>
      <c r="AR178" s="326"/>
    </row>
    <row r="179" spans="2:44" ht="15" customHeight="1" x14ac:dyDescent="0.3">
      <c r="B179" s="316"/>
      <c r="C179" s="310">
        <v>19</v>
      </c>
      <c r="D179" s="311" t="s">
        <v>1125</v>
      </c>
      <c r="E179" s="311"/>
      <c r="F179" s="311"/>
      <c r="G179" s="213"/>
      <c r="H179" s="213"/>
      <c r="I179" s="213"/>
      <c r="J179" s="213"/>
      <c r="K179" s="326"/>
      <c r="M179" s="316"/>
      <c r="N179" s="310">
        <v>19</v>
      </c>
      <c r="O179" s="311" t="s">
        <v>1125</v>
      </c>
      <c r="P179" s="311"/>
      <c r="Q179" s="311"/>
      <c r="R179" s="213"/>
      <c r="S179" s="213"/>
      <c r="T179" s="213"/>
      <c r="U179" s="213"/>
      <c r="V179" s="326"/>
      <c r="X179" s="316"/>
      <c r="Y179" s="310">
        <v>19</v>
      </c>
      <c r="Z179" s="311" t="s">
        <v>1125</v>
      </c>
      <c r="AA179" s="311"/>
      <c r="AB179" s="311"/>
      <c r="AC179" s="213"/>
      <c r="AD179" s="213"/>
      <c r="AE179" s="213"/>
      <c r="AF179" s="213"/>
      <c r="AG179" s="326"/>
      <c r="AH179" s="8"/>
      <c r="AI179" s="316"/>
      <c r="AJ179" s="310">
        <v>19</v>
      </c>
      <c r="AK179" s="311" t="s">
        <v>1125</v>
      </c>
      <c r="AL179" s="311"/>
      <c r="AM179" s="311"/>
      <c r="AN179" s="213"/>
      <c r="AO179" s="213"/>
      <c r="AP179" s="213"/>
      <c r="AQ179" s="213"/>
      <c r="AR179" s="326"/>
    </row>
    <row r="180" spans="2:44" ht="15" customHeight="1" x14ac:dyDescent="0.3">
      <c r="B180" s="316"/>
      <c r="C180" s="310">
        <v>20</v>
      </c>
      <c r="D180" s="311" t="s">
        <v>1124</v>
      </c>
      <c r="E180" s="311"/>
      <c r="F180" s="311"/>
      <c r="G180" s="213">
        <v>1</v>
      </c>
      <c r="H180" s="213"/>
      <c r="I180" s="213"/>
      <c r="J180" s="213"/>
      <c r="K180" s="326"/>
      <c r="M180" s="316"/>
      <c r="N180" s="310">
        <v>20</v>
      </c>
      <c r="O180" s="311" t="s">
        <v>1124</v>
      </c>
      <c r="P180" s="311"/>
      <c r="Q180" s="311"/>
      <c r="R180" s="213">
        <v>1</v>
      </c>
      <c r="S180" s="213"/>
      <c r="T180" s="213"/>
      <c r="U180" s="213"/>
      <c r="V180" s="326"/>
      <c r="X180" s="316"/>
      <c r="Y180" s="310">
        <v>20</v>
      </c>
      <c r="Z180" s="311" t="s">
        <v>1124</v>
      </c>
      <c r="AA180" s="311"/>
      <c r="AB180" s="311"/>
      <c r="AC180" s="213">
        <v>1</v>
      </c>
      <c r="AD180" s="213"/>
      <c r="AE180" s="213"/>
      <c r="AF180" s="213"/>
      <c r="AG180" s="326"/>
      <c r="AH180" s="8"/>
      <c r="AI180" s="316"/>
      <c r="AJ180" s="310">
        <v>20</v>
      </c>
      <c r="AK180" s="311" t="s">
        <v>1124</v>
      </c>
      <c r="AL180" s="311"/>
      <c r="AM180" s="311"/>
      <c r="AN180" s="213">
        <v>1</v>
      </c>
      <c r="AO180" s="213"/>
      <c r="AP180" s="213"/>
      <c r="AQ180" s="213"/>
      <c r="AR180" s="326"/>
    </row>
    <row r="181" spans="2:44" ht="15" customHeight="1" x14ac:dyDescent="0.3">
      <c r="B181" s="316"/>
      <c r="C181" s="310">
        <v>23</v>
      </c>
      <c r="D181" s="311" t="s">
        <v>1076</v>
      </c>
      <c r="E181" s="311"/>
      <c r="F181" s="311"/>
      <c r="G181" s="213">
        <v>1</v>
      </c>
      <c r="H181" s="213"/>
      <c r="I181" s="213"/>
      <c r="J181" s="213"/>
      <c r="K181" s="326"/>
      <c r="M181" s="316"/>
      <c r="N181" s="310">
        <v>23</v>
      </c>
      <c r="O181" s="311" t="s">
        <v>1076</v>
      </c>
      <c r="P181" s="311"/>
      <c r="Q181" s="311"/>
      <c r="R181" s="213">
        <v>1</v>
      </c>
      <c r="S181" s="213"/>
      <c r="T181" s="213"/>
      <c r="U181" s="213"/>
      <c r="V181" s="326"/>
      <c r="X181" s="316"/>
      <c r="Y181" s="310">
        <v>23</v>
      </c>
      <c r="Z181" s="311" t="s">
        <v>1076</v>
      </c>
      <c r="AA181" s="311"/>
      <c r="AB181" s="311"/>
      <c r="AC181" s="213">
        <v>1</v>
      </c>
      <c r="AD181" s="213"/>
      <c r="AE181" s="213"/>
      <c r="AF181" s="213"/>
      <c r="AG181" s="326"/>
      <c r="AH181" s="8"/>
      <c r="AI181" s="316"/>
      <c r="AJ181" s="310">
        <v>23</v>
      </c>
      <c r="AK181" s="311" t="s">
        <v>1076</v>
      </c>
      <c r="AL181" s="311"/>
      <c r="AM181" s="311"/>
      <c r="AN181" s="213">
        <v>1</v>
      </c>
      <c r="AO181" s="213"/>
      <c r="AP181" s="213"/>
      <c r="AQ181" s="213"/>
      <c r="AR181" s="326"/>
    </row>
    <row r="182" spans="2:44" ht="15" customHeight="1" x14ac:dyDescent="0.3">
      <c r="B182" s="316"/>
      <c r="C182" s="310">
        <v>50</v>
      </c>
      <c r="D182" s="311" t="s">
        <v>680</v>
      </c>
      <c r="E182" s="311"/>
      <c r="F182" s="311"/>
      <c r="G182" s="213"/>
      <c r="H182" s="213">
        <v>1</v>
      </c>
      <c r="I182" s="213"/>
      <c r="J182" s="213"/>
      <c r="K182" s="326"/>
      <c r="M182" s="316"/>
      <c r="N182" s="310">
        <v>50</v>
      </c>
      <c r="O182" s="311" t="s">
        <v>680</v>
      </c>
      <c r="P182" s="311"/>
      <c r="Q182" s="311"/>
      <c r="R182" s="213"/>
      <c r="S182" s="213">
        <v>1</v>
      </c>
      <c r="T182" s="213"/>
      <c r="U182" s="213"/>
      <c r="V182" s="326"/>
      <c r="X182" s="316"/>
      <c r="Y182" s="310">
        <v>50</v>
      </c>
      <c r="Z182" s="311" t="s">
        <v>680</v>
      </c>
      <c r="AA182" s="311"/>
      <c r="AB182" s="311"/>
      <c r="AC182" s="213"/>
      <c r="AD182" s="213">
        <v>1</v>
      </c>
      <c r="AE182" s="213"/>
      <c r="AF182" s="213"/>
      <c r="AG182" s="326"/>
      <c r="AH182" s="8"/>
      <c r="AI182" s="316"/>
      <c r="AJ182" s="310">
        <v>50</v>
      </c>
      <c r="AK182" s="311" t="s">
        <v>680</v>
      </c>
      <c r="AL182" s="311"/>
      <c r="AM182" s="311"/>
      <c r="AN182" s="213"/>
      <c r="AO182" s="213">
        <v>1</v>
      </c>
      <c r="AP182" s="213"/>
      <c r="AQ182" s="213"/>
      <c r="AR182" s="326"/>
    </row>
    <row r="183" spans="2:44" ht="15" customHeight="1" x14ac:dyDescent="0.3">
      <c r="B183" s="316"/>
      <c r="C183" s="310">
        <v>75</v>
      </c>
      <c r="D183" s="311" t="s">
        <v>55</v>
      </c>
      <c r="E183" s="311"/>
      <c r="F183" s="311"/>
      <c r="G183" s="213"/>
      <c r="H183" s="213"/>
      <c r="I183" s="213"/>
      <c r="J183" s="213"/>
      <c r="K183" s="326"/>
      <c r="M183" s="316"/>
      <c r="N183" s="310">
        <v>75</v>
      </c>
      <c r="O183" s="311" t="s">
        <v>55</v>
      </c>
      <c r="P183" s="311"/>
      <c r="Q183" s="311"/>
      <c r="R183" s="213"/>
      <c r="S183" s="213"/>
      <c r="T183" s="213"/>
      <c r="U183" s="213"/>
      <c r="V183" s="326"/>
      <c r="X183" s="316"/>
      <c r="Y183" s="310">
        <v>75</v>
      </c>
      <c r="Z183" s="311" t="s">
        <v>55</v>
      </c>
      <c r="AA183" s="311"/>
      <c r="AB183" s="311"/>
      <c r="AC183" s="213"/>
      <c r="AD183" s="213"/>
      <c r="AE183" s="213"/>
      <c r="AF183" s="213"/>
      <c r="AG183" s="326"/>
      <c r="AH183" s="8"/>
      <c r="AI183" s="316"/>
      <c r="AJ183" s="310">
        <v>75</v>
      </c>
      <c r="AK183" s="311" t="s">
        <v>55</v>
      </c>
      <c r="AL183" s="311"/>
      <c r="AM183" s="311"/>
      <c r="AN183" s="213"/>
      <c r="AO183" s="213"/>
      <c r="AP183" s="213"/>
      <c r="AQ183" s="213"/>
      <c r="AR183" s="326"/>
    </row>
    <row r="184" spans="2:44" ht="15" customHeight="1" x14ac:dyDescent="0.3">
      <c r="B184" s="316"/>
      <c r="C184" s="310">
        <v>96</v>
      </c>
      <c r="D184" s="311" t="s">
        <v>185</v>
      </c>
      <c r="E184" s="311"/>
      <c r="F184" s="311"/>
      <c r="G184" s="213"/>
      <c r="H184" s="213">
        <v>1</v>
      </c>
      <c r="I184" s="213"/>
      <c r="J184" s="213"/>
      <c r="K184" s="326"/>
      <c r="M184" s="316"/>
      <c r="N184" s="310">
        <v>96</v>
      </c>
      <c r="O184" s="311" t="s">
        <v>185</v>
      </c>
      <c r="P184" s="311"/>
      <c r="Q184" s="311"/>
      <c r="R184" s="213"/>
      <c r="S184" s="213">
        <v>1</v>
      </c>
      <c r="T184" s="213"/>
      <c r="U184" s="213"/>
      <c r="V184" s="326"/>
      <c r="X184" s="316"/>
      <c r="Y184" s="310">
        <v>96</v>
      </c>
      <c r="Z184" s="311" t="s">
        <v>185</v>
      </c>
      <c r="AA184" s="311"/>
      <c r="AB184" s="311"/>
      <c r="AC184" s="213"/>
      <c r="AD184" s="213">
        <v>1</v>
      </c>
      <c r="AE184" s="213"/>
      <c r="AF184" s="213"/>
      <c r="AG184" s="326"/>
      <c r="AH184" s="8"/>
      <c r="AI184" s="316"/>
      <c r="AJ184" s="310">
        <v>96</v>
      </c>
      <c r="AK184" s="311" t="s">
        <v>185</v>
      </c>
      <c r="AL184" s="311"/>
      <c r="AM184" s="311"/>
      <c r="AN184" s="213"/>
      <c r="AO184" s="213">
        <v>1</v>
      </c>
      <c r="AP184" s="213"/>
      <c r="AQ184" s="213"/>
      <c r="AR184" s="326"/>
    </row>
    <row r="185" spans="2:44" ht="15" customHeight="1" x14ac:dyDescent="0.3">
      <c r="B185" s="316"/>
      <c r="C185" s="319"/>
      <c r="D185" s="319"/>
      <c r="E185" s="319"/>
      <c r="F185" s="319"/>
      <c r="G185" s="319"/>
      <c r="H185" s="319"/>
      <c r="I185" s="319"/>
      <c r="J185" s="319"/>
      <c r="K185" s="320"/>
      <c r="M185" s="316"/>
      <c r="N185" s="319"/>
      <c r="O185" s="319"/>
      <c r="P185" s="319"/>
      <c r="Q185" s="319"/>
      <c r="R185" s="319"/>
      <c r="S185" s="319"/>
      <c r="T185" s="319"/>
      <c r="U185" s="319"/>
      <c r="V185" s="320"/>
      <c r="X185" s="316"/>
      <c r="Y185" s="319"/>
      <c r="Z185" s="319"/>
      <c r="AA185" s="319"/>
      <c r="AB185" s="319"/>
      <c r="AC185" s="319"/>
      <c r="AD185" s="319"/>
      <c r="AE185" s="319"/>
      <c r="AF185" s="319"/>
      <c r="AG185" s="320"/>
      <c r="AH185" s="8"/>
      <c r="AI185" s="316"/>
      <c r="AJ185" s="319"/>
      <c r="AK185" s="319"/>
      <c r="AL185" s="319"/>
      <c r="AM185" s="319"/>
      <c r="AN185" s="319"/>
      <c r="AO185" s="319"/>
      <c r="AP185" s="319"/>
      <c r="AQ185" s="319"/>
      <c r="AR185" s="320"/>
    </row>
    <row r="186" spans="2:44" ht="15" customHeight="1" x14ac:dyDescent="0.3">
      <c r="B186" s="316"/>
      <c r="C186" s="319"/>
      <c r="D186" s="319"/>
      <c r="E186" s="319"/>
      <c r="F186" s="319"/>
      <c r="G186" s="319"/>
      <c r="H186" s="319"/>
      <c r="I186" s="319"/>
      <c r="J186" s="319"/>
      <c r="K186" s="320"/>
      <c r="M186" s="316"/>
      <c r="N186" s="319"/>
      <c r="O186" s="319"/>
      <c r="P186" s="319"/>
      <c r="Q186" s="319"/>
      <c r="R186" s="319"/>
      <c r="S186" s="319"/>
      <c r="T186" s="319"/>
      <c r="U186" s="319"/>
      <c r="V186" s="320"/>
      <c r="X186" s="316"/>
      <c r="Y186" s="319"/>
      <c r="Z186" s="319"/>
      <c r="AA186" s="319"/>
      <c r="AB186" s="319"/>
      <c r="AC186" s="319"/>
      <c r="AD186" s="319"/>
      <c r="AE186" s="319"/>
      <c r="AF186" s="319"/>
      <c r="AG186" s="320"/>
      <c r="AH186" s="8"/>
      <c r="AI186" s="316"/>
      <c r="AJ186" s="319"/>
      <c r="AK186" s="319"/>
      <c r="AL186" s="319"/>
      <c r="AM186" s="319"/>
      <c r="AN186" s="319"/>
      <c r="AO186" s="319"/>
      <c r="AP186" s="319"/>
      <c r="AQ186" s="319"/>
      <c r="AR186" s="320"/>
    </row>
    <row r="187" spans="2:44" ht="15" customHeight="1" x14ac:dyDescent="0.3">
      <c r="B187" s="316"/>
      <c r="C187" s="319"/>
      <c r="D187" s="319"/>
      <c r="E187" s="319"/>
      <c r="F187" s="319"/>
      <c r="G187" s="319"/>
      <c r="H187" s="319"/>
      <c r="I187" s="319"/>
      <c r="J187" s="319"/>
      <c r="K187" s="320"/>
      <c r="M187" s="316"/>
      <c r="N187" s="319"/>
      <c r="O187" s="319"/>
      <c r="P187" s="319"/>
      <c r="Q187" s="319"/>
      <c r="R187" s="319"/>
      <c r="S187" s="319"/>
      <c r="T187" s="319"/>
      <c r="U187" s="319"/>
      <c r="V187" s="320"/>
      <c r="X187" s="316"/>
      <c r="Y187" s="319"/>
      <c r="Z187" s="319"/>
      <c r="AA187" s="319"/>
      <c r="AB187" s="319"/>
      <c r="AC187" s="319"/>
      <c r="AD187" s="319"/>
      <c r="AE187" s="319"/>
      <c r="AF187" s="319"/>
      <c r="AG187" s="320"/>
      <c r="AI187" s="316"/>
      <c r="AJ187" s="319"/>
      <c r="AK187" s="319"/>
      <c r="AL187" s="319"/>
      <c r="AM187" s="319"/>
      <c r="AN187" s="319"/>
      <c r="AO187" s="319"/>
      <c r="AP187" s="319"/>
      <c r="AQ187" s="319"/>
      <c r="AR187" s="320"/>
    </row>
    <row r="188" spans="2:44" ht="15" customHeight="1" x14ac:dyDescent="0.3">
      <c r="B188" s="316"/>
      <c r="C188" s="319"/>
      <c r="D188" s="319"/>
      <c r="E188" s="319"/>
      <c r="F188" s="319"/>
      <c r="G188" s="319"/>
      <c r="H188" s="319"/>
      <c r="I188" s="319"/>
      <c r="J188" s="319"/>
      <c r="K188" s="320"/>
      <c r="M188" s="316"/>
      <c r="N188" s="319"/>
      <c r="O188" s="319"/>
      <c r="P188" s="319"/>
      <c r="Q188" s="319"/>
      <c r="R188" s="319"/>
      <c r="S188" s="319"/>
      <c r="T188" s="319"/>
      <c r="U188" s="319"/>
      <c r="V188" s="320"/>
      <c r="X188" s="316"/>
      <c r="Y188" s="319"/>
      <c r="Z188" s="319"/>
      <c r="AA188" s="319"/>
      <c r="AB188" s="319"/>
      <c r="AC188" s="319"/>
      <c r="AD188" s="319"/>
      <c r="AE188" s="319"/>
      <c r="AF188" s="319"/>
      <c r="AG188" s="320"/>
      <c r="AI188" s="316"/>
      <c r="AJ188" s="319"/>
      <c r="AK188" s="319"/>
      <c r="AL188" s="319"/>
      <c r="AM188" s="319"/>
      <c r="AN188" s="319"/>
      <c r="AO188" s="319"/>
      <c r="AP188" s="319"/>
      <c r="AQ188" s="319"/>
      <c r="AR188" s="320"/>
    </row>
    <row r="189" spans="2:44" ht="15" customHeight="1" x14ac:dyDescent="0.3">
      <c r="B189" s="316"/>
      <c r="C189" s="319"/>
      <c r="D189" s="319"/>
      <c r="E189" s="319"/>
      <c r="F189" s="319"/>
      <c r="G189" s="319"/>
      <c r="H189" s="319"/>
      <c r="I189" s="319"/>
      <c r="J189" s="319"/>
      <c r="K189" s="320"/>
      <c r="M189" s="316"/>
      <c r="N189" s="319"/>
      <c r="O189" s="319"/>
      <c r="P189" s="319"/>
      <c r="Q189" s="319"/>
      <c r="R189" s="319"/>
      <c r="S189" s="319"/>
      <c r="T189" s="319"/>
      <c r="U189" s="319"/>
      <c r="V189" s="320"/>
      <c r="X189" s="316"/>
      <c r="Y189" s="319"/>
      <c r="Z189" s="319"/>
      <c r="AA189" s="319"/>
      <c r="AB189" s="319"/>
      <c r="AC189" s="319"/>
      <c r="AD189" s="319"/>
      <c r="AE189" s="319"/>
      <c r="AF189" s="319"/>
      <c r="AG189" s="320"/>
      <c r="AH189" s="8"/>
      <c r="AI189" s="316"/>
      <c r="AJ189" s="319"/>
      <c r="AK189" s="319"/>
      <c r="AL189" s="319"/>
      <c r="AM189" s="319"/>
      <c r="AN189" s="319"/>
      <c r="AO189" s="319"/>
      <c r="AP189" s="319"/>
      <c r="AQ189" s="319"/>
      <c r="AR189" s="320"/>
    </row>
    <row r="190" spans="2:44" ht="15" customHeight="1" x14ac:dyDescent="0.3">
      <c r="B190" s="316"/>
      <c r="C190" s="319"/>
      <c r="D190" s="319"/>
      <c r="E190" s="319"/>
      <c r="F190" s="319"/>
      <c r="G190" s="319"/>
      <c r="H190" s="319"/>
      <c r="I190" s="319"/>
      <c r="J190" s="319"/>
      <c r="K190" s="320"/>
      <c r="M190" s="316"/>
      <c r="N190" s="319"/>
      <c r="O190" s="319"/>
      <c r="P190" s="319"/>
      <c r="Q190" s="319"/>
      <c r="R190" s="319"/>
      <c r="S190" s="319"/>
      <c r="T190" s="319"/>
      <c r="U190" s="319"/>
      <c r="V190" s="320"/>
      <c r="X190" s="316"/>
      <c r="Y190" s="319"/>
      <c r="Z190" s="319"/>
      <c r="AA190" s="319"/>
      <c r="AB190" s="319"/>
      <c r="AC190" s="319"/>
      <c r="AD190" s="319"/>
      <c r="AE190" s="319"/>
      <c r="AF190" s="319"/>
      <c r="AG190" s="320"/>
      <c r="AI190" s="316"/>
      <c r="AJ190" s="319"/>
      <c r="AK190" s="319"/>
      <c r="AL190" s="319"/>
      <c r="AM190" s="319"/>
      <c r="AN190" s="319"/>
      <c r="AO190" s="319"/>
      <c r="AP190" s="319"/>
      <c r="AQ190" s="319"/>
      <c r="AR190" s="320"/>
    </row>
    <row r="191" spans="2:44" ht="15" customHeight="1" thickBot="1" x14ac:dyDescent="0.35">
      <c r="B191" s="327"/>
      <c r="C191" s="328"/>
      <c r="D191" s="328"/>
      <c r="E191" s="328"/>
      <c r="F191" s="328"/>
      <c r="G191" s="328"/>
      <c r="H191" s="328"/>
      <c r="I191" s="328"/>
      <c r="J191" s="328"/>
      <c r="K191" s="329"/>
      <c r="M191" s="327"/>
      <c r="N191" s="328"/>
      <c r="O191" s="328"/>
      <c r="P191" s="328"/>
      <c r="Q191" s="328"/>
      <c r="R191" s="328"/>
      <c r="S191" s="328"/>
      <c r="T191" s="328"/>
      <c r="U191" s="328"/>
      <c r="V191" s="329"/>
      <c r="X191" s="327"/>
      <c r="Y191" s="328"/>
      <c r="Z191" s="328"/>
      <c r="AA191" s="328"/>
      <c r="AB191" s="328"/>
      <c r="AC191" s="328"/>
      <c r="AD191" s="328"/>
      <c r="AE191" s="328"/>
      <c r="AF191" s="328"/>
      <c r="AG191" s="329"/>
      <c r="AI191" s="327"/>
      <c r="AJ191" s="328"/>
      <c r="AK191" s="328"/>
      <c r="AL191" s="328"/>
      <c r="AM191" s="328"/>
      <c r="AN191" s="328"/>
      <c r="AO191" s="328"/>
      <c r="AP191" s="328"/>
      <c r="AQ191" s="328"/>
      <c r="AR191" s="329"/>
    </row>
    <row r="192" spans="2:44" ht="15" customHeight="1" thickBot="1" x14ac:dyDescent="0.35">
      <c r="G192" s="8"/>
      <c r="H192" s="8"/>
      <c r="I192" s="8"/>
      <c r="J192" s="8"/>
      <c r="K192" s="8"/>
      <c r="R192" s="8"/>
      <c r="S192" s="8"/>
      <c r="T192" s="8"/>
      <c r="U192" s="8"/>
      <c r="V192" s="8"/>
      <c r="AC192" s="8"/>
      <c r="AD192" s="8"/>
      <c r="AE192" s="8"/>
      <c r="AF192" s="8"/>
      <c r="AG192" s="8"/>
      <c r="AH192" s="8"/>
      <c r="AN192" s="8"/>
      <c r="AO192" s="8"/>
      <c r="AP192" s="8"/>
      <c r="AQ192" s="8"/>
    </row>
    <row r="193" spans="2:44" ht="15" customHeight="1" x14ac:dyDescent="0.3">
      <c r="B193" s="313"/>
      <c r="C193" s="314"/>
      <c r="D193" s="314"/>
      <c r="E193" s="314"/>
      <c r="F193" s="314"/>
      <c r="G193" s="314"/>
      <c r="H193" s="314"/>
      <c r="I193" s="314"/>
      <c r="J193" s="314"/>
      <c r="K193" s="315"/>
      <c r="M193" s="313"/>
      <c r="N193" s="314"/>
      <c r="O193" s="314"/>
      <c r="P193" s="314"/>
      <c r="Q193" s="314"/>
      <c r="R193" s="314"/>
      <c r="S193" s="314"/>
      <c r="T193" s="314"/>
      <c r="U193" s="314"/>
      <c r="V193" s="315"/>
      <c r="X193" s="313"/>
      <c r="Y193" s="314"/>
      <c r="Z193" s="314"/>
      <c r="AA193" s="314"/>
      <c r="AB193" s="314"/>
      <c r="AC193" s="314"/>
      <c r="AD193" s="314"/>
      <c r="AE193" s="314"/>
      <c r="AF193" s="314"/>
      <c r="AG193" s="315"/>
      <c r="AH193" s="8"/>
      <c r="AI193" s="313"/>
      <c r="AJ193" s="314"/>
      <c r="AK193" s="314"/>
      <c r="AL193" s="314"/>
      <c r="AM193" s="314"/>
      <c r="AN193" s="314"/>
      <c r="AO193" s="314"/>
      <c r="AP193" s="314"/>
      <c r="AQ193" s="314"/>
      <c r="AR193" s="315"/>
    </row>
    <row r="194" spans="2:44" ht="15" customHeight="1" x14ac:dyDescent="0.3">
      <c r="B194" s="316"/>
      <c r="C194" s="317" t="s">
        <v>1114</v>
      </c>
      <c r="D194" s="318">
        <v>17</v>
      </c>
      <c r="E194" s="319"/>
      <c r="F194" s="319"/>
      <c r="G194" s="319"/>
      <c r="H194" s="319"/>
      <c r="I194" s="319"/>
      <c r="J194" s="319"/>
      <c r="K194" s="320"/>
      <c r="M194" s="316"/>
      <c r="N194" s="317" t="s">
        <v>1114</v>
      </c>
      <c r="O194" s="318">
        <v>18</v>
      </c>
      <c r="P194" s="319"/>
      <c r="Q194" s="319"/>
      <c r="R194" s="319"/>
      <c r="S194" s="319"/>
      <c r="T194" s="319"/>
      <c r="U194" s="319"/>
      <c r="V194" s="320"/>
      <c r="X194" s="316"/>
      <c r="Y194" s="317" t="s">
        <v>1114</v>
      </c>
      <c r="Z194" s="318">
        <v>19</v>
      </c>
      <c r="AA194" s="319"/>
      <c r="AB194" s="319"/>
      <c r="AC194" s="319"/>
      <c r="AD194" s="319"/>
      <c r="AE194" s="319"/>
      <c r="AF194" s="319"/>
      <c r="AG194" s="320"/>
      <c r="AH194" s="8"/>
      <c r="AI194" s="316"/>
      <c r="AJ194" s="317" t="s">
        <v>1114</v>
      </c>
      <c r="AK194" s="318">
        <v>20</v>
      </c>
      <c r="AL194" s="319"/>
      <c r="AM194" s="319"/>
      <c r="AN194" s="319"/>
      <c r="AO194" s="319"/>
      <c r="AP194" s="319"/>
      <c r="AQ194" s="319"/>
      <c r="AR194" s="320"/>
    </row>
    <row r="195" spans="2:44" ht="15" customHeight="1" x14ac:dyDescent="0.3">
      <c r="B195" s="316"/>
      <c r="C195" s="317"/>
      <c r="D195" s="321">
        <v>42434</v>
      </c>
      <c r="E195" s="317" t="s">
        <v>1399</v>
      </c>
      <c r="F195" s="317"/>
      <c r="G195" s="319"/>
      <c r="H195" s="319"/>
      <c r="I195" s="319"/>
      <c r="J195" s="319"/>
      <c r="K195" s="320"/>
      <c r="M195" s="316"/>
      <c r="N195" s="317"/>
      <c r="O195" s="321">
        <v>42434</v>
      </c>
      <c r="P195" s="317" t="s">
        <v>1399</v>
      </c>
      <c r="Q195" s="317"/>
      <c r="R195" s="319"/>
      <c r="S195" s="319"/>
      <c r="T195" s="319"/>
      <c r="U195" s="319"/>
      <c r="V195" s="320"/>
      <c r="X195" s="316"/>
      <c r="Y195" s="317"/>
      <c r="Z195" s="321">
        <v>42442</v>
      </c>
      <c r="AA195" s="317" t="s">
        <v>1398</v>
      </c>
      <c r="AB195" s="317"/>
      <c r="AC195" s="319"/>
      <c r="AD195" s="319"/>
      <c r="AE195" s="319"/>
      <c r="AF195" s="319"/>
      <c r="AG195" s="320"/>
      <c r="AH195" s="8"/>
      <c r="AI195" s="316"/>
      <c r="AJ195" s="317"/>
      <c r="AK195" s="321">
        <v>42442</v>
      </c>
      <c r="AL195" s="317" t="s">
        <v>1398</v>
      </c>
      <c r="AM195" s="317"/>
      <c r="AN195" s="319"/>
      <c r="AO195" s="319"/>
      <c r="AP195" s="319"/>
      <c r="AQ195" s="319"/>
      <c r="AR195" s="320"/>
    </row>
    <row r="196" spans="2:44" ht="15" customHeight="1" x14ac:dyDescent="0.3">
      <c r="B196" s="316"/>
      <c r="C196" s="317"/>
      <c r="D196" s="321"/>
      <c r="E196" s="317"/>
      <c r="F196" s="317"/>
      <c r="G196" s="319"/>
      <c r="H196" s="319"/>
      <c r="I196" s="319"/>
      <c r="J196" s="319"/>
      <c r="K196" s="320"/>
      <c r="M196" s="316"/>
      <c r="N196" s="317"/>
      <c r="O196" s="321"/>
      <c r="P196" s="317"/>
      <c r="Q196" s="317"/>
      <c r="R196" s="319"/>
      <c r="S196" s="319"/>
      <c r="T196" s="319"/>
      <c r="U196" s="319"/>
      <c r="V196" s="320"/>
      <c r="X196" s="316"/>
      <c r="Y196" s="317"/>
      <c r="Z196" s="321"/>
      <c r="AA196" s="317"/>
      <c r="AB196" s="317"/>
      <c r="AC196" s="319"/>
      <c r="AD196" s="319"/>
      <c r="AE196" s="319"/>
      <c r="AF196" s="319"/>
      <c r="AG196" s="320"/>
      <c r="AI196" s="316"/>
      <c r="AJ196" s="317"/>
      <c r="AK196" s="321"/>
      <c r="AL196" s="317"/>
      <c r="AM196" s="317"/>
      <c r="AN196" s="319"/>
      <c r="AO196" s="319"/>
      <c r="AP196" s="319"/>
      <c r="AQ196" s="319"/>
      <c r="AR196" s="320"/>
    </row>
    <row r="197" spans="2:44" ht="15" customHeight="1" x14ac:dyDescent="0.3">
      <c r="B197" s="316"/>
      <c r="C197" s="317"/>
      <c r="D197" s="343" t="s">
        <v>1407</v>
      </c>
      <c r="E197" s="344" t="s">
        <v>1409</v>
      </c>
      <c r="F197" s="317"/>
      <c r="G197" s="319"/>
      <c r="H197" s="319"/>
      <c r="I197" s="319"/>
      <c r="J197" s="319"/>
      <c r="K197" s="320"/>
      <c r="M197" s="316"/>
      <c r="N197" s="317"/>
      <c r="O197" s="343" t="s">
        <v>1407</v>
      </c>
      <c r="P197" s="344" t="s">
        <v>1409</v>
      </c>
      <c r="Q197" s="317"/>
      <c r="R197" s="319"/>
      <c r="S197" s="319"/>
      <c r="T197" s="319"/>
      <c r="U197" s="319"/>
      <c r="V197" s="320"/>
      <c r="X197" s="316"/>
      <c r="Y197" s="317"/>
      <c r="Z197" s="343" t="s">
        <v>1407</v>
      </c>
      <c r="AA197" s="344" t="s">
        <v>1409</v>
      </c>
      <c r="AB197" s="317"/>
      <c r="AC197" s="319"/>
      <c r="AD197" s="319"/>
      <c r="AE197" s="319"/>
      <c r="AF197" s="319"/>
      <c r="AG197" s="320"/>
      <c r="AI197" s="316"/>
      <c r="AJ197" s="317"/>
      <c r="AK197" s="343" t="s">
        <v>1407</v>
      </c>
      <c r="AL197" s="344" t="s">
        <v>1411</v>
      </c>
      <c r="AM197" s="317"/>
      <c r="AN197" s="319"/>
      <c r="AO197" s="319"/>
      <c r="AP197" s="319"/>
      <c r="AQ197" s="319"/>
      <c r="AR197" s="320"/>
    </row>
    <row r="198" spans="2:44" ht="15" customHeight="1" x14ac:dyDescent="0.3">
      <c r="B198" s="316"/>
      <c r="C198" s="317"/>
      <c r="D198" s="321"/>
      <c r="E198" s="317"/>
      <c r="F198" s="317"/>
      <c r="G198" s="319"/>
      <c r="H198" s="319"/>
      <c r="I198" s="319"/>
      <c r="J198" s="319"/>
      <c r="K198" s="320"/>
      <c r="M198" s="316"/>
      <c r="N198" s="317"/>
      <c r="O198" s="321"/>
      <c r="P198" s="317"/>
      <c r="Q198" s="317"/>
      <c r="R198" s="319"/>
      <c r="S198" s="319"/>
      <c r="T198" s="319"/>
      <c r="U198" s="319"/>
      <c r="V198" s="320"/>
      <c r="X198" s="316"/>
      <c r="Y198" s="317"/>
      <c r="Z198" s="321"/>
      <c r="AA198" s="317"/>
      <c r="AB198" s="317"/>
      <c r="AC198" s="319"/>
      <c r="AD198" s="319"/>
      <c r="AE198" s="319"/>
      <c r="AF198" s="319"/>
      <c r="AG198" s="320"/>
      <c r="AI198" s="316"/>
      <c r="AJ198" s="317"/>
      <c r="AK198" s="321"/>
      <c r="AL198" s="317"/>
      <c r="AM198" s="317"/>
      <c r="AN198" s="319"/>
      <c r="AO198" s="319"/>
      <c r="AP198" s="319"/>
      <c r="AQ198" s="319"/>
      <c r="AR198" s="320"/>
    </row>
    <row r="199" spans="2:44" ht="15" customHeight="1" x14ac:dyDescent="0.3">
      <c r="B199" s="316"/>
      <c r="C199" s="319"/>
      <c r="D199" s="322" t="s">
        <v>0</v>
      </c>
      <c r="E199" s="322" t="s">
        <v>1405</v>
      </c>
      <c r="F199" s="322"/>
      <c r="G199" s="319"/>
      <c r="H199" s="319"/>
      <c r="I199" s="319"/>
      <c r="J199" s="319"/>
      <c r="K199" s="320"/>
      <c r="M199" s="316"/>
      <c r="N199" s="319"/>
      <c r="O199" s="322" t="s">
        <v>0</v>
      </c>
      <c r="P199" s="322" t="s">
        <v>1245</v>
      </c>
      <c r="Q199" s="322"/>
      <c r="R199" s="319"/>
      <c r="S199" s="319"/>
      <c r="T199" s="319"/>
      <c r="U199" s="319"/>
      <c r="V199" s="320"/>
      <c r="X199" s="316"/>
      <c r="Y199" s="319"/>
      <c r="Z199" s="322" t="s">
        <v>1403</v>
      </c>
      <c r="AA199" s="322" t="s">
        <v>0</v>
      </c>
      <c r="AB199" s="322"/>
      <c r="AC199" s="319"/>
      <c r="AD199" s="319"/>
      <c r="AE199" s="319"/>
      <c r="AF199" s="319"/>
      <c r="AG199" s="320"/>
      <c r="AH199" s="8"/>
      <c r="AI199" s="316"/>
      <c r="AJ199" s="319"/>
      <c r="AK199" s="322" t="s">
        <v>1220</v>
      </c>
      <c r="AL199" s="322" t="s">
        <v>0</v>
      </c>
      <c r="AM199" s="322"/>
      <c r="AN199" s="319"/>
      <c r="AO199" s="319"/>
      <c r="AP199" s="319"/>
      <c r="AQ199" s="319"/>
      <c r="AR199" s="320"/>
    </row>
    <row r="200" spans="2:44" ht="15" customHeight="1" x14ac:dyDescent="0.3">
      <c r="B200" s="316"/>
      <c r="C200" s="319"/>
      <c r="D200" s="213">
        <f>D202+D203+D204</f>
        <v>6</v>
      </c>
      <c r="E200" s="213">
        <f>E202+E203+E204</f>
        <v>2</v>
      </c>
      <c r="F200" s="312"/>
      <c r="G200" s="319"/>
      <c r="H200" s="319"/>
      <c r="I200" s="319"/>
      <c r="J200" s="319"/>
      <c r="K200" s="320"/>
      <c r="M200" s="316"/>
      <c r="N200" s="319"/>
      <c r="O200" s="213">
        <f>O202+O203+O204</f>
        <v>9</v>
      </c>
      <c r="P200" s="213">
        <f>P202+P203+P204</f>
        <v>2</v>
      </c>
      <c r="Q200" s="312"/>
      <c r="R200" s="319"/>
      <c r="S200" s="319"/>
      <c r="T200" s="319"/>
      <c r="U200" s="319"/>
      <c r="V200" s="320"/>
      <c r="X200" s="316"/>
      <c r="Y200" s="319"/>
      <c r="Z200" s="213">
        <f>Z202+Z203+Z204</f>
        <v>3</v>
      </c>
      <c r="AA200" s="213">
        <f>AA202+AA203+AA204</f>
        <v>5</v>
      </c>
      <c r="AB200" s="312"/>
      <c r="AC200" s="319"/>
      <c r="AD200" s="319"/>
      <c r="AE200" s="319"/>
      <c r="AF200" s="319"/>
      <c r="AG200" s="320"/>
      <c r="AH200" s="8"/>
      <c r="AI200" s="316"/>
      <c r="AJ200" s="319"/>
      <c r="AK200" s="213">
        <f>AK202+AK203+AK204</f>
        <v>6</v>
      </c>
      <c r="AL200" s="213">
        <f>AL202+AL203+AL204</f>
        <v>1</v>
      </c>
      <c r="AM200" s="312"/>
      <c r="AN200" s="319"/>
      <c r="AO200" s="319"/>
      <c r="AP200" s="319"/>
      <c r="AQ200" s="319"/>
      <c r="AR200" s="320"/>
    </row>
    <row r="201" spans="2:44" ht="15" customHeight="1" x14ac:dyDescent="0.3">
      <c r="B201" s="316"/>
      <c r="C201" s="319"/>
      <c r="D201" s="319"/>
      <c r="E201" s="319"/>
      <c r="F201" s="319"/>
      <c r="G201" s="319"/>
      <c r="H201" s="319"/>
      <c r="I201" s="319"/>
      <c r="J201" s="319"/>
      <c r="K201" s="320"/>
      <c r="M201" s="316"/>
      <c r="N201" s="319"/>
      <c r="O201" s="319"/>
      <c r="P201" s="319"/>
      <c r="Q201" s="319"/>
      <c r="R201" s="319"/>
      <c r="S201" s="319"/>
      <c r="T201" s="319"/>
      <c r="U201" s="319"/>
      <c r="V201" s="320"/>
      <c r="X201" s="316"/>
      <c r="Y201" s="319"/>
      <c r="Z201" s="319"/>
      <c r="AA201" s="319"/>
      <c r="AB201" s="319"/>
      <c r="AC201" s="319"/>
      <c r="AD201" s="319"/>
      <c r="AE201" s="319"/>
      <c r="AF201" s="319"/>
      <c r="AG201" s="320"/>
      <c r="AH201" s="8"/>
      <c r="AI201" s="316"/>
      <c r="AJ201" s="319"/>
      <c r="AK201" s="319"/>
      <c r="AL201" s="319"/>
      <c r="AM201" s="319"/>
      <c r="AN201" s="319"/>
      <c r="AO201" s="319"/>
      <c r="AP201" s="319"/>
      <c r="AQ201" s="319"/>
      <c r="AR201" s="320"/>
    </row>
    <row r="202" spans="2:44" ht="15" customHeight="1" x14ac:dyDescent="0.3">
      <c r="B202" s="316"/>
      <c r="C202" s="317" t="s">
        <v>1111</v>
      </c>
      <c r="D202" s="213">
        <v>1</v>
      </c>
      <c r="E202" s="213">
        <v>1</v>
      </c>
      <c r="F202" s="312"/>
      <c r="G202" s="319"/>
      <c r="H202" s="319"/>
      <c r="I202" s="319"/>
      <c r="J202" s="319"/>
      <c r="K202" s="320"/>
      <c r="M202" s="316"/>
      <c r="N202" s="317" t="s">
        <v>1111</v>
      </c>
      <c r="O202" s="213">
        <v>3</v>
      </c>
      <c r="P202" s="213">
        <v>2</v>
      </c>
      <c r="Q202" s="312"/>
      <c r="R202" s="319"/>
      <c r="S202" s="319"/>
      <c r="T202" s="319"/>
      <c r="U202" s="319"/>
      <c r="V202" s="320"/>
      <c r="X202" s="316"/>
      <c r="Y202" s="317" t="s">
        <v>1111</v>
      </c>
      <c r="Z202" s="213">
        <v>0</v>
      </c>
      <c r="AA202" s="213">
        <v>2</v>
      </c>
      <c r="AB202" s="312"/>
      <c r="AC202" s="319"/>
      <c r="AD202" s="319"/>
      <c r="AE202" s="319"/>
      <c r="AF202" s="319"/>
      <c r="AG202" s="320"/>
      <c r="AH202" s="8"/>
      <c r="AI202" s="316"/>
      <c r="AJ202" s="317" t="s">
        <v>1111</v>
      </c>
      <c r="AK202" s="213">
        <v>0</v>
      </c>
      <c r="AL202" s="213">
        <v>0</v>
      </c>
      <c r="AM202" s="312"/>
      <c r="AN202" s="319"/>
      <c r="AO202" s="319"/>
      <c r="AP202" s="319"/>
      <c r="AQ202" s="319"/>
      <c r="AR202" s="320"/>
    </row>
    <row r="203" spans="2:44" ht="15" customHeight="1" x14ac:dyDescent="0.3">
      <c r="B203" s="316"/>
      <c r="C203" s="317" t="s">
        <v>1112</v>
      </c>
      <c r="D203" s="213">
        <v>2</v>
      </c>
      <c r="E203" s="213">
        <v>0</v>
      </c>
      <c r="F203" s="312"/>
      <c r="G203" s="319"/>
      <c r="H203" s="319"/>
      <c r="I203" s="319"/>
      <c r="J203" s="319"/>
      <c r="K203" s="320"/>
      <c r="M203" s="316"/>
      <c r="N203" s="317" t="s">
        <v>1112</v>
      </c>
      <c r="O203" s="213">
        <v>3</v>
      </c>
      <c r="P203" s="213">
        <v>0</v>
      </c>
      <c r="Q203" s="312"/>
      <c r="R203" s="319"/>
      <c r="S203" s="319"/>
      <c r="T203" s="319"/>
      <c r="U203" s="319"/>
      <c r="V203" s="320"/>
      <c r="X203" s="316"/>
      <c r="Y203" s="317" t="s">
        <v>1112</v>
      </c>
      <c r="Z203" s="213">
        <v>2</v>
      </c>
      <c r="AA203" s="213">
        <v>2</v>
      </c>
      <c r="AB203" s="312"/>
      <c r="AC203" s="319"/>
      <c r="AD203" s="319"/>
      <c r="AE203" s="319"/>
      <c r="AF203" s="319"/>
      <c r="AG203" s="320"/>
      <c r="AH203" s="8"/>
      <c r="AI203" s="316"/>
      <c r="AJ203" s="317" t="s">
        <v>1112</v>
      </c>
      <c r="AK203" s="213">
        <v>3</v>
      </c>
      <c r="AL203" s="213">
        <v>0</v>
      </c>
      <c r="AM203" s="312"/>
      <c r="AN203" s="319"/>
      <c r="AO203" s="319"/>
      <c r="AP203" s="319"/>
      <c r="AQ203" s="319"/>
      <c r="AR203" s="320"/>
    </row>
    <row r="204" spans="2:44" ht="15" customHeight="1" x14ac:dyDescent="0.3">
      <c r="B204" s="316"/>
      <c r="C204" s="317" t="s">
        <v>1113</v>
      </c>
      <c r="D204" s="213">
        <v>3</v>
      </c>
      <c r="E204" s="213">
        <v>1</v>
      </c>
      <c r="F204" s="312"/>
      <c r="G204" s="319"/>
      <c r="H204" s="319"/>
      <c r="I204" s="319"/>
      <c r="J204" s="319"/>
      <c r="K204" s="320"/>
      <c r="M204" s="316"/>
      <c r="N204" s="317" t="s">
        <v>1113</v>
      </c>
      <c r="O204" s="213">
        <v>3</v>
      </c>
      <c r="P204" s="213">
        <v>0</v>
      </c>
      <c r="Q204" s="312"/>
      <c r="R204" s="319"/>
      <c r="S204" s="319"/>
      <c r="T204" s="319"/>
      <c r="U204" s="319"/>
      <c r="V204" s="320"/>
      <c r="X204" s="316"/>
      <c r="Y204" s="317" t="s">
        <v>1113</v>
      </c>
      <c r="Z204" s="213">
        <v>1</v>
      </c>
      <c r="AA204" s="213">
        <v>1</v>
      </c>
      <c r="AB204" s="312"/>
      <c r="AC204" s="319"/>
      <c r="AD204" s="319"/>
      <c r="AE204" s="319"/>
      <c r="AF204" s="319"/>
      <c r="AG204" s="320"/>
      <c r="AI204" s="316"/>
      <c r="AJ204" s="317" t="s">
        <v>1113</v>
      </c>
      <c r="AK204" s="213">
        <v>3</v>
      </c>
      <c r="AL204" s="213">
        <v>1</v>
      </c>
      <c r="AM204" s="312"/>
      <c r="AN204" s="319"/>
      <c r="AO204" s="319"/>
      <c r="AP204" s="319"/>
      <c r="AQ204" s="319"/>
      <c r="AR204" s="320"/>
    </row>
    <row r="205" spans="2:44" ht="15" customHeight="1" x14ac:dyDescent="0.3">
      <c r="B205" s="316"/>
      <c r="C205" s="319"/>
      <c r="D205" s="319"/>
      <c r="E205" s="319"/>
      <c r="F205" s="319"/>
      <c r="G205" s="319"/>
      <c r="H205" s="319"/>
      <c r="I205" s="319"/>
      <c r="J205" s="319"/>
      <c r="K205" s="320"/>
      <c r="M205" s="316"/>
      <c r="N205" s="319"/>
      <c r="O205" s="319"/>
      <c r="P205" s="319"/>
      <c r="Q205" s="319"/>
      <c r="R205" s="319"/>
      <c r="S205" s="319"/>
      <c r="T205" s="319"/>
      <c r="U205" s="319"/>
      <c r="V205" s="320"/>
      <c r="X205" s="316"/>
      <c r="Y205" s="319"/>
      <c r="Z205" s="319"/>
      <c r="AA205" s="319"/>
      <c r="AB205" s="319"/>
      <c r="AC205" s="319"/>
      <c r="AD205" s="319"/>
      <c r="AE205" s="319"/>
      <c r="AF205" s="319"/>
      <c r="AG205" s="320"/>
      <c r="AI205" s="316"/>
      <c r="AJ205" s="319"/>
      <c r="AK205" s="319"/>
      <c r="AL205" s="319"/>
      <c r="AM205" s="319"/>
      <c r="AN205" s="319"/>
      <c r="AO205" s="319"/>
      <c r="AP205" s="319"/>
      <c r="AQ205" s="319"/>
      <c r="AR205" s="320"/>
    </row>
    <row r="206" spans="2:44" ht="15" customHeight="1" x14ac:dyDescent="0.3">
      <c r="B206" s="316"/>
      <c r="C206" s="319"/>
      <c r="D206" s="323" t="s">
        <v>1120</v>
      </c>
      <c r="E206" s="319" t="s">
        <v>501</v>
      </c>
      <c r="F206" s="319"/>
      <c r="G206" s="312" t="s">
        <v>1128</v>
      </c>
      <c r="H206" s="312"/>
      <c r="I206" s="319"/>
      <c r="J206" s="319"/>
      <c r="K206" s="320"/>
      <c r="M206" s="316"/>
      <c r="N206" s="319"/>
      <c r="O206" s="323" t="s">
        <v>1120</v>
      </c>
      <c r="P206" s="319" t="s">
        <v>501</v>
      </c>
      <c r="Q206" s="319"/>
      <c r="R206" s="312" t="s">
        <v>1128</v>
      </c>
      <c r="S206" s="312"/>
      <c r="T206" s="319"/>
      <c r="U206" s="319"/>
      <c r="V206" s="320"/>
      <c r="X206" s="316"/>
      <c r="Y206" s="319"/>
      <c r="Z206" s="323" t="s">
        <v>1120</v>
      </c>
      <c r="AA206" s="319" t="s">
        <v>501</v>
      </c>
      <c r="AB206" s="319"/>
      <c r="AC206" s="312" t="s">
        <v>1128</v>
      </c>
      <c r="AD206" s="312"/>
      <c r="AE206" s="319"/>
      <c r="AF206" s="319"/>
      <c r="AG206" s="320"/>
      <c r="AI206" s="316"/>
      <c r="AJ206" s="319"/>
      <c r="AK206" s="323" t="s">
        <v>1120</v>
      </c>
      <c r="AL206" s="319" t="s">
        <v>501</v>
      </c>
      <c r="AM206" s="319"/>
      <c r="AN206" s="312" t="s">
        <v>1128</v>
      </c>
      <c r="AO206" s="312"/>
      <c r="AP206" s="319"/>
      <c r="AQ206" s="319"/>
      <c r="AR206" s="320"/>
    </row>
    <row r="207" spans="2:44" ht="15" customHeight="1" x14ac:dyDescent="0.3">
      <c r="B207" s="316"/>
      <c r="C207" s="319"/>
      <c r="D207" s="319" t="s">
        <v>1115</v>
      </c>
      <c r="E207" s="323" t="s">
        <v>1116</v>
      </c>
      <c r="F207" s="323"/>
      <c r="G207" s="312">
        <v>14</v>
      </c>
      <c r="H207" s="312">
        <v>96</v>
      </c>
      <c r="I207" s="319"/>
      <c r="J207" s="319"/>
      <c r="K207" s="320"/>
      <c r="M207" s="316"/>
      <c r="N207" s="319"/>
      <c r="O207" s="319" t="s">
        <v>1115</v>
      </c>
      <c r="P207" s="323" t="s">
        <v>1116</v>
      </c>
      <c r="Q207" s="323"/>
      <c r="R207" s="312">
        <v>14</v>
      </c>
      <c r="S207" s="312">
        <v>96</v>
      </c>
      <c r="T207" s="319"/>
      <c r="U207" s="319"/>
      <c r="V207" s="320"/>
      <c r="X207" s="316"/>
      <c r="Y207" s="319"/>
      <c r="Z207" s="319" t="s">
        <v>1115</v>
      </c>
      <c r="AA207" s="323" t="s">
        <v>1116</v>
      </c>
      <c r="AB207" s="323"/>
      <c r="AC207" s="312">
        <v>14</v>
      </c>
      <c r="AD207" s="312">
        <v>96</v>
      </c>
      <c r="AE207" s="319"/>
      <c r="AF207" s="319"/>
      <c r="AG207" s="320"/>
      <c r="AH207" s="8"/>
      <c r="AI207" s="316"/>
      <c r="AJ207" s="319"/>
      <c r="AK207" s="319" t="s">
        <v>1115</v>
      </c>
      <c r="AL207" s="323" t="s">
        <v>1116</v>
      </c>
      <c r="AM207" s="323"/>
      <c r="AN207" s="312">
        <v>14</v>
      </c>
      <c r="AO207" s="312">
        <v>96</v>
      </c>
      <c r="AP207" s="319"/>
      <c r="AQ207" s="319"/>
      <c r="AR207" s="320"/>
    </row>
    <row r="208" spans="2:44" ht="15" customHeight="1" x14ac:dyDescent="0.3">
      <c r="B208" s="316"/>
      <c r="C208" s="319"/>
      <c r="D208" s="319" t="s">
        <v>1117</v>
      </c>
      <c r="E208" s="323" t="s">
        <v>1118</v>
      </c>
      <c r="F208" s="323"/>
      <c r="G208" s="312">
        <v>23</v>
      </c>
      <c r="H208" s="312">
        <v>50</v>
      </c>
      <c r="I208" s="319"/>
      <c r="J208" s="319"/>
      <c r="K208" s="320"/>
      <c r="M208" s="316"/>
      <c r="N208" s="319"/>
      <c r="O208" s="319" t="s">
        <v>1117</v>
      </c>
      <c r="P208" s="323" t="s">
        <v>1118</v>
      </c>
      <c r="Q208" s="323"/>
      <c r="R208" s="312">
        <v>23</v>
      </c>
      <c r="S208" s="312">
        <v>50</v>
      </c>
      <c r="T208" s="319"/>
      <c r="U208" s="319"/>
      <c r="V208" s="320"/>
      <c r="X208" s="316"/>
      <c r="Y208" s="319"/>
      <c r="Z208" s="319" t="s">
        <v>1117</v>
      </c>
      <c r="AA208" s="323" t="s">
        <v>1118</v>
      </c>
      <c r="AB208" s="323"/>
      <c r="AC208" s="312">
        <v>23</v>
      </c>
      <c r="AD208" s="312">
        <v>50</v>
      </c>
      <c r="AE208" s="319"/>
      <c r="AF208" s="319"/>
      <c r="AG208" s="320"/>
      <c r="AI208" s="316"/>
      <c r="AJ208" s="319"/>
      <c r="AK208" s="319" t="s">
        <v>1117</v>
      </c>
      <c r="AL208" s="323" t="s">
        <v>1118</v>
      </c>
      <c r="AM208" s="323"/>
      <c r="AN208" s="312">
        <v>23</v>
      </c>
      <c r="AO208" s="312">
        <v>50</v>
      </c>
      <c r="AP208" s="319"/>
      <c r="AQ208" s="319"/>
      <c r="AR208" s="320"/>
    </row>
    <row r="209" spans="2:44" ht="15" customHeight="1" x14ac:dyDescent="0.3">
      <c r="B209" s="316"/>
      <c r="C209" s="319"/>
      <c r="D209" s="319" t="s">
        <v>1121</v>
      </c>
      <c r="E209" s="319" t="s">
        <v>501</v>
      </c>
      <c r="F209" s="319"/>
      <c r="G209" s="312">
        <v>17</v>
      </c>
      <c r="H209" s="312"/>
      <c r="I209" s="319"/>
      <c r="J209" s="319"/>
      <c r="K209" s="320"/>
      <c r="M209" s="316"/>
      <c r="N209" s="319"/>
      <c r="O209" s="319" t="s">
        <v>1121</v>
      </c>
      <c r="P209" s="319" t="s">
        <v>501</v>
      </c>
      <c r="Q209" s="319"/>
      <c r="R209" s="312">
        <v>17</v>
      </c>
      <c r="S209" s="312"/>
      <c r="T209" s="319"/>
      <c r="U209" s="319"/>
      <c r="V209" s="320"/>
      <c r="X209" s="316"/>
      <c r="Y209" s="319"/>
      <c r="Z209" s="319" t="s">
        <v>1121</v>
      </c>
      <c r="AA209" s="319" t="s">
        <v>501</v>
      </c>
      <c r="AB209" s="319"/>
      <c r="AC209" s="312">
        <v>17</v>
      </c>
      <c r="AD209" s="312"/>
      <c r="AE209" s="319"/>
      <c r="AF209" s="319"/>
      <c r="AG209" s="320"/>
      <c r="AI209" s="316"/>
      <c r="AJ209" s="319"/>
      <c r="AK209" s="319" t="s">
        <v>1121</v>
      </c>
      <c r="AL209" s="319" t="s">
        <v>501</v>
      </c>
      <c r="AM209" s="319"/>
      <c r="AN209" s="312">
        <v>17</v>
      </c>
      <c r="AO209" s="312"/>
      <c r="AP209" s="319"/>
      <c r="AQ209" s="319"/>
      <c r="AR209" s="320"/>
    </row>
    <row r="210" spans="2:44" ht="15" customHeight="1" x14ac:dyDescent="0.3">
      <c r="B210" s="316"/>
      <c r="C210" s="319"/>
      <c r="D210" s="319" t="s">
        <v>1119</v>
      </c>
      <c r="E210" s="323" t="s">
        <v>909</v>
      </c>
      <c r="F210" s="323"/>
      <c r="G210" s="312" t="s">
        <v>1128</v>
      </c>
      <c r="H210" s="312"/>
      <c r="I210" s="319"/>
      <c r="J210" s="319"/>
      <c r="K210" s="320"/>
      <c r="M210" s="316"/>
      <c r="N210" s="319"/>
      <c r="O210" s="319" t="s">
        <v>1119</v>
      </c>
      <c r="P210" s="323" t="s">
        <v>909</v>
      </c>
      <c r="Q210" s="323"/>
      <c r="R210" s="312" t="s">
        <v>1128</v>
      </c>
      <c r="S210" s="312"/>
      <c r="T210" s="319"/>
      <c r="U210" s="319"/>
      <c r="V210" s="320"/>
      <c r="X210" s="316"/>
      <c r="Y210" s="319"/>
      <c r="Z210" s="319" t="s">
        <v>1119</v>
      </c>
      <c r="AA210" s="323" t="s">
        <v>909</v>
      </c>
      <c r="AB210" s="323"/>
      <c r="AC210" s="312" t="s">
        <v>1128</v>
      </c>
      <c r="AD210" s="312"/>
      <c r="AE210" s="319"/>
      <c r="AF210" s="319"/>
      <c r="AG210" s="320"/>
      <c r="AI210" s="316"/>
      <c r="AJ210" s="319"/>
      <c r="AK210" s="319" t="s">
        <v>1119</v>
      </c>
      <c r="AL210" s="323" t="s">
        <v>909</v>
      </c>
      <c r="AM210" s="323"/>
      <c r="AN210" s="312" t="s">
        <v>1128</v>
      </c>
      <c r="AO210" s="312"/>
      <c r="AP210" s="319"/>
      <c r="AQ210" s="319"/>
      <c r="AR210" s="320"/>
    </row>
    <row r="211" spans="2:44" ht="15" customHeight="1" x14ac:dyDescent="0.3">
      <c r="B211" s="316"/>
      <c r="C211" s="319"/>
      <c r="D211" s="319" t="s">
        <v>1122</v>
      </c>
      <c r="E211" s="323" t="s">
        <v>1123</v>
      </c>
      <c r="F211" s="323"/>
      <c r="G211" s="312">
        <v>20</v>
      </c>
      <c r="H211" s="312" t="s">
        <v>107</v>
      </c>
      <c r="I211" s="319"/>
      <c r="J211" s="319"/>
      <c r="K211" s="320"/>
      <c r="M211" s="316"/>
      <c r="N211" s="319"/>
      <c r="O211" s="319" t="s">
        <v>1122</v>
      </c>
      <c r="P211" s="323" t="s">
        <v>1123</v>
      </c>
      <c r="Q211" s="323"/>
      <c r="R211" s="312">
        <v>20</v>
      </c>
      <c r="S211" s="312" t="s">
        <v>107</v>
      </c>
      <c r="T211" s="319"/>
      <c r="U211" s="319"/>
      <c r="V211" s="320"/>
      <c r="X211" s="316"/>
      <c r="Y211" s="319"/>
      <c r="Z211" s="319" t="s">
        <v>1122</v>
      </c>
      <c r="AA211" s="323" t="s">
        <v>1123</v>
      </c>
      <c r="AB211" s="323"/>
      <c r="AC211" s="312">
        <v>20</v>
      </c>
      <c r="AD211" s="312" t="s">
        <v>107</v>
      </c>
      <c r="AE211" s="319"/>
      <c r="AF211" s="319"/>
      <c r="AG211" s="320"/>
      <c r="AI211" s="316"/>
      <c r="AJ211" s="319"/>
      <c r="AK211" s="319" t="s">
        <v>1122</v>
      </c>
      <c r="AL211" s="323" t="s">
        <v>1123</v>
      </c>
      <c r="AM211" s="323"/>
      <c r="AN211" s="312">
        <v>20</v>
      </c>
      <c r="AO211" s="312" t="s">
        <v>107</v>
      </c>
      <c r="AP211" s="319"/>
      <c r="AQ211" s="319"/>
      <c r="AR211" s="320"/>
    </row>
    <row r="212" spans="2:44" ht="15" customHeight="1" x14ac:dyDescent="0.3">
      <c r="B212" s="316"/>
      <c r="C212" s="319"/>
      <c r="D212" s="319"/>
      <c r="E212" s="319" t="s">
        <v>1400</v>
      </c>
      <c r="F212" s="319"/>
      <c r="G212" s="319"/>
      <c r="H212" s="319"/>
      <c r="I212" s="319"/>
      <c r="J212" s="319"/>
      <c r="K212" s="320"/>
      <c r="M212" s="316"/>
      <c r="N212" s="319"/>
      <c r="O212" s="319"/>
      <c r="P212" s="319" t="s">
        <v>1400</v>
      </c>
      <c r="Q212" s="319"/>
      <c r="R212" s="319"/>
      <c r="S212" s="319"/>
      <c r="T212" s="319"/>
      <c r="U212" s="319"/>
      <c r="V212" s="320"/>
      <c r="X212" s="316"/>
      <c r="Y212" s="319"/>
      <c r="Z212" s="319"/>
      <c r="AA212" s="319" t="s">
        <v>1400</v>
      </c>
      <c r="AB212" s="319"/>
      <c r="AC212" s="319"/>
      <c r="AD212" s="319"/>
      <c r="AE212" s="319"/>
      <c r="AF212" s="319"/>
      <c r="AG212" s="320"/>
      <c r="AI212" s="316"/>
      <c r="AJ212" s="319"/>
      <c r="AK212" s="319"/>
      <c r="AL212" s="319" t="s">
        <v>1400</v>
      </c>
      <c r="AM212" s="319"/>
      <c r="AN212" s="319"/>
      <c r="AO212" s="319"/>
      <c r="AP212" s="319"/>
      <c r="AQ212" s="319"/>
      <c r="AR212" s="320"/>
    </row>
    <row r="213" spans="2:44" ht="15" customHeight="1" x14ac:dyDescent="0.3">
      <c r="B213" s="316"/>
      <c r="C213" s="319"/>
      <c r="D213" s="319"/>
      <c r="E213" s="319"/>
      <c r="F213" s="319"/>
      <c r="G213" s="319"/>
      <c r="H213" s="319"/>
      <c r="I213" s="319"/>
      <c r="J213" s="319"/>
      <c r="K213" s="320"/>
      <c r="M213" s="316"/>
      <c r="N213" s="319"/>
      <c r="O213" s="319"/>
      <c r="P213" s="319"/>
      <c r="Q213" s="319"/>
      <c r="R213" s="319"/>
      <c r="S213" s="319"/>
      <c r="T213" s="319"/>
      <c r="U213" s="319"/>
      <c r="V213" s="320"/>
      <c r="X213" s="316"/>
      <c r="Y213" s="319"/>
      <c r="Z213" s="319"/>
      <c r="AA213" s="319"/>
      <c r="AB213" s="319"/>
      <c r="AC213" s="319"/>
      <c r="AD213" s="319"/>
      <c r="AE213" s="319"/>
      <c r="AF213" s="319"/>
      <c r="AG213" s="320"/>
      <c r="AI213" s="316"/>
      <c r="AJ213" s="319"/>
      <c r="AK213" s="319"/>
      <c r="AL213" s="319"/>
      <c r="AM213" s="319"/>
      <c r="AN213" s="319"/>
      <c r="AO213" s="319"/>
      <c r="AP213" s="319"/>
      <c r="AQ213" s="319"/>
      <c r="AR213" s="320"/>
    </row>
    <row r="214" spans="2:44" ht="15" customHeight="1" x14ac:dyDescent="0.3">
      <c r="B214" s="316"/>
      <c r="C214" s="319"/>
      <c r="D214" s="319"/>
      <c r="E214" s="319"/>
      <c r="F214" s="319"/>
      <c r="G214" s="319"/>
      <c r="H214" s="319"/>
      <c r="I214" s="319"/>
      <c r="J214" s="319"/>
      <c r="K214" s="320"/>
      <c r="M214" s="316"/>
      <c r="N214" s="319"/>
      <c r="O214" s="319"/>
      <c r="P214" s="319"/>
      <c r="Q214" s="319"/>
      <c r="R214" s="319"/>
      <c r="S214" s="319"/>
      <c r="T214" s="319"/>
      <c r="U214" s="319"/>
      <c r="V214" s="320"/>
      <c r="X214" s="316"/>
      <c r="Y214" s="319"/>
      <c r="Z214" s="319"/>
      <c r="AA214" s="319"/>
      <c r="AB214" s="319"/>
      <c r="AC214" s="319"/>
      <c r="AD214" s="319"/>
      <c r="AE214" s="319"/>
      <c r="AF214" s="319"/>
      <c r="AG214" s="320"/>
      <c r="AI214" s="316"/>
      <c r="AJ214" s="319"/>
      <c r="AK214" s="319"/>
      <c r="AL214" s="319"/>
      <c r="AM214" s="319"/>
      <c r="AN214" s="319"/>
      <c r="AO214" s="319"/>
      <c r="AP214" s="319"/>
      <c r="AQ214" s="319"/>
      <c r="AR214" s="320"/>
    </row>
    <row r="215" spans="2:44" ht="15" customHeight="1" x14ac:dyDescent="0.3">
      <c r="B215" s="316"/>
      <c r="C215" s="319"/>
      <c r="D215" s="319"/>
      <c r="E215" s="319"/>
      <c r="F215" s="319"/>
      <c r="G215" s="319"/>
      <c r="H215" s="319"/>
      <c r="I215" s="319"/>
      <c r="J215" s="319"/>
      <c r="K215" s="320"/>
      <c r="M215" s="316"/>
      <c r="N215" s="319"/>
      <c r="O215" s="319"/>
      <c r="P215" s="319"/>
      <c r="Q215" s="319"/>
      <c r="R215" s="319"/>
      <c r="S215" s="319"/>
      <c r="T215" s="319"/>
      <c r="U215" s="319"/>
      <c r="V215" s="320"/>
      <c r="X215" s="316"/>
      <c r="Y215" s="319"/>
      <c r="Z215" s="319"/>
      <c r="AA215" s="319"/>
      <c r="AB215" s="319"/>
      <c r="AC215" s="319"/>
      <c r="AD215" s="319"/>
      <c r="AE215" s="319"/>
      <c r="AF215" s="319"/>
      <c r="AG215" s="320"/>
      <c r="AI215" s="316"/>
      <c r="AJ215" s="319"/>
      <c r="AK215" s="319"/>
      <c r="AL215" s="319"/>
      <c r="AM215" s="319"/>
      <c r="AN215" s="319"/>
      <c r="AO215" s="319"/>
      <c r="AP215" s="319"/>
      <c r="AQ215" s="319"/>
      <c r="AR215" s="320"/>
    </row>
    <row r="216" spans="2:44" ht="15" customHeight="1" x14ac:dyDescent="0.3">
      <c r="B216" s="316"/>
      <c r="C216" s="319"/>
      <c r="D216" s="319"/>
      <c r="E216" s="319"/>
      <c r="F216" s="319"/>
      <c r="G216" s="319"/>
      <c r="H216" s="319"/>
      <c r="I216" s="319"/>
      <c r="J216" s="319"/>
      <c r="K216" s="320"/>
      <c r="M216" s="316"/>
      <c r="N216" s="319"/>
      <c r="O216" s="319"/>
      <c r="P216" s="319"/>
      <c r="Q216" s="319"/>
      <c r="R216" s="319"/>
      <c r="S216" s="319"/>
      <c r="T216" s="319"/>
      <c r="U216" s="319"/>
      <c r="V216" s="320"/>
      <c r="X216" s="316"/>
      <c r="Y216" s="319"/>
      <c r="Z216" s="319"/>
      <c r="AA216" s="319"/>
      <c r="AB216" s="319"/>
      <c r="AC216" s="319"/>
      <c r="AD216" s="319"/>
      <c r="AE216" s="319"/>
      <c r="AF216" s="319"/>
      <c r="AG216" s="320"/>
      <c r="AI216" s="316"/>
      <c r="AJ216" s="319"/>
      <c r="AK216" s="319"/>
      <c r="AL216" s="319"/>
      <c r="AM216" s="319"/>
      <c r="AN216" s="319"/>
      <c r="AO216" s="319"/>
      <c r="AP216" s="319"/>
      <c r="AQ216" s="319"/>
      <c r="AR216" s="320"/>
    </row>
    <row r="217" spans="2:44" ht="15" customHeight="1" x14ac:dyDescent="0.3">
      <c r="B217" s="316"/>
      <c r="C217" s="319"/>
      <c r="D217" s="319"/>
      <c r="E217" s="319"/>
      <c r="F217" s="319"/>
      <c r="G217" s="319"/>
      <c r="H217" s="319"/>
      <c r="I217" s="319"/>
      <c r="J217" s="319"/>
      <c r="K217" s="320"/>
      <c r="M217" s="316"/>
      <c r="N217" s="319"/>
      <c r="O217" s="319"/>
      <c r="P217" s="319"/>
      <c r="Q217" s="319"/>
      <c r="R217" s="319"/>
      <c r="S217" s="319"/>
      <c r="T217" s="319"/>
      <c r="U217" s="319"/>
      <c r="V217" s="320"/>
      <c r="X217" s="316"/>
      <c r="Y217" s="319"/>
      <c r="Z217" s="319"/>
      <c r="AA217" s="319"/>
      <c r="AB217" s="319"/>
      <c r="AC217" s="319"/>
      <c r="AD217" s="319"/>
      <c r="AE217" s="319"/>
      <c r="AF217" s="319"/>
      <c r="AG217" s="320"/>
      <c r="AI217" s="316"/>
      <c r="AJ217" s="319"/>
      <c r="AK217" s="319"/>
      <c r="AL217" s="319"/>
      <c r="AM217" s="319"/>
      <c r="AN217" s="319"/>
      <c r="AO217" s="319"/>
      <c r="AP217" s="319"/>
      <c r="AQ217" s="319"/>
      <c r="AR217" s="320"/>
    </row>
    <row r="218" spans="2:44" ht="15" customHeight="1" x14ac:dyDescent="0.3">
      <c r="B218" s="316"/>
      <c r="C218" s="319"/>
      <c r="D218" s="319"/>
      <c r="E218" s="319"/>
      <c r="F218" s="319"/>
      <c r="G218" s="319"/>
      <c r="H218" s="319"/>
      <c r="I218" s="319"/>
      <c r="J218" s="319"/>
      <c r="K218" s="320"/>
      <c r="M218" s="316"/>
      <c r="N218" s="319"/>
      <c r="O218" s="319"/>
      <c r="P218" s="319"/>
      <c r="Q218" s="319"/>
      <c r="R218" s="319"/>
      <c r="S218" s="319"/>
      <c r="T218" s="319"/>
      <c r="U218" s="319"/>
      <c r="V218" s="320"/>
      <c r="X218" s="316"/>
      <c r="Y218" s="319"/>
      <c r="Z218" s="319"/>
      <c r="AA218" s="319"/>
      <c r="AB218" s="319"/>
      <c r="AC218" s="319"/>
      <c r="AD218" s="319"/>
      <c r="AE218" s="319"/>
      <c r="AF218" s="319"/>
      <c r="AG218" s="320"/>
      <c r="AI218" s="316"/>
      <c r="AJ218" s="319"/>
      <c r="AK218" s="319"/>
      <c r="AL218" s="319"/>
      <c r="AM218" s="319"/>
      <c r="AN218" s="319"/>
      <c r="AO218" s="319"/>
      <c r="AP218" s="319"/>
      <c r="AQ218" s="319"/>
      <c r="AR218" s="320"/>
    </row>
    <row r="219" spans="2:44" ht="15" customHeight="1" x14ac:dyDescent="0.3">
      <c r="B219" s="316"/>
      <c r="C219" s="319"/>
      <c r="D219" s="319"/>
      <c r="E219" s="319"/>
      <c r="F219" s="319"/>
      <c r="G219" s="319"/>
      <c r="H219" s="319"/>
      <c r="I219" s="319"/>
      <c r="J219" s="319"/>
      <c r="K219" s="320"/>
      <c r="M219" s="316"/>
      <c r="N219" s="319"/>
      <c r="O219" s="319"/>
      <c r="P219" s="319"/>
      <c r="Q219" s="319"/>
      <c r="R219" s="319"/>
      <c r="S219" s="319"/>
      <c r="T219" s="319"/>
      <c r="U219" s="319"/>
      <c r="V219" s="320"/>
      <c r="X219" s="316"/>
      <c r="Y219" s="319"/>
      <c r="Z219" s="319"/>
      <c r="AA219" s="319"/>
      <c r="AB219" s="319"/>
      <c r="AC219" s="319"/>
      <c r="AD219" s="319"/>
      <c r="AE219" s="319"/>
      <c r="AF219" s="319"/>
      <c r="AG219" s="320"/>
      <c r="AI219" s="316"/>
      <c r="AJ219" s="319"/>
      <c r="AK219" s="319"/>
      <c r="AL219" s="319"/>
      <c r="AM219" s="319"/>
      <c r="AN219" s="319"/>
      <c r="AO219" s="319"/>
      <c r="AP219" s="319"/>
      <c r="AQ219" s="319"/>
      <c r="AR219" s="320"/>
    </row>
    <row r="220" spans="2:44" ht="15" customHeight="1" x14ac:dyDescent="0.3">
      <c r="B220" s="316"/>
      <c r="C220" s="319"/>
      <c r="D220" s="319"/>
      <c r="E220" s="319"/>
      <c r="F220" s="319"/>
      <c r="G220" s="324" t="s">
        <v>533</v>
      </c>
      <c r="H220" s="324" t="s">
        <v>534</v>
      </c>
      <c r="I220" s="324" t="s">
        <v>610</v>
      </c>
      <c r="J220" s="324" t="s">
        <v>535</v>
      </c>
      <c r="K220" s="325"/>
      <c r="M220" s="316"/>
      <c r="N220" s="319"/>
      <c r="O220" s="319"/>
      <c r="P220" s="319"/>
      <c r="Q220" s="319"/>
      <c r="R220" s="324" t="s">
        <v>533</v>
      </c>
      <c r="S220" s="324" t="s">
        <v>534</v>
      </c>
      <c r="T220" s="324" t="s">
        <v>610</v>
      </c>
      <c r="U220" s="324" t="s">
        <v>535</v>
      </c>
      <c r="V220" s="325"/>
      <c r="X220" s="316"/>
      <c r="Y220" s="319"/>
      <c r="Z220" s="319"/>
      <c r="AA220" s="319"/>
      <c r="AB220" s="319"/>
      <c r="AC220" s="324" t="s">
        <v>533</v>
      </c>
      <c r="AD220" s="324" t="s">
        <v>534</v>
      </c>
      <c r="AE220" s="324" t="s">
        <v>610</v>
      </c>
      <c r="AF220" s="324" t="s">
        <v>535</v>
      </c>
      <c r="AG220" s="325"/>
      <c r="AI220" s="316"/>
      <c r="AJ220" s="319"/>
      <c r="AK220" s="319"/>
      <c r="AL220" s="319"/>
      <c r="AM220" s="319"/>
      <c r="AN220" s="324" t="s">
        <v>533</v>
      </c>
      <c r="AO220" s="324" t="s">
        <v>534</v>
      </c>
      <c r="AP220" s="324" t="s">
        <v>610</v>
      </c>
      <c r="AQ220" s="324" t="s">
        <v>535</v>
      </c>
      <c r="AR220" s="325"/>
    </row>
    <row r="221" spans="2:44" ht="15" customHeight="1" x14ac:dyDescent="0.3">
      <c r="B221" s="316"/>
      <c r="C221" s="310">
        <v>1</v>
      </c>
      <c r="D221" s="311" t="s">
        <v>941</v>
      </c>
      <c r="E221" s="311"/>
      <c r="F221" s="311"/>
      <c r="G221" s="213"/>
      <c r="H221" s="213"/>
      <c r="I221" s="213"/>
      <c r="J221" s="213"/>
      <c r="K221" s="326"/>
      <c r="M221" s="316"/>
      <c r="N221" s="310">
        <v>1</v>
      </c>
      <c r="O221" s="311" t="s">
        <v>941</v>
      </c>
      <c r="P221" s="311"/>
      <c r="Q221" s="311"/>
      <c r="R221" s="213"/>
      <c r="S221" s="213"/>
      <c r="T221" s="213"/>
      <c r="U221" s="213"/>
      <c r="V221" s="326"/>
      <c r="X221" s="316"/>
      <c r="Y221" s="310">
        <v>1</v>
      </c>
      <c r="Z221" s="311" t="s">
        <v>941</v>
      </c>
      <c r="AA221" s="311"/>
      <c r="AB221" s="311"/>
      <c r="AC221" s="213"/>
      <c r="AD221" s="213"/>
      <c r="AE221" s="213"/>
      <c r="AF221" s="213"/>
      <c r="AG221" s="326"/>
      <c r="AI221" s="316"/>
      <c r="AJ221" s="310">
        <v>1</v>
      </c>
      <c r="AK221" s="311" t="s">
        <v>941</v>
      </c>
      <c r="AL221" s="311"/>
      <c r="AM221" s="311"/>
      <c r="AN221" s="213"/>
      <c r="AO221" s="213"/>
      <c r="AP221" s="213"/>
      <c r="AQ221" s="213"/>
      <c r="AR221" s="326"/>
    </row>
    <row r="222" spans="2:44" ht="15" customHeight="1" x14ac:dyDescent="0.3">
      <c r="B222" s="316"/>
      <c r="C222" s="310">
        <v>4</v>
      </c>
      <c r="D222" s="311" t="s">
        <v>530</v>
      </c>
      <c r="E222" s="311"/>
      <c r="F222" s="311"/>
      <c r="G222" s="213"/>
      <c r="H222" s="213"/>
      <c r="I222" s="213"/>
      <c r="J222" s="213"/>
      <c r="K222" s="326"/>
      <c r="M222" s="316"/>
      <c r="N222" s="310">
        <v>4</v>
      </c>
      <c r="O222" s="311" t="s">
        <v>530</v>
      </c>
      <c r="P222" s="311"/>
      <c r="Q222" s="311"/>
      <c r="R222" s="213"/>
      <c r="S222" s="213"/>
      <c r="T222" s="213"/>
      <c r="U222" s="213"/>
      <c r="V222" s="326"/>
      <c r="X222" s="316"/>
      <c r="Y222" s="310">
        <v>4</v>
      </c>
      <c r="Z222" s="311" t="s">
        <v>530</v>
      </c>
      <c r="AA222" s="311"/>
      <c r="AB222" s="311"/>
      <c r="AC222" s="213"/>
      <c r="AD222" s="213"/>
      <c r="AE222" s="213"/>
      <c r="AF222" s="213"/>
      <c r="AG222" s="326"/>
      <c r="AI222" s="316"/>
      <c r="AJ222" s="310">
        <v>4</v>
      </c>
      <c r="AK222" s="311" t="s">
        <v>530</v>
      </c>
      <c r="AL222" s="311"/>
      <c r="AM222" s="311"/>
      <c r="AN222" s="213"/>
      <c r="AO222" s="213"/>
      <c r="AP222" s="213"/>
      <c r="AQ222" s="213"/>
      <c r="AR222" s="326"/>
    </row>
    <row r="223" spans="2:44" ht="15" customHeight="1" x14ac:dyDescent="0.3">
      <c r="B223" s="316"/>
      <c r="C223" s="310">
        <v>9</v>
      </c>
      <c r="D223" s="311" t="s">
        <v>1077</v>
      </c>
      <c r="E223" s="311"/>
      <c r="F223" s="311"/>
      <c r="G223" s="213"/>
      <c r="H223" s="213"/>
      <c r="I223" s="213"/>
      <c r="J223" s="213"/>
      <c r="K223" s="326"/>
      <c r="M223" s="316"/>
      <c r="N223" s="310">
        <v>9</v>
      </c>
      <c r="O223" s="311" t="s">
        <v>1077</v>
      </c>
      <c r="P223" s="311"/>
      <c r="Q223" s="311"/>
      <c r="R223" s="213"/>
      <c r="S223" s="213"/>
      <c r="T223" s="213"/>
      <c r="U223" s="213"/>
      <c r="V223" s="326"/>
      <c r="X223" s="316"/>
      <c r="Y223" s="310">
        <v>9</v>
      </c>
      <c r="Z223" s="311" t="s">
        <v>1077</v>
      </c>
      <c r="AA223" s="311"/>
      <c r="AB223" s="311"/>
      <c r="AC223" s="213"/>
      <c r="AD223" s="213"/>
      <c r="AE223" s="213"/>
      <c r="AF223" s="213"/>
      <c r="AG223" s="326"/>
      <c r="AI223" s="316"/>
      <c r="AJ223" s="310">
        <v>9</v>
      </c>
      <c r="AK223" s="311" t="s">
        <v>1077</v>
      </c>
      <c r="AL223" s="311"/>
      <c r="AM223" s="311"/>
      <c r="AN223" s="213"/>
      <c r="AO223" s="213"/>
      <c r="AP223" s="213"/>
      <c r="AQ223" s="213"/>
      <c r="AR223" s="326"/>
    </row>
    <row r="224" spans="2:44" ht="15" customHeight="1" x14ac:dyDescent="0.3">
      <c r="B224" s="316"/>
      <c r="C224" s="310">
        <v>14</v>
      </c>
      <c r="D224" s="311" t="s">
        <v>1075</v>
      </c>
      <c r="E224" s="311"/>
      <c r="F224" s="311"/>
      <c r="G224" s="213">
        <v>1</v>
      </c>
      <c r="H224" s="213"/>
      <c r="I224" s="213"/>
      <c r="J224" s="213"/>
      <c r="K224" s="326"/>
      <c r="M224" s="316"/>
      <c r="N224" s="310">
        <v>14</v>
      </c>
      <c r="O224" s="311" t="s">
        <v>1075</v>
      </c>
      <c r="P224" s="311"/>
      <c r="Q224" s="311"/>
      <c r="R224" s="213">
        <v>1</v>
      </c>
      <c r="S224" s="213"/>
      <c r="T224" s="213"/>
      <c r="U224" s="213"/>
      <c r="V224" s="326"/>
      <c r="X224" s="316"/>
      <c r="Y224" s="310">
        <v>14</v>
      </c>
      <c r="Z224" s="311" t="s">
        <v>1075</v>
      </c>
      <c r="AA224" s="311"/>
      <c r="AB224" s="311"/>
      <c r="AC224" s="213">
        <v>1</v>
      </c>
      <c r="AD224" s="213"/>
      <c r="AE224" s="213"/>
      <c r="AF224" s="213"/>
      <c r="AG224" s="326"/>
      <c r="AI224" s="316"/>
      <c r="AJ224" s="310">
        <v>14</v>
      </c>
      <c r="AK224" s="311" t="s">
        <v>1075</v>
      </c>
      <c r="AL224" s="311"/>
      <c r="AM224" s="311"/>
      <c r="AN224" s="213">
        <v>1</v>
      </c>
      <c r="AO224" s="213"/>
      <c r="AP224" s="213"/>
      <c r="AQ224" s="213"/>
      <c r="AR224" s="326"/>
    </row>
    <row r="225" spans="2:44" ht="15" customHeight="1" x14ac:dyDescent="0.3">
      <c r="B225" s="316"/>
      <c r="C225" s="310">
        <v>17</v>
      </c>
      <c r="D225" s="311" t="s">
        <v>53</v>
      </c>
      <c r="E225" s="311"/>
      <c r="F225" s="311"/>
      <c r="G225" s="213"/>
      <c r="H225" s="213"/>
      <c r="I225" s="213"/>
      <c r="J225" s="213">
        <v>1</v>
      </c>
      <c r="K225" s="326"/>
      <c r="M225" s="316"/>
      <c r="N225" s="310">
        <v>17</v>
      </c>
      <c r="O225" s="311" t="s">
        <v>53</v>
      </c>
      <c r="P225" s="311"/>
      <c r="Q225" s="311"/>
      <c r="R225" s="213"/>
      <c r="S225" s="213"/>
      <c r="T225" s="213"/>
      <c r="U225" s="213">
        <v>1</v>
      </c>
      <c r="V225" s="326"/>
      <c r="X225" s="316"/>
      <c r="Y225" s="310">
        <v>17</v>
      </c>
      <c r="Z225" s="311" t="s">
        <v>53</v>
      </c>
      <c r="AA225" s="311"/>
      <c r="AB225" s="311"/>
      <c r="AC225" s="213"/>
      <c r="AD225" s="213"/>
      <c r="AE225" s="213"/>
      <c r="AF225" s="213">
        <v>1</v>
      </c>
      <c r="AG225" s="326"/>
      <c r="AI225" s="316"/>
      <c r="AJ225" s="310">
        <v>17</v>
      </c>
      <c r="AK225" s="311" t="s">
        <v>53</v>
      </c>
      <c r="AL225" s="311"/>
      <c r="AM225" s="311"/>
      <c r="AN225" s="213"/>
      <c r="AO225" s="213"/>
      <c r="AP225" s="213"/>
      <c r="AQ225" s="213">
        <v>1</v>
      </c>
      <c r="AR225" s="326"/>
    </row>
    <row r="226" spans="2:44" ht="15" customHeight="1" x14ac:dyDescent="0.3">
      <c r="B226" s="316"/>
      <c r="C226" s="310">
        <v>19</v>
      </c>
      <c r="D226" s="311" t="s">
        <v>1125</v>
      </c>
      <c r="E226" s="311"/>
      <c r="F226" s="311"/>
      <c r="G226" s="213"/>
      <c r="H226" s="213"/>
      <c r="I226" s="213"/>
      <c r="J226" s="213"/>
      <c r="K226" s="326"/>
      <c r="M226" s="316"/>
      <c r="N226" s="310">
        <v>19</v>
      </c>
      <c r="O226" s="311" t="s">
        <v>1125</v>
      </c>
      <c r="P226" s="311"/>
      <c r="Q226" s="311"/>
      <c r="R226" s="213"/>
      <c r="S226" s="213"/>
      <c r="T226" s="213"/>
      <c r="U226" s="213"/>
      <c r="V226" s="326"/>
      <c r="X226" s="316"/>
      <c r="Y226" s="310">
        <v>19</v>
      </c>
      <c r="Z226" s="311" t="s">
        <v>1125</v>
      </c>
      <c r="AA226" s="311"/>
      <c r="AB226" s="311"/>
      <c r="AC226" s="213"/>
      <c r="AD226" s="213"/>
      <c r="AE226" s="213"/>
      <c r="AF226" s="213"/>
      <c r="AG226" s="326"/>
      <c r="AI226" s="316"/>
      <c r="AJ226" s="310">
        <v>19</v>
      </c>
      <c r="AK226" s="311" t="s">
        <v>1125</v>
      </c>
      <c r="AL226" s="311"/>
      <c r="AM226" s="311"/>
      <c r="AN226" s="213"/>
      <c r="AO226" s="213"/>
      <c r="AP226" s="213"/>
      <c r="AQ226" s="213"/>
      <c r="AR226" s="326"/>
    </row>
    <row r="227" spans="2:44" ht="15" customHeight="1" x14ac:dyDescent="0.3">
      <c r="B227" s="316"/>
      <c r="C227" s="310">
        <v>20</v>
      </c>
      <c r="D227" s="311" t="s">
        <v>1124</v>
      </c>
      <c r="E227" s="311"/>
      <c r="F227" s="311"/>
      <c r="G227" s="213">
        <v>1</v>
      </c>
      <c r="H227" s="213"/>
      <c r="I227" s="213"/>
      <c r="J227" s="213"/>
      <c r="K227" s="326"/>
      <c r="M227" s="316"/>
      <c r="N227" s="310">
        <v>20</v>
      </c>
      <c r="O227" s="311" t="s">
        <v>1124</v>
      </c>
      <c r="P227" s="311"/>
      <c r="Q227" s="311"/>
      <c r="R227" s="213">
        <v>1</v>
      </c>
      <c r="S227" s="213"/>
      <c r="T227" s="213"/>
      <c r="U227" s="213"/>
      <c r="V227" s="326"/>
      <c r="X227" s="316"/>
      <c r="Y227" s="310">
        <v>20</v>
      </c>
      <c r="Z227" s="311" t="s">
        <v>1124</v>
      </c>
      <c r="AA227" s="311"/>
      <c r="AB227" s="311"/>
      <c r="AC227" s="213">
        <v>1</v>
      </c>
      <c r="AD227" s="213"/>
      <c r="AE227" s="213"/>
      <c r="AF227" s="213"/>
      <c r="AG227" s="326"/>
      <c r="AI227" s="316"/>
      <c r="AJ227" s="310">
        <v>20</v>
      </c>
      <c r="AK227" s="311" t="s">
        <v>1124</v>
      </c>
      <c r="AL227" s="311"/>
      <c r="AM227" s="311"/>
      <c r="AN227" s="213">
        <v>1</v>
      </c>
      <c r="AO227" s="213"/>
      <c r="AP227" s="213"/>
      <c r="AQ227" s="213"/>
      <c r="AR227" s="326"/>
    </row>
    <row r="228" spans="2:44" ht="15" customHeight="1" x14ac:dyDescent="0.3">
      <c r="B228" s="316"/>
      <c r="C228" s="310">
        <v>23</v>
      </c>
      <c r="D228" s="311" t="s">
        <v>1076</v>
      </c>
      <c r="E228" s="311"/>
      <c r="F228" s="311"/>
      <c r="G228" s="213">
        <v>1</v>
      </c>
      <c r="H228" s="213"/>
      <c r="I228" s="213"/>
      <c r="J228" s="213"/>
      <c r="K228" s="326"/>
      <c r="M228" s="316"/>
      <c r="N228" s="310">
        <v>23</v>
      </c>
      <c r="O228" s="311" t="s">
        <v>1076</v>
      </c>
      <c r="P228" s="311"/>
      <c r="Q228" s="311"/>
      <c r="R228" s="213">
        <v>1</v>
      </c>
      <c r="S228" s="213"/>
      <c r="T228" s="213"/>
      <c r="U228" s="213"/>
      <c r="V228" s="326"/>
      <c r="X228" s="316"/>
      <c r="Y228" s="310">
        <v>23</v>
      </c>
      <c r="Z228" s="311" t="s">
        <v>1076</v>
      </c>
      <c r="AA228" s="311"/>
      <c r="AB228" s="311"/>
      <c r="AC228" s="213">
        <v>1</v>
      </c>
      <c r="AD228" s="213"/>
      <c r="AE228" s="213"/>
      <c r="AF228" s="213"/>
      <c r="AG228" s="326"/>
      <c r="AI228" s="316"/>
      <c r="AJ228" s="310">
        <v>23</v>
      </c>
      <c r="AK228" s="311" t="s">
        <v>1076</v>
      </c>
      <c r="AL228" s="311"/>
      <c r="AM228" s="311"/>
      <c r="AN228" s="213">
        <v>1</v>
      </c>
      <c r="AO228" s="213"/>
      <c r="AP228" s="213"/>
      <c r="AQ228" s="213"/>
      <c r="AR228" s="326"/>
    </row>
    <row r="229" spans="2:44" ht="15" customHeight="1" x14ac:dyDescent="0.3">
      <c r="B229" s="316"/>
      <c r="C229" s="310">
        <v>50</v>
      </c>
      <c r="D229" s="311" t="s">
        <v>680</v>
      </c>
      <c r="E229" s="311"/>
      <c r="F229" s="311"/>
      <c r="G229" s="213"/>
      <c r="H229" s="213">
        <v>1</v>
      </c>
      <c r="I229" s="213"/>
      <c r="J229" s="213"/>
      <c r="K229" s="326"/>
      <c r="M229" s="316"/>
      <c r="N229" s="310">
        <v>50</v>
      </c>
      <c r="O229" s="311" t="s">
        <v>680</v>
      </c>
      <c r="P229" s="311"/>
      <c r="Q229" s="311"/>
      <c r="R229" s="213"/>
      <c r="S229" s="213">
        <v>1</v>
      </c>
      <c r="T229" s="213"/>
      <c r="U229" s="213"/>
      <c r="V229" s="326"/>
      <c r="X229" s="316"/>
      <c r="Y229" s="310">
        <v>50</v>
      </c>
      <c r="Z229" s="311" t="s">
        <v>680</v>
      </c>
      <c r="AA229" s="311"/>
      <c r="AB229" s="311"/>
      <c r="AC229" s="213"/>
      <c r="AD229" s="213">
        <v>1</v>
      </c>
      <c r="AE229" s="213"/>
      <c r="AF229" s="213"/>
      <c r="AG229" s="326"/>
      <c r="AI229" s="316"/>
      <c r="AJ229" s="310">
        <v>50</v>
      </c>
      <c r="AK229" s="311" t="s">
        <v>680</v>
      </c>
      <c r="AL229" s="311"/>
      <c r="AM229" s="311"/>
      <c r="AN229" s="213"/>
      <c r="AO229" s="213">
        <v>1</v>
      </c>
      <c r="AP229" s="213"/>
      <c r="AQ229" s="213"/>
      <c r="AR229" s="326"/>
    </row>
    <row r="230" spans="2:44" ht="15" customHeight="1" x14ac:dyDescent="0.3">
      <c r="B230" s="316"/>
      <c r="C230" s="310">
        <v>75</v>
      </c>
      <c r="D230" s="311" t="s">
        <v>55</v>
      </c>
      <c r="E230" s="311"/>
      <c r="F230" s="311"/>
      <c r="G230" s="213"/>
      <c r="H230" s="213"/>
      <c r="I230" s="213"/>
      <c r="J230" s="213"/>
      <c r="K230" s="326"/>
      <c r="M230" s="316"/>
      <c r="N230" s="310">
        <v>75</v>
      </c>
      <c r="O230" s="311" t="s">
        <v>55</v>
      </c>
      <c r="P230" s="311"/>
      <c r="Q230" s="311"/>
      <c r="R230" s="213"/>
      <c r="S230" s="213"/>
      <c r="T230" s="213"/>
      <c r="U230" s="213"/>
      <c r="V230" s="326"/>
      <c r="X230" s="316"/>
      <c r="Y230" s="310">
        <v>75</v>
      </c>
      <c r="Z230" s="311" t="s">
        <v>55</v>
      </c>
      <c r="AA230" s="311"/>
      <c r="AB230" s="311"/>
      <c r="AC230" s="213"/>
      <c r="AD230" s="213"/>
      <c r="AE230" s="213"/>
      <c r="AF230" s="213"/>
      <c r="AG230" s="326"/>
      <c r="AI230" s="316"/>
      <c r="AJ230" s="310">
        <v>75</v>
      </c>
      <c r="AK230" s="311" t="s">
        <v>55</v>
      </c>
      <c r="AL230" s="311"/>
      <c r="AM230" s="311"/>
      <c r="AN230" s="213"/>
      <c r="AO230" s="213"/>
      <c r="AP230" s="213"/>
      <c r="AQ230" s="213"/>
      <c r="AR230" s="326"/>
    </row>
    <row r="231" spans="2:44" ht="15" customHeight="1" x14ac:dyDescent="0.3">
      <c r="B231" s="316"/>
      <c r="C231" s="310">
        <v>96</v>
      </c>
      <c r="D231" s="311" t="s">
        <v>185</v>
      </c>
      <c r="E231" s="311"/>
      <c r="F231" s="311"/>
      <c r="G231" s="213"/>
      <c r="H231" s="213">
        <v>1</v>
      </c>
      <c r="I231" s="213"/>
      <c r="J231" s="213"/>
      <c r="K231" s="326"/>
      <c r="M231" s="316"/>
      <c r="N231" s="310">
        <v>96</v>
      </c>
      <c r="O231" s="311" t="s">
        <v>185</v>
      </c>
      <c r="P231" s="311"/>
      <c r="Q231" s="311"/>
      <c r="R231" s="213"/>
      <c r="S231" s="213">
        <v>1</v>
      </c>
      <c r="T231" s="213"/>
      <c r="U231" s="213"/>
      <c r="V231" s="326"/>
      <c r="X231" s="316"/>
      <c r="Y231" s="310">
        <v>96</v>
      </c>
      <c r="Z231" s="311" t="s">
        <v>185</v>
      </c>
      <c r="AA231" s="311"/>
      <c r="AB231" s="311"/>
      <c r="AC231" s="213"/>
      <c r="AD231" s="213">
        <v>1</v>
      </c>
      <c r="AE231" s="213"/>
      <c r="AF231" s="213"/>
      <c r="AG231" s="326"/>
      <c r="AI231" s="316"/>
      <c r="AJ231" s="310">
        <v>96</v>
      </c>
      <c r="AK231" s="311" t="s">
        <v>185</v>
      </c>
      <c r="AL231" s="311"/>
      <c r="AM231" s="311"/>
      <c r="AN231" s="213"/>
      <c r="AO231" s="213">
        <v>1</v>
      </c>
      <c r="AP231" s="213"/>
      <c r="AQ231" s="213"/>
      <c r="AR231" s="326"/>
    </row>
    <row r="232" spans="2:44" ht="15" customHeight="1" x14ac:dyDescent="0.3">
      <c r="B232" s="316"/>
      <c r="C232" s="319"/>
      <c r="D232" s="319"/>
      <c r="E232" s="319"/>
      <c r="F232" s="319"/>
      <c r="G232" s="319"/>
      <c r="H232" s="319"/>
      <c r="I232" s="319"/>
      <c r="J232" s="319"/>
      <c r="K232" s="320"/>
      <c r="M232" s="316"/>
      <c r="N232" s="319"/>
      <c r="O232" s="319"/>
      <c r="P232" s="319"/>
      <c r="Q232" s="319"/>
      <c r="R232" s="319"/>
      <c r="S232" s="319"/>
      <c r="T232" s="319"/>
      <c r="U232" s="319"/>
      <c r="V232" s="320"/>
      <c r="X232" s="316"/>
      <c r="Y232" s="319"/>
      <c r="Z232" s="319"/>
      <c r="AA232" s="319"/>
      <c r="AB232" s="319"/>
      <c r="AC232" s="319"/>
      <c r="AD232" s="319"/>
      <c r="AE232" s="319"/>
      <c r="AF232" s="319"/>
      <c r="AG232" s="320"/>
      <c r="AI232" s="316"/>
      <c r="AJ232" s="319"/>
      <c r="AK232" s="319"/>
      <c r="AL232" s="319"/>
      <c r="AM232" s="319"/>
      <c r="AN232" s="319"/>
      <c r="AO232" s="319"/>
      <c r="AP232" s="319"/>
      <c r="AQ232" s="319"/>
      <c r="AR232" s="320"/>
    </row>
    <row r="233" spans="2:44" ht="15" customHeight="1" x14ac:dyDescent="0.3">
      <c r="B233" s="316"/>
      <c r="C233" s="319"/>
      <c r="D233" s="319"/>
      <c r="E233" s="319"/>
      <c r="F233" s="319"/>
      <c r="G233" s="319"/>
      <c r="H233" s="319"/>
      <c r="I233" s="319"/>
      <c r="J233" s="319"/>
      <c r="K233" s="320"/>
      <c r="M233" s="316"/>
      <c r="N233" s="319"/>
      <c r="O233" s="319"/>
      <c r="P233" s="319"/>
      <c r="Q233" s="319"/>
      <c r="R233" s="319"/>
      <c r="S233" s="319"/>
      <c r="T233" s="319"/>
      <c r="U233" s="319"/>
      <c r="V233" s="320"/>
      <c r="X233" s="316"/>
      <c r="Y233" s="319"/>
      <c r="Z233" s="319"/>
      <c r="AA233" s="319"/>
      <c r="AB233" s="319"/>
      <c r="AC233" s="319"/>
      <c r="AD233" s="319"/>
      <c r="AE233" s="319"/>
      <c r="AF233" s="319"/>
      <c r="AG233" s="320"/>
      <c r="AI233" s="316"/>
      <c r="AJ233" s="319"/>
      <c r="AK233" s="319"/>
      <c r="AL233" s="319"/>
      <c r="AM233" s="319"/>
      <c r="AN233" s="319"/>
      <c r="AO233" s="319"/>
      <c r="AP233" s="319"/>
      <c r="AQ233" s="319"/>
      <c r="AR233" s="320"/>
    </row>
    <row r="234" spans="2:44" ht="15" customHeight="1" x14ac:dyDescent="0.3">
      <c r="B234" s="316"/>
      <c r="C234" s="319"/>
      <c r="D234" s="319"/>
      <c r="E234" s="319"/>
      <c r="F234" s="319"/>
      <c r="G234" s="319"/>
      <c r="H234" s="319"/>
      <c r="I234" s="319"/>
      <c r="J234" s="319"/>
      <c r="K234" s="320"/>
      <c r="M234" s="316"/>
      <c r="N234" s="319"/>
      <c r="O234" s="319"/>
      <c r="P234" s="319"/>
      <c r="Q234" s="319"/>
      <c r="R234" s="319"/>
      <c r="S234" s="319"/>
      <c r="T234" s="319"/>
      <c r="U234" s="319"/>
      <c r="V234" s="320"/>
      <c r="X234" s="316"/>
      <c r="Y234" s="319"/>
      <c r="Z234" s="319"/>
      <c r="AA234" s="319"/>
      <c r="AB234" s="319"/>
      <c r="AC234" s="319"/>
      <c r="AD234" s="319"/>
      <c r="AE234" s="319"/>
      <c r="AF234" s="319"/>
      <c r="AG234" s="320"/>
      <c r="AI234" s="316"/>
      <c r="AJ234" s="319"/>
      <c r="AK234" s="319"/>
      <c r="AL234" s="319"/>
      <c r="AM234" s="319"/>
      <c r="AN234" s="319"/>
      <c r="AO234" s="319"/>
      <c r="AP234" s="319"/>
      <c r="AQ234" s="319"/>
      <c r="AR234" s="320"/>
    </row>
    <row r="235" spans="2:44" ht="15" customHeight="1" x14ac:dyDescent="0.3">
      <c r="B235" s="316"/>
      <c r="C235" s="319"/>
      <c r="D235" s="319"/>
      <c r="E235" s="319"/>
      <c r="F235" s="319"/>
      <c r="G235" s="319"/>
      <c r="H235" s="319"/>
      <c r="I235" s="319"/>
      <c r="J235" s="319"/>
      <c r="K235" s="320"/>
      <c r="M235" s="316"/>
      <c r="N235" s="319"/>
      <c r="O235" s="319"/>
      <c r="P235" s="319"/>
      <c r="Q235" s="319"/>
      <c r="R235" s="319"/>
      <c r="S235" s="319"/>
      <c r="T235" s="319"/>
      <c r="U235" s="319"/>
      <c r="V235" s="320"/>
      <c r="X235" s="316"/>
      <c r="Y235" s="319"/>
      <c r="Z235" s="319"/>
      <c r="AA235" s="319"/>
      <c r="AB235" s="319"/>
      <c r="AC235" s="319"/>
      <c r="AD235" s="319"/>
      <c r="AE235" s="319"/>
      <c r="AF235" s="319"/>
      <c r="AG235" s="320"/>
      <c r="AI235" s="316"/>
      <c r="AJ235" s="319"/>
      <c r="AK235" s="319"/>
      <c r="AL235" s="319"/>
      <c r="AM235" s="319"/>
      <c r="AN235" s="319"/>
      <c r="AO235" s="319"/>
      <c r="AP235" s="319"/>
      <c r="AQ235" s="319"/>
      <c r="AR235" s="320"/>
    </row>
    <row r="236" spans="2:44" ht="15" customHeight="1" x14ac:dyDescent="0.3">
      <c r="B236" s="316"/>
      <c r="C236" s="319"/>
      <c r="D236" s="319"/>
      <c r="E236" s="319"/>
      <c r="F236" s="319"/>
      <c r="G236" s="319"/>
      <c r="H236" s="319"/>
      <c r="I236" s="319"/>
      <c r="J236" s="319"/>
      <c r="K236" s="320"/>
      <c r="M236" s="316"/>
      <c r="N236" s="319"/>
      <c r="O236" s="319"/>
      <c r="P236" s="319"/>
      <c r="Q236" s="319"/>
      <c r="R236" s="319"/>
      <c r="S236" s="319"/>
      <c r="T236" s="319"/>
      <c r="U236" s="319"/>
      <c r="V236" s="320"/>
      <c r="X236" s="316"/>
      <c r="Y236" s="319"/>
      <c r="Z236" s="319"/>
      <c r="AA236" s="319"/>
      <c r="AB236" s="319"/>
      <c r="AC236" s="319"/>
      <c r="AD236" s="319"/>
      <c r="AE236" s="319"/>
      <c r="AF236" s="319"/>
      <c r="AG236" s="320"/>
      <c r="AI236" s="316"/>
      <c r="AJ236" s="319"/>
      <c r="AK236" s="319"/>
      <c r="AL236" s="319"/>
      <c r="AM236" s="319"/>
      <c r="AN236" s="319"/>
      <c r="AO236" s="319"/>
      <c r="AP236" s="319"/>
      <c r="AQ236" s="319"/>
      <c r="AR236" s="320"/>
    </row>
    <row r="237" spans="2:44" ht="15" customHeight="1" x14ac:dyDescent="0.3">
      <c r="B237" s="316"/>
      <c r="C237" s="319"/>
      <c r="D237" s="319"/>
      <c r="E237" s="319"/>
      <c r="F237" s="319"/>
      <c r="G237" s="319"/>
      <c r="H237" s="319"/>
      <c r="I237" s="319"/>
      <c r="J237" s="319"/>
      <c r="K237" s="320"/>
      <c r="M237" s="316"/>
      <c r="N237" s="319"/>
      <c r="O237" s="319"/>
      <c r="P237" s="319"/>
      <c r="Q237" s="319"/>
      <c r="R237" s="319"/>
      <c r="S237" s="319"/>
      <c r="T237" s="319"/>
      <c r="U237" s="319"/>
      <c r="V237" s="320"/>
      <c r="X237" s="316"/>
      <c r="Y237" s="319"/>
      <c r="Z237" s="319"/>
      <c r="AA237" s="319"/>
      <c r="AB237" s="319"/>
      <c r="AC237" s="319"/>
      <c r="AD237" s="319"/>
      <c r="AE237" s="319"/>
      <c r="AF237" s="319"/>
      <c r="AG237" s="320"/>
      <c r="AI237" s="316"/>
      <c r="AJ237" s="319"/>
      <c r="AK237" s="319"/>
      <c r="AL237" s="319"/>
      <c r="AM237" s="319"/>
      <c r="AN237" s="319"/>
      <c r="AO237" s="319"/>
      <c r="AP237" s="319"/>
      <c r="AQ237" s="319"/>
      <c r="AR237" s="320"/>
    </row>
    <row r="238" spans="2:44" ht="15" customHeight="1" thickBot="1" x14ac:dyDescent="0.35">
      <c r="B238" s="327"/>
      <c r="C238" s="328"/>
      <c r="D238" s="328"/>
      <c r="E238" s="328"/>
      <c r="F238" s="328"/>
      <c r="G238" s="328"/>
      <c r="H238" s="328"/>
      <c r="I238" s="328"/>
      <c r="J238" s="328"/>
      <c r="K238" s="329"/>
      <c r="M238" s="327"/>
      <c r="N238" s="328"/>
      <c r="O238" s="328"/>
      <c r="P238" s="328"/>
      <c r="Q238" s="328"/>
      <c r="R238" s="328"/>
      <c r="S238" s="328"/>
      <c r="T238" s="328"/>
      <c r="U238" s="328"/>
      <c r="V238" s="329"/>
      <c r="X238" s="327"/>
      <c r="Y238" s="328"/>
      <c r="Z238" s="328"/>
      <c r="AA238" s="328"/>
      <c r="AB238" s="328"/>
      <c r="AC238" s="328"/>
      <c r="AD238" s="328"/>
      <c r="AE238" s="328"/>
      <c r="AF238" s="328"/>
      <c r="AG238" s="329"/>
      <c r="AI238" s="327"/>
      <c r="AJ238" s="328"/>
      <c r="AK238" s="328"/>
      <c r="AL238" s="328"/>
      <c r="AM238" s="328"/>
      <c r="AN238" s="328"/>
      <c r="AO238" s="328"/>
      <c r="AP238" s="328"/>
      <c r="AQ238" s="328"/>
      <c r="AR238" s="329"/>
    </row>
    <row r="239" spans="2:44" ht="15" customHeight="1" x14ac:dyDescent="0.3">
      <c r="D239" s="1"/>
      <c r="E239" s="1"/>
      <c r="F239" s="1"/>
      <c r="G239" s="8"/>
      <c r="H239" s="8"/>
      <c r="O239" s="1"/>
      <c r="P239" s="1"/>
      <c r="Q239" s="1"/>
      <c r="Z239" s="1"/>
    </row>
    <row r="240" spans="2:44" ht="15" customHeight="1" x14ac:dyDescent="0.3">
      <c r="D240" s="1"/>
      <c r="E240" s="1"/>
      <c r="F240" s="1"/>
      <c r="G240" s="8"/>
      <c r="H240" s="8"/>
      <c r="O240" s="1"/>
      <c r="P240" s="1"/>
      <c r="Q240" s="1"/>
    </row>
    <row r="241" spans="4:43" ht="15" customHeight="1" x14ac:dyDescent="0.3">
      <c r="D241" s="1"/>
      <c r="E241" s="1"/>
      <c r="F241" s="1"/>
    </row>
    <row r="242" spans="4:43" ht="15" customHeight="1" x14ac:dyDescent="0.3">
      <c r="G242" s="265"/>
      <c r="H242" s="265"/>
      <c r="I242" s="265"/>
      <c r="J242" s="265"/>
      <c r="K242" s="265"/>
      <c r="R242" s="265"/>
      <c r="S242" s="265"/>
      <c r="T242" s="265"/>
      <c r="U242" s="265"/>
      <c r="V242" s="265"/>
      <c r="AC242" s="265"/>
      <c r="AD242" s="265"/>
      <c r="AE242" s="265"/>
      <c r="AF242" s="265"/>
      <c r="AG242" s="265"/>
      <c r="AH242" s="265"/>
      <c r="AN242" s="265"/>
      <c r="AO242" s="265"/>
      <c r="AP242" s="265"/>
      <c r="AQ242" s="265"/>
    </row>
    <row r="243" spans="4:43" ht="15" customHeight="1" x14ac:dyDescent="0.3">
      <c r="G243" s="8"/>
      <c r="H243" s="8"/>
      <c r="I243" s="8"/>
      <c r="J243" s="8"/>
      <c r="K243" s="8"/>
      <c r="R243" s="8"/>
      <c r="S243" s="8"/>
      <c r="T243" s="8"/>
      <c r="U243" s="8"/>
      <c r="V243" s="8"/>
      <c r="AC243" s="8"/>
      <c r="AD243" s="8"/>
      <c r="AE243" s="8"/>
      <c r="AF243" s="8"/>
      <c r="AG243" s="8"/>
      <c r="AH243" s="8"/>
      <c r="AN243" s="8"/>
      <c r="AO243" s="8"/>
      <c r="AP243" s="8"/>
      <c r="AQ243" s="8"/>
    </row>
    <row r="244" spans="4:43" ht="15" customHeight="1" x14ac:dyDescent="0.3">
      <c r="R244" s="8"/>
      <c r="S244" s="8"/>
      <c r="T244" s="8"/>
      <c r="U244" s="8"/>
      <c r="V244" s="8"/>
      <c r="AD244" s="8"/>
      <c r="AO244" s="8"/>
    </row>
    <row r="245" spans="4:43" ht="15" customHeight="1" x14ac:dyDescent="0.3">
      <c r="G245" s="8"/>
      <c r="H245" s="8"/>
      <c r="I245" s="8"/>
      <c r="J245" s="8"/>
      <c r="K245" s="8"/>
      <c r="R245" s="8"/>
      <c r="S245" s="8"/>
      <c r="T245" s="8"/>
      <c r="U245" s="8"/>
      <c r="V245" s="8"/>
      <c r="AC245" s="8"/>
      <c r="AD245" s="8"/>
      <c r="AE245" s="8"/>
      <c r="AF245" s="8"/>
      <c r="AG245" s="8"/>
      <c r="AH245" s="8"/>
      <c r="AN245" s="8"/>
      <c r="AO245" s="8"/>
      <c r="AP245" s="8"/>
      <c r="AQ245" s="8"/>
    </row>
    <row r="246" spans="4:43" ht="15" customHeight="1" x14ac:dyDescent="0.3">
      <c r="G246" s="8"/>
      <c r="H246" s="8"/>
      <c r="I246" s="8"/>
      <c r="J246" s="8"/>
      <c r="K246" s="8"/>
      <c r="R246" s="8"/>
      <c r="S246" s="8"/>
      <c r="T246" s="8"/>
      <c r="U246" s="8"/>
      <c r="V246" s="8"/>
      <c r="AC246" s="8"/>
      <c r="AD246" s="8"/>
      <c r="AE246" s="8"/>
      <c r="AF246" s="8"/>
      <c r="AG246" s="8"/>
      <c r="AH246" s="8"/>
      <c r="AN246" s="8"/>
      <c r="AO246" s="8"/>
      <c r="AP246" s="8"/>
      <c r="AQ246" s="8"/>
    </row>
    <row r="247" spans="4:43" ht="15" customHeight="1" x14ac:dyDescent="0.3">
      <c r="G247" s="8"/>
      <c r="H247" s="8"/>
      <c r="I247" s="8"/>
      <c r="J247" s="8"/>
      <c r="K247" s="8"/>
      <c r="R247" s="8"/>
      <c r="S247" s="8"/>
      <c r="T247" s="8"/>
      <c r="U247" s="8"/>
      <c r="V247" s="8"/>
      <c r="AC247" s="8"/>
      <c r="AD247" s="8"/>
      <c r="AE247" s="8"/>
      <c r="AF247" s="8"/>
      <c r="AG247" s="8"/>
      <c r="AH247" s="8"/>
      <c r="AN247" s="8"/>
      <c r="AO247" s="8"/>
      <c r="AP247" s="8"/>
      <c r="AQ247" s="8"/>
    </row>
    <row r="248" spans="4:43" ht="15" customHeight="1" x14ac:dyDescent="0.3">
      <c r="G248" s="8"/>
      <c r="H248" s="8"/>
      <c r="I248" s="8"/>
      <c r="J248" s="8"/>
      <c r="K248" s="8"/>
      <c r="R248" s="8"/>
      <c r="S248" s="8"/>
      <c r="T248" s="8"/>
      <c r="U248" s="8"/>
      <c r="V248" s="8"/>
      <c r="AC248" s="8"/>
      <c r="AD248" s="8"/>
      <c r="AE248" s="8"/>
      <c r="AF248" s="8"/>
      <c r="AG248" s="8"/>
      <c r="AH248" s="8"/>
      <c r="AN248" s="8"/>
      <c r="AO248" s="8"/>
      <c r="AP248" s="8"/>
      <c r="AQ248" s="8"/>
    </row>
    <row r="249" spans="4:43" ht="15" customHeight="1" x14ac:dyDescent="0.3">
      <c r="G249" s="8"/>
      <c r="H249" s="8"/>
      <c r="I249" s="8"/>
      <c r="J249" s="8"/>
      <c r="K249" s="8"/>
      <c r="R249" s="8"/>
      <c r="S249" s="8"/>
      <c r="T249" s="8"/>
      <c r="U249" s="8"/>
      <c r="V249" s="8"/>
      <c r="AC249" s="8"/>
      <c r="AD249" s="8"/>
      <c r="AE249" s="8"/>
      <c r="AF249" s="8"/>
      <c r="AG249" s="8"/>
      <c r="AH249" s="8"/>
      <c r="AN249" s="8"/>
      <c r="AO249" s="8"/>
      <c r="AP249" s="8"/>
      <c r="AQ249" s="8"/>
    </row>
    <row r="250" spans="4:43" ht="15" customHeight="1" x14ac:dyDescent="0.3">
      <c r="G250" s="8"/>
      <c r="H250" s="8"/>
      <c r="I250" s="8"/>
      <c r="J250" s="8"/>
      <c r="K250" s="8"/>
      <c r="R250" s="8"/>
      <c r="S250" s="8"/>
      <c r="AC250" s="8"/>
      <c r="AD250" s="8"/>
      <c r="AE250" s="8"/>
      <c r="AF250" s="8"/>
      <c r="AG250" s="8"/>
      <c r="AH250" s="8"/>
      <c r="AN250" s="8"/>
      <c r="AO250" s="8"/>
      <c r="AP250" s="8"/>
      <c r="AQ250" s="8"/>
    </row>
    <row r="251" spans="4:43" ht="15" customHeight="1" x14ac:dyDescent="0.3">
      <c r="G251" s="8"/>
      <c r="H251" s="8"/>
      <c r="I251" s="8"/>
      <c r="J251" s="8"/>
      <c r="K251" s="8"/>
      <c r="R251" s="8"/>
    </row>
    <row r="252" spans="4:43" ht="15" customHeight="1" x14ac:dyDescent="0.3">
      <c r="G252" s="8"/>
      <c r="H252" s="8"/>
      <c r="R252" s="8"/>
      <c r="S252" s="8"/>
      <c r="T252" s="8"/>
      <c r="U252" s="8"/>
      <c r="V252" s="8"/>
      <c r="AC252" s="8"/>
      <c r="AD252" s="8"/>
      <c r="AE252" s="8"/>
      <c r="AF252" s="8"/>
      <c r="AG252" s="8"/>
      <c r="AH252" s="8"/>
      <c r="AN252" s="8"/>
      <c r="AO252" s="8"/>
      <c r="AP252" s="8"/>
      <c r="AQ252" s="8"/>
    </row>
    <row r="253" spans="4:43" ht="15" customHeight="1" x14ac:dyDescent="0.3">
      <c r="G253" s="8"/>
      <c r="H253" s="8"/>
      <c r="AC253" s="8"/>
      <c r="AD253" s="8"/>
      <c r="AE253" s="8"/>
      <c r="AF253" s="8"/>
      <c r="AG253" s="8"/>
      <c r="AH253" s="8"/>
      <c r="AN253" s="8"/>
      <c r="AO253" s="8"/>
      <c r="AP253" s="8"/>
      <c r="AQ253" s="8"/>
    </row>
    <row r="254" spans="4:43" x14ac:dyDescent="0.3">
      <c r="G254" s="8"/>
      <c r="H254" s="8"/>
      <c r="I254" s="8"/>
      <c r="J254" s="8"/>
      <c r="K254" s="8"/>
      <c r="AC254" s="8"/>
      <c r="AD254" s="8"/>
      <c r="AE254" s="8"/>
      <c r="AF254" s="8"/>
      <c r="AG254" s="8"/>
      <c r="AH254" s="8"/>
      <c r="AN254" s="8"/>
      <c r="AO254" s="8"/>
      <c r="AP254" s="8"/>
      <c r="AQ254" s="8"/>
    </row>
    <row r="255" spans="4:43" x14ac:dyDescent="0.3">
      <c r="AC255" s="8"/>
      <c r="AD255" s="8"/>
      <c r="AE255" s="8"/>
      <c r="AF255" s="8"/>
      <c r="AG255" s="8"/>
      <c r="AH255" s="8"/>
      <c r="AN255" s="8"/>
      <c r="AO255" s="8"/>
      <c r="AP255" s="8"/>
      <c r="AQ255" s="8"/>
    </row>
    <row r="256" spans="4:43" x14ac:dyDescent="0.3">
      <c r="AC256" s="8"/>
      <c r="AD256" s="8"/>
      <c r="AE256" s="8"/>
      <c r="AF256" s="8"/>
      <c r="AG256" s="8"/>
      <c r="AH256" s="8"/>
      <c r="AN256" s="8"/>
      <c r="AO256" s="8"/>
      <c r="AP256" s="8"/>
      <c r="AQ256" s="8"/>
    </row>
    <row r="258" spans="7:171" x14ac:dyDescent="0.3">
      <c r="AC258" s="8"/>
      <c r="AD258" s="8"/>
      <c r="AN258" s="8"/>
      <c r="AO258" s="8"/>
    </row>
    <row r="260" spans="7:171" x14ac:dyDescent="0.3">
      <c r="AC260" s="8"/>
      <c r="AD260" s="8"/>
      <c r="AE260" s="8"/>
      <c r="AF260" s="8"/>
      <c r="AG260" s="8"/>
      <c r="AH260" s="8"/>
      <c r="AN260" s="8"/>
      <c r="AO260" s="8"/>
      <c r="AP260" s="8"/>
      <c r="AQ260" s="8"/>
    </row>
    <row r="267" spans="7:171" x14ac:dyDescent="0.3">
      <c r="G267" s="265"/>
      <c r="H267" s="265"/>
      <c r="I267" s="265"/>
      <c r="J267" s="265"/>
      <c r="K267" s="265"/>
      <c r="R267" s="265"/>
      <c r="S267" s="265"/>
      <c r="T267" s="265"/>
      <c r="U267" s="265"/>
      <c r="V267" s="265"/>
      <c r="AC267" s="265"/>
      <c r="AD267" s="265"/>
      <c r="AE267" s="265"/>
      <c r="AF267" s="265"/>
      <c r="AG267" s="265"/>
      <c r="AH267" s="265"/>
      <c r="AN267" s="265"/>
      <c r="AO267" s="265"/>
      <c r="AP267" s="265"/>
      <c r="AQ267" s="265"/>
      <c r="AV267" s="265"/>
      <c r="AW267" s="265"/>
      <c r="AX267" s="265"/>
      <c r="AY267" s="265"/>
      <c r="BD267" s="265"/>
      <c r="BE267" s="265"/>
      <c r="BF267" s="265"/>
      <c r="BG267" s="265"/>
      <c r="BL267" s="265"/>
      <c r="BM267" s="265"/>
      <c r="BN267" s="265"/>
      <c r="BO267" s="265"/>
      <c r="BT267" s="265"/>
      <c r="BU267" s="265"/>
      <c r="BV267" s="265"/>
      <c r="BW267" s="265"/>
      <c r="CB267" s="265"/>
      <c r="CC267" s="265"/>
      <c r="CD267" s="265"/>
      <c r="CE267" s="265"/>
      <c r="CJ267" s="265"/>
      <c r="CK267" s="265"/>
      <c r="CL267" s="265"/>
      <c r="CM267" s="265"/>
      <c r="CR267" s="265"/>
      <c r="CS267" s="265"/>
      <c r="CT267" s="265"/>
      <c r="CU267" s="265"/>
      <c r="CZ267" s="265"/>
      <c r="DA267" s="265"/>
      <c r="DB267" s="265"/>
      <c r="DC267" s="265"/>
      <c r="DH267" s="265"/>
      <c r="DI267" s="265"/>
      <c r="DJ267" s="265"/>
      <c r="DK267" s="265"/>
      <c r="DP267" s="265"/>
      <c r="DQ267" s="265"/>
      <c r="DR267" s="265"/>
      <c r="DS267" s="265"/>
      <c r="DX267" s="265"/>
      <c r="DY267" s="265"/>
      <c r="DZ267" s="265"/>
      <c r="EA267" s="265"/>
      <c r="EF267" s="265"/>
      <c r="EG267" s="265"/>
      <c r="EH267" s="265"/>
      <c r="EI267" s="265"/>
      <c r="EN267" s="265"/>
      <c r="EO267" s="265"/>
      <c r="EP267" s="265"/>
      <c r="EQ267" s="265"/>
      <c r="EV267" s="265"/>
      <c r="EW267" s="265"/>
      <c r="EX267" s="265"/>
      <c r="EY267" s="265"/>
      <c r="FD267" s="265"/>
      <c r="FE267" s="265"/>
      <c r="FF267" s="265"/>
      <c r="FG267" s="265"/>
      <c r="FL267" s="265"/>
      <c r="FM267" s="265"/>
      <c r="FN267" s="265"/>
      <c r="FO267" s="265"/>
    </row>
    <row r="268" spans="7:171" x14ac:dyDescent="0.3">
      <c r="G268" s="8"/>
      <c r="H268" s="8"/>
      <c r="I268" s="8"/>
      <c r="J268" s="8"/>
      <c r="K268" s="8"/>
      <c r="R268" s="8"/>
      <c r="S268" s="8"/>
      <c r="T268" s="8"/>
      <c r="U268" s="8"/>
      <c r="V268" s="8"/>
      <c r="AC268" s="8"/>
      <c r="AD268" s="8"/>
      <c r="AE268" s="8"/>
      <c r="AF268" s="8"/>
      <c r="AG268" s="8"/>
      <c r="AH268" s="8"/>
      <c r="AN268" s="8"/>
      <c r="AO268" s="8"/>
      <c r="AP268" s="8"/>
      <c r="AQ268" s="8"/>
      <c r="AV268" s="8"/>
      <c r="AW268" s="8"/>
      <c r="AX268" s="8"/>
      <c r="AY268" s="8"/>
      <c r="BD268" s="8"/>
      <c r="BE268" s="8"/>
      <c r="BF268" s="8"/>
      <c r="BG268" s="8"/>
      <c r="BL268" s="8"/>
      <c r="BM268" s="8"/>
      <c r="BN268" s="8"/>
      <c r="BO268" s="8"/>
      <c r="BT268" s="8"/>
      <c r="BU268" s="8"/>
      <c r="BV268" s="8"/>
      <c r="BW268" s="8"/>
      <c r="CB268" s="8"/>
      <c r="CC268" s="8"/>
      <c r="CD268" s="8"/>
      <c r="CE268" s="8"/>
      <c r="CJ268" s="8"/>
      <c r="CK268" s="8"/>
      <c r="CL268" s="8"/>
      <c r="CM268" s="8"/>
      <c r="CR268" s="8"/>
      <c r="CS268" s="8"/>
      <c r="CT268" s="8"/>
      <c r="CU268" s="8"/>
      <c r="CZ268" s="8"/>
      <c r="DA268" s="8"/>
      <c r="DB268" s="8"/>
      <c r="DC268" s="8"/>
      <c r="DH268" s="8"/>
      <c r="DI268" s="8"/>
      <c r="DJ268" s="8"/>
      <c r="DK268" s="8"/>
      <c r="DP268" s="8"/>
      <c r="DQ268" s="8"/>
      <c r="DR268" s="8"/>
      <c r="DS268" s="8"/>
      <c r="DX268" s="8"/>
      <c r="DY268" s="8"/>
      <c r="DZ268" s="8"/>
      <c r="EA268" s="8"/>
      <c r="EF268" s="8"/>
      <c r="EG268" s="8"/>
      <c r="EH268" s="8"/>
      <c r="EI268" s="8"/>
      <c r="EN268" s="8"/>
      <c r="EO268" s="8"/>
      <c r="EP268" s="8"/>
      <c r="EQ268" s="8"/>
      <c r="EV268" s="8"/>
      <c r="EW268" s="8"/>
      <c r="EX268" s="8"/>
      <c r="EY268" s="8"/>
      <c r="FD268" s="8"/>
      <c r="FE268" s="8"/>
      <c r="FF268" s="8"/>
      <c r="FG268" s="8"/>
      <c r="FL268" s="8"/>
      <c r="FM268" s="8"/>
      <c r="FN268" s="8"/>
      <c r="FO268" s="8"/>
    </row>
    <row r="269" spans="7:171" x14ac:dyDescent="0.3">
      <c r="G269" s="8"/>
      <c r="H269" s="8"/>
      <c r="I269" s="8"/>
      <c r="J269" s="8"/>
      <c r="K269" s="8"/>
      <c r="R269" s="8"/>
      <c r="S269" s="8"/>
      <c r="T269" s="8"/>
      <c r="U269" s="8"/>
      <c r="V269" s="8"/>
      <c r="AC269" s="8"/>
      <c r="AD269" s="8"/>
      <c r="AE269" s="8"/>
      <c r="AF269" s="8"/>
      <c r="AG269" s="8"/>
      <c r="AH269" s="8"/>
      <c r="AN269" s="8"/>
      <c r="AO269" s="8"/>
      <c r="AP269" s="8"/>
      <c r="AQ269" s="8"/>
      <c r="AV269" s="8"/>
      <c r="AW269" s="8"/>
      <c r="AX269" s="8"/>
      <c r="AY269" s="8"/>
      <c r="BD269" s="8"/>
      <c r="BE269" s="8"/>
      <c r="BF269" s="8"/>
      <c r="BG269" s="8"/>
      <c r="BL269" s="8"/>
      <c r="BM269" s="8"/>
      <c r="BN269" s="8"/>
      <c r="BO269" s="8"/>
      <c r="BT269" s="8"/>
      <c r="BU269" s="8"/>
      <c r="BV269" s="8"/>
      <c r="BW269" s="8"/>
      <c r="CB269" s="8"/>
      <c r="CC269" s="8"/>
      <c r="CD269" s="8"/>
      <c r="CE269" s="8"/>
      <c r="CJ269" s="8"/>
      <c r="CK269" s="8"/>
      <c r="CL269" s="8"/>
      <c r="CM269" s="8"/>
      <c r="CR269" s="8"/>
      <c r="CS269" s="8"/>
      <c r="CT269" s="8"/>
      <c r="CU269" s="8"/>
      <c r="CZ269" s="8"/>
      <c r="DA269" s="8"/>
      <c r="DB269" s="8"/>
      <c r="DC269" s="8"/>
      <c r="DP269" s="8"/>
      <c r="DQ269" s="8"/>
      <c r="DR269" s="8"/>
      <c r="DS269" s="8"/>
      <c r="DY269" s="8"/>
      <c r="EF269" s="8"/>
      <c r="EG269" s="8"/>
      <c r="EH269" s="8"/>
      <c r="EI269" s="8"/>
      <c r="EV269" s="8"/>
      <c r="EW269" s="8"/>
      <c r="EX269" s="8"/>
      <c r="EY269" s="8"/>
      <c r="FE269" s="8"/>
      <c r="FM269" s="8"/>
    </row>
    <row r="270" spans="7:171" x14ac:dyDescent="0.3">
      <c r="G270" s="8"/>
      <c r="H270" s="8"/>
      <c r="I270" s="8"/>
      <c r="J270" s="8"/>
      <c r="K270" s="8"/>
      <c r="R270" s="8"/>
      <c r="S270" s="8"/>
      <c r="T270" s="8"/>
      <c r="U270" s="8"/>
      <c r="V270" s="8"/>
      <c r="AC270" s="8"/>
      <c r="AD270" s="8"/>
      <c r="AE270" s="8"/>
      <c r="AF270" s="8"/>
      <c r="AG270" s="8"/>
      <c r="AH270" s="8"/>
      <c r="AN270" s="8"/>
      <c r="AO270" s="8"/>
      <c r="AP270" s="8"/>
      <c r="AQ270" s="8"/>
      <c r="AV270" s="8"/>
      <c r="AW270" s="8"/>
      <c r="AX270" s="8"/>
      <c r="AY270" s="8"/>
      <c r="BD270" s="8"/>
      <c r="BE270" s="8"/>
      <c r="BF270" s="8"/>
      <c r="BG270" s="8"/>
      <c r="BL270" s="8"/>
      <c r="BM270" s="8"/>
      <c r="BN270" s="8"/>
      <c r="BO270" s="8"/>
      <c r="BT270" s="8"/>
      <c r="BU270" s="8"/>
      <c r="BV270" s="8"/>
      <c r="BW270" s="8"/>
      <c r="CB270" s="8"/>
      <c r="CC270" s="8"/>
      <c r="CD270" s="8"/>
      <c r="CE270" s="8"/>
      <c r="CJ270" s="8"/>
      <c r="CK270" s="8"/>
      <c r="CL270" s="8"/>
      <c r="CM270" s="8"/>
      <c r="CR270" s="8"/>
      <c r="CS270" s="8"/>
      <c r="CT270" s="8"/>
      <c r="CU270" s="8"/>
      <c r="CZ270" s="8"/>
      <c r="DA270" s="8"/>
      <c r="DB270" s="8"/>
      <c r="DC270" s="8"/>
      <c r="DH270" s="8"/>
      <c r="DI270" s="8"/>
      <c r="DJ270" s="8"/>
      <c r="DK270" s="8"/>
      <c r="DP270" s="8"/>
      <c r="DQ270" s="8"/>
      <c r="DR270" s="8"/>
      <c r="DS270" s="8"/>
      <c r="DX270" s="8"/>
      <c r="DY270" s="8"/>
      <c r="DZ270" s="8"/>
      <c r="EA270" s="8"/>
      <c r="EF270" s="8"/>
      <c r="EG270" s="8"/>
      <c r="EH270" s="8"/>
      <c r="EI270" s="8"/>
      <c r="EN270" s="8"/>
      <c r="EO270" s="8"/>
      <c r="EP270" s="8"/>
      <c r="EQ270" s="8"/>
      <c r="EV270" s="8"/>
      <c r="EW270" s="8"/>
      <c r="EX270" s="8"/>
      <c r="EY270" s="8"/>
      <c r="FD270" s="8"/>
      <c r="FE270" s="8"/>
      <c r="FF270" s="8"/>
      <c r="FG270" s="8"/>
      <c r="FL270" s="8"/>
      <c r="FM270" s="8"/>
      <c r="FN270" s="8"/>
      <c r="FO270" s="8"/>
    </row>
    <row r="271" spans="7:171" x14ac:dyDescent="0.3">
      <c r="G271" s="8"/>
      <c r="H271" s="8"/>
      <c r="I271" s="8"/>
      <c r="J271" s="8"/>
      <c r="K271" s="8"/>
      <c r="R271" s="8"/>
      <c r="S271" s="8"/>
      <c r="T271" s="8"/>
      <c r="U271" s="8"/>
      <c r="V271" s="8"/>
      <c r="AC271" s="8"/>
      <c r="AD271" s="8"/>
      <c r="AE271" s="8"/>
      <c r="AF271" s="8"/>
      <c r="AG271" s="8"/>
      <c r="AH271" s="8"/>
      <c r="AN271" s="8"/>
      <c r="AO271" s="8"/>
      <c r="AP271" s="8"/>
      <c r="AQ271" s="8"/>
      <c r="AV271" s="8"/>
      <c r="AW271" s="8"/>
      <c r="AX271" s="8"/>
      <c r="AY271" s="8"/>
      <c r="BD271" s="8"/>
      <c r="BE271" s="8"/>
      <c r="BF271" s="8"/>
      <c r="BG271" s="8"/>
      <c r="BL271" s="8"/>
      <c r="BM271" s="8"/>
      <c r="BN271" s="8"/>
      <c r="BO271" s="8"/>
      <c r="BT271" s="8"/>
      <c r="BU271" s="8"/>
      <c r="BV271" s="8"/>
      <c r="BW271" s="8"/>
      <c r="CB271" s="8"/>
      <c r="CC271" s="8"/>
      <c r="CD271" s="8"/>
      <c r="CE271" s="8"/>
      <c r="CJ271" s="8"/>
      <c r="CK271" s="8"/>
      <c r="CL271" s="8"/>
      <c r="CM271" s="8"/>
      <c r="CR271" s="8"/>
      <c r="CS271" s="8"/>
      <c r="CT271" s="8"/>
      <c r="CU271" s="8"/>
      <c r="CZ271" s="8"/>
      <c r="DA271" s="8"/>
      <c r="DB271" s="8"/>
      <c r="DC271" s="8"/>
      <c r="DH271" s="8"/>
      <c r="DI271" s="8"/>
      <c r="DJ271" s="8"/>
      <c r="DK271" s="8"/>
      <c r="DP271" s="8"/>
      <c r="DQ271" s="8"/>
      <c r="DR271" s="8"/>
      <c r="DS271" s="8"/>
      <c r="DX271" s="8"/>
      <c r="DY271" s="8"/>
      <c r="DZ271" s="8"/>
      <c r="EA271" s="8"/>
      <c r="EF271" s="8"/>
      <c r="EG271" s="8"/>
      <c r="EH271" s="8"/>
      <c r="EI271" s="8"/>
      <c r="EN271" s="8"/>
      <c r="EO271" s="8"/>
      <c r="EP271" s="8"/>
      <c r="EQ271" s="8"/>
      <c r="EV271" s="8"/>
      <c r="EW271" s="8"/>
      <c r="EX271" s="8"/>
      <c r="EY271" s="8"/>
      <c r="FD271" s="8"/>
      <c r="FE271" s="8"/>
      <c r="FF271" s="8"/>
      <c r="FG271" s="8"/>
      <c r="FL271" s="8"/>
      <c r="FM271" s="8"/>
      <c r="FN271" s="8"/>
      <c r="FO271" s="8"/>
    </row>
    <row r="272" spans="7:171" x14ac:dyDescent="0.3">
      <c r="G272" s="8"/>
      <c r="H272" s="8"/>
      <c r="I272" s="8"/>
      <c r="J272" s="8"/>
      <c r="K272" s="8"/>
      <c r="R272" s="8"/>
      <c r="S272" s="8"/>
      <c r="T272" s="8"/>
      <c r="U272" s="8"/>
      <c r="V272" s="8"/>
      <c r="AC272" s="8"/>
      <c r="AD272" s="8"/>
      <c r="AE272" s="8"/>
      <c r="AF272" s="8"/>
      <c r="AG272" s="8"/>
      <c r="AH272" s="8"/>
      <c r="AN272" s="8"/>
      <c r="AO272" s="8"/>
      <c r="AP272" s="8"/>
      <c r="AQ272" s="8"/>
      <c r="AV272" s="8"/>
      <c r="AW272" s="8"/>
      <c r="AX272" s="8"/>
      <c r="AY272" s="8"/>
      <c r="BD272" s="8"/>
      <c r="BE272" s="8"/>
      <c r="BF272" s="8"/>
      <c r="BG272" s="8"/>
      <c r="BL272" s="8"/>
      <c r="BM272" s="8"/>
      <c r="BN272" s="8"/>
      <c r="BO272" s="8"/>
      <c r="BT272" s="8"/>
      <c r="BU272" s="8"/>
      <c r="BV272" s="8"/>
      <c r="BW272" s="8"/>
      <c r="CB272" s="8"/>
      <c r="CC272" s="8"/>
      <c r="CD272" s="8"/>
      <c r="CE272" s="8"/>
      <c r="CJ272" s="8"/>
      <c r="CK272" s="8"/>
      <c r="CL272" s="8"/>
      <c r="CM272" s="8"/>
      <c r="CR272" s="8"/>
      <c r="CS272" s="8"/>
      <c r="CT272" s="8"/>
      <c r="CU272" s="8"/>
      <c r="CZ272" s="8"/>
      <c r="DA272" s="8"/>
      <c r="DB272" s="8"/>
      <c r="DC272" s="8"/>
      <c r="DH272" s="8"/>
      <c r="DI272" s="8"/>
      <c r="DJ272" s="8"/>
      <c r="DK272" s="8"/>
      <c r="DP272" s="8"/>
      <c r="DQ272" s="8"/>
      <c r="DR272" s="8"/>
      <c r="DS272" s="8"/>
      <c r="DX272" s="8"/>
      <c r="DY272" s="8"/>
      <c r="DZ272" s="8"/>
      <c r="EA272" s="8"/>
      <c r="EF272" s="8"/>
      <c r="EG272" s="8"/>
      <c r="EH272" s="8"/>
      <c r="EI272" s="8"/>
      <c r="EN272" s="8"/>
      <c r="EO272" s="8"/>
      <c r="EP272" s="8"/>
      <c r="EQ272" s="8"/>
      <c r="EV272" s="8"/>
      <c r="EW272" s="8"/>
      <c r="EX272" s="8"/>
      <c r="EY272" s="8"/>
      <c r="FD272" s="8"/>
      <c r="FE272" s="8"/>
      <c r="FF272" s="8"/>
      <c r="FG272" s="8"/>
      <c r="FL272" s="8"/>
      <c r="FM272" s="8"/>
      <c r="FN272" s="8"/>
      <c r="FO272" s="8"/>
    </row>
    <row r="273" spans="7:171" x14ac:dyDescent="0.3">
      <c r="G273" s="8"/>
      <c r="H273" s="8"/>
      <c r="I273" s="8"/>
      <c r="J273" s="8"/>
      <c r="K273" s="8"/>
      <c r="R273" s="8"/>
      <c r="S273" s="8"/>
      <c r="T273" s="8"/>
      <c r="U273" s="8"/>
      <c r="V273" s="8"/>
      <c r="AC273" s="8"/>
      <c r="AD273" s="8"/>
      <c r="AE273" s="8"/>
      <c r="AF273" s="8"/>
      <c r="AG273" s="8"/>
      <c r="AH273" s="8"/>
      <c r="AN273" s="8"/>
      <c r="AO273" s="8"/>
      <c r="AP273" s="8"/>
      <c r="AQ273" s="8"/>
      <c r="AV273" s="8"/>
      <c r="AW273" s="8"/>
      <c r="AX273" s="8"/>
      <c r="AY273" s="8"/>
      <c r="BD273" s="8"/>
      <c r="BE273" s="8"/>
      <c r="BF273" s="8"/>
      <c r="BG273" s="8"/>
      <c r="BL273" s="8"/>
      <c r="BM273" s="8"/>
      <c r="BN273" s="8"/>
      <c r="BO273" s="8"/>
      <c r="BT273" s="8"/>
      <c r="BU273" s="8"/>
      <c r="BV273" s="8"/>
      <c r="BW273" s="8"/>
      <c r="CB273" s="8"/>
      <c r="CC273" s="8"/>
      <c r="CD273" s="8"/>
      <c r="CE273" s="8"/>
      <c r="CJ273" s="8"/>
      <c r="CK273" s="8"/>
      <c r="CL273" s="8"/>
      <c r="CM273" s="8"/>
      <c r="CR273" s="8"/>
      <c r="CS273" s="8"/>
      <c r="CT273" s="8"/>
      <c r="CU273" s="8"/>
      <c r="CZ273" s="8"/>
      <c r="DA273" s="8"/>
      <c r="DB273" s="8"/>
      <c r="DC273" s="8"/>
      <c r="DH273" s="8"/>
      <c r="DI273" s="8"/>
      <c r="DJ273" s="8"/>
      <c r="DK273" s="8"/>
      <c r="DP273" s="8"/>
      <c r="DQ273" s="8"/>
      <c r="DR273" s="8"/>
      <c r="DS273" s="8"/>
      <c r="DX273" s="8"/>
      <c r="DY273" s="8"/>
      <c r="DZ273" s="8"/>
      <c r="EA273" s="8"/>
      <c r="EF273" s="8"/>
      <c r="EG273" s="8"/>
      <c r="EH273" s="8"/>
      <c r="EI273" s="8"/>
      <c r="EN273" s="8"/>
      <c r="EO273" s="8"/>
      <c r="EP273" s="8"/>
      <c r="EQ273" s="8"/>
      <c r="EV273" s="8"/>
      <c r="EW273" s="8"/>
      <c r="EX273" s="8"/>
      <c r="EY273" s="8"/>
      <c r="FD273" s="8"/>
      <c r="FE273" s="8"/>
      <c r="FF273" s="8"/>
      <c r="FG273" s="8"/>
      <c r="FL273" s="8"/>
      <c r="FM273" s="8"/>
      <c r="FN273" s="8"/>
      <c r="FO273" s="8"/>
    </row>
    <row r="274" spans="7:171" x14ac:dyDescent="0.3">
      <c r="G274" s="8"/>
      <c r="H274" s="8"/>
      <c r="I274" s="8"/>
      <c r="J274" s="8"/>
      <c r="K274" s="8"/>
      <c r="R274" s="8"/>
      <c r="S274" s="8"/>
      <c r="T274" s="8"/>
      <c r="U274" s="8"/>
      <c r="V274" s="8"/>
      <c r="AC274" s="8"/>
      <c r="AD274" s="8"/>
      <c r="AE274" s="8"/>
      <c r="AF274" s="8"/>
      <c r="AG274" s="8"/>
      <c r="AH274" s="8"/>
      <c r="AN274" s="8"/>
      <c r="AO274" s="8"/>
      <c r="AP274" s="8"/>
      <c r="AQ274" s="8"/>
      <c r="AV274" s="8"/>
      <c r="AW274" s="8"/>
      <c r="AX274" s="8"/>
      <c r="AY274" s="8"/>
      <c r="BD274" s="8"/>
      <c r="BE274" s="8"/>
      <c r="BF274" s="8"/>
      <c r="BG274" s="8"/>
      <c r="BL274" s="8"/>
      <c r="BM274" s="8"/>
      <c r="BN274" s="8"/>
      <c r="BO274" s="8"/>
      <c r="BT274" s="8"/>
      <c r="BU274" s="8"/>
      <c r="BV274" s="8"/>
      <c r="BW274" s="8"/>
      <c r="CB274" s="8"/>
      <c r="CC274" s="8"/>
      <c r="CD274" s="8"/>
      <c r="CE274" s="8"/>
      <c r="CJ274" s="8"/>
      <c r="CK274" s="8"/>
      <c r="CL274" s="8"/>
      <c r="CM274" s="8"/>
      <c r="CR274" s="8"/>
      <c r="CS274" s="8"/>
      <c r="CT274" s="8"/>
      <c r="CU274" s="8"/>
      <c r="CZ274" s="8"/>
      <c r="DA274" s="8"/>
      <c r="DB274" s="8"/>
      <c r="DC274" s="8"/>
      <c r="DH274" s="8"/>
      <c r="DI274" s="8"/>
      <c r="DJ274" s="8"/>
      <c r="DK274" s="8"/>
      <c r="DP274" s="8"/>
      <c r="DQ274" s="8"/>
      <c r="DR274" s="8"/>
      <c r="DS274" s="8"/>
      <c r="DX274" s="8"/>
      <c r="DY274" s="8"/>
      <c r="DZ274" s="8"/>
      <c r="EA274" s="8"/>
      <c r="EN274" s="8"/>
      <c r="EO274" s="8"/>
      <c r="EP274" s="8"/>
      <c r="EQ274" s="8"/>
      <c r="EV274" s="8"/>
      <c r="EW274" s="8"/>
      <c r="EX274" s="8"/>
      <c r="EY274" s="8"/>
      <c r="FD274" s="8"/>
      <c r="FE274" s="8"/>
      <c r="FF274" s="8"/>
      <c r="FG274" s="8"/>
      <c r="FL274" s="8"/>
      <c r="FM274" s="8"/>
      <c r="FN274" s="8"/>
      <c r="FO274" s="8"/>
    </row>
    <row r="275" spans="7:171" x14ac:dyDescent="0.3">
      <c r="G275" s="8"/>
      <c r="H275" s="8"/>
      <c r="I275" s="8"/>
      <c r="J275" s="8"/>
      <c r="K275" s="8"/>
      <c r="R275" s="8"/>
      <c r="S275" s="8"/>
      <c r="T275" s="8"/>
      <c r="U275" s="8"/>
      <c r="V275" s="8"/>
      <c r="AC275" s="8"/>
      <c r="AD275" s="8"/>
      <c r="AE275" s="8"/>
      <c r="AF275" s="8"/>
      <c r="AG275" s="8"/>
      <c r="AH275" s="8"/>
      <c r="AN275" s="8"/>
      <c r="AO275" s="8"/>
      <c r="AP275" s="8"/>
      <c r="AQ275" s="8"/>
      <c r="AV275" s="8"/>
      <c r="AW275" s="8"/>
      <c r="AX275" s="8"/>
      <c r="AY275" s="8"/>
      <c r="BD275" s="8"/>
      <c r="BE275" s="8"/>
      <c r="BF275" s="8"/>
      <c r="BG275" s="8"/>
      <c r="DH275" s="8"/>
      <c r="DI275" s="8"/>
      <c r="DJ275" s="8"/>
      <c r="DK275" s="8"/>
      <c r="DX275" s="8"/>
      <c r="DY275" s="8"/>
      <c r="DZ275" s="8"/>
      <c r="EA275" s="8"/>
      <c r="EF275" s="8"/>
      <c r="EG275" s="8"/>
      <c r="EH275" s="8"/>
      <c r="EI275" s="8"/>
      <c r="EN275" s="8"/>
      <c r="EO275" s="8"/>
      <c r="EP275" s="8"/>
      <c r="EQ275" s="8"/>
      <c r="EV275" s="8"/>
      <c r="EW275" s="8"/>
      <c r="FD275" s="8"/>
      <c r="FE275" s="8"/>
      <c r="FF275" s="8"/>
      <c r="FG275" s="8"/>
      <c r="FL275" s="8"/>
      <c r="FM275" s="8"/>
      <c r="FN275" s="8"/>
      <c r="FO275" s="8"/>
    </row>
    <row r="276" spans="7:171" x14ac:dyDescent="0.3">
      <c r="G276" s="8"/>
      <c r="H276" s="8"/>
      <c r="I276" s="8"/>
      <c r="J276" s="8"/>
      <c r="K276" s="8"/>
      <c r="R276" s="8"/>
      <c r="S276" s="8"/>
      <c r="T276" s="8"/>
      <c r="U276" s="8"/>
      <c r="V276" s="8"/>
      <c r="AC276" s="8"/>
      <c r="AD276" s="8"/>
      <c r="AE276" s="8"/>
      <c r="AF276" s="8"/>
      <c r="AG276" s="8"/>
      <c r="AH276" s="8"/>
      <c r="AN276" s="8"/>
      <c r="AO276" s="8"/>
      <c r="AP276" s="8"/>
      <c r="AQ276" s="8"/>
      <c r="AV276" s="8"/>
      <c r="AW276" s="8"/>
      <c r="AX276" s="8"/>
      <c r="AY276" s="8"/>
      <c r="BD276" s="8"/>
      <c r="BE276" s="8"/>
      <c r="BF276" s="8"/>
      <c r="BG276" s="8"/>
      <c r="BL276" s="8"/>
      <c r="BM276" s="8"/>
      <c r="BN276" s="8"/>
      <c r="BO276" s="8"/>
      <c r="BT276" s="8"/>
      <c r="BU276" s="8"/>
      <c r="BV276" s="8"/>
      <c r="BW276" s="8"/>
      <c r="CB276" s="8"/>
      <c r="CC276" s="8"/>
      <c r="CD276" s="8"/>
      <c r="CE276" s="8"/>
      <c r="CJ276" s="8"/>
      <c r="CK276" s="8"/>
      <c r="CL276" s="8"/>
      <c r="CM276" s="8"/>
      <c r="CR276" s="8"/>
      <c r="CS276" s="8"/>
      <c r="CT276" s="8"/>
      <c r="CU276" s="8"/>
      <c r="CZ276" s="8"/>
      <c r="DA276" s="8"/>
      <c r="DB276" s="8"/>
      <c r="DC276" s="8"/>
      <c r="DP276" s="8"/>
      <c r="DQ276" s="8"/>
      <c r="DR276" s="8"/>
      <c r="DS276" s="8"/>
      <c r="EF276" s="8"/>
      <c r="EG276" s="8"/>
      <c r="EH276" s="8"/>
      <c r="EI276" s="8"/>
      <c r="EN276" s="8"/>
      <c r="EO276" s="8"/>
      <c r="EP276" s="8"/>
      <c r="EQ276" s="8"/>
      <c r="EV276" s="8"/>
    </row>
    <row r="277" spans="7:171" x14ac:dyDescent="0.3">
      <c r="G277" s="8"/>
      <c r="H277" s="8"/>
      <c r="I277" s="8"/>
      <c r="J277" s="8"/>
      <c r="K277" s="8"/>
      <c r="R277" s="8"/>
      <c r="S277" s="8"/>
      <c r="T277" s="8"/>
      <c r="U277" s="8"/>
      <c r="V277" s="8"/>
      <c r="AC277" s="8"/>
      <c r="AD277" s="8"/>
      <c r="AE277" s="8"/>
      <c r="AF277" s="8"/>
      <c r="AG277" s="8"/>
      <c r="AH277" s="8"/>
      <c r="AN277" s="8"/>
      <c r="AO277" s="8"/>
      <c r="AP277" s="8"/>
      <c r="AQ277" s="8"/>
      <c r="AV277" s="8"/>
      <c r="AW277" s="8"/>
      <c r="AX277" s="8"/>
      <c r="AY277" s="8"/>
      <c r="BD277" s="8"/>
      <c r="BE277" s="8"/>
      <c r="BF277" s="8"/>
      <c r="BG277" s="8"/>
      <c r="BL277" s="8"/>
      <c r="BM277" s="8"/>
      <c r="BN277" s="8"/>
      <c r="BO277" s="8"/>
      <c r="BT277" s="8"/>
      <c r="BU277" s="8"/>
      <c r="BV277" s="8"/>
      <c r="BW277" s="8"/>
      <c r="CB277" s="8"/>
      <c r="CC277" s="8"/>
      <c r="CD277" s="8"/>
      <c r="CE277" s="8"/>
      <c r="CJ277" s="8"/>
      <c r="CK277" s="8"/>
      <c r="CL277" s="8"/>
      <c r="CM277" s="8"/>
      <c r="CR277" s="8"/>
      <c r="CS277" s="8"/>
      <c r="CT277" s="8"/>
      <c r="CU277" s="8"/>
      <c r="CZ277" s="8"/>
      <c r="DA277" s="8"/>
      <c r="DB277" s="8"/>
      <c r="DC277" s="8"/>
      <c r="DH277" s="8"/>
      <c r="DI277" s="8"/>
      <c r="DJ277" s="8"/>
      <c r="DK277" s="8"/>
      <c r="DP277" s="8"/>
      <c r="DQ277" s="8"/>
      <c r="DR277" s="8"/>
      <c r="DS277" s="8"/>
      <c r="DX277" s="8"/>
      <c r="DY277" s="8"/>
      <c r="DZ277" s="8"/>
      <c r="EA277" s="8"/>
      <c r="EF277" s="8"/>
      <c r="EG277" s="8"/>
      <c r="EH277" s="8"/>
      <c r="EI277" s="8"/>
      <c r="EN277" s="8"/>
      <c r="EO277" s="8"/>
      <c r="EV277" s="8"/>
      <c r="EW277" s="8"/>
      <c r="EX277" s="8"/>
      <c r="EY277" s="8"/>
      <c r="FD277" s="8"/>
      <c r="FE277" s="8"/>
      <c r="FF277" s="8"/>
      <c r="FG277" s="8"/>
      <c r="FL277" s="8"/>
      <c r="FM277" s="8"/>
      <c r="FN277" s="8"/>
      <c r="FO277" s="8"/>
    </row>
    <row r="278" spans="7:171" x14ac:dyDescent="0.3">
      <c r="G278" s="8"/>
      <c r="H278" s="8"/>
      <c r="I278" s="8"/>
      <c r="J278" s="8"/>
      <c r="K278" s="8"/>
      <c r="AC278" s="8"/>
      <c r="AD278" s="8"/>
      <c r="AE278" s="8"/>
      <c r="AF278" s="8"/>
      <c r="AG278" s="8"/>
      <c r="AH278" s="8"/>
      <c r="AN278" s="8"/>
      <c r="AO278" s="8"/>
      <c r="AP278" s="8"/>
      <c r="AQ278" s="8"/>
      <c r="AV278" s="8"/>
      <c r="AW278" s="8"/>
      <c r="AX278" s="8"/>
      <c r="AY278" s="8"/>
      <c r="BD278" s="8"/>
      <c r="BE278" s="8"/>
      <c r="BF278" s="8"/>
      <c r="BG278" s="8"/>
      <c r="BL278" s="8"/>
      <c r="BM278" s="8"/>
      <c r="BN278" s="8"/>
      <c r="BO278" s="8"/>
      <c r="BT278" s="8"/>
      <c r="BU278" s="8"/>
      <c r="BV278" s="8"/>
      <c r="BW278" s="8"/>
      <c r="CB278" s="8"/>
      <c r="CC278" s="8"/>
      <c r="CD278" s="8"/>
      <c r="CE278" s="8"/>
      <c r="CJ278" s="8"/>
      <c r="CK278" s="8"/>
      <c r="CL278" s="8"/>
      <c r="CM278" s="8"/>
      <c r="CR278" s="8"/>
      <c r="CS278" s="8"/>
      <c r="CT278" s="8"/>
      <c r="CU278" s="8"/>
      <c r="CZ278" s="8"/>
      <c r="DA278" s="8"/>
      <c r="DB278" s="8"/>
      <c r="DC278" s="8"/>
      <c r="DH278" s="8"/>
      <c r="DI278" s="8"/>
      <c r="DJ278" s="8"/>
      <c r="DK278" s="8"/>
      <c r="DP278" s="8"/>
      <c r="DQ278" s="8"/>
      <c r="DR278" s="8"/>
      <c r="DS278" s="8"/>
      <c r="DX278" s="8"/>
      <c r="DY278" s="8"/>
      <c r="DZ278" s="8"/>
      <c r="EA278" s="8"/>
      <c r="EF278" s="8"/>
      <c r="EN278" s="8"/>
      <c r="EO278" s="8"/>
      <c r="FD278" s="8"/>
      <c r="FE278" s="8"/>
      <c r="FF278" s="8"/>
      <c r="FG278" s="8"/>
      <c r="FL278" s="8"/>
      <c r="FM278" s="8"/>
      <c r="FN278" s="8"/>
      <c r="FO278" s="8"/>
    </row>
    <row r="279" spans="7:171" x14ac:dyDescent="0.3">
      <c r="AC279" s="8"/>
      <c r="AD279" s="8"/>
      <c r="AE279" s="8"/>
      <c r="AF279" s="8"/>
      <c r="AG279" s="8"/>
      <c r="AH279" s="8"/>
      <c r="AN279" s="8"/>
      <c r="AO279" s="8"/>
      <c r="AP279" s="8"/>
      <c r="AQ279" s="8"/>
      <c r="AV279" s="8"/>
      <c r="AW279" s="8"/>
      <c r="AX279" s="8"/>
      <c r="AY279" s="8"/>
      <c r="BD279" s="8"/>
      <c r="BE279" s="8"/>
      <c r="BF279" s="8"/>
      <c r="BG279" s="8"/>
      <c r="BL279" s="8"/>
      <c r="BM279" s="8"/>
      <c r="BN279" s="8"/>
      <c r="BO279" s="8"/>
      <c r="BT279" s="8"/>
      <c r="BU279" s="8"/>
      <c r="BV279" s="8"/>
      <c r="BW279" s="8"/>
      <c r="CB279" s="8"/>
      <c r="CC279" s="8"/>
      <c r="CD279" s="8"/>
      <c r="CE279" s="8"/>
      <c r="CJ279" s="8"/>
      <c r="CK279" s="8"/>
      <c r="CL279" s="8"/>
      <c r="CM279" s="8"/>
      <c r="CR279" s="8"/>
      <c r="CS279" s="8"/>
      <c r="CT279" s="8"/>
      <c r="CU279" s="8"/>
      <c r="CZ279" s="8"/>
      <c r="DA279" s="8"/>
      <c r="DB279" s="8"/>
      <c r="DC279" s="8"/>
      <c r="DH279" s="8"/>
      <c r="DI279" s="8"/>
      <c r="DJ279" s="8"/>
      <c r="DK279" s="8"/>
      <c r="DP279" s="8"/>
      <c r="DQ279" s="8"/>
      <c r="DR279" s="8"/>
      <c r="DS279" s="8"/>
      <c r="DX279" s="8"/>
      <c r="DY279" s="8"/>
      <c r="DZ279" s="8"/>
      <c r="EA279" s="8"/>
      <c r="EN279" s="8"/>
      <c r="EO279" s="8"/>
      <c r="EP279" s="8"/>
      <c r="EQ279" s="8"/>
      <c r="FD279" s="8"/>
      <c r="FE279" s="8"/>
      <c r="FF279" s="8"/>
      <c r="FG279" s="8"/>
      <c r="FL279" s="8"/>
      <c r="FM279" s="8"/>
      <c r="FN279" s="8"/>
      <c r="FO279" s="8"/>
    </row>
    <row r="280" spans="7:171" x14ac:dyDescent="0.3">
      <c r="AC280" s="8"/>
      <c r="AD280" s="8"/>
      <c r="AE280" s="8"/>
      <c r="AF280" s="8"/>
      <c r="AG280" s="8"/>
      <c r="AH280" s="8"/>
      <c r="AN280" s="8"/>
      <c r="AO280" s="8"/>
      <c r="AP280" s="8"/>
      <c r="AQ280" s="8"/>
      <c r="AW280" s="8"/>
      <c r="BE280" s="8"/>
      <c r="BL280" s="8"/>
      <c r="BM280" s="8"/>
      <c r="BN280" s="8"/>
      <c r="BO280" s="8"/>
      <c r="BT280" s="8"/>
      <c r="BU280" s="8"/>
      <c r="BV280" s="8"/>
      <c r="BW280" s="8"/>
      <c r="CB280" s="8"/>
      <c r="CC280" s="8"/>
      <c r="CD280" s="8"/>
      <c r="CE280" s="8"/>
      <c r="CJ280" s="8"/>
      <c r="CK280" s="8"/>
      <c r="CL280" s="8"/>
      <c r="CM280" s="8"/>
      <c r="CR280" s="8"/>
      <c r="CS280" s="8"/>
      <c r="CT280" s="8"/>
      <c r="CU280" s="8"/>
      <c r="CZ280" s="8"/>
      <c r="DA280" s="8"/>
      <c r="DB280" s="8"/>
      <c r="DC280" s="8"/>
      <c r="DH280" s="8"/>
      <c r="DI280" s="8"/>
      <c r="DJ280" s="8"/>
      <c r="DK280" s="8"/>
      <c r="DP280" s="8"/>
      <c r="DQ280" s="8"/>
      <c r="DR280" s="8"/>
      <c r="DS280" s="8"/>
      <c r="DX280" s="8"/>
      <c r="DY280" s="8"/>
      <c r="DZ280" s="8"/>
      <c r="EA280" s="8"/>
      <c r="EF280" s="8"/>
      <c r="EG280" s="8"/>
      <c r="EH280" s="8"/>
      <c r="EI280" s="8"/>
      <c r="FD280" s="8"/>
      <c r="FE280" s="8"/>
      <c r="FF280" s="8"/>
      <c r="FG280" s="8"/>
      <c r="FL280" s="8"/>
      <c r="FM280" s="8"/>
      <c r="FN280" s="8"/>
      <c r="FO280" s="8"/>
    </row>
    <row r="281" spans="7:171" x14ac:dyDescent="0.3">
      <c r="BE281" s="8"/>
      <c r="BL281" s="8"/>
      <c r="BT281" s="8"/>
      <c r="CJ281" s="8"/>
      <c r="CR281" s="8"/>
      <c r="CZ281" s="8"/>
      <c r="DH281" s="8"/>
      <c r="DI281" s="8"/>
      <c r="DJ281" s="8"/>
      <c r="DK281" s="8"/>
      <c r="DP281" s="8"/>
      <c r="DX281" s="8"/>
      <c r="DY281" s="8"/>
      <c r="DZ281" s="8"/>
      <c r="EA281" s="8"/>
      <c r="FD281" s="8"/>
      <c r="FE281" s="8"/>
      <c r="FF281" s="8"/>
      <c r="FG281" s="8"/>
      <c r="FL281" s="8"/>
      <c r="FM281" s="8"/>
      <c r="FN281" s="8"/>
      <c r="FO281" s="8"/>
    </row>
    <row r="282" spans="7:171" x14ac:dyDescent="0.3">
      <c r="AV282" s="8"/>
      <c r="AW282" s="8"/>
      <c r="AX282" s="8"/>
      <c r="AY282" s="8"/>
      <c r="BD282" s="8"/>
      <c r="BE282" s="8"/>
      <c r="BF282" s="8"/>
      <c r="BG282" s="8"/>
      <c r="CB282" s="8"/>
      <c r="CJ282" s="8"/>
      <c r="CK282" s="8"/>
      <c r="DP282" s="8"/>
      <c r="DQ282" s="8"/>
    </row>
    <row r="283" spans="7:171" x14ac:dyDescent="0.3">
      <c r="AC283" s="8"/>
      <c r="AD283" s="8"/>
      <c r="AE283" s="8"/>
      <c r="AF283" s="8"/>
      <c r="AG283" s="8"/>
      <c r="AH283" s="8"/>
      <c r="AN283" s="8"/>
      <c r="AO283" s="8"/>
      <c r="AP283" s="8"/>
      <c r="AQ283" s="8"/>
      <c r="BL283" s="8"/>
      <c r="BM283" s="8"/>
      <c r="BN283" s="8"/>
      <c r="BO283" s="8"/>
      <c r="BT283" s="8"/>
      <c r="BU283" s="8"/>
      <c r="BV283" s="8"/>
      <c r="BW283" s="8"/>
      <c r="CJ283" s="8"/>
      <c r="CR283" s="8"/>
      <c r="CS283" s="8"/>
      <c r="CT283" s="8"/>
      <c r="CU283" s="8"/>
      <c r="CZ283" s="8"/>
      <c r="DA283" s="8"/>
      <c r="DB283" s="8"/>
      <c r="DC283" s="8"/>
      <c r="DH283" s="8"/>
      <c r="DP283" s="8"/>
      <c r="DX283" s="8"/>
      <c r="DY283" s="8"/>
      <c r="FD283" s="8"/>
      <c r="FE283" s="8"/>
      <c r="FL283" s="8"/>
      <c r="FM283" s="8"/>
    </row>
    <row r="284" spans="7:171" x14ac:dyDescent="0.3">
      <c r="CB284" s="8"/>
      <c r="CC284" s="8"/>
      <c r="CD284" s="8"/>
      <c r="CE284" s="8"/>
      <c r="CJ284" s="8"/>
      <c r="CK284" s="8"/>
      <c r="CL284" s="8"/>
      <c r="CM284" s="8"/>
      <c r="DP284" s="8"/>
      <c r="DQ284" s="8"/>
      <c r="DR284" s="8"/>
      <c r="DS284" s="8"/>
    </row>
    <row r="285" spans="7:171" x14ac:dyDescent="0.3">
      <c r="DH285" s="8"/>
      <c r="DI285" s="8"/>
      <c r="DJ285" s="8"/>
      <c r="DK285" s="8"/>
      <c r="DX285" s="8"/>
      <c r="DY285" s="8"/>
      <c r="DZ285" s="8"/>
      <c r="EA285" s="8"/>
      <c r="FD285" s="8"/>
      <c r="FE285" s="8"/>
      <c r="FF285" s="8"/>
      <c r="FG285" s="8"/>
      <c r="FL285" s="8"/>
      <c r="FM285" s="8"/>
      <c r="FN285" s="8"/>
      <c r="FO285" s="8"/>
    </row>
  </sheetData>
  <dataValidations count="2">
    <dataValidation type="list" allowBlank="1" showInputMessage="1" showErrorMessage="1" sqref="E7:F7 P7:Q7 AA7:AB7 AL7:AM7 E54:F54 P54:Q54 AA54:AB54 AL54:AM54 E101:F101 P101:Q101 AA101:AB101 AL101:AM101 E148:F148 P148:Q148 AA148:AB148 AL148:AM148 E195:F195 P195:Q195 AA195:AB195 AL195:AM195" xr:uid="{00000000-0002-0000-2000-000000000000}">
      <formula1>Hallit</formula1>
    </dataValidation>
    <dataValidation type="list" allowBlank="1" showInputMessage="1" showErrorMessage="1" sqref="E9:F9 P9:Q9 AA9:AB9 AL9:AM9 E56:F56 P56:Q56 AA56:AB56 AL56:AM56 E103:F103 P103:Q103 AA103:AB103 AL103:AM103 E150:F150 P150:Q150 AA150:AB150 AL150:AM150 E197:F197 P197:Q197 AA197:AB197 AL197:AM197" xr:uid="{00000000-0002-0000-2000-000001000000}">
      <formula1>Tulos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Laskentataulukot</vt:lpstr>
      </vt:variant>
      <vt:variant>
        <vt:i4>38</vt:i4>
      </vt:variant>
      <vt:variant>
        <vt:lpstr>Nimetyt alueet</vt:lpstr>
      </vt:variant>
      <vt:variant>
        <vt:i4>142</vt:i4>
      </vt:variant>
    </vt:vector>
  </HeadingPairs>
  <TitlesOfParts>
    <vt:vector size="180" baseType="lpstr">
      <vt:lpstr>Aakkostus</vt:lpstr>
      <vt:lpstr>10-11J</vt:lpstr>
      <vt:lpstr>15-16J</vt:lpstr>
      <vt:lpstr>15-16P</vt:lpstr>
      <vt:lpstr>16-17J</vt:lpstr>
      <vt:lpstr>16-17P</vt:lpstr>
      <vt:lpstr>KausiJ-uudempi</vt:lpstr>
      <vt:lpstr>Kausi  J</vt:lpstr>
      <vt:lpstr>Kausi P</vt:lpstr>
      <vt:lpstr>18-19J</vt:lpstr>
      <vt:lpstr>19-20</vt:lpstr>
      <vt:lpstr>18-19P</vt:lpstr>
      <vt:lpstr>17-18P</vt:lpstr>
      <vt:lpstr>17-18J</vt:lpstr>
      <vt:lpstr>23-24</vt:lpstr>
      <vt:lpstr>24-25</vt:lpstr>
      <vt:lpstr>Ottelut-Pelaajat</vt:lpstr>
      <vt:lpstr>MVmatriisi</vt:lpstr>
      <vt:lpstr>Pelaajamatriisi</vt:lpstr>
      <vt:lpstr>Ottelut</vt:lpstr>
      <vt:lpstr>Pelaajat - Tilastot</vt:lpstr>
      <vt:lpstr>Maalivahdit-tilastot</vt:lpstr>
      <vt:lpstr>Joukkue - Tilastot</vt:lpstr>
      <vt:lpstr>Joukkue - Kauden Ennätykset</vt:lpstr>
      <vt:lpstr>Joukkue - Ennätykset</vt:lpstr>
      <vt:lpstr>Joukkue - Hallitilastot</vt:lpstr>
      <vt:lpstr>Pelaajat - Maraton</vt:lpstr>
      <vt:lpstr>Pelaajat - Ennätykset</vt:lpstr>
      <vt:lpstr>Data</vt:lpstr>
      <vt:lpstr>Pelaajat - Tilastot vanha</vt:lpstr>
      <vt:lpstr>09-10</vt:lpstr>
      <vt:lpstr>Pelaajat - Tilastot U</vt:lpstr>
      <vt:lpstr>Kausi 10-11</vt:lpstr>
      <vt:lpstr>Kausi 11-12</vt:lpstr>
      <vt:lpstr>Kausi 12-13</vt:lpstr>
      <vt:lpstr>Kausi 13-14</vt:lpstr>
      <vt:lpstr>Kausi 14-15</vt:lpstr>
      <vt:lpstr>Kausi 15-16x</vt:lpstr>
      <vt:lpstr>'10-11J'!Hallit</vt:lpstr>
      <vt:lpstr>'17-18J'!Hallit</vt:lpstr>
      <vt:lpstr>'17-18P'!Hallit</vt:lpstr>
      <vt:lpstr>'18-19J'!Hallit</vt:lpstr>
      <vt:lpstr>'18-19P'!Hallit</vt:lpstr>
      <vt:lpstr>'23-24'!Hallit</vt:lpstr>
      <vt:lpstr>'24-25'!Hallit</vt:lpstr>
      <vt:lpstr>Aakkostus!Hallit</vt:lpstr>
      <vt:lpstr>'Kausi  J'!Hallit</vt:lpstr>
      <vt:lpstr>'Kausi P'!Hallit</vt:lpstr>
      <vt:lpstr>'KausiJ-uudempi'!Hallit</vt:lpstr>
      <vt:lpstr>MVmatriisi!Hallit</vt:lpstr>
      <vt:lpstr>'Ottelut-Pelaajat'!Hallit</vt:lpstr>
      <vt:lpstr>Hallit</vt:lpstr>
      <vt:lpstr>'10-11J'!Kaudet</vt:lpstr>
      <vt:lpstr>'17-18J'!Kaudet</vt:lpstr>
      <vt:lpstr>'17-18P'!Kaudet</vt:lpstr>
      <vt:lpstr>'18-19J'!Kaudet</vt:lpstr>
      <vt:lpstr>'18-19P'!Kaudet</vt:lpstr>
      <vt:lpstr>'23-24'!Kaudet</vt:lpstr>
      <vt:lpstr>'24-25'!Kaudet</vt:lpstr>
      <vt:lpstr>Aakkostus!Kaudet</vt:lpstr>
      <vt:lpstr>'Kausi  J'!Kaudet</vt:lpstr>
      <vt:lpstr>'Kausi P'!Kaudet</vt:lpstr>
      <vt:lpstr>'KausiJ-uudempi'!Kaudet</vt:lpstr>
      <vt:lpstr>MVmatriisi!Kaudet</vt:lpstr>
      <vt:lpstr>'Ottelut-Pelaajat'!Kaudet</vt:lpstr>
      <vt:lpstr>Kaudet</vt:lpstr>
      <vt:lpstr>'10-11J'!KausiV</vt:lpstr>
      <vt:lpstr>'17-18J'!KausiV</vt:lpstr>
      <vt:lpstr>'17-18P'!KausiV</vt:lpstr>
      <vt:lpstr>'18-19J'!KausiV</vt:lpstr>
      <vt:lpstr>'18-19P'!KausiV</vt:lpstr>
      <vt:lpstr>'23-24'!KausiV</vt:lpstr>
      <vt:lpstr>'24-25'!KausiV</vt:lpstr>
      <vt:lpstr>Aakkostus!KausiV</vt:lpstr>
      <vt:lpstr>'Kausi  J'!KausiV</vt:lpstr>
      <vt:lpstr>'Kausi P'!KausiV</vt:lpstr>
      <vt:lpstr>'KausiJ-uudempi'!KausiV</vt:lpstr>
      <vt:lpstr>MVmatriisi!KausiV</vt:lpstr>
      <vt:lpstr>'Ottelut-Pelaajat'!KausiV</vt:lpstr>
      <vt:lpstr>KausiV</vt:lpstr>
      <vt:lpstr>'10-11J'!KausiVlookup</vt:lpstr>
      <vt:lpstr>'17-18J'!KausiVlookup</vt:lpstr>
      <vt:lpstr>'17-18P'!KausiVlookup</vt:lpstr>
      <vt:lpstr>'18-19J'!KausiVlookup</vt:lpstr>
      <vt:lpstr>'18-19P'!KausiVlookup</vt:lpstr>
      <vt:lpstr>'23-24'!KausiVlookup</vt:lpstr>
      <vt:lpstr>'24-25'!KausiVlookup</vt:lpstr>
      <vt:lpstr>Aakkostus!KausiVlookup</vt:lpstr>
      <vt:lpstr>'Kausi  J'!KausiVlookup</vt:lpstr>
      <vt:lpstr>'Kausi P'!KausiVlookup</vt:lpstr>
      <vt:lpstr>'KausiJ-uudempi'!KausiVlookup</vt:lpstr>
      <vt:lpstr>MVmatriisi!KausiVlookup</vt:lpstr>
      <vt:lpstr>'Ottelut-Pelaajat'!KausiVlookup</vt:lpstr>
      <vt:lpstr>KausiVlookup</vt:lpstr>
      <vt:lpstr>'10-11J'!KausiX</vt:lpstr>
      <vt:lpstr>'17-18J'!KausiX</vt:lpstr>
      <vt:lpstr>'17-18P'!KausiX</vt:lpstr>
      <vt:lpstr>'18-19J'!KausiX</vt:lpstr>
      <vt:lpstr>'18-19P'!KausiX</vt:lpstr>
      <vt:lpstr>'23-24'!KausiX</vt:lpstr>
      <vt:lpstr>'24-25'!KausiX</vt:lpstr>
      <vt:lpstr>Aakkostus!KausiX</vt:lpstr>
      <vt:lpstr>'Kausi  J'!KausiX</vt:lpstr>
      <vt:lpstr>'Kausi P'!KausiX</vt:lpstr>
      <vt:lpstr>'KausiJ-uudempi'!KausiX</vt:lpstr>
      <vt:lpstr>MVmatriisi!KausiX</vt:lpstr>
      <vt:lpstr>'Ottelut-Pelaajat'!KausiX</vt:lpstr>
      <vt:lpstr>KausiX</vt:lpstr>
      <vt:lpstr>'10-11J'!KausiXI</vt:lpstr>
      <vt:lpstr>'17-18J'!KausiXI</vt:lpstr>
      <vt:lpstr>'17-18P'!KausiXI</vt:lpstr>
      <vt:lpstr>'18-19J'!KausiXI</vt:lpstr>
      <vt:lpstr>'18-19P'!KausiXI</vt:lpstr>
      <vt:lpstr>'23-24'!KausiXI</vt:lpstr>
      <vt:lpstr>'24-25'!KausiXI</vt:lpstr>
      <vt:lpstr>Aakkostus!KausiXI</vt:lpstr>
      <vt:lpstr>'Kausi  J'!KausiXI</vt:lpstr>
      <vt:lpstr>'Kausi P'!KausiXI</vt:lpstr>
      <vt:lpstr>'KausiJ-uudempi'!KausiXI</vt:lpstr>
      <vt:lpstr>MVmatriisi!KausiXI</vt:lpstr>
      <vt:lpstr>'Ottelut-Pelaajat'!KausiXI</vt:lpstr>
      <vt:lpstr>KausiXI</vt:lpstr>
      <vt:lpstr>'17-18P'!KausiXII</vt:lpstr>
      <vt:lpstr>'18-19J'!KausiXII</vt:lpstr>
      <vt:lpstr>'23-24'!KausiXII</vt:lpstr>
      <vt:lpstr>'24-25'!KausiXII</vt:lpstr>
      <vt:lpstr>Aakkostus!KausiXII</vt:lpstr>
      <vt:lpstr>'KausiJ-uudempi'!KausiXII</vt:lpstr>
      <vt:lpstr>MVmatriisi!KausiXII</vt:lpstr>
      <vt:lpstr>'Ottelut-Pelaajat'!KausiXII</vt:lpstr>
      <vt:lpstr>KausiXII</vt:lpstr>
      <vt:lpstr>'23-24'!KausiXIII</vt:lpstr>
      <vt:lpstr>'24-25'!KausiXIII</vt:lpstr>
      <vt:lpstr>Aakkostus!KausiXIII</vt:lpstr>
      <vt:lpstr>MVmatriisi!KausiXIII</vt:lpstr>
      <vt:lpstr>'Ottelut-Pelaajat'!KausiXIII</vt:lpstr>
      <vt:lpstr>KausiXIII</vt:lpstr>
      <vt:lpstr>Koti</vt:lpstr>
      <vt:lpstr>'10-11J'!Pelaajat</vt:lpstr>
      <vt:lpstr>'17-18J'!Pelaajat</vt:lpstr>
      <vt:lpstr>'17-18P'!Pelaajat</vt:lpstr>
      <vt:lpstr>'18-19J'!Pelaajat</vt:lpstr>
      <vt:lpstr>'18-19P'!Pelaajat</vt:lpstr>
      <vt:lpstr>'23-24'!Pelaajat</vt:lpstr>
      <vt:lpstr>'24-25'!Pelaajat</vt:lpstr>
      <vt:lpstr>Aakkostus!Pelaajat</vt:lpstr>
      <vt:lpstr>'Kausi  J'!Pelaajat</vt:lpstr>
      <vt:lpstr>'Kausi P'!Pelaajat</vt:lpstr>
      <vt:lpstr>'KausiJ-uudempi'!Pelaajat</vt:lpstr>
      <vt:lpstr>MVmatriisi!Pelaajat</vt:lpstr>
      <vt:lpstr>'Ottelut-Pelaajat'!Pelaajat</vt:lpstr>
      <vt:lpstr>Pelaajat</vt:lpstr>
      <vt:lpstr>'10-11J'!Sarjat</vt:lpstr>
      <vt:lpstr>'17-18J'!Sarjat</vt:lpstr>
      <vt:lpstr>'17-18P'!Sarjat</vt:lpstr>
      <vt:lpstr>'18-19J'!Sarjat</vt:lpstr>
      <vt:lpstr>'18-19P'!Sarjat</vt:lpstr>
      <vt:lpstr>'23-24'!Sarjat</vt:lpstr>
      <vt:lpstr>'24-25'!Sarjat</vt:lpstr>
      <vt:lpstr>Aakkostus!Sarjat</vt:lpstr>
      <vt:lpstr>'Kausi  J'!Sarjat</vt:lpstr>
      <vt:lpstr>'Kausi P'!Sarjat</vt:lpstr>
      <vt:lpstr>'KausiJ-uudempi'!Sarjat</vt:lpstr>
      <vt:lpstr>MVmatriisi!Sarjat</vt:lpstr>
      <vt:lpstr>'Ottelut-Pelaajat'!Sarjat</vt:lpstr>
      <vt:lpstr>Sarjat</vt:lpstr>
      <vt:lpstr>'10-11J'!Tulos</vt:lpstr>
      <vt:lpstr>'17-18J'!Tulos</vt:lpstr>
      <vt:lpstr>'17-18P'!Tulos</vt:lpstr>
      <vt:lpstr>'18-19J'!Tulos</vt:lpstr>
      <vt:lpstr>'18-19P'!Tulos</vt:lpstr>
      <vt:lpstr>'23-24'!Tulos</vt:lpstr>
      <vt:lpstr>'24-25'!Tulos</vt:lpstr>
      <vt:lpstr>Aakkostus!Tulos</vt:lpstr>
      <vt:lpstr>'Kausi  J'!Tulos</vt:lpstr>
      <vt:lpstr>'Kausi P'!Tulos</vt:lpstr>
      <vt:lpstr>'KausiJ-uudempi'!Tulos</vt:lpstr>
      <vt:lpstr>MVmatriisi!Tulos</vt:lpstr>
      <vt:lpstr>'Ottelut-Pelaajat'!Tulos</vt:lpstr>
      <vt:lpstr>Tulos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cbz</dc:creator>
  <cp:lastModifiedBy>Mika Aaltonen</cp:lastModifiedBy>
  <cp:lastPrinted>2023-04-19T11:50:19Z</cp:lastPrinted>
  <dcterms:created xsi:type="dcterms:W3CDTF">2009-04-29T12:24:12Z</dcterms:created>
  <dcterms:modified xsi:type="dcterms:W3CDTF">2025-08-25T20:54:23Z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a233c6e0-8ef3-44ec-b371-baaf668a5c48</vt:lpwstr>
  </property>
  <property fmtid="{D5CDD505-2E9C-101B-9397-08002B2CF9AE}" pid="3" name="NokiaConfidentiality">
    <vt:lpwstr>Company Confidential</vt:lpwstr>
  </property>
</Properties>
</file>