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ard Infinity Folder\Micro learning Course\Excel Self Paced Files\"/>
    </mc:Choice>
  </mc:AlternateContent>
  <bookViews>
    <workbookView xWindow="240" yWindow="105" windowWidth="14805" windowHeight="8010" firstSheet="22" activeTab="25"/>
  </bookViews>
  <sheets>
    <sheet name="Lookup functions" sheetId="1" r:id="rId1"/>
    <sheet name="Vlookup" sheetId="2" r:id="rId2"/>
    <sheet name="Hlookup" sheetId="3" r:id="rId3"/>
    <sheet name="Index and Match" sheetId="4" r:id="rId4"/>
    <sheet name="Index" sheetId="5" r:id="rId5"/>
    <sheet name="Match" sheetId="6" r:id="rId6"/>
    <sheet name="Index+Match" sheetId="7" r:id="rId7"/>
    <sheet name="2-way lookup" sheetId="8" r:id="rId8"/>
    <sheet name="Case sensitive lookup" sheetId="9" r:id="rId9"/>
    <sheet name="Left lookup" sheetId="10" r:id="rId10"/>
    <sheet name="2 column lookup" sheetId="11" r:id="rId11"/>
    <sheet name="Closest match" sheetId="12" r:id="rId12"/>
    <sheet name="TEXT functions" sheetId="13" r:id="rId13"/>
    <sheet name="Concatenate" sheetId="14" r:id="rId14"/>
    <sheet name="Left" sheetId="15" r:id="rId15"/>
    <sheet name="Right" sheetId="16" r:id="rId16"/>
    <sheet name="Mid" sheetId="17" r:id="rId17"/>
    <sheet name="Trim" sheetId="18" r:id="rId18"/>
    <sheet name="Replace" sheetId="19" r:id="rId19"/>
    <sheet name="Len" sheetId="20" r:id="rId20"/>
    <sheet name="Find" sheetId="21" r:id="rId21"/>
    <sheet name="Round" sheetId="22" r:id="rId22"/>
    <sheet name="Subtotal" sheetId="23" r:id="rId23"/>
    <sheet name="Pivot tables" sheetId="24" r:id="rId24"/>
    <sheet name="Create pivot" sheetId="25" r:id="rId25"/>
    <sheet name="Sort &amp; filter pivot" sheetId="26" r:id="rId26"/>
    <sheet name="Summary calc pivot" sheetId="27" r:id="rId27"/>
    <sheet name="2D pivot" sheetId="28" r:id="rId28"/>
    <sheet name="Slicer pivot" sheetId="29" r:id="rId29"/>
    <sheet name="Charts" sheetId="30" r:id="rId30"/>
    <sheet name="create chart" sheetId="31" r:id="rId31"/>
    <sheet name="Switch row-column" sheetId="32" r:id="rId32"/>
    <sheet name="Legend alignment" sheetId="33" r:id="rId33"/>
    <sheet name="Data labels" sheetId="34" r:id="rId34"/>
  </sheets>
  <definedNames>
    <definedName name="_xlnm._FilterDatabase" localSheetId="22" hidden="1">Subtotal!$D$4:$E$13</definedName>
  </definedNames>
  <calcPr calcId="162913"/>
  <pivotCaches>
    <pivotCache cacheId="0" r:id="rId35"/>
    <pivotCache cacheId="1" r:id="rId36"/>
    <pivotCache cacheId="2" r:id="rId37"/>
    <pivotCache cacheId="3" r:id="rId38"/>
    <pivotCache cacheId="4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3" l="1"/>
  <c r="I5" i="23"/>
  <c r="G6" i="23"/>
  <c r="G7" i="23"/>
  <c r="G8" i="23"/>
  <c r="G9" i="23"/>
  <c r="G10" i="23"/>
  <c r="G11" i="23"/>
  <c r="G12" i="23"/>
  <c r="G13" i="23"/>
  <c r="G5" i="23"/>
  <c r="E9" i="21"/>
  <c r="E8" i="21"/>
  <c r="E4" i="21"/>
  <c r="F6" i="19" l="1"/>
  <c r="E6" i="19"/>
  <c r="E7" i="19"/>
  <c r="G5" i="17"/>
  <c r="G6" i="17"/>
  <c r="G7" i="17"/>
  <c r="G4" i="17"/>
  <c r="G5" i="16"/>
  <c r="G6" i="16"/>
  <c r="G7" i="16"/>
  <c r="G9" i="16"/>
  <c r="G4" i="16"/>
  <c r="I4" i="18"/>
  <c r="I5" i="18"/>
  <c r="I6" i="18"/>
  <c r="I3" i="18"/>
  <c r="J8" i="14"/>
  <c r="J9" i="14"/>
  <c r="J10" i="14"/>
  <c r="J11" i="14"/>
  <c r="I9" i="14"/>
  <c r="I10" i="14"/>
  <c r="I11" i="14"/>
  <c r="I12" i="14"/>
  <c r="I13" i="14"/>
  <c r="I8" i="14"/>
  <c r="J12" i="13"/>
  <c r="J16" i="13"/>
  <c r="J15" i="13"/>
  <c r="J8" i="13"/>
  <c r="J11" i="13"/>
  <c r="G8" i="14"/>
  <c r="E8" i="22" l="1"/>
  <c r="E5" i="16"/>
  <c r="E5" i="15"/>
  <c r="I3" i="11"/>
  <c r="G11" i="11"/>
  <c r="H3" i="11" a="1"/>
  <c r="H3" i="11" s="1"/>
  <c r="G4" i="12" a="1"/>
  <c r="G4" i="12"/>
  <c r="L6" i="10"/>
  <c r="J10" i="10" l="1"/>
  <c r="L7" i="10" l="1"/>
  <c r="M6" i="10"/>
  <c r="B19" i="9"/>
  <c r="E18" i="9"/>
  <c r="D18" i="9"/>
  <c r="E17" i="9"/>
  <c r="D17" i="9"/>
  <c r="B17" i="9"/>
  <c r="I5" i="9" a="1"/>
  <c r="I5" i="9"/>
  <c r="L12" i="9"/>
  <c r="L10" i="9"/>
  <c r="L4" i="9"/>
  <c r="L7" i="9"/>
  <c r="M4" i="9"/>
  <c r="J5" i="9" l="1" a="1"/>
  <c r="J5" i="9"/>
  <c r="M12" i="8"/>
  <c r="M9" i="8"/>
  <c r="M8" i="8"/>
  <c r="O9" i="7"/>
  <c r="L8" i="7" s="1"/>
  <c r="O8" i="7"/>
  <c r="O6" i="7"/>
  <c r="L7" i="7" s="1"/>
  <c r="O5" i="7"/>
  <c r="O4" i="7" l="1"/>
  <c r="O3" i="7"/>
  <c r="L4" i="7"/>
  <c r="F4" i="6" l="1"/>
  <c r="F5" i="6"/>
  <c r="F6" i="6"/>
  <c r="F7" i="6"/>
  <c r="F8" i="6"/>
  <c r="F9" i="6"/>
  <c r="F10" i="6"/>
  <c r="F11" i="6"/>
  <c r="F12" i="6"/>
  <c r="F13" i="6"/>
  <c r="F14" i="6"/>
  <c r="F15" i="6"/>
  <c r="F3" i="6"/>
  <c r="G3" i="5"/>
  <c r="J20" i="3"/>
  <c r="J19" i="3"/>
  <c r="J18" i="3"/>
  <c r="J17" i="3"/>
  <c r="I20" i="3"/>
  <c r="I19" i="3"/>
  <c r="I18" i="3"/>
  <c r="I17" i="3"/>
  <c r="P6" i="2"/>
  <c r="P5" i="2"/>
  <c r="P3" i="2"/>
  <c r="E9" i="22" l="1"/>
  <c r="E10" i="22"/>
  <c r="E11" i="22"/>
  <c r="E12" i="22"/>
  <c r="E13" i="22"/>
  <c r="E7" i="22"/>
  <c r="E5" i="22"/>
  <c r="E6" i="22"/>
  <c r="E4" i="22"/>
  <c r="E5" i="21"/>
  <c r="E4" i="20"/>
  <c r="E4" i="19"/>
  <c r="E3" i="19"/>
  <c r="E5" i="18"/>
  <c r="E6" i="18"/>
  <c r="E4" i="18"/>
  <c r="E5" i="17"/>
  <c r="E6" i="17"/>
  <c r="E4" i="17"/>
  <c r="E6" i="16"/>
  <c r="E4" i="16"/>
  <c r="E6" i="15"/>
  <c r="E7" i="15"/>
  <c r="E8" i="15"/>
  <c r="G9" i="14"/>
  <c r="G10" i="14"/>
  <c r="G11" i="14"/>
  <c r="H17" i="13"/>
  <c r="H18" i="13"/>
  <c r="H19" i="13"/>
  <c r="H16" i="13"/>
  <c r="H12" i="13"/>
  <c r="G5" i="12" a="1"/>
  <c r="G5" i="12" s="1"/>
  <c r="J4" i="10"/>
  <c r="J6" i="9" a="1"/>
  <c r="J6" i="9"/>
  <c r="J7" i="9" a="1"/>
  <c r="J7" i="9"/>
  <c r="J8" i="9" a="1"/>
  <c r="J8" i="9"/>
  <c r="I6" i="9" a="1"/>
  <c r="I6" i="9"/>
  <c r="I7" i="9" a="1"/>
  <c r="I7" i="9"/>
  <c r="I8" i="9" a="1"/>
  <c r="I8" i="9"/>
  <c r="I6" i="8"/>
  <c r="E4" i="5"/>
  <c r="E5" i="5"/>
  <c r="E6" i="5"/>
  <c r="E7" i="5"/>
  <c r="E8" i="5"/>
  <c r="E9" i="5"/>
  <c r="E10" i="5"/>
  <c r="E11" i="5"/>
  <c r="E12" i="5"/>
  <c r="E13" i="5"/>
  <c r="E14" i="5"/>
  <c r="E15" i="5"/>
  <c r="E3" i="5"/>
  <c r="K4" i="4"/>
  <c r="Y7" i="2"/>
  <c r="X7" i="2"/>
  <c r="J4" i="4"/>
  <c r="J14" i="3"/>
  <c r="J4" i="2"/>
  <c r="J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<sst xmlns="http://schemas.openxmlformats.org/spreadsheetml/2006/main" count="1199" uniqueCount="170">
  <si>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</si>
  <si>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</si>
  <si>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</si>
  <si>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</si>
  <si>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</si>
  <si>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</si>
  <si>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</si>
  <si>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</si>
  <si>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</si>
  <si>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</si>
  <si>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Lookup Value</t>
  </si>
  <si>
    <t>Commonly used lookup functions</t>
  </si>
  <si>
    <t>Central</t>
  </si>
  <si>
    <t>Kivell</t>
  </si>
  <si>
    <t>Binder</t>
  </si>
  <si>
    <t>Vlookup</t>
  </si>
  <si>
    <t>Jardine</t>
  </si>
  <si>
    <t>Morgan</t>
  </si>
  <si>
    <t>Hlookup</t>
  </si>
  <si>
    <t>Gill</t>
  </si>
  <si>
    <t>Pen</t>
  </si>
  <si>
    <t>Index</t>
  </si>
  <si>
    <t>West</t>
  </si>
  <si>
    <t>Sorvino</t>
  </si>
  <si>
    <t>Match</t>
  </si>
  <si>
    <t>Andrews</t>
  </si>
  <si>
    <t>Thompson</t>
  </si>
  <si>
    <t>Howard</t>
  </si>
  <si>
    <t>Parent</t>
  </si>
  <si>
    <t>Lookup column</t>
  </si>
  <si>
    <t>Result column</t>
  </si>
  <si>
    <t>Approximate Match</t>
  </si>
  <si>
    <t>Var 1</t>
  </si>
  <si>
    <t>Var 2</t>
  </si>
  <si>
    <t>Var 2 (exact)</t>
  </si>
  <si>
    <t>1/6/2020</t>
  </si>
  <si>
    <t>1/23/2020</t>
  </si>
  <si>
    <t>2/9/2020</t>
  </si>
  <si>
    <t>2/26/2020</t>
  </si>
  <si>
    <t>3/15/2020</t>
  </si>
  <si>
    <t>4/1/2020</t>
  </si>
  <si>
    <t>4/18/2020</t>
  </si>
  <si>
    <t>5/5/2020</t>
  </si>
  <si>
    <t>5/22/2020</t>
  </si>
  <si>
    <t>6/8/2020</t>
  </si>
  <si>
    <t>6/25/2020</t>
  </si>
  <si>
    <t>7/12/2020</t>
  </si>
  <si>
    <t>7/29/2020</t>
  </si>
  <si>
    <t>Lookup row</t>
  </si>
  <si>
    <t>Result row</t>
  </si>
  <si>
    <t>Total(Vlookup)</t>
  </si>
  <si>
    <t>Total (Index-match)</t>
  </si>
  <si>
    <t>Names</t>
  </si>
  <si>
    <t>Jamie</t>
  </si>
  <si>
    <t>John</t>
  </si>
  <si>
    <t>months/flavors</t>
  </si>
  <si>
    <t>Vanilla</t>
  </si>
  <si>
    <t>Butterscotch</t>
  </si>
  <si>
    <t>Pista</t>
  </si>
  <si>
    <t>Chocolate</t>
  </si>
  <si>
    <t>Jan</t>
  </si>
  <si>
    <t>Month</t>
  </si>
  <si>
    <t>Aug</t>
  </si>
  <si>
    <t>Feb</t>
  </si>
  <si>
    <t>Flavor</t>
  </si>
  <si>
    <t>Mar</t>
  </si>
  <si>
    <t>Apr</t>
  </si>
  <si>
    <t>Sales</t>
  </si>
  <si>
    <t>May</t>
  </si>
  <si>
    <t>Jun</t>
  </si>
  <si>
    <t>Jul</t>
  </si>
  <si>
    <t>Sep</t>
  </si>
  <si>
    <t>Oct</t>
  </si>
  <si>
    <t>Nov</t>
  </si>
  <si>
    <t>Dec</t>
  </si>
  <si>
    <t>Emp name</t>
  </si>
  <si>
    <t>JONES</t>
  </si>
  <si>
    <t>First name</t>
  </si>
  <si>
    <t>Last name</t>
  </si>
  <si>
    <t>Wright</t>
  </si>
  <si>
    <t>Taylor</t>
  </si>
  <si>
    <t>McMohan</t>
  </si>
  <si>
    <t>Swift</t>
  </si>
  <si>
    <t>Shatner</t>
  </si>
  <si>
    <t>Trejo</t>
  </si>
  <si>
    <t>Hill</t>
  </si>
  <si>
    <t>McCarthy</t>
  </si>
  <si>
    <t>Black</t>
  </si>
  <si>
    <t>Grey</t>
  </si>
  <si>
    <t>Freeman</t>
  </si>
  <si>
    <t>Wilfred</t>
  </si>
  <si>
    <t>Target</t>
  </si>
  <si>
    <t>Unit Price</t>
  </si>
  <si>
    <t>Discount</t>
  </si>
  <si>
    <t>Quantity</t>
  </si>
  <si>
    <t>Day</t>
  </si>
  <si>
    <t>Year</t>
  </si>
  <si>
    <t>Date</t>
  </si>
  <si>
    <t>Full name</t>
  </si>
  <si>
    <t>Sumant</t>
  </si>
  <si>
    <t>Malhotra</t>
  </si>
  <si>
    <t>Rahul</t>
  </si>
  <si>
    <t>Hari</t>
  </si>
  <si>
    <t>Noor</t>
  </si>
  <si>
    <t>Shergill</t>
  </si>
  <si>
    <t>Sohail</t>
  </si>
  <si>
    <t>Mohammad</t>
  </si>
  <si>
    <t>Salutation</t>
  </si>
  <si>
    <t>Mr.</t>
  </si>
  <si>
    <t>Ms.</t>
  </si>
  <si>
    <t>Mr. Sumant Malhotra</t>
  </si>
  <si>
    <t>Mr. Rahul Hari</t>
  </si>
  <si>
    <t>Ms. Noor Shergill</t>
  </si>
  <si>
    <t>Mr. Sohail Mohammad</t>
  </si>
  <si>
    <t>Corrected full name</t>
  </si>
  <si>
    <t>Mr. Sumant       Malhotra</t>
  </si>
  <si>
    <t>Mr.      Rahul        Hari</t>
  </si>
  <si>
    <t>Mr. Sohail          Mohammad</t>
  </si>
  <si>
    <t>Edited name</t>
  </si>
  <si>
    <t>Mr. Sumant Malhotra Sumant</t>
  </si>
  <si>
    <t>Ms. Supriya Rathi</t>
  </si>
  <si>
    <t>Length of name</t>
  </si>
  <si>
    <t>What is the location of the text "Sumant"?</t>
  </si>
  <si>
    <t>Number</t>
  </si>
  <si>
    <t>Rounding</t>
  </si>
  <si>
    <t>Formatted number</t>
  </si>
  <si>
    <t>Items</t>
  </si>
  <si>
    <t>Price</t>
  </si>
  <si>
    <t>Subtotal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</si>
  <si>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</si>
  <si>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</si>
  <si>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</si>
  <si>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</si>
  <si>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</si>
  <si>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</si>
  <si>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</si>
  <si>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</si>
  <si>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</si>
  <si>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Sum of Total</t>
  </si>
  <si>
    <t>Grand Total</t>
  </si>
  <si>
    <t>Practice</t>
  </si>
  <si>
    <t>unitcost</t>
  </si>
  <si>
    <t>Mogran</t>
  </si>
  <si>
    <t>Rep--&gt;</t>
  </si>
  <si>
    <t>Item--&gt;</t>
  </si>
  <si>
    <t>pen</t>
  </si>
  <si>
    <t>Column1</t>
  </si>
  <si>
    <t>a</t>
  </si>
  <si>
    <t>b</t>
  </si>
  <si>
    <t>c</t>
  </si>
  <si>
    <t>Example</t>
  </si>
  <si>
    <t>result</t>
  </si>
  <si>
    <t>Row</t>
  </si>
  <si>
    <t>Column</t>
  </si>
  <si>
    <t>Index+Match</t>
  </si>
  <si>
    <t>row</t>
  </si>
  <si>
    <t>column</t>
  </si>
  <si>
    <t>match</t>
  </si>
  <si>
    <t>Ans-&gt;</t>
  </si>
  <si>
    <t>clm</t>
  </si>
  <si>
    <t>Column2</t>
  </si>
  <si>
    <t>Left Lookup--&gt;</t>
  </si>
  <si>
    <t>INDEX($D$3:$D$14,MATCH(F3&amp;G3,B3:B14&amp;C3:C14,0))</t>
  </si>
  <si>
    <t>"The final sales price is "&amp;TEXT(E9*F9*G9,"$###,###.00")</t>
  </si>
  <si>
    <t>The final date is &amp;TEXT(DATE(G12,F12,E12),"DD-MM-YY")</t>
  </si>
  <si>
    <t>Practices</t>
  </si>
  <si>
    <t>Using &amp;</t>
  </si>
  <si>
    <t>MID function</t>
  </si>
  <si>
    <t>FIND("Sumant",C4)</t>
  </si>
  <si>
    <t>Practice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</si>
</sst>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[$$-409]* #,##0_);_([$$-409]* \(#,##0\);_([$$-409]* &quot;-&quot;??_);_(@_)"/>
    <numFmt numFmtId="165" formatCode="_([$$-409]* #,##0.00_);_([$$-409]* \(#,##0.00\);_([$$-409]* &quot;-&quot;??_);_(@_)"/>
    <numFmt numFmtId="166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3" borderId="6" xfId="0" applyFont="1" applyFill="1" applyBorder="1"/>
    <xf numFmtId="0" fontId="9" fillId="5" borderId="7" xfId="0" applyFont="1" applyFill="1" applyBorder="1"/>
    <xf numFmtId="0" fontId="3" fillId="0" borderId="7" xfId="0" applyFont="1" applyFill="1" applyBorder="1"/>
    <xf numFmtId="0" fontId="6" fillId="0" borderId="0" xfId="0" applyFont="1"/>
    <xf numFmtId="0" fontId="10" fillId="0" borderId="2" xfId="0" applyFont="1" applyBorder="1"/>
    <xf numFmtId="0" fontId="11" fillId="0" borderId="0" xfId="0" applyFont="1"/>
    <xf numFmtId="0" fontId="4" fillId="6" borderId="0" xfId="0" applyFont="1" applyFill="1"/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9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0" fillId="0" borderId="0" xfId="0" pivotButton="1"/>
    <xf numFmtId="14" fontId="3" fillId="9" borderId="8" xfId="0" applyNumberFormat="1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12" xfId="0" applyBorder="1"/>
    <xf numFmtId="0" fontId="3" fillId="0" borderId="6" xfId="0" applyFont="1" applyFill="1" applyBorder="1"/>
    <xf numFmtId="0" fontId="12" fillId="0" borderId="24" xfId="0" applyFont="1" applyFill="1" applyBorder="1"/>
    <xf numFmtId="0" fontId="4" fillId="0" borderId="25" xfId="0" applyFont="1" applyBorder="1"/>
    <xf numFmtId="0" fontId="4" fillId="0" borderId="26" xfId="0" applyFont="1" applyBorder="1"/>
    <xf numFmtId="0" fontId="1" fillId="2" borderId="0" xfId="0" applyFont="1" applyFill="1"/>
    <xf numFmtId="166" fontId="0" fillId="0" borderId="15" xfId="1" applyNumberFormat="1" applyFont="1" applyBorder="1"/>
    <xf numFmtId="166" fontId="0" fillId="0" borderId="18" xfId="1" applyNumberFormat="1" applyFont="1" applyBorder="1"/>
    <xf numFmtId="0" fontId="0" fillId="2" borderId="0" xfId="0" applyFill="1" applyAlignment="1">
      <alignment horizontal="center"/>
    </xf>
    <xf numFmtId="0" fontId="0" fillId="10" borderId="0" xfId="0" applyFill="1"/>
    <xf numFmtId="0" fontId="1" fillId="0" borderId="13" xfId="0" applyFont="1" applyBorder="1"/>
    <xf numFmtId="0" fontId="5" fillId="11" borderId="12" xfId="0" applyFont="1" applyFill="1" applyBorder="1"/>
    <xf numFmtId="0" fontId="5" fillId="11" borderId="19" xfId="0" applyFont="1" applyFill="1" applyBorder="1"/>
    <xf numFmtId="0" fontId="5" fillId="0" borderId="12" xfId="0" applyFont="1" applyBorder="1" applyAlignment="1">
      <alignment horizontal="right"/>
    </xf>
    <xf numFmtId="0" fontId="4" fillId="2" borderId="0" xfId="0" applyFont="1" applyFill="1"/>
    <xf numFmtId="0" fontId="0" fillId="12" borderId="0" xfId="0" applyFill="1"/>
    <xf numFmtId="0" fontId="0" fillId="2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13" borderId="0" xfId="0" applyFont="1" applyFill="1"/>
  </cellXfs>
  <cellStyles count="2">
    <cellStyle name="Currency" xfId="1" builtinId="4"/>
    <cellStyle name="Normal" xfId="0" builtinId="0"/>
  </cellStyles>
  <dxfs count="66"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  <numFmt numFmtId="167" formatCode="m/d/yyyy"/>
    </dxf>
    <dxf>
      <font>
        <sz val="20"/>
      </font>
    </dxf>
    <dxf>
      <font>
        <sz val="20"/>
      </font>
    </dxf>
    <dxf>
      <font>
        <color rgb="FF9C0006"/>
      </font>
      <fill>
        <patternFill>
          <bgColor rgb="FFFFC7CE"/>
        </patternFill>
      </fill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  <numFmt numFmtId="167" formatCode="m/d/yyyy"/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  <numFmt numFmtId="167" formatCode="m/d/yyyy"/>
    </dxf>
    <dxf>
      <font>
        <sz val="20"/>
      </font>
    </dxf>
    <dxf>
      <font>
        <sz val="2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7" formatCode="m/d/yyyy"/>
    </dxf>
    <dxf>
      <alignment horizontal="center"/>
    </dxf>
    <dxf>
      <alignment horizontal="center"/>
    </dxf>
    <dxf>
      <alignment horizontal="center"/>
    </dxf>
    <dxf>
      <font>
        <sz val="14"/>
      </font>
      <alignment horizontal="center"/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  <numFmt numFmtId="167" formatCode="m/d/yyyy"/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  <fill>
        <patternFill patternType="solid">
          <fgColor indexed="64"/>
          <bgColor rgb="FFFFFF00"/>
        </patternFill>
      </fill>
    </dxf>
    <dxf>
      <font>
        <sz val="20"/>
      </font>
    </dxf>
    <dxf>
      <font>
        <sz val="20"/>
      </font>
      <numFmt numFmtId="167" formatCode="m/d/yyyy"/>
    </dxf>
    <dxf>
      <font>
        <sz val="20"/>
      </font>
    </dxf>
    <dxf>
      <font>
        <sz val="2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43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Charts!$A$2:$A$14</c:f>
              <c:numCache>
                <c:formatCode>dd-mm-yy</c:formatCode>
                <c:ptCount val="13"/>
                <c:pt idx="0">
                  <c:v>43836</c:v>
                </c:pt>
                <c:pt idx="1">
                  <c:v>43853</c:v>
                </c:pt>
                <c:pt idx="2">
                  <c:v>43870</c:v>
                </c:pt>
                <c:pt idx="3">
                  <c:v>43887</c:v>
                </c:pt>
                <c:pt idx="4">
                  <c:v>43905</c:v>
                </c:pt>
                <c:pt idx="5">
                  <c:v>43922</c:v>
                </c:pt>
                <c:pt idx="6">
                  <c:v>43939</c:v>
                </c:pt>
                <c:pt idx="7">
                  <c:v>43956</c:v>
                </c:pt>
                <c:pt idx="8">
                  <c:v>43973</c:v>
                </c:pt>
                <c:pt idx="9">
                  <c:v>43990</c:v>
                </c:pt>
                <c:pt idx="10">
                  <c:v>44007</c:v>
                </c:pt>
                <c:pt idx="11">
                  <c:v>44024</c:v>
                </c:pt>
                <c:pt idx="12">
                  <c:v>44041</c:v>
                </c:pt>
              </c:numCache>
            </c:numRef>
          </c:cat>
          <c:val>
            <c:numRef>
              <c:f>Charts!$G$2:$G$14</c:f>
              <c:numCache>
                <c:formatCode>General</c:formatCode>
                <c:ptCount val="13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>
                  <c:v>1619.19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A-47A4-872A-62209EE0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566375"/>
        <c:axId val="1385753767"/>
      </c:lineChart>
      <c:dateAx>
        <c:axId val="1679566375"/>
        <c:scaling>
          <c:orientation val="minMax"/>
        </c:scaling>
        <c:delete val="0"/>
        <c:axPos val="b"/>
        <c:numFmt formatCode="dd-mm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53767"/>
        <c:crosses val="autoZero"/>
        <c:auto val="1"/>
        <c:lblOffset val="100"/>
        <c:baseTimeUnit val="days"/>
      </c:dateAx>
      <c:valAx>
        <c:axId val="1385753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66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rep 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07-4B9D-9DCD-45A2EDC285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07-4B9D-9DCD-45A2EDC285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07-4B9D-9DCD-45A2EDC285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07-4B9D-9DCD-45A2EDC285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07-4B9D-9DCD-45A2EDC285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07-4B9D-9DCD-45A2EDC285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07-4B9D-9DCD-45A2EDC285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07-4B9D-9DCD-45A2EDC285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07-4B9D-9DCD-45A2EDC285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07-4B9D-9DCD-45A2EDC285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07-4B9D-9DCD-45A2EDC2851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07-4B9D-9DCD-45A2EDC2851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07-4B9D-9DCD-45A2EDC285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Charts!$C$2:$C$14</c:f>
              <c:strCache>
                <c:ptCount val="13"/>
                <c:pt idx="0">
                  <c:v>Jones</c:v>
                </c:pt>
                <c:pt idx="1">
                  <c:v>Kivell</c:v>
                </c:pt>
                <c:pt idx="2">
                  <c:v>Jardine</c:v>
                </c:pt>
                <c:pt idx="3">
                  <c:v>Gill</c:v>
                </c:pt>
                <c:pt idx="4">
                  <c:v>Sorvino</c:v>
                </c:pt>
                <c:pt idx="5">
                  <c:v>Jones</c:v>
                </c:pt>
                <c:pt idx="6">
                  <c:v>Andrews</c:v>
                </c:pt>
                <c:pt idx="7">
                  <c:v>Jardine</c:v>
                </c:pt>
                <c:pt idx="8">
                  <c:v>Thompson</c:v>
                </c:pt>
                <c:pt idx="9">
                  <c:v>Jones</c:v>
                </c:pt>
                <c:pt idx="10">
                  <c:v>Morgan</c:v>
                </c:pt>
                <c:pt idx="11">
                  <c:v>Howard</c:v>
                </c:pt>
                <c:pt idx="12">
                  <c:v>Parent</c:v>
                </c:pt>
              </c:strCache>
            </c:strRef>
          </c:cat>
          <c:val>
            <c:numRef>
              <c:f>Charts!$G$2:$G$14</c:f>
              <c:numCache>
                <c:formatCode>General</c:formatCode>
                <c:ptCount val="13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>
                  <c:v>1619.19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5-45DC-9803-F1F53CF9A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Charts!$D$2:$D$14</c:f>
              <c:strCache>
                <c:ptCount val="13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  <c:pt idx="9">
                  <c:v>Binder</c:v>
                </c:pt>
                <c:pt idx="10">
                  <c:v>Pencil</c:v>
                </c:pt>
                <c:pt idx="11">
                  <c:v>Binder</c:v>
                </c:pt>
                <c:pt idx="12">
                  <c:v>Binder</c:v>
                </c:pt>
              </c:strCache>
            </c:strRef>
          </c:cat>
          <c:val>
            <c:numRef>
              <c:f>Charts!$G$2:$G$14</c:f>
              <c:numCache>
                <c:formatCode>General</c:formatCode>
                <c:ptCount val="13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>
                  <c:v>1619.19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0C-4A59-8D28-7B0447D824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28386487"/>
        <c:axId val="254333240"/>
      </c:barChart>
      <c:catAx>
        <c:axId val="2028386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33240"/>
        <c:crosses val="autoZero"/>
        <c:auto val="1"/>
        <c:lblAlgn val="ctr"/>
        <c:lblOffset val="100"/>
        <c:noMultiLvlLbl val="0"/>
      </c:catAx>
      <c:valAx>
        <c:axId val="25433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86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Switch row column example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'Switch row-column'!$E$1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'Switch row-column'!$D$2:$D$10</c:f>
              <c:strCache>
                <c:ptCount val="9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</c:strCache>
            </c:strRef>
          </c:cat>
          <c:val>
            <c:numRef>
              <c:f>'Switch row-column'!$E$2:$E$10</c:f>
              <c:numCache>
                <c:formatCode>General</c:formatCode>
                <c:ptCount val="9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F1EB-47C9-8402-FE287107EC5C}"/>
            </c:ext>
          </c:extLst>
        </c:ser>
        <c:ser>
          <c:idx val="1"/>
          <c:order val="1"/>
          <c:tx>
            <c:strRef>
              <c:f>'Switch row-column'!$F$1</c:f>
              <c:strCache>
                <c:ptCount val="1"/>
                <c:pt idx="0">
                  <c:v>UnitCost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'Switch row-column'!$D$2:$D$10</c:f>
              <c:strCache>
                <c:ptCount val="9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</c:strCache>
            </c:strRef>
          </c:cat>
          <c:val>
            <c:numRef>
              <c:f>'Switch row-column'!$F$2:$F$10</c:f>
              <c:numCache>
                <c:formatCode>General</c:formatCode>
                <c:ptCount val="9"/>
                <c:pt idx="0">
                  <c:v>1.99</c:v>
                </c:pt>
                <c:pt idx="1">
                  <c:v>19.989999999999998</c:v>
                </c:pt>
                <c:pt idx="2">
                  <c:v>4.99</c:v>
                </c:pt>
                <c:pt idx="3">
                  <c:v>19.989999999999998</c:v>
                </c:pt>
                <c:pt idx="4">
                  <c:v>2.99</c:v>
                </c:pt>
                <c:pt idx="5">
                  <c:v>4.99</c:v>
                </c:pt>
                <c:pt idx="6">
                  <c:v>1.99</c:v>
                </c:pt>
                <c:pt idx="7">
                  <c:v>4.99</c:v>
                </c:pt>
                <c:pt idx="8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F1EB-47C9-8402-FE287107EC5C}"/>
            </c:ext>
          </c:extLst>
        </c:ser>
        <c:ser>
          <c:idx val="2"/>
          <c:order val="2"/>
          <c:tx>
            <c:strRef>
              <c:f>'Switch row-column'!$G$1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'Switch row-column'!$D$2:$D$10</c:f>
              <c:strCache>
                <c:ptCount val="9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</c:strCache>
            </c:strRef>
          </c:cat>
          <c:val>
            <c:numRef>
              <c:f>'Switch row-column'!$G$2:$G$10</c:f>
              <c:numCache>
                <c:formatCode>General</c:formatCode>
                <c:ptCount val="9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F1EB-47C9-8402-FE287107E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609399"/>
        <c:axId val="644267719"/>
      </c:barChart>
      <c:catAx>
        <c:axId val="2077609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67719"/>
        <c:crosses val="autoZero"/>
        <c:auto val="1"/>
        <c:lblAlgn val="ctr"/>
        <c:lblOffset val="100"/>
        <c:noMultiLvlLbl val="0"/>
      </c:catAx>
      <c:valAx>
        <c:axId val="644267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09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'Legend alignment'!$E$1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'Legend alignment'!$D$2:$D$14</c:f>
              <c:strCache>
                <c:ptCount val="13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  <c:pt idx="9">
                  <c:v>Binder</c:v>
                </c:pt>
                <c:pt idx="10">
                  <c:v>Pencil</c:v>
                </c:pt>
                <c:pt idx="11">
                  <c:v>Binder</c:v>
                </c:pt>
                <c:pt idx="12">
                  <c:v>Binder</c:v>
                </c:pt>
              </c:strCache>
            </c:strRef>
          </c:cat>
          <c:val>
            <c:numRef>
              <c:f>'Legend alignment'!$E$2:$E$14</c:f>
              <c:numCache>
                <c:formatCode>General</c:formatCode>
                <c:ptCount val="13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  <c:pt idx="9">
                  <c:v>60</c:v>
                </c:pt>
                <c:pt idx="10">
                  <c:v>90</c:v>
                </c:pt>
                <c:pt idx="11">
                  <c:v>29</c:v>
                </c:pt>
                <c:pt idx="1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3A7-4539-962D-CF5E3277F573}"/>
            </c:ext>
          </c:extLst>
        </c:ser>
        <c:ser>
          <c:idx val="1"/>
          <c:order val="1"/>
          <c:tx>
            <c:strRef>
              <c:f>'Legend alignment'!$F$1</c:f>
              <c:strCache>
                <c:ptCount val="1"/>
                <c:pt idx="0">
                  <c:v>UnitCost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'Legend alignment'!$D$2:$D$14</c:f>
              <c:strCache>
                <c:ptCount val="13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  <c:pt idx="9">
                  <c:v>Binder</c:v>
                </c:pt>
                <c:pt idx="10">
                  <c:v>Pencil</c:v>
                </c:pt>
                <c:pt idx="11">
                  <c:v>Binder</c:v>
                </c:pt>
                <c:pt idx="12">
                  <c:v>Binder</c:v>
                </c:pt>
              </c:strCache>
            </c:strRef>
          </c:cat>
          <c:val>
            <c:numRef>
              <c:f>'Legend alignment'!$F$2:$F$14</c:f>
              <c:numCache>
                <c:formatCode>General</c:formatCode>
                <c:ptCount val="13"/>
                <c:pt idx="0">
                  <c:v>1.99</c:v>
                </c:pt>
                <c:pt idx="1">
                  <c:v>19.989999999999998</c:v>
                </c:pt>
                <c:pt idx="2">
                  <c:v>4.99</c:v>
                </c:pt>
                <c:pt idx="3">
                  <c:v>19.989999999999998</c:v>
                </c:pt>
                <c:pt idx="4">
                  <c:v>2.99</c:v>
                </c:pt>
                <c:pt idx="5">
                  <c:v>4.99</c:v>
                </c:pt>
                <c:pt idx="6">
                  <c:v>1.99</c:v>
                </c:pt>
                <c:pt idx="7">
                  <c:v>4.99</c:v>
                </c:pt>
                <c:pt idx="8">
                  <c:v>1.99</c:v>
                </c:pt>
                <c:pt idx="9">
                  <c:v>8.99</c:v>
                </c:pt>
                <c:pt idx="10">
                  <c:v>4.99</c:v>
                </c:pt>
                <c:pt idx="11">
                  <c:v>1.99</c:v>
                </c:pt>
                <c:pt idx="12">
                  <c:v>19.989999999999998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3A7-4539-962D-CF5E3277F573}"/>
            </c:ext>
          </c:extLst>
        </c:ser>
        <c:ser>
          <c:idx val="2"/>
          <c:order val="2"/>
          <c:tx>
            <c:strRef>
              <c:f>'Legend alignment'!$G$1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'Legend alignment'!$D$2:$D$14</c:f>
              <c:strCache>
                <c:ptCount val="13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  <c:pt idx="7">
                  <c:v>Pencil</c:v>
                </c:pt>
                <c:pt idx="8">
                  <c:v>Pencil</c:v>
                </c:pt>
                <c:pt idx="9">
                  <c:v>Binder</c:v>
                </c:pt>
                <c:pt idx="10">
                  <c:v>Pencil</c:v>
                </c:pt>
                <c:pt idx="11">
                  <c:v>Binder</c:v>
                </c:pt>
                <c:pt idx="12">
                  <c:v>Binder</c:v>
                </c:pt>
              </c:strCache>
            </c:strRef>
          </c:cat>
          <c:val>
            <c:numRef>
              <c:f>'Legend alignment'!$G$2:$G$14</c:f>
              <c:numCache>
                <c:formatCode>General</c:formatCode>
                <c:ptCount val="13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>
                  <c:v>1619.19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3A7-4539-962D-CF5E3277F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773975"/>
        <c:axId val="964603463"/>
      </c:barChart>
      <c:catAx>
        <c:axId val="37577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03463"/>
        <c:crosses val="autoZero"/>
        <c:auto val="1"/>
        <c:lblAlgn val="ctr"/>
        <c:lblOffset val="100"/>
        <c:noMultiLvlLbl val="0"/>
      </c:catAx>
      <c:valAx>
        <c:axId val="964603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73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labels'!$E$1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labels'!$D$2:$D$8</c:f>
              <c:strCache>
                <c:ptCount val="7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</c:strCache>
            </c:strRef>
          </c:cat>
          <c:val>
            <c:numRef>
              <c:f>'Data labels'!$E$2:$E$8</c:f>
              <c:numCache>
                <c:formatCode>General</c:formatCode>
                <c:ptCount val="7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B-4AE3-9F1B-B0F6AD2AC6B6}"/>
            </c:ext>
          </c:extLst>
        </c:ser>
        <c:ser>
          <c:idx val="1"/>
          <c:order val="1"/>
          <c:tx>
            <c:strRef>
              <c:f>'Data labels'!$F$1</c:f>
              <c:strCache>
                <c:ptCount val="1"/>
                <c:pt idx="0">
                  <c:v>UnitCost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labels'!$D$2:$D$8</c:f>
              <c:strCache>
                <c:ptCount val="7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</c:strCache>
            </c:strRef>
          </c:cat>
          <c:val>
            <c:numRef>
              <c:f>'Data labels'!$F$2:$F$8</c:f>
              <c:numCache>
                <c:formatCode>General</c:formatCode>
                <c:ptCount val="7"/>
                <c:pt idx="0">
                  <c:v>1.99</c:v>
                </c:pt>
                <c:pt idx="1">
                  <c:v>19.989999999999998</c:v>
                </c:pt>
                <c:pt idx="2">
                  <c:v>4.99</c:v>
                </c:pt>
                <c:pt idx="3">
                  <c:v>19.989999999999998</c:v>
                </c:pt>
                <c:pt idx="4">
                  <c:v>2.99</c:v>
                </c:pt>
                <c:pt idx="5">
                  <c:v>4.99</c:v>
                </c:pt>
                <c:pt idx="6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3B-4AE3-9F1B-B0F6AD2AC6B6}"/>
            </c:ext>
          </c:extLst>
        </c:ser>
        <c:ser>
          <c:idx val="2"/>
          <c:order val="2"/>
          <c:tx>
            <c:strRef>
              <c:f>'Data labels'!$G$1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labels'!$D$2:$D$8</c:f>
              <c:strCache>
                <c:ptCount val="7"/>
                <c:pt idx="0">
                  <c:v>Pencil</c:v>
                </c:pt>
                <c:pt idx="1">
                  <c:v>Binder</c:v>
                </c:pt>
                <c:pt idx="2">
                  <c:v>Pencil</c:v>
                </c:pt>
                <c:pt idx="3">
                  <c:v>Pen</c:v>
                </c:pt>
                <c:pt idx="4">
                  <c:v>Pencil</c:v>
                </c:pt>
                <c:pt idx="5">
                  <c:v>Binder</c:v>
                </c:pt>
                <c:pt idx="6">
                  <c:v>Pencil</c:v>
                </c:pt>
              </c:strCache>
            </c:strRef>
          </c:cat>
          <c:val>
            <c:numRef>
              <c:f>'Data labels'!$G$2:$G$8</c:f>
              <c:numCache>
                <c:formatCode>General</c:formatCode>
                <c:ptCount val="7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3B-4AE3-9F1B-B0F6AD2AC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394472"/>
        <c:axId val="1067017016"/>
      </c:barChart>
      <c:catAx>
        <c:axId val="99139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17016"/>
        <c:crosses val="autoZero"/>
        <c:auto val="1"/>
        <c:lblAlgn val="ctr"/>
        <c:lblOffset val="100"/>
        <c:noMultiLvlLbl val="0"/>
      </c:catAx>
      <c:valAx>
        <c:axId val="106701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39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4</xdr:row>
      <xdr:rowOff>38100</xdr:rowOff>
    </xdr:from>
    <xdr:to>
      <xdr:col>7</xdr:col>
      <xdr:colOff>723900</xdr:colOff>
      <xdr:row>11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AC964D4-A9E7-4DD3-8609-935DF02D46A2}"/>
            </a:ext>
          </a:extLst>
        </xdr:cNvPr>
        <xdr:cNvCxnSpPr>
          <a:cxnSpLocks/>
        </xdr:cNvCxnSpPr>
      </xdr:nvCxnSpPr>
      <xdr:spPr>
        <a:xfrm flipV="1">
          <a:off x="3476625" y="1371600"/>
          <a:ext cx="4733925" cy="2409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4</xdr:row>
      <xdr:rowOff>76200</xdr:rowOff>
    </xdr:from>
    <xdr:to>
      <xdr:col>9</xdr:col>
      <xdr:colOff>266700</xdr:colOff>
      <xdr:row>11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0ABEE5-2EBA-4E11-8368-213327540DAE}"/>
            </a:ext>
            <a:ext uri="{147F2762-F138-4A5C-976F-8EAC2B608ADB}">
              <a16:predDERef xmlns:a16="http://schemas.microsoft.com/office/drawing/2014/main" pred="{9AC964D4-A9E7-4DD3-8609-935DF02D46A2}"/>
            </a:ext>
          </a:extLst>
        </xdr:cNvPr>
        <xdr:cNvCxnSpPr>
          <a:cxnSpLocks/>
        </xdr:cNvCxnSpPr>
      </xdr:nvCxnSpPr>
      <xdr:spPr>
        <a:xfrm flipV="1">
          <a:off x="7448550" y="1409700"/>
          <a:ext cx="1943100" cy="23622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16</xdr:row>
      <xdr:rowOff>85725</xdr:rowOff>
    </xdr:from>
    <xdr:to>
      <xdr:col>5</xdr:col>
      <xdr:colOff>1171575</xdr:colOff>
      <xdr:row>16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2F59B57-62DB-4037-96F9-75784482E2CA}"/>
            </a:ext>
            <a:ext uri="{147F2762-F138-4A5C-976F-8EAC2B608ADB}">
              <a16:predDERef xmlns:a16="http://schemas.microsoft.com/office/drawing/2014/main" pred="{A00ABEE5-2EBA-4E11-8368-213327540DAE}"/>
            </a:ext>
          </a:extLst>
        </xdr:cNvPr>
        <xdr:cNvCxnSpPr>
          <a:cxnSpLocks/>
        </xdr:cNvCxnSpPr>
      </xdr:nvCxnSpPr>
      <xdr:spPr>
        <a:xfrm>
          <a:off x="3343275" y="5133975"/>
          <a:ext cx="30765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4</xdr:row>
      <xdr:rowOff>38100</xdr:rowOff>
    </xdr:from>
    <xdr:to>
      <xdr:col>7</xdr:col>
      <xdr:colOff>723900</xdr:colOff>
      <xdr:row>11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53B4DFC-B7D4-406D-9B4E-22036EE729EE}"/>
            </a:ext>
          </a:extLst>
        </xdr:cNvPr>
        <xdr:cNvCxnSpPr>
          <a:cxnSpLocks/>
        </xdr:cNvCxnSpPr>
      </xdr:nvCxnSpPr>
      <xdr:spPr>
        <a:xfrm flipV="1">
          <a:off x="3476625" y="1371600"/>
          <a:ext cx="4733925" cy="2409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4</xdr:row>
      <xdr:rowOff>76200</xdr:rowOff>
    </xdr:from>
    <xdr:to>
      <xdr:col>9</xdr:col>
      <xdr:colOff>266700</xdr:colOff>
      <xdr:row>11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CD92F4A-5B6F-450F-8BD1-EBB21E1494B0}"/>
            </a:ext>
            <a:ext uri="{147F2762-F138-4A5C-976F-8EAC2B608ADB}">
              <a16:predDERef xmlns:a16="http://schemas.microsoft.com/office/drawing/2014/main" pred="{653B4DFC-B7D4-406D-9B4E-22036EE729EE}"/>
            </a:ext>
          </a:extLst>
        </xdr:cNvPr>
        <xdr:cNvCxnSpPr>
          <a:cxnSpLocks/>
        </xdr:cNvCxnSpPr>
      </xdr:nvCxnSpPr>
      <xdr:spPr>
        <a:xfrm flipV="1">
          <a:off x="7448550" y="1409700"/>
          <a:ext cx="1943100" cy="23622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16</xdr:row>
      <xdr:rowOff>85725</xdr:rowOff>
    </xdr:from>
    <xdr:to>
      <xdr:col>5</xdr:col>
      <xdr:colOff>1171575</xdr:colOff>
      <xdr:row>16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3DB7B8-D8B1-4232-936F-4C4A50FD3707}"/>
            </a:ext>
            <a:ext uri="{147F2762-F138-4A5C-976F-8EAC2B608ADB}">
              <a16:predDERef xmlns:a16="http://schemas.microsoft.com/office/drawing/2014/main" pred="{5CD92F4A-5B6F-450F-8BD1-EBB21E1494B0}"/>
            </a:ext>
          </a:extLst>
        </xdr:cNvPr>
        <xdr:cNvCxnSpPr>
          <a:cxnSpLocks/>
        </xdr:cNvCxnSpPr>
      </xdr:nvCxnSpPr>
      <xdr:spPr>
        <a:xfrm>
          <a:off x="3343275" y="5133975"/>
          <a:ext cx="30765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3</xdr:row>
      <xdr:rowOff>19050</xdr:rowOff>
    </xdr:from>
    <xdr:to>
      <xdr:col>15</xdr:col>
      <xdr:colOff>371475</xdr:colOff>
      <xdr:row>5</xdr:row>
      <xdr:rowOff>228600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68A527-634D-4F22-AE18-1ABE519F1B69}"/>
            </a:ext>
            <a:ext uri="{147F2762-F138-4A5C-976F-8EAC2B608ADB}">
              <a16:predDERef xmlns:a16="http://schemas.microsoft.com/office/drawing/2014/main" pred="{C5222D8C-81E1-4E54-8122-29E1D2AAEC84}"/>
            </a:ext>
          </a:extLst>
        </xdr:cNvPr>
        <xdr:cNvCxnSpPr>
          <a:cxnSpLocks/>
        </xdr:cNvCxnSpPr>
      </xdr:nvCxnSpPr>
      <xdr:spPr>
        <a:xfrm flipH="1">
          <a:off x="16316325" y="819150"/>
          <a:ext cx="0" cy="7429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16</xdr:row>
      <xdr:rowOff>95250</xdr:rowOff>
    </xdr:from>
    <xdr:to>
      <xdr:col>6</xdr:col>
      <xdr:colOff>523875</xdr:colOff>
      <xdr:row>16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990CA9-D9C4-40F6-B5F4-77D9FB167929}"/>
            </a:ext>
            <a:ext uri="{147F2762-F138-4A5C-976F-8EAC2B608ADB}">
              <a16:predDERef xmlns:a16="http://schemas.microsoft.com/office/drawing/2014/main" pred="{A00ABEE5-2EBA-4E11-8368-213327540DAE}"/>
            </a:ext>
          </a:extLst>
        </xdr:cNvPr>
        <xdr:cNvCxnSpPr>
          <a:cxnSpLocks/>
        </xdr:cNvCxnSpPr>
      </xdr:nvCxnSpPr>
      <xdr:spPr>
        <a:xfrm flipH="1" flipV="1">
          <a:off x="5667375" y="5153025"/>
          <a:ext cx="1295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133350</xdr:rowOff>
    </xdr:from>
    <xdr:to>
      <xdr:col>3</xdr:col>
      <xdr:colOff>485775</xdr:colOff>
      <xdr:row>1</xdr:row>
      <xdr:rowOff>219075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F7308A06-8413-4AD4-92A4-74A73ED90AA5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2</xdr:row>
      <xdr:rowOff>133350</xdr:rowOff>
    </xdr:from>
    <xdr:to>
      <xdr:col>3</xdr:col>
      <xdr:colOff>485775</xdr:colOff>
      <xdr:row>2</xdr:row>
      <xdr:rowOff>219075</xdr:rowOff>
    </xdr:to>
    <xdr:sp macro="" textlink="">
      <xdr:nvSpPr>
        <xdr:cNvPr id="3" name="Right Arrow 1">
          <a:extLst>
            <a:ext uri="{FF2B5EF4-FFF2-40B4-BE49-F238E27FC236}">
              <a16:creationId xmlns:a16="http://schemas.microsoft.com/office/drawing/2014/main" id="{E99A52C2-FEBC-4B56-8B1F-6A0AE1F62AD0}"/>
            </a:ext>
            <a:ext uri="{147F2762-F138-4A5C-976F-8EAC2B608ADB}">
              <a16:predDERef xmlns:a16="http://schemas.microsoft.com/office/drawing/2014/main" pred="{F7308A06-8413-4AD4-92A4-74A73ED90AA5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3</xdr:row>
      <xdr:rowOff>133350</xdr:rowOff>
    </xdr:from>
    <xdr:to>
      <xdr:col>3</xdr:col>
      <xdr:colOff>485775</xdr:colOff>
      <xdr:row>3</xdr:row>
      <xdr:rowOff>219075</xdr:rowOff>
    </xdr:to>
    <xdr:sp macro="" textlink="">
      <xdr:nvSpPr>
        <xdr:cNvPr id="4" name="Right Arrow 1">
          <a:extLst>
            <a:ext uri="{FF2B5EF4-FFF2-40B4-BE49-F238E27FC236}">
              <a16:creationId xmlns:a16="http://schemas.microsoft.com/office/drawing/2014/main" id="{B2677877-4F4D-4260-86BC-5712369B88E4}"/>
            </a:ext>
            <a:ext uri="{147F2762-F138-4A5C-976F-8EAC2B608ADB}">
              <a16:predDERef xmlns:a16="http://schemas.microsoft.com/office/drawing/2014/main" pred="{E99A52C2-FEBC-4B56-8B1F-6A0AE1F62AD0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4</xdr:row>
      <xdr:rowOff>133350</xdr:rowOff>
    </xdr:from>
    <xdr:to>
      <xdr:col>3</xdr:col>
      <xdr:colOff>485775</xdr:colOff>
      <xdr:row>4</xdr:row>
      <xdr:rowOff>219075</xdr:rowOff>
    </xdr:to>
    <xdr:sp macro="" textlink="">
      <xdr:nvSpPr>
        <xdr:cNvPr id="5" name="Right Arrow 1">
          <a:extLst>
            <a:ext uri="{FF2B5EF4-FFF2-40B4-BE49-F238E27FC236}">
              <a16:creationId xmlns:a16="http://schemas.microsoft.com/office/drawing/2014/main" id="{EFC4A2A0-B85E-47B8-89F0-D31342F20D15}"/>
            </a:ext>
            <a:ext uri="{147F2762-F138-4A5C-976F-8EAC2B608ADB}">
              <a16:predDERef xmlns:a16="http://schemas.microsoft.com/office/drawing/2014/main" pred="{B2677877-4F4D-4260-86BC-5712369B88E4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5</xdr:row>
      <xdr:rowOff>133350</xdr:rowOff>
    </xdr:from>
    <xdr:to>
      <xdr:col>3</xdr:col>
      <xdr:colOff>485775</xdr:colOff>
      <xdr:row>5</xdr:row>
      <xdr:rowOff>219075</xdr:rowOff>
    </xdr:to>
    <xdr:sp macro="" textlink="">
      <xdr:nvSpPr>
        <xdr:cNvPr id="6" name="Right Arrow 1">
          <a:extLst>
            <a:ext uri="{FF2B5EF4-FFF2-40B4-BE49-F238E27FC236}">
              <a16:creationId xmlns:a16="http://schemas.microsoft.com/office/drawing/2014/main" id="{8644863B-74DD-4865-B349-A6FE24CD0A2D}"/>
            </a:ext>
            <a:ext uri="{147F2762-F138-4A5C-976F-8EAC2B608ADB}">
              <a16:predDERef xmlns:a16="http://schemas.microsoft.com/office/drawing/2014/main" pred="{EFC4A2A0-B85E-47B8-89F0-D31342F20D15}"/>
            </a:ext>
          </a:extLst>
        </xdr:cNvPr>
        <xdr:cNvSpPr/>
      </xdr:nvSpPr>
      <xdr:spPr>
        <a:xfrm>
          <a:off x="2524125" y="657225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6</xdr:row>
      <xdr:rowOff>133350</xdr:rowOff>
    </xdr:from>
    <xdr:to>
      <xdr:col>3</xdr:col>
      <xdr:colOff>485775</xdr:colOff>
      <xdr:row>6</xdr:row>
      <xdr:rowOff>219075</xdr:rowOff>
    </xdr:to>
    <xdr:sp macro="" textlink="">
      <xdr:nvSpPr>
        <xdr:cNvPr id="7" name="Right Arrow 1">
          <a:extLst>
            <a:ext uri="{FF2B5EF4-FFF2-40B4-BE49-F238E27FC236}">
              <a16:creationId xmlns:a16="http://schemas.microsoft.com/office/drawing/2014/main" id="{2F010D1E-FA7E-474A-810E-BD7A39FF1B63}"/>
            </a:ext>
            <a:ext uri="{147F2762-F138-4A5C-976F-8EAC2B608ADB}">
              <a16:predDERef xmlns:a16="http://schemas.microsoft.com/office/drawing/2014/main" pred="{8644863B-74DD-4865-B349-A6FE24CD0A2D}"/>
            </a:ext>
          </a:extLst>
        </xdr:cNvPr>
        <xdr:cNvSpPr/>
      </xdr:nvSpPr>
      <xdr:spPr>
        <a:xfrm>
          <a:off x="2524125" y="99060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7</xdr:row>
      <xdr:rowOff>133350</xdr:rowOff>
    </xdr:from>
    <xdr:to>
      <xdr:col>3</xdr:col>
      <xdr:colOff>485775</xdr:colOff>
      <xdr:row>7</xdr:row>
      <xdr:rowOff>219075</xdr:rowOff>
    </xdr:to>
    <xdr:sp macro="" textlink="">
      <xdr:nvSpPr>
        <xdr:cNvPr id="8" name="Right Arrow 1">
          <a:extLst>
            <a:ext uri="{FF2B5EF4-FFF2-40B4-BE49-F238E27FC236}">
              <a16:creationId xmlns:a16="http://schemas.microsoft.com/office/drawing/2014/main" id="{6BB3594D-C004-4845-B37E-75AC7F35B798}"/>
            </a:ext>
            <a:ext uri="{147F2762-F138-4A5C-976F-8EAC2B608ADB}">
              <a16:predDERef xmlns:a16="http://schemas.microsoft.com/office/drawing/2014/main" pred="{2F010D1E-FA7E-474A-810E-BD7A39FF1B63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8</xdr:row>
      <xdr:rowOff>133350</xdr:rowOff>
    </xdr:from>
    <xdr:to>
      <xdr:col>3</xdr:col>
      <xdr:colOff>485775</xdr:colOff>
      <xdr:row>8</xdr:row>
      <xdr:rowOff>219075</xdr:rowOff>
    </xdr:to>
    <xdr:sp macro="" textlink="">
      <xdr:nvSpPr>
        <xdr:cNvPr id="9" name="Right Arrow 1">
          <a:extLst>
            <a:ext uri="{FF2B5EF4-FFF2-40B4-BE49-F238E27FC236}">
              <a16:creationId xmlns:a16="http://schemas.microsoft.com/office/drawing/2014/main" id="{43D34898-D000-44F9-BEA1-41D5138AC2E2}"/>
            </a:ext>
            <a:ext uri="{147F2762-F138-4A5C-976F-8EAC2B608ADB}">
              <a16:predDERef xmlns:a16="http://schemas.microsoft.com/office/drawing/2014/main" pred="{6BB3594D-C004-4845-B37E-75AC7F35B798}"/>
            </a:ext>
          </a:extLst>
        </xdr:cNvPr>
        <xdr:cNvSpPr/>
      </xdr:nvSpPr>
      <xdr:spPr>
        <a:xfrm>
          <a:off x="2524125" y="657225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9</xdr:row>
      <xdr:rowOff>133350</xdr:rowOff>
    </xdr:from>
    <xdr:to>
      <xdr:col>3</xdr:col>
      <xdr:colOff>485775</xdr:colOff>
      <xdr:row>9</xdr:row>
      <xdr:rowOff>219075</xdr:rowOff>
    </xdr:to>
    <xdr:sp macro="" textlink="">
      <xdr:nvSpPr>
        <xdr:cNvPr id="10" name="Right Arrow 1">
          <a:extLst>
            <a:ext uri="{FF2B5EF4-FFF2-40B4-BE49-F238E27FC236}">
              <a16:creationId xmlns:a16="http://schemas.microsoft.com/office/drawing/2014/main" id="{A23AB810-44DA-4899-9EE0-5591473C152A}"/>
            </a:ext>
            <a:ext uri="{147F2762-F138-4A5C-976F-8EAC2B608ADB}">
              <a16:predDERef xmlns:a16="http://schemas.microsoft.com/office/drawing/2014/main" pred="{43D34898-D000-44F9-BEA1-41D5138AC2E2}"/>
            </a:ext>
          </a:extLst>
        </xdr:cNvPr>
        <xdr:cNvSpPr/>
      </xdr:nvSpPr>
      <xdr:spPr>
        <a:xfrm>
          <a:off x="2524125" y="99060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10</xdr:row>
      <xdr:rowOff>133350</xdr:rowOff>
    </xdr:from>
    <xdr:to>
      <xdr:col>3</xdr:col>
      <xdr:colOff>485775</xdr:colOff>
      <xdr:row>10</xdr:row>
      <xdr:rowOff>219075</xdr:rowOff>
    </xdr:to>
    <xdr:sp macro="" textlink="">
      <xdr:nvSpPr>
        <xdr:cNvPr id="11" name="Right Arrow 1">
          <a:extLst>
            <a:ext uri="{FF2B5EF4-FFF2-40B4-BE49-F238E27FC236}">
              <a16:creationId xmlns:a16="http://schemas.microsoft.com/office/drawing/2014/main" id="{A0090C45-1C9A-4374-9A0A-AAF58628C0A9}"/>
            </a:ext>
            <a:ext uri="{147F2762-F138-4A5C-976F-8EAC2B608ADB}">
              <a16:predDERef xmlns:a16="http://schemas.microsoft.com/office/drawing/2014/main" pred="{A23AB810-44DA-4899-9EE0-5591473C152A}"/>
            </a:ext>
          </a:extLst>
        </xdr:cNvPr>
        <xdr:cNvSpPr/>
      </xdr:nvSpPr>
      <xdr:spPr>
        <a:xfrm>
          <a:off x="2524125" y="32385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11</xdr:row>
      <xdr:rowOff>133350</xdr:rowOff>
    </xdr:from>
    <xdr:to>
      <xdr:col>3</xdr:col>
      <xdr:colOff>485775</xdr:colOff>
      <xdr:row>11</xdr:row>
      <xdr:rowOff>219075</xdr:rowOff>
    </xdr:to>
    <xdr:sp macro="" textlink="">
      <xdr:nvSpPr>
        <xdr:cNvPr id="12" name="Right Arrow 1">
          <a:extLst>
            <a:ext uri="{FF2B5EF4-FFF2-40B4-BE49-F238E27FC236}">
              <a16:creationId xmlns:a16="http://schemas.microsoft.com/office/drawing/2014/main" id="{3D129E85-5422-477C-9F4C-A54D29E0C92A}"/>
            </a:ext>
            <a:ext uri="{147F2762-F138-4A5C-976F-8EAC2B608ADB}">
              <a16:predDERef xmlns:a16="http://schemas.microsoft.com/office/drawing/2014/main" pred="{A0090C45-1C9A-4374-9A0A-AAF58628C0A9}"/>
            </a:ext>
          </a:extLst>
        </xdr:cNvPr>
        <xdr:cNvSpPr/>
      </xdr:nvSpPr>
      <xdr:spPr>
        <a:xfrm>
          <a:off x="2524125" y="657225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12</xdr:row>
      <xdr:rowOff>133350</xdr:rowOff>
    </xdr:from>
    <xdr:to>
      <xdr:col>3</xdr:col>
      <xdr:colOff>485775</xdr:colOff>
      <xdr:row>12</xdr:row>
      <xdr:rowOff>219075</xdr:rowOff>
    </xdr:to>
    <xdr:sp macro="" textlink="">
      <xdr:nvSpPr>
        <xdr:cNvPr id="13" name="Right Arrow 1">
          <a:extLst>
            <a:ext uri="{FF2B5EF4-FFF2-40B4-BE49-F238E27FC236}">
              <a16:creationId xmlns:a16="http://schemas.microsoft.com/office/drawing/2014/main" id="{5AD8E08E-638A-434F-92F9-E8EA131AFA54}"/>
            </a:ext>
            <a:ext uri="{147F2762-F138-4A5C-976F-8EAC2B608ADB}">
              <a16:predDERef xmlns:a16="http://schemas.microsoft.com/office/drawing/2014/main" pred="{3D129E85-5422-477C-9F4C-A54D29E0C92A}"/>
            </a:ext>
          </a:extLst>
        </xdr:cNvPr>
        <xdr:cNvSpPr/>
      </xdr:nvSpPr>
      <xdr:spPr>
        <a:xfrm>
          <a:off x="2524125" y="990600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13</xdr:row>
      <xdr:rowOff>133350</xdr:rowOff>
    </xdr:from>
    <xdr:to>
      <xdr:col>3</xdr:col>
      <xdr:colOff>485775</xdr:colOff>
      <xdr:row>13</xdr:row>
      <xdr:rowOff>219075</xdr:rowOff>
    </xdr:to>
    <xdr:sp macro="" textlink="">
      <xdr:nvSpPr>
        <xdr:cNvPr id="15" name="Right Arrow 1">
          <a:extLst>
            <a:ext uri="{FF2B5EF4-FFF2-40B4-BE49-F238E27FC236}">
              <a16:creationId xmlns:a16="http://schemas.microsoft.com/office/drawing/2014/main" id="{9AECD7C6-7775-420E-8DDA-E89B1EF4F4C5}"/>
            </a:ext>
            <a:ext uri="{147F2762-F138-4A5C-976F-8EAC2B608ADB}">
              <a16:predDERef xmlns:a16="http://schemas.microsoft.com/office/drawing/2014/main" pred="{5AD8E08E-638A-434F-92F9-E8EA131AFA54}"/>
            </a:ext>
          </a:extLst>
        </xdr:cNvPr>
        <xdr:cNvSpPr/>
      </xdr:nvSpPr>
      <xdr:spPr>
        <a:xfrm>
          <a:off x="2524125" y="3990975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14</xdr:row>
      <xdr:rowOff>133350</xdr:rowOff>
    </xdr:from>
    <xdr:to>
      <xdr:col>3</xdr:col>
      <xdr:colOff>485775</xdr:colOff>
      <xdr:row>14</xdr:row>
      <xdr:rowOff>219075</xdr:rowOff>
    </xdr:to>
    <xdr:sp macro="" textlink="">
      <xdr:nvSpPr>
        <xdr:cNvPr id="16" name="Right Arrow 1">
          <a:extLst>
            <a:ext uri="{FF2B5EF4-FFF2-40B4-BE49-F238E27FC236}">
              <a16:creationId xmlns:a16="http://schemas.microsoft.com/office/drawing/2014/main" id="{866A18A0-7B4C-41AA-B0FE-8425CF988B6F}"/>
            </a:ext>
            <a:ext uri="{147F2762-F138-4A5C-976F-8EAC2B608ADB}">
              <a16:predDERef xmlns:a16="http://schemas.microsoft.com/office/drawing/2014/main" pred="{9AECD7C6-7775-420E-8DDA-E89B1EF4F4C5}"/>
            </a:ext>
          </a:extLst>
        </xdr:cNvPr>
        <xdr:cNvSpPr/>
      </xdr:nvSpPr>
      <xdr:spPr>
        <a:xfrm>
          <a:off x="2524125" y="3990975"/>
          <a:ext cx="4000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16</xdr:row>
      <xdr:rowOff>95250</xdr:rowOff>
    </xdr:from>
    <xdr:to>
      <xdr:col>6</xdr:col>
      <xdr:colOff>523875</xdr:colOff>
      <xdr:row>16</xdr:row>
      <xdr:rowOff>95250</xdr:rowOff>
    </xdr:to>
    <xdr:cxnSp macro="">
      <xdr:nvCxnSpPr>
        <xdr:cNvPr id="2" name="Straight Connector 3">
          <a:extLst>
            <a:ext uri="{FF2B5EF4-FFF2-40B4-BE49-F238E27FC236}">
              <a16:creationId xmlns:a16="http://schemas.microsoft.com/office/drawing/2014/main" id="{DC5F26F3-095C-459B-ABFA-09E9C452A454}"/>
            </a:ext>
            <a:ext uri="{147F2762-F138-4A5C-976F-8EAC2B608ADB}">
              <a16:predDERef xmlns:a16="http://schemas.microsoft.com/office/drawing/2014/main" pred="{A00ABEE5-2EBA-4E11-8368-213327540DAE}"/>
            </a:ext>
          </a:extLst>
        </xdr:cNvPr>
        <xdr:cNvCxnSpPr>
          <a:cxnSpLocks/>
        </xdr:cNvCxnSpPr>
      </xdr:nvCxnSpPr>
      <xdr:spPr>
        <a:xfrm flipH="1" flipV="1">
          <a:off x="5667375" y="5153025"/>
          <a:ext cx="1295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285750</xdr:rowOff>
    </xdr:from>
    <xdr:to>
      <xdr:col>15</xdr:col>
      <xdr:colOff>457200</xdr:colOff>
      <xdr:row>9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0A94CA-951B-4F22-B1CB-3C470EF3B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104775</xdr:colOff>
      <xdr:row>0</xdr:row>
      <xdr:rowOff>276225</xdr:rowOff>
    </xdr:from>
    <xdr:to>
      <xdr:col>24</xdr:col>
      <xdr:colOff>409575</xdr:colOff>
      <xdr:row>11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E9F543-E0F1-4054-9741-CB89A1CB12A0}"/>
            </a:ext>
            <a:ext uri="{147F2762-F138-4A5C-976F-8EAC2B608ADB}">
              <a16:predDERef xmlns:a16="http://schemas.microsoft.com/office/drawing/2014/main" pred="{950A94CA-951B-4F22-B1CB-3C470EF3B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10</xdr:row>
      <xdr:rowOff>171450</xdr:rowOff>
    </xdr:from>
    <xdr:to>
      <xdr:col>15</xdr:col>
      <xdr:colOff>466725</xdr:colOff>
      <xdr:row>22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41EFB9-D1B8-4AFE-8A3C-7A07A6288E55}"/>
            </a:ext>
            <a:ext uri="{147F2762-F138-4A5C-976F-8EAC2B608ADB}">
              <a16:predDERef xmlns:a16="http://schemas.microsoft.com/office/drawing/2014/main" pred="{ACE9F543-E0F1-4054-9741-CB89A1CB1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3</xdr:row>
      <xdr:rowOff>38100</xdr:rowOff>
    </xdr:from>
    <xdr:to>
      <xdr:col>17</xdr:col>
      <xdr:colOff>190500</xdr:colOff>
      <xdr:row>11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730A7C-F46F-4584-89F3-8DEE2A6C4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4</xdr:row>
      <xdr:rowOff>38100</xdr:rowOff>
    </xdr:from>
    <xdr:to>
      <xdr:col>15</xdr:col>
      <xdr:colOff>552450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F1BDD-67CC-41E1-BE08-DD8665C36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257175</xdr:rowOff>
    </xdr:from>
    <xdr:to>
      <xdr:col>19</xdr:col>
      <xdr:colOff>504825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7B937-DD9B-44F8-B5D6-4BF33E039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4461.662883101853" createdVersion="7" refreshedVersion="7" minRefreshableVersion="3" recordCount="13">
  <cacheSource type="worksheet">
    <worksheetSource ref="A1:G14" sheet="Pivot tables"/>
  </cacheSource>
  <cacheFields count="7">
    <cacheField name="OrderDate" numFmtId="14">
      <sharedItems containsSemiMixedTypes="0" containsNonDate="0" containsDate="1" containsString="0" containsMixedTypes="1" minDate="2020-01-06T00:00:00" maxDate="1900-01-05T12:50:04" count="26">
        <d v="2020-01-06T00:00:00"/>
        <d v="2020-01-23T00:00:00"/>
        <d v="2020-02-09T00:00:00"/>
        <d v="2020-02-26T00:00:00"/>
        <d v="2020-03-15T00:00:00"/>
        <d v="2020-04-01T00:00:00"/>
        <d v="2020-04-18T00:00:00"/>
        <d v="2020-05-05T00:00:00"/>
        <d v="2020-05-22T00:00:00"/>
        <d v="2020-06-08T00:00:00"/>
        <d v="2020-06-25T00:00:00"/>
        <d v="2020-07-12T00:00:00"/>
        <d v="2020-07-29T00:00:00"/>
        <n v="43887" u="1"/>
        <n v="43836" u="1"/>
        <n v="44007" u="1"/>
        <n v="43956" u="1"/>
        <n v="43905" u="1"/>
        <n v="43870" u="1"/>
        <n v="44041" u="1"/>
        <n v="43990" u="1"/>
        <n v="43939" u="1"/>
        <n v="43853" u="1"/>
        <n v="44024" u="1"/>
        <n v="43973" u="1"/>
        <n v="43922" u="1"/>
      </sharedItems>
    </cacheField>
    <cacheField name="Region" numFmtId="0">
      <sharedItems/>
    </cacheField>
    <cacheField name="Rep" numFmtId="0">
      <sharedItems/>
    </cacheField>
    <cacheField name="Item" numFmtId="0">
      <sharedItems count="3">
        <s v="Pencil"/>
        <s v="Binder"/>
        <s v="Pen"/>
      </sharedItems>
    </cacheField>
    <cacheField name="Units" numFmtId="0">
      <sharedItems containsSemiMixedTypes="0" containsString="0" containsNumber="1" containsInteger="1" minValue="27" maxValue="95"/>
    </cacheField>
    <cacheField name="UnitCost" numFmtId="0">
      <sharedItems containsSemiMixedTypes="0" containsString="0" containsNumber="1" minValue="1.99" maxValue="19.989999999999998"/>
    </cacheField>
    <cacheField name="Total" numFmtId="0">
      <sharedItems containsSemiMixedTypes="0" containsString="0" containsNumber="1" minValue="57.71" maxValue="1619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4461.664432175923" createdVersion="7" refreshedVersion="7" minRefreshableVersion="3" recordCount="13">
  <cacheSource type="worksheet">
    <worksheetSource ref="A1:G14" sheet="Sort &amp; filter pivot"/>
  </cacheSource>
  <cacheFields count="7">
    <cacheField name="OrderDate" numFmtId="14">
      <sharedItems containsSemiMixedTypes="0" containsNonDate="0" containsDate="1" containsString="0" minDate="2020-01-06T00:00:00" maxDate="2020-07-30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0">
        <s v="Jones"/>
        <s v="Kivell"/>
        <s v="Jardine"/>
        <s v="Gill"/>
        <s v="Sorvino"/>
        <s v="Andrews"/>
        <s v="Thompson"/>
        <s v="Morgan"/>
        <s v="Howard"/>
        <s v="Parent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7" maxValue="95"/>
    </cacheField>
    <cacheField name="UnitCost" numFmtId="0">
      <sharedItems containsSemiMixedTypes="0" containsString="0" containsNumber="1" minValue="1.99" maxValue="19.989999999999998"/>
    </cacheField>
    <cacheField name="Total" numFmtId="0">
      <sharedItems containsSemiMixedTypes="0" containsString="0" containsNumber="1" minValue="57.71" maxValue="1619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xcel Services" refreshedDate="44461.665336226855" createdVersion="7" refreshedVersion="7" minRefreshableVersion="3" recordCount="13">
  <cacheSource type="worksheet">
    <worksheetSource ref="A1:G14" sheet="Summary calc pivot"/>
  </cacheSource>
  <cacheFields count="7">
    <cacheField name="OrderDate" numFmtId="14">
      <sharedItems containsSemiMixedTypes="0" containsNonDate="0" containsDate="1" containsString="0" minDate="2020-01-06T00:00:00" maxDate="2020-07-30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0">
        <s v="Jones"/>
        <s v="Kivell"/>
        <s v="Jardine"/>
        <s v="Gill"/>
        <s v="Sorvino"/>
        <s v="Andrews"/>
        <s v="Thompson"/>
        <s v="Morgan"/>
        <s v="Howard"/>
        <s v="Parent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7" maxValue="95"/>
    </cacheField>
    <cacheField name="UnitCost" numFmtId="0">
      <sharedItems containsSemiMixedTypes="0" containsString="0" containsNumber="1" minValue="1.99" maxValue="19.989999999999998"/>
    </cacheField>
    <cacheField name="Total" numFmtId="0">
      <sharedItems containsSemiMixedTypes="0" containsString="0" containsNumber="1" minValue="57.71" maxValue="1619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xcel Services" refreshedDate="44461.66661064815" createdVersion="7" refreshedVersion="7" minRefreshableVersion="3" recordCount="13">
  <cacheSource type="worksheet">
    <worksheetSource ref="A1:G14" sheet="2D pivot"/>
  </cacheSource>
  <cacheFields count="7">
    <cacheField name="OrderDate" numFmtId="14">
      <sharedItems containsSemiMixedTypes="0" containsNonDate="0" containsDate="1" containsString="0" minDate="2020-01-06T00:00:00" maxDate="2020-07-30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0">
        <s v="Jones"/>
        <s v="Kivell"/>
        <s v="Jardine"/>
        <s v="Gill"/>
        <s v="Sorvino"/>
        <s v="Andrews"/>
        <s v="Thompson"/>
        <s v="Morgan"/>
        <s v="Howard"/>
        <s v="Parent"/>
      </sharedItems>
    </cacheField>
    <cacheField name="Item" numFmtId="0">
      <sharedItems count="3">
        <s v="Pencil"/>
        <s v="Binder"/>
        <s v="Pen"/>
      </sharedItems>
    </cacheField>
    <cacheField name="Units" numFmtId="0">
      <sharedItems containsSemiMixedTypes="0" containsString="0" containsNumber="1" containsInteger="1" minValue="27" maxValue="95"/>
    </cacheField>
    <cacheField name="UnitCost" numFmtId="0">
      <sharedItems containsSemiMixedTypes="0" containsString="0" containsNumber="1" minValue="1.99" maxValue="19.989999999999998"/>
    </cacheField>
    <cacheField name="Total" numFmtId="0">
      <sharedItems containsSemiMixedTypes="0" containsString="0" containsNumber="1" minValue="57.71" maxValue="1619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xcel Services" refreshedDate="44461.66720729167" createdVersion="7" refreshedVersion="7" minRefreshableVersion="3" recordCount="13">
  <cacheSource type="worksheet">
    <worksheetSource ref="A1:G14" sheet="Slicer pivot"/>
  </cacheSource>
  <cacheFields count="7">
    <cacheField name="OrderDate" numFmtId="14">
      <sharedItems containsSemiMixedTypes="0" containsNonDate="0" containsDate="1" containsString="0" minDate="2020-01-06T00:00:00" maxDate="2020-07-30T00:00:00"/>
    </cacheField>
    <cacheField name="Region" numFmtId="0">
      <sharedItems count="3">
        <s v="East"/>
        <s v="Central"/>
        <s v="West"/>
      </sharedItems>
    </cacheField>
    <cacheField name="Rep" numFmtId="0">
      <sharedItems count="10">
        <s v="Jones"/>
        <s v="Kivell"/>
        <s v="Jardine"/>
        <s v="Gill"/>
        <s v="Sorvino"/>
        <s v="Andrews"/>
        <s v="Thompson"/>
        <s v="Morgan"/>
        <s v="Howard"/>
        <s v="Parent"/>
      </sharedItems>
    </cacheField>
    <cacheField name="Item" numFmtId="0">
      <sharedItems count="3">
        <s v="Pencil"/>
        <s v="Binder"/>
        <s v="Pen"/>
      </sharedItems>
    </cacheField>
    <cacheField name="Units" numFmtId="0">
      <sharedItems containsSemiMixedTypes="0" containsString="0" containsNumber="1" containsInteger="1" minValue="27" maxValue="95"/>
    </cacheField>
    <cacheField name="UnitCost" numFmtId="0">
      <sharedItems containsSemiMixedTypes="0" containsString="0" containsNumber="1" minValue="1.99" maxValue="19.989999999999998"/>
    </cacheField>
    <cacheField name="Total" numFmtId="0">
      <sharedItems containsSemiMixedTypes="0" containsString="0" containsNumber="1" minValue="57.71" maxValue="1619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s v="East"/>
    <s v="Jones"/>
    <x v="0"/>
    <n v="95"/>
    <n v="1.99"/>
    <n v="189.05"/>
  </r>
  <r>
    <x v="1"/>
    <s v="Central"/>
    <s v="Kivell"/>
    <x v="1"/>
    <n v="50"/>
    <n v="19.989999999999998"/>
    <n v="999.5"/>
  </r>
  <r>
    <x v="2"/>
    <s v="Central"/>
    <s v="Jardine"/>
    <x v="0"/>
    <n v="36"/>
    <n v="4.99"/>
    <n v="179.64"/>
  </r>
  <r>
    <x v="3"/>
    <s v="Central"/>
    <s v="Gill"/>
    <x v="2"/>
    <n v="27"/>
    <n v="19.989999999999998"/>
    <n v="539.73"/>
  </r>
  <r>
    <x v="4"/>
    <s v="West"/>
    <s v="Sorvino"/>
    <x v="0"/>
    <n v="56"/>
    <n v="2.99"/>
    <n v="167.44"/>
  </r>
  <r>
    <x v="5"/>
    <s v="East"/>
    <s v="Jones"/>
    <x v="1"/>
    <n v="60"/>
    <n v="4.99"/>
    <n v="299.39999999999998"/>
  </r>
  <r>
    <x v="6"/>
    <s v="Central"/>
    <s v="Andrews"/>
    <x v="0"/>
    <n v="75"/>
    <n v="1.99"/>
    <n v="149.25"/>
  </r>
  <r>
    <x v="7"/>
    <s v="Central"/>
    <s v="Jardine"/>
    <x v="0"/>
    <n v="90"/>
    <n v="4.99"/>
    <n v="449.1"/>
  </r>
  <r>
    <x v="8"/>
    <s v="West"/>
    <s v="Thompson"/>
    <x v="0"/>
    <n v="32"/>
    <n v="1.99"/>
    <n v="63.68"/>
  </r>
  <r>
    <x v="9"/>
    <s v="East"/>
    <s v="Jones"/>
    <x v="1"/>
    <n v="60"/>
    <n v="8.99"/>
    <n v="539.4"/>
  </r>
  <r>
    <x v="10"/>
    <s v="Central"/>
    <s v="Morgan"/>
    <x v="0"/>
    <n v="90"/>
    <n v="4.99"/>
    <n v="449.1"/>
  </r>
  <r>
    <x v="11"/>
    <s v="East"/>
    <s v="Howard"/>
    <x v="1"/>
    <n v="29"/>
    <n v="1.99"/>
    <n v="57.71"/>
  </r>
  <r>
    <x v="12"/>
    <s v="East"/>
    <s v="Parent"/>
    <x v="1"/>
    <n v="81"/>
    <n v="19.989999999999998"/>
    <n v="1619.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d v="2020-01-06T00:00:00"/>
    <x v="0"/>
    <x v="0"/>
    <s v="Pencil"/>
    <n v="95"/>
    <n v="1.99"/>
    <n v="189.05"/>
  </r>
  <r>
    <d v="2020-01-23T00:00:00"/>
    <x v="1"/>
    <x v="1"/>
    <s v="Binder"/>
    <n v="50"/>
    <n v="19.989999999999998"/>
    <n v="999.5"/>
  </r>
  <r>
    <d v="2020-02-09T00:00:00"/>
    <x v="1"/>
    <x v="2"/>
    <s v="Pencil"/>
    <n v="36"/>
    <n v="4.99"/>
    <n v="179.64"/>
  </r>
  <r>
    <d v="2020-02-26T00:00:00"/>
    <x v="1"/>
    <x v="3"/>
    <s v="Pen"/>
    <n v="27"/>
    <n v="19.989999999999998"/>
    <n v="539.73"/>
  </r>
  <r>
    <d v="2020-03-15T00:00:00"/>
    <x v="2"/>
    <x v="4"/>
    <s v="Pencil"/>
    <n v="56"/>
    <n v="2.99"/>
    <n v="167.44"/>
  </r>
  <r>
    <d v="2020-04-01T00:00:00"/>
    <x v="0"/>
    <x v="0"/>
    <s v="Binder"/>
    <n v="60"/>
    <n v="4.99"/>
    <n v="299.39999999999998"/>
  </r>
  <r>
    <d v="2020-04-18T00:00:00"/>
    <x v="1"/>
    <x v="5"/>
    <s v="Pencil"/>
    <n v="75"/>
    <n v="1.99"/>
    <n v="149.25"/>
  </r>
  <r>
    <d v="2020-05-05T00:00:00"/>
    <x v="1"/>
    <x v="2"/>
    <s v="Pencil"/>
    <n v="90"/>
    <n v="4.99"/>
    <n v="449.1"/>
  </r>
  <r>
    <d v="2020-05-22T00:00:00"/>
    <x v="2"/>
    <x v="6"/>
    <s v="Pencil"/>
    <n v="32"/>
    <n v="1.99"/>
    <n v="63.68"/>
  </r>
  <r>
    <d v="2020-06-08T00:00:00"/>
    <x v="0"/>
    <x v="0"/>
    <s v="Binder"/>
    <n v="60"/>
    <n v="8.99"/>
    <n v="539.4"/>
  </r>
  <r>
    <d v="2020-06-25T00:00:00"/>
    <x v="1"/>
    <x v="7"/>
    <s v="Pencil"/>
    <n v="90"/>
    <n v="4.99"/>
    <n v="449.1"/>
  </r>
  <r>
    <d v="2020-07-12T00:00:00"/>
    <x v="0"/>
    <x v="8"/>
    <s v="Binder"/>
    <n v="29"/>
    <n v="1.99"/>
    <n v="57.71"/>
  </r>
  <r>
    <d v="2020-07-29T00:00:00"/>
    <x v="0"/>
    <x v="9"/>
    <s v="Binder"/>
    <n v="81"/>
    <n v="19.989999999999998"/>
    <n v="1619.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d v="2020-01-06T00:00:00"/>
    <x v="0"/>
    <x v="0"/>
    <s v="Pencil"/>
    <n v="95"/>
    <n v="1.99"/>
    <n v="189.05"/>
  </r>
  <r>
    <d v="2020-01-23T00:00:00"/>
    <x v="1"/>
    <x v="1"/>
    <s v="Binder"/>
    <n v="50"/>
    <n v="19.989999999999998"/>
    <n v="999.5"/>
  </r>
  <r>
    <d v="2020-02-09T00:00:00"/>
    <x v="1"/>
    <x v="2"/>
    <s v="Pencil"/>
    <n v="36"/>
    <n v="4.99"/>
    <n v="179.64"/>
  </r>
  <r>
    <d v="2020-02-26T00:00:00"/>
    <x v="1"/>
    <x v="3"/>
    <s v="Pen"/>
    <n v="27"/>
    <n v="19.989999999999998"/>
    <n v="539.73"/>
  </r>
  <r>
    <d v="2020-03-15T00:00:00"/>
    <x v="2"/>
    <x v="4"/>
    <s v="Pencil"/>
    <n v="56"/>
    <n v="2.99"/>
    <n v="167.44"/>
  </r>
  <r>
    <d v="2020-04-01T00:00:00"/>
    <x v="0"/>
    <x v="0"/>
    <s v="Binder"/>
    <n v="60"/>
    <n v="4.99"/>
    <n v="299.39999999999998"/>
  </r>
  <r>
    <d v="2020-04-18T00:00:00"/>
    <x v="1"/>
    <x v="5"/>
    <s v="Pencil"/>
    <n v="75"/>
    <n v="1.99"/>
    <n v="149.25"/>
  </r>
  <r>
    <d v="2020-05-05T00:00:00"/>
    <x v="1"/>
    <x v="2"/>
    <s v="Pencil"/>
    <n v="90"/>
    <n v="4.99"/>
    <n v="449.1"/>
  </r>
  <r>
    <d v="2020-05-22T00:00:00"/>
    <x v="2"/>
    <x v="6"/>
    <s v="Pencil"/>
    <n v="32"/>
    <n v="1.99"/>
    <n v="63.68"/>
  </r>
  <r>
    <d v="2020-06-08T00:00:00"/>
    <x v="0"/>
    <x v="0"/>
    <s v="Binder"/>
    <n v="60"/>
    <n v="8.99"/>
    <n v="539.4"/>
  </r>
  <r>
    <d v="2020-06-25T00:00:00"/>
    <x v="1"/>
    <x v="7"/>
    <s v="Pencil"/>
    <n v="90"/>
    <n v="4.99"/>
    <n v="449.1"/>
  </r>
  <r>
    <d v="2020-07-12T00:00:00"/>
    <x v="0"/>
    <x v="8"/>
    <s v="Binder"/>
    <n v="29"/>
    <n v="1.99"/>
    <n v="57.71"/>
  </r>
  <r>
    <d v="2020-07-29T00:00:00"/>
    <x v="0"/>
    <x v="9"/>
    <s v="Binder"/>
    <n v="81"/>
    <n v="19.989999999999998"/>
    <n v="1619.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d v="2020-01-06T00:00:00"/>
    <x v="0"/>
    <x v="0"/>
    <x v="0"/>
    <n v="95"/>
    <n v="1.99"/>
    <n v="189.05"/>
  </r>
  <r>
    <d v="2020-01-23T00:00:00"/>
    <x v="1"/>
    <x v="1"/>
    <x v="1"/>
    <n v="50"/>
    <n v="19.989999999999998"/>
    <n v="999.5"/>
  </r>
  <r>
    <d v="2020-02-09T00:00:00"/>
    <x v="1"/>
    <x v="2"/>
    <x v="0"/>
    <n v="36"/>
    <n v="4.99"/>
    <n v="179.64"/>
  </r>
  <r>
    <d v="2020-02-26T00:00:00"/>
    <x v="1"/>
    <x v="3"/>
    <x v="2"/>
    <n v="27"/>
    <n v="19.989999999999998"/>
    <n v="539.73"/>
  </r>
  <r>
    <d v="2020-03-15T00:00:00"/>
    <x v="2"/>
    <x v="4"/>
    <x v="0"/>
    <n v="56"/>
    <n v="2.99"/>
    <n v="167.44"/>
  </r>
  <r>
    <d v="2020-04-01T00:00:00"/>
    <x v="0"/>
    <x v="0"/>
    <x v="1"/>
    <n v="60"/>
    <n v="4.99"/>
    <n v="299.39999999999998"/>
  </r>
  <r>
    <d v="2020-04-18T00:00:00"/>
    <x v="1"/>
    <x v="5"/>
    <x v="0"/>
    <n v="75"/>
    <n v="1.99"/>
    <n v="149.25"/>
  </r>
  <r>
    <d v="2020-05-05T00:00:00"/>
    <x v="1"/>
    <x v="2"/>
    <x v="0"/>
    <n v="90"/>
    <n v="4.99"/>
    <n v="449.1"/>
  </r>
  <r>
    <d v="2020-05-22T00:00:00"/>
    <x v="2"/>
    <x v="6"/>
    <x v="0"/>
    <n v="32"/>
    <n v="1.99"/>
    <n v="63.68"/>
  </r>
  <r>
    <d v="2020-06-08T00:00:00"/>
    <x v="0"/>
    <x v="0"/>
    <x v="1"/>
    <n v="60"/>
    <n v="8.99"/>
    <n v="539.4"/>
  </r>
  <r>
    <d v="2020-06-25T00:00:00"/>
    <x v="1"/>
    <x v="7"/>
    <x v="0"/>
    <n v="90"/>
    <n v="4.99"/>
    <n v="449.1"/>
  </r>
  <r>
    <d v="2020-07-12T00:00:00"/>
    <x v="0"/>
    <x v="8"/>
    <x v="1"/>
    <n v="29"/>
    <n v="1.99"/>
    <n v="57.71"/>
  </r>
  <r>
    <d v="2020-07-29T00:00:00"/>
    <x v="0"/>
    <x v="9"/>
    <x v="1"/>
    <n v="81"/>
    <n v="19.989999999999998"/>
    <n v="1619.1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d v="2020-01-06T00:00:00"/>
    <x v="0"/>
    <x v="0"/>
    <x v="0"/>
    <n v="95"/>
    <n v="1.99"/>
    <n v="189.05"/>
  </r>
  <r>
    <d v="2020-01-23T00:00:00"/>
    <x v="1"/>
    <x v="1"/>
    <x v="1"/>
    <n v="50"/>
    <n v="19.989999999999998"/>
    <n v="999.5"/>
  </r>
  <r>
    <d v="2020-02-09T00:00:00"/>
    <x v="1"/>
    <x v="2"/>
    <x v="0"/>
    <n v="36"/>
    <n v="4.99"/>
    <n v="179.64"/>
  </r>
  <r>
    <d v="2020-02-26T00:00:00"/>
    <x v="1"/>
    <x v="3"/>
    <x v="2"/>
    <n v="27"/>
    <n v="19.989999999999998"/>
    <n v="539.73"/>
  </r>
  <r>
    <d v="2020-03-15T00:00:00"/>
    <x v="2"/>
    <x v="4"/>
    <x v="0"/>
    <n v="56"/>
    <n v="2.99"/>
    <n v="167.44"/>
  </r>
  <r>
    <d v="2020-04-01T00:00:00"/>
    <x v="0"/>
    <x v="0"/>
    <x v="1"/>
    <n v="60"/>
    <n v="4.99"/>
    <n v="299.39999999999998"/>
  </r>
  <r>
    <d v="2020-04-18T00:00:00"/>
    <x v="1"/>
    <x v="5"/>
    <x v="0"/>
    <n v="75"/>
    <n v="1.99"/>
    <n v="149.25"/>
  </r>
  <r>
    <d v="2020-05-05T00:00:00"/>
    <x v="1"/>
    <x v="2"/>
    <x v="0"/>
    <n v="90"/>
    <n v="4.99"/>
    <n v="449.1"/>
  </r>
  <r>
    <d v="2020-05-22T00:00:00"/>
    <x v="2"/>
    <x v="6"/>
    <x v="0"/>
    <n v="32"/>
    <n v="1.99"/>
    <n v="63.68"/>
  </r>
  <r>
    <d v="2020-06-08T00:00:00"/>
    <x v="0"/>
    <x v="0"/>
    <x v="1"/>
    <n v="60"/>
    <n v="8.99"/>
    <n v="539.4"/>
  </r>
  <r>
    <d v="2020-06-25T00:00:00"/>
    <x v="1"/>
    <x v="7"/>
    <x v="0"/>
    <n v="90"/>
    <n v="4.99"/>
    <n v="449.1"/>
  </r>
  <r>
    <d v="2020-07-12T00:00:00"/>
    <x v="0"/>
    <x v="8"/>
    <x v="1"/>
    <n v="29"/>
    <n v="1.99"/>
    <n v="57.71"/>
  </r>
  <r>
    <d v="2020-07-29T00:00:00"/>
    <x v="0"/>
    <x v="9"/>
    <x v="1"/>
    <n v="81"/>
    <n v="19.989999999999998"/>
    <n v="1619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K8:L12" firstHeaderRow="1" firstDataRow="1" firstDataCol="1"/>
  <pivotFields count="7">
    <pivotField compact="0" outline="0" showAll="0">
      <items count="27">
        <item m="1" x="14"/>
        <item m="1" x="22"/>
        <item m="1" x="18"/>
        <item m="1" x="13"/>
        <item m="1" x="17"/>
        <item m="1" x="25"/>
        <item m="1" x="21"/>
        <item m="1" x="16"/>
        <item m="1" x="24"/>
        <item m="1" x="20"/>
        <item m="1" x="15"/>
        <item m="1" x="23"/>
        <item m="1"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K2:L6" firstHeaderRow="1" firstDataRow="1" firstDataCol="1"/>
  <pivotFields count="7">
    <pivotField compact="0" outline="0" showAll="0">
      <items count="27">
        <item m="1" x="14"/>
        <item m="1" x="22"/>
        <item m="1" x="18"/>
        <item m="1" x="13"/>
        <item m="1" x="17"/>
        <item m="1" x="25"/>
        <item m="1" x="21"/>
        <item m="1" x="16"/>
        <item m="1" x="24"/>
        <item m="1" x="20"/>
        <item m="1" x="15"/>
        <item m="1" x="23"/>
        <item m="1"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J8:L12" firstHeaderRow="1" firstDataRow="1" firstDataCol="2"/>
  <pivotFields count="7">
    <pivotField compact="0" numFmtId="14" outline="0" showAll="0"/>
    <pivotField axis="axisRow" compact="0" outline="0" showAll="0" defaultSubtotal="0">
      <items count="3">
        <item sd="0" x="1"/>
        <item sd="0" x="0"/>
        <item sd="0" x="2"/>
      </items>
    </pivotField>
    <pivotField axis="axisRow" compact="0" outline="0" showAll="0" sortType="ascending">
      <items count="11">
        <item x="5"/>
        <item x="3"/>
        <item x="8"/>
        <item x="2"/>
        <item x="0"/>
        <item x="1"/>
        <item x="7"/>
        <item x="9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1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J2:L6" firstHeaderRow="1" firstDataRow="1" firstDataCol="2"/>
  <pivotFields count="7">
    <pivotField compact="0" numFmtId="14" outline="0" showAll="0"/>
    <pivotField axis="axisRow" compact="0" outline="0" showAll="0" defaultSubtotal="0">
      <items count="3">
        <item sd="0" x="1"/>
        <item sd="0" x="0"/>
        <item sd="0" x="2"/>
      </items>
    </pivotField>
    <pivotField axis="axisRow" compact="0" outline="0" showAll="0" sortType="ascending">
      <items count="11">
        <item x="5"/>
        <item x="3"/>
        <item x="8"/>
        <item x="2"/>
        <item x="0"/>
        <item x="1"/>
        <item x="7"/>
        <item x="9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1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K2:M13" firstHeaderRow="1" firstDataRow="1" firstDataCol="2"/>
  <pivotFields count="7">
    <pivotField compact="0" numFmtId="14" outline="0" showAll="0"/>
    <pivotField axis="axisRow" compact="0" outline="0" showAll="0" defaultSubtotal="0">
      <items count="3">
        <item x="1"/>
        <item x="0"/>
        <item x="2"/>
      </items>
    </pivotField>
    <pivotField axis="axisRow" compact="0" outline="0" showAll="0">
      <items count="11">
        <item x="5"/>
        <item x="3"/>
        <item x="8"/>
        <item x="2"/>
        <item x="0"/>
        <item x="1"/>
        <item x="7"/>
        <item x="9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1"/>
    <field x="2"/>
  </rowFields>
  <rowItems count="11">
    <i>
      <x/>
      <x/>
    </i>
    <i r="1">
      <x v="1"/>
    </i>
    <i r="1">
      <x v="3"/>
    </i>
    <i r="1">
      <x v="5"/>
    </i>
    <i r="1">
      <x v="6"/>
    </i>
    <i>
      <x v="1"/>
      <x v="2"/>
    </i>
    <i r="1">
      <x v="4"/>
    </i>
    <i r="1">
      <x v="7"/>
    </i>
    <i>
      <x v="2"/>
      <x v="8"/>
    </i>
    <i r="1">
      <x v="9"/>
    </i>
    <i t="grand">
      <x/>
    </i>
  </rowItems>
  <colItems count="1">
    <i/>
  </colItem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K2:O14" firstHeaderRow="1" firstDataRow="2" firstDataCol="1"/>
  <pivotFields count="7">
    <pivotField compact="0" numFmtId="14" outline="0" showAll="0"/>
    <pivotField compact="0" outline="0" showAll="0">
      <items count="4">
        <item x="1"/>
        <item x="0"/>
        <item x="2"/>
        <item t="default"/>
      </items>
    </pivotField>
    <pivotField axis="axisRow" compact="0" outline="0" showAll="0">
      <items count="11">
        <item x="5"/>
        <item x="3"/>
        <item x="8"/>
        <item x="2"/>
        <item x="0"/>
        <item x="1"/>
        <item x="7"/>
        <item x="9"/>
        <item x="4"/>
        <item x="6"/>
        <item t="default"/>
      </items>
    </pivotField>
    <pivotField axis="axisCol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P2:Q6" firstHeaderRow="1" firstDataRow="1" firstDataCol="1"/>
  <pivotFields count="7">
    <pivotField compact="0" numFmtId="14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K3:L5" firstHeaderRow="1" firstDataRow="1" firstDataCol="1" rowPageCount="1" colPageCount="1"/>
  <pivotFields count="7">
    <pivotField compact="0" numFmtId="14" outline="0" showAll="0"/>
    <pivotField compact="0" outline="0" showAll="0"/>
    <pivotField axis="axisRow" compact="0" outline="0" showAll="0">
      <items count="11">
        <item x="5"/>
        <item x="3"/>
        <item x="8"/>
        <item x="2"/>
        <item x="0"/>
        <item x="1"/>
        <item x="7"/>
        <item x="9"/>
        <item x="4"/>
        <item x="6"/>
        <item t="default"/>
      </items>
    </pivotField>
    <pivotField axis="axisPage" compact="0" outline="0" showAll="0">
      <items count="4">
        <item h="1" x="1"/>
        <item x="2"/>
        <item h="1" x="0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">
    <i>
      <x v="1"/>
    </i>
    <i t="grand">
      <x/>
    </i>
  </rowItems>
  <colItems count="1">
    <i/>
  </colItems>
  <pageFields count="1">
    <pageField fld="3" item="1" hier="-1"/>
  </pageFields>
  <dataFields count="1">
    <dataField name="Sum of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4" totalsRowShown="0" headerRowDxfId="65" dataDxfId="64">
  <autoFilter ref="A1:G14"/>
  <tableColumns count="7">
    <tableColumn id="1" name="OrderDate" dataDxfId="63"/>
    <tableColumn id="2" name="Region" dataDxfId="62"/>
    <tableColumn id="3" name="Rep" dataDxfId="61"/>
    <tableColumn id="4" name="Item" dataDxfId="60"/>
    <tableColumn id="5" name="Units" dataDxfId="59"/>
    <tableColumn id="6" name="UnitCost" dataDxfId="58"/>
    <tableColumn id="7" name="Total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4" totalsRowShown="0" headerRowDxfId="56" dataDxfId="55">
  <autoFilter ref="A1:G14"/>
  <tableColumns count="7">
    <tableColumn id="1" name="OrderDate" dataDxfId="54"/>
    <tableColumn id="2" name="Region" dataDxfId="53"/>
    <tableColumn id="3" name="Rep" dataDxfId="52"/>
    <tableColumn id="4" name="Item" dataDxfId="51"/>
    <tableColumn id="5" name="Units" dataDxfId="50"/>
    <tableColumn id="6" name="UnitCost" dataDxfId="49"/>
    <tableColumn id="7" name="Total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S5:T12" totalsRowShown="0" headerRowDxfId="47" dataDxfId="46">
  <autoFilter ref="S5:T12">
    <filterColumn colId="0" hiddenButton="1"/>
    <filterColumn colId="1" hiddenButton="1"/>
  </autoFilter>
  <tableColumns count="2">
    <tableColumn id="1" name="Var 1" dataDxfId="45"/>
    <tableColumn id="2" name="Var 2" dataDxfId="44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7" totalsRowShown="0" headerRowDxfId="43" dataDxfId="42">
  <autoFilter ref="A1:N7"/>
  <tableColumns count="14">
    <tableColumn id="1" name="OrderDate" dataDxfId="41"/>
    <tableColumn id="2" name="1/6/2020" dataDxfId="40"/>
    <tableColumn id="3" name="1/23/2020" dataDxfId="39"/>
    <tableColumn id="4" name="2/9/2020" dataDxfId="38"/>
    <tableColumn id="5" name="2/26/2020" dataDxfId="37"/>
    <tableColumn id="6" name="3/15/2020" dataDxfId="36"/>
    <tableColumn id="7" name="4/1/2020" dataDxfId="35"/>
    <tableColumn id="8" name="4/18/2020" dataDxfId="34"/>
    <tableColumn id="9" name="5/5/2020" dataDxfId="33"/>
    <tableColumn id="10" name="5/22/2020" dataDxfId="32"/>
    <tableColumn id="11" name="6/8/2020" dataDxfId="31"/>
    <tableColumn id="12" name="6/25/2020" dataDxfId="30"/>
    <tableColumn id="13" name="7/12/2020" dataDxfId="29"/>
    <tableColumn id="14" name="7/29/2020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6" displayName="Table136" ref="A1:G14" totalsRowShown="0" headerRowDxfId="27" dataDxfId="26">
  <autoFilter ref="A1:G14"/>
  <tableColumns count="7">
    <tableColumn id="1" name="OrderDate" dataDxfId="25"/>
    <tableColumn id="2" name="Region" dataDxfId="24"/>
    <tableColumn id="3" name="Item" dataDxfId="23"/>
    <tableColumn id="4" name="Units" dataDxfId="22"/>
    <tableColumn id="5" name="UnitCost" dataDxfId="21"/>
    <tableColumn id="6" name="Total" dataDxfId="20"/>
    <tableColumn id="7" name="Rep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1364" displayName="Table1364" ref="A1:I14" totalsRowShown="0" headerRowDxfId="18" dataDxfId="17">
  <autoFilter ref="A1:I14"/>
  <tableColumns count="9">
    <tableColumn id="1" name="OrderDate" dataDxfId="16"/>
    <tableColumn id="2" name="Region" dataDxfId="15"/>
    <tableColumn id="3" name="Item" dataDxfId="14"/>
    <tableColumn id="4" name="Units" dataDxfId="13"/>
    <tableColumn id="5" name="UnitCost" dataDxfId="12"/>
    <tableColumn id="7" name="Rep" dataDxfId="11"/>
    <tableColumn id="8" name="Total" dataDxfId="10"/>
    <tableColumn id="6" name="Column1"/>
    <tableColumn id="9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368" displayName="Table1368" ref="A1:G14" totalsRowShown="0" headerRowDxfId="8" dataDxfId="7">
  <autoFilter ref="A1:G14"/>
  <tableColumns count="7">
    <tableColumn id="1" name="OrderDate" dataDxfId="6"/>
    <tableColumn id="2" name="Region" dataDxfId="5"/>
    <tableColumn id="3" name="Item" dataDxfId="4"/>
    <tableColumn id="4" name="Units" dataDxfId="3"/>
    <tableColumn id="5" name="UnitCost" dataDxfId="2"/>
    <tableColumn id="6" name="Total" dataDxfId="1"/>
    <tableColumn id="7" name="R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G14"/>
    </sheetView>
  </sheetViews>
  <sheetFormatPr defaultColWidth="11.5703125" defaultRowHeight="15" x14ac:dyDescent="0.25"/>
  <cols>
    <col min="1" max="1" width="21" bestFit="1" customWidth="1"/>
    <col min="2" max="2" width="15" bestFit="1" customWidth="1"/>
    <col min="3" max="3" width="18.28515625" bestFit="1" customWidth="1"/>
    <col min="4" max="4" width="12" bestFit="1" customWidth="1"/>
    <col min="5" max="5" width="12.42578125" bestFit="1" customWidth="1"/>
    <col min="6" max="6" width="17.85546875" bestFit="1" customWidth="1"/>
    <col min="7" max="7" width="15.7109375" bestFit="1" customWidth="1"/>
    <col min="9" max="9" width="13" bestFit="1" customWidth="1"/>
    <col min="13" max="13" width="31.5703125" bestFit="1" customWidth="1"/>
  </cols>
  <sheetData>
    <row r="1" spans="1:13" ht="26.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ht="26.25" x14ac:dyDescent="0.4">
      <c r="A2" s="3">
        <v>43836</v>
      </c>
      <c r="B2" s="2" t="s">
        <v>7</v>
      </c>
      <c r="C2" s="4" t="s">
        <v>8</v>
      </c>
      <c r="D2" s="2" t="s">
        <v>9</v>
      </c>
      <c r="E2" s="2">
        <v>95</v>
      </c>
      <c r="F2" s="2">
        <v>1.99</v>
      </c>
      <c r="G2" s="4">
        <v>189.05</v>
      </c>
      <c r="I2" s="6" t="s">
        <v>10</v>
      </c>
      <c r="M2" s="6" t="s">
        <v>11</v>
      </c>
    </row>
    <row r="3" spans="1:13" ht="26.25" x14ac:dyDescent="0.4">
      <c r="A3" s="3">
        <v>43853</v>
      </c>
      <c r="B3" s="2" t="s">
        <v>12</v>
      </c>
      <c r="C3" s="4" t="s">
        <v>13</v>
      </c>
      <c r="D3" s="2" t="s">
        <v>14</v>
      </c>
      <c r="E3" s="2">
        <v>50</v>
      </c>
      <c r="F3" s="2">
        <v>19.989999999999998</v>
      </c>
      <c r="G3" s="4">
        <v>999.5</v>
      </c>
      <c r="I3" s="7" t="s">
        <v>2</v>
      </c>
      <c r="J3" s="11" t="s">
        <v>6</v>
      </c>
      <c r="M3" s="12" t="s">
        <v>15</v>
      </c>
    </row>
    <row r="4" spans="1:13" ht="26.25" x14ac:dyDescent="0.4">
      <c r="A4" s="3">
        <v>43870</v>
      </c>
      <c r="B4" s="2" t="s">
        <v>12</v>
      </c>
      <c r="C4" s="4" t="s">
        <v>16</v>
      </c>
      <c r="D4" s="2" t="s">
        <v>9</v>
      </c>
      <c r="E4" s="2">
        <v>36</v>
      </c>
      <c r="F4" s="2">
        <v>4.99</v>
      </c>
      <c r="G4" s="4">
        <v>179.64</v>
      </c>
      <c r="I4" s="10" t="s">
        <v>17</v>
      </c>
      <c r="J4" s="9">
        <f>VLOOKUP(I4,$C$1:$G$14,5,0)</f>
        <v>449.1</v>
      </c>
      <c r="M4" s="12" t="s">
        <v>18</v>
      </c>
    </row>
    <row r="5" spans="1:13" ht="26.25" x14ac:dyDescent="0.4">
      <c r="A5" s="3">
        <v>43887</v>
      </c>
      <c r="B5" s="2" t="s">
        <v>12</v>
      </c>
      <c r="C5" s="4" t="s">
        <v>19</v>
      </c>
      <c r="D5" s="2" t="s">
        <v>20</v>
      </c>
      <c r="E5" s="2">
        <v>27</v>
      </c>
      <c r="F5" s="2">
        <v>19.989999999999998</v>
      </c>
      <c r="G5" s="4">
        <v>539.73</v>
      </c>
      <c r="M5" s="12" t="s">
        <v>21</v>
      </c>
    </row>
    <row r="6" spans="1:13" ht="26.25" x14ac:dyDescent="0.4">
      <c r="A6" s="3">
        <v>43905</v>
      </c>
      <c r="B6" s="2" t="s">
        <v>22</v>
      </c>
      <c r="C6" s="4" t="s">
        <v>23</v>
      </c>
      <c r="D6" s="2" t="s">
        <v>9</v>
      </c>
      <c r="E6" s="2">
        <v>56</v>
      </c>
      <c r="F6" s="2">
        <v>2.99</v>
      </c>
      <c r="G6" s="4">
        <v>167.44</v>
      </c>
      <c r="M6" s="12" t="s">
        <v>24</v>
      </c>
    </row>
    <row r="7" spans="1:13" ht="26.25" x14ac:dyDescent="0.4">
      <c r="A7" s="3">
        <v>43922</v>
      </c>
      <c r="B7" s="2" t="s">
        <v>7</v>
      </c>
      <c r="C7" s="4" t="s">
        <v>8</v>
      </c>
      <c r="D7" s="2" t="s">
        <v>14</v>
      </c>
      <c r="E7" s="2">
        <v>60</v>
      </c>
      <c r="F7" s="2">
        <v>4.99</v>
      </c>
      <c r="G7" s="4">
        <v>299.39999999999998</v>
      </c>
      <c r="M7" s="12"/>
    </row>
    <row r="8" spans="1:13" ht="26.25" x14ac:dyDescent="0.4">
      <c r="A8" s="3">
        <v>43939</v>
      </c>
      <c r="B8" s="2" t="s">
        <v>12</v>
      </c>
      <c r="C8" s="4" t="s">
        <v>25</v>
      </c>
      <c r="D8" s="2" t="s">
        <v>9</v>
      </c>
      <c r="E8" s="2">
        <v>75</v>
      </c>
      <c r="F8" s="2">
        <v>1.99</v>
      </c>
      <c r="G8" s="4">
        <v>149.25</v>
      </c>
    </row>
    <row r="9" spans="1:13" ht="26.25" x14ac:dyDescent="0.4">
      <c r="A9" s="3">
        <v>43956</v>
      </c>
      <c r="B9" s="2" t="s">
        <v>12</v>
      </c>
      <c r="C9" s="4" t="s">
        <v>16</v>
      </c>
      <c r="D9" s="2" t="s">
        <v>9</v>
      </c>
      <c r="E9" s="2">
        <v>90</v>
      </c>
      <c r="F9" s="2">
        <v>4.99</v>
      </c>
      <c r="G9" s="4">
        <v>449.1</v>
      </c>
    </row>
    <row r="10" spans="1:13" ht="26.25" x14ac:dyDescent="0.4">
      <c r="A10" s="3">
        <v>43973</v>
      </c>
      <c r="B10" s="2" t="s">
        <v>22</v>
      </c>
      <c r="C10" s="4" t="s">
        <v>26</v>
      </c>
      <c r="D10" s="2" t="s">
        <v>9</v>
      </c>
      <c r="E10" s="2">
        <v>32</v>
      </c>
      <c r="F10" s="2">
        <v>1.99</v>
      </c>
      <c r="G10" s="4">
        <v>63.68</v>
      </c>
    </row>
    <row r="11" spans="1:13" ht="26.25" x14ac:dyDescent="0.4">
      <c r="A11" s="3">
        <v>43990</v>
      </c>
      <c r="B11" s="2" t="s">
        <v>7</v>
      </c>
      <c r="C11" s="4" t="s">
        <v>8</v>
      </c>
      <c r="D11" s="2" t="s">
        <v>14</v>
      </c>
      <c r="E11" s="2">
        <v>60</v>
      </c>
      <c r="F11" s="2">
        <v>8.99</v>
      </c>
      <c r="G11" s="4">
        <v>539.4</v>
      </c>
    </row>
    <row r="12" spans="1:13" ht="26.25" x14ac:dyDescent="0.4">
      <c r="A12" s="3">
        <v>44007</v>
      </c>
      <c r="B12" s="2" t="s">
        <v>12</v>
      </c>
      <c r="C12" s="5" t="s">
        <v>17</v>
      </c>
      <c r="D12" s="2" t="s">
        <v>9</v>
      </c>
      <c r="E12" s="2">
        <v>90</v>
      </c>
      <c r="F12" s="2">
        <v>4.99</v>
      </c>
      <c r="G12" s="5">
        <v>449.1</v>
      </c>
    </row>
    <row r="13" spans="1:13" ht="26.25" x14ac:dyDescent="0.4">
      <c r="A13" s="3">
        <v>44024</v>
      </c>
      <c r="B13" s="2" t="s">
        <v>7</v>
      </c>
      <c r="C13" s="4" t="s">
        <v>27</v>
      </c>
      <c r="D13" s="2" t="s">
        <v>14</v>
      </c>
      <c r="E13" s="2">
        <v>29</v>
      </c>
      <c r="F13" s="2">
        <v>1.99</v>
      </c>
      <c r="G13" s="4">
        <v>57.71</v>
      </c>
    </row>
    <row r="14" spans="1:13" ht="26.25" x14ac:dyDescent="0.4">
      <c r="A14" s="3">
        <v>44041</v>
      </c>
      <c r="B14" s="2" t="s">
        <v>7</v>
      </c>
      <c r="C14" s="4" t="s">
        <v>28</v>
      </c>
      <c r="D14" s="2" t="s">
        <v>14</v>
      </c>
      <c r="E14" s="2">
        <v>81</v>
      </c>
      <c r="F14" s="2">
        <v>19.989999999999998</v>
      </c>
      <c r="G14" s="4">
        <v>1619.19</v>
      </c>
    </row>
    <row r="17" spans="3:7" ht="15.75" x14ac:dyDescent="0.25">
      <c r="C17" s="8" t="s">
        <v>29</v>
      </c>
      <c r="G17" s="8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zoomScale="84" zoomScaleNormal="84" workbookViewId="0">
      <selection activeCell="I11" sqref="I11"/>
    </sheetView>
  </sheetViews>
  <sheetFormatPr defaultRowHeight="15" x14ac:dyDescent="0.25"/>
  <cols>
    <col min="1" max="1" width="21" bestFit="1" customWidth="1"/>
    <col min="2" max="2" width="15" bestFit="1" customWidth="1"/>
    <col min="3" max="3" width="18.28515625" bestFit="1" customWidth="1"/>
    <col min="4" max="4" width="12" bestFit="1" customWidth="1"/>
    <col min="5" max="5" width="12.42578125" bestFit="1" customWidth="1"/>
    <col min="6" max="6" width="17.85546875" bestFit="1" customWidth="1"/>
    <col min="7" max="7" width="15.7109375" bestFit="1" customWidth="1"/>
    <col min="9" max="9" width="13.42578125" bestFit="1" customWidth="1"/>
    <col min="10" max="10" width="7.7109375" bestFit="1" customWidth="1"/>
    <col min="11" max="12" width="7.7109375" customWidth="1"/>
    <col min="13" max="13" width="12.7109375" customWidth="1"/>
    <col min="14" max="14" width="9.28515625" customWidth="1"/>
    <col min="15" max="15" width="7.7109375" customWidth="1"/>
    <col min="16" max="16" width="11.140625" customWidth="1"/>
    <col min="17" max="17" width="7.7109375" customWidth="1"/>
    <col min="25" max="25" width="15.7109375" bestFit="1" customWidth="1"/>
  </cols>
  <sheetData>
    <row r="1" spans="1:25" ht="26.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5" ht="26.25" x14ac:dyDescent="0.4">
      <c r="A2" s="3">
        <v>43836</v>
      </c>
      <c r="B2" s="2" t="s">
        <v>7</v>
      </c>
      <c r="C2" s="4" t="s">
        <v>8</v>
      </c>
      <c r="D2" s="2" t="s">
        <v>9</v>
      </c>
      <c r="E2" s="2">
        <v>95</v>
      </c>
      <c r="F2" s="2">
        <v>1.99</v>
      </c>
      <c r="G2" s="4">
        <v>189.05</v>
      </c>
      <c r="I2" s="6" t="s">
        <v>10</v>
      </c>
      <c r="M2" s="51" t="s">
        <v>140</v>
      </c>
    </row>
    <row r="3" spans="1:25" ht="27" thickBot="1" x14ac:dyDescent="0.45">
      <c r="A3" s="3">
        <v>43853</v>
      </c>
      <c r="B3" s="2" t="s">
        <v>12</v>
      </c>
      <c r="C3" s="4" t="s">
        <v>13</v>
      </c>
      <c r="D3" s="2" t="s">
        <v>14</v>
      </c>
      <c r="E3" s="2">
        <v>50</v>
      </c>
      <c r="F3" s="2">
        <v>19.989999999999998</v>
      </c>
      <c r="G3" s="4">
        <v>999.5</v>
      </c>
      <c r="I3" s="7" t="s">
        <v>2</v>
      </c>
      <c r="J3" s="11" t="s">
        <v>6</v>
      </c>
      <c r="M3" s="52" t="s">
        <v>2</v>
      </c>
      <c r="N3" s="53" t="s">
        <v>6</v>
      </c>
      <c r="O3" s="53"/>
      <c r="P3" s="54">
        <f>VLOOKUP(I4,Table13[[#All],[Rep]:[Total]],5,FALSE)</f>
        <v>449.1</v>
      </c>
      <c r="S3" s="6" t="s">
        <v>31</v>
      </c>
    </row>
    <row r="4" spans="1:25" ht="27" thickBot="1" x14ac:dyDescent="0.45">
      <c r="A4" s="3">
        <v>43870</v>
      </c>
      <c r="B4" s="2" t="s">
        <v>12</v>
      </c>
      <c r="C4" s="4" t="s">
        <v>16</v>
      </c>
      <c r="D4" s="2" t="s">
        <v>9</v>
      </c>
      <c r="E4" s="2">
        <v>36</v>
      </c>
      <c r="F4" s="2">
        <v>4.99</v>
      </c>
      <c r="G4" s="4">
        <v>179.64</v>
      </c>
      <c r="I4" s="10" t="s">
        <v>17</v>
      </c>
      <c r="J4" s="9">
        <f>VLOOKUP(I4,$C$1:$G$14,5,0)</f>
        <v>449.1</v>
      </c>
      <c r="M4" s="55" t="s">
        <v>17</v>
      </c>
      <c r="N4" s="56">
        <v>449</v>
      </c>
      <c r="O4" s="56"/>
      <c r="P4" s="57"/>
    </row>
    <row r="5" spans="1:25" ht="26.25" x14ac:dyDescent="0.4">
      <c r="A5" s="3">
        <v>43887</v>
      </c>
      <c r="B5" s="2" t="s">
        <v>12</v>
      </c>
      <c r="C5" s="4" t="s">
        <v>19</v>
      </c>
      <c r="D5" s="2" t="s">
        <v>20</v>
      </c>
      <c r="E5" s="2">
        <v>27</v>
      </c>
      <c r="F5" s="2">
        <v>19.989999999999998</v>
      </c>
      <c r="G5" s="4">
        <v>539.73</v>
      </c>
      <c r="M5" s="59" t="s">
        <v>19</v>
      </c>
      <c r="N5" s="60" t="s">
        <v>141</v>
      </c>
      <c r="O5" s="60"/>
      <c r="P5" s="61">
        <f>VLOOKUP(Table13[[#This Row],[Rep]],Table13[[#All],[Rep]:[UnitCost]],4,FALSE)</f>
        <v>19.989999999999998</v>
      </c>
      <c r="S5" s="18" t="s">
        <v>32</v>
      </c>
      <c r="T5" s="18" t="s">
        <v>33</v>
      </c>
      <c r="W5" s="6" t="s">
        <v>10</v>
      </c>
    </row>
    <row r="6" spans="1:25" ht="27" thickBot="1" x14ac:dyDescent="0.45">
      <c r="A6" s="3">
        <v>43905</v>
      </c>
      <c r="B6" s="2" t="s">
        <v>22</v>
      </c>
      <c r="C6" s="4" t="s">
        <v>23</v>
      </c>
      <c r="D6" s="2" t="s">
        <v>9</v>
      </c>
      <c r="E6" s="2">
        <v>56</v>
      </c>
      <c r="F6" s="2">
        <v>2.99</v>
      </c>
      <c r="G6" s="4">
        <v>167.44</v>
      </c>
      <c r="M6" s="58" t="s">
        <v>27</v>
      </c>
      <c r="N6" t="s">
        <v>4</v>
      </c>
      <c r="P6">
        <f>VLOOKUP(C13,Table13[[#All],[Rep]:[Units]],3,FALSE)</f>
        <v>29</v>
      </c>
      <c r="S6" s="17">
        <v>100</v>
      </c>
      <c r="T6" s="17">
        <v>5</v>
      </c>
      <c r="W6" s="19" t="s">
        <v>32</v>
      </c>
      <c r="X6" s="19" t="s">
        <v>33</v>
      </c>
      <c r="Y6" s="19" t="s">
        <v>34</v>
      </c>
    </row>
    <row r="7" spans="1:25" ht="26.25" x14ac:dyDescent="0.4">
      <c r="A7" s="3">
        <v>43922</v>
      </c>
      <c r="B7" s="2" t="s">
        <v>7</v>
      </c>
      <c r="C7" s="4" t="s">
        <v>8</v>
      </c>
      <c r="D7" s="2" t="s">
        <v>14</v>
      </c>
      <c r="E7" s="2">
        <v>60</v>
      </c>
      <c r="F7" s="2">
        <v>4.99</v>
      </c>
      <c r="G7" s="4">
        <v>299.39999999999998</v>
      </c>
      <c r="S7" s="17">
        <v>200</v>
      </c>
      <c r="T7" s="17">
        <v>10</v>
      </c>
      <c r="W7">
        <v>399</v>
      </c>
      <c r="X7">
        <f>VLOOKUP(W7,$S$5:$T$12,2,1)</f>
        <v>15</v>
      </c>
      <c r="Y7" t="e">
        <f>VLOOKUP(W7,$S$5:$T$12,2,0)</f>
        <v>#N/A</v>
      </c>
    </row>
    <row r="8" spans="1:25" ht="26.25" x14ac:dyDescent="0.4">
      <c r="A8" s="3">
        <v>43939</v>
      </c>
      <c r="B8" s="2" t="s">
        <v>12</v>
      </c>
      <c r="C8" s="4" t="s">
        <v>25</v>
      </c>
      <c r="D8" s="2" t="s">
        <v>9</v>
      </c>
      <c r="E8" s="2">
        <v>75</v>
      </c>
      <c r="F8" s="2">
        <v>1.99</v>
      </c>
      <c r="G8" s="4">
        <v>149.25</v>
      </c>
      <c r="S8" s="17">
        <v>300</v>
      </c>
      <c r="T8" s="17">
        <v>15</v>
      </c>
    </row>
    <row r="9" spans="1:25" ht="26.25" x14ac:dyDescent="0.4">
      <c r="A9" s="3">
        <v>43956</v>
      </c>
      <c r="B9" s="2" t="s">
        <v>12</v>
      </c>
      <c r="C9" s="4" t="s">
        <v>16</v>
      </c>
      <c r="D9" s="2" t="s">
        <v>9</v>
      </c>
      <c r="E9" s="2">
        <v>90</v>
      </c>
      <c r="F9" s="2">
        <v>4.99</v>
      </c>
      <c r="G9" s="4">
        <v>449.1</v>
      </c>
      <c r="S9" s="17">
        <v>400</v>
      </c>
      <c r="T9" s="17">
        <v>20</v>
      </c>
    </row>
    <row r="10" spans="1:25" ht="26.25" x14ac:dyDescent="0.4">
      <c r="A10" s="3">
        <v>43973</v>
      </c>
      <c r="B10" s="2" t="s">
        <v>22</v>
      </c>
      <c r="C10" s="4" t="s">
        <v>26</v>
      </c>
      <c r="D10" s="2" t="s">
        <v>9</v>
      </c>
      <c r="E10" s="2">
        <v>32</v>
      </c>
      <c r="F10" s="2">
        <v>1.99</v>
      </c>
      <c r="G10" s="4">
        <v>63.68</v>
      </c>
      <c r="S10" s="17">
        <v>500</v>
      </c>
      <c r="T10" s="17">
        <v>25</v>
      </c>
    </row>
    <row r="11" spans="1:25" ht="26.25" x14ac:dyDescent="0.4">
      <c r="A11" s="3">
        <v>43990</v>
      </c>
      <c r="B11" s="2" t="s">
        <v>7</v>
      </c>
      <c r="C11" s="4" t="s">
        <v>8</v>
      </c>
      <c r="D11" s="2" t="s">
        <v>14</v>
      </c>
      <c r="E11" s="2">
        <v>60</v>
      </c>
      <c r="F11" s="2">
        <v>8.99</v>
      </c>
      <c r="G11" s="4">
        <v>539.4</v>
      </c>
      <c r="S11" s="17">
        <v>600</v>
      </c>
      <c r="T11" s="17">
        <v>30</v>
      </c>
    </row>
    <row r="12" spans="1:25" ht="26.25" x14ac:dyDescent="0.4">
      <c r="A12" s="3">
        <v>44007</v>
      </c>
      <c r="B12" s="2" t="s">
        <v>12</v>
      </c>
      <c r="C12" s="5" t="s">
        <v>17</v>
      </c>
      <c r="D12" s="2" t="s">
        <v>9</v>
      </c>
      <c r="E12" s="2">
        <v>90</v>
      </c>
      <c r="F12" s="2">
        <v>4.99</v>
      </c>
      <c r="G12" s="5">
        <v>449.1</v>
      </c>
      <c r="S12" s="17">
        <v>700</v>
      </c>
      <c r="T12" s="17">
        <v>35</v>
      </c>
    </row>
    <row r="13" spans="1:25" ht="26.25" x14ac:dyDescent="0.4">
      <c r="A13" s="3">
        <v>44024</v>
      </c>
      <c r="B13" s="2" t="s">
        <v>7</v>
      </c>
      <c r="C13" s="4" t="s">
        <v>27</v>
      </c>
      <c r="D13" s="2" t="s">
        <v>14</v>
      </c>
      <c r="E13" s="2">
        <v>29</v>
      </c>
      <c r="F13" s="2">
        <v>1.99</v>
      </c>
      <c r="G13" s="4">
        <v>57.71</v>
      </c>
    </row>
    <row r="14" spans="1:25" ht="26.25" x14ac:dyDescent="0.4">
      <c r="A14" s="3">
        <v>44041</v>
      </c>
      <c r="B14" s="2" t="s">
        <v>7</v>
      </c>
      <c r="C14" s="4" t="s">
        <v>28</v>
      </c>
      <c r="D14" s="2" t="s">
        <v>14</v>
      </c>
      <c r="E14" s="2">
        <v>81</v>
      </c>
      <c r="F14" s="2">
        <v>19.989999999999998</v>
      </c>
      <c r="G14" s="4">
        <v>1619.19</v>
      </c>
    </row>
    <row r="17" spans="3:7" ht="15.75" x14ac:dyDescent="0.25">
      <c r="C17" s="8" t="s">
        <v>29</v>
      </c>
      <c r="G17" s="8" t="s">
        <v>30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C1" zoomScale="86" zoomScaleNormal="86" workbookViewId="0">
      <selection activeCell="E16" sqref="E16"/>
    </sheetView>
  </sheetViews>
  <sheetFormatPr defaultRowHeight="15" x14ac:dyDescent="0.25"/>
  <cols>
    <col min="1" max="1" width="16.85546875" bestFit="1" customWidth="1"/>
    <col min="2" max="2" width="15.42578125" bestFit="1" customWidth="1"/>
    <col min="3" max="3" width="17" bestFit="1" customWidth="1"/>
    <col min="4" max="4" width="15.42578125" bestFit="1" customWidth="1"/>
    <col min="5" max="6" width="17" bestFit="1" customWidth="1"/>
    <col min="7" max="7" width="15.42578125" bestFit="1" customWidth="1"/>
    <col min="8" max="8" width="17" bestFit="1" customWidth="1"/>
    <col min="9" max="9" width="15.42578125" bestFit="1" customWidth="1"/>
    <col min="10" max="10" width="17" bestFit="1" customWidth="1"/>
    <col min="11" max="11" width="15.42578125" bestFit="1" customWidth="1"/>
    <col min="12" max="14" width="17" bestFit="1" customWidth="1"/>
    <col min="18" max="18" width="13.42578125" bestFit="1" customWidth="1"/>
    <col min="19" max="19" width="7.7109375" bestFit="1" customWidth="1"/>
  </cols>
  <sheetData>
    <row r="1" spans="1:16" ht="21" x14ac:dyDescent="0.35">
      <c r="A1" s="1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  <c r="M1" s="13" t="s">
        <v>46</v>
      </c>
      <c r="N1" s="13" t="s">
        <v>47</v>
      </c>
    </row>
    <row r="2" spans="1:16" ht="21" x14ac:dyDescent="0.35">
      <c r="A2" s="1" t="s">
        <v>1</v>
      </c>
      <c r="B2" s="14" t="s">
        <v>7</v>
      </c>
      <c r="C2" s="14" t="s">
        <v>12</v>
      </c>
      <c r="D2" s="14" t="s">
        <v>12</v>
      </c>
      <c r="E2" s="14" t="s">
        <v>12</v>
      </c>
      <c r="F2" s="14" t="s">
        <v>22</v>
      </c>
      <c r="G2" s="14" t="s">
        <v>7</v>
      </c>
      <c r="H2" s="14" t="s">
        <v>12</v>
      </c>
      <c r="I2" s="14" t="s">
        <v>12</v>
      </c>
      <c r="J2" s="14" t="s">
        <v>22</v>
      </c>
      <c r="K2" s="14" t="s">
        <v>7</v>
      </c>
      <c r="L2" s="14" t="s">
        <v>12</v>
      </c>
      <c r="M2" s="14" t="s">
        <v>7</v>
      </c>
      <c r="N2" s="14" t="s">
        <v>7</v>
      </c>
    </row>
    <row r="3" spans="1:16" ht="21" x14ac:dyDescent="0.35">
      <c r="A3" s="1" t="s">
        <v>2</v>
      </c>
      <c r="B3" s="15" t="s">
        <v>8</v>
      </c>
      <c r="C3" s="15" t="s">
        <v>13</v>
      </c>
      <c r="D3" s="15" t="s">
        <v>16</v>
      </c>
      <c r="E3" s="15" t="s">
        <v>19</v>
      </c>
      <c r="F3" s="15" t="s">
        <v>23</v>
      </c>
      <c r="G3" s="15" t="s">
        <v>8</v>
      </c>
      <c r="H3" s="15" t="s">
        <v>25</v>
      </c>
      <c r="I3" s="15" t="s">
        <v>16</v>
      </c>
      <c r="J3" s="15" t="s">
        <v>26</v>
      </c>
      <c r="K3" s="15" t="s">
        <v>8</v>
      </c>
      <c r="L3" s="16" t="s">
        <v>17</v>
      </c>
      <c r="M3" s="15" t="s">
        <v>27</v>
      </c>
      <c r="N3" s="15" t="s">
        <v>28</v>
      </c>
      <c r="P3" s="8" t="s">
        <v>48</v>
      </c>
    </row>
    <row r="4" spans="1:16" ht="21" x14ac:dyDescent="0.35">
      <c r="A4" s="1" t="s">
        <v>3</v>
      </c>
      <c r="B4" s="14" t="s">
        <v>9</v>
      </c>
      <c r="C4" s="14" t="s">
        <v>14</v>
      </c>
      <c r="D4" s="14" t="s">
        <v>9</v>
      </c>
      <c r="E4" s="14" t="s">
        <v>20</v>
      </c>
      <c r="F4" s="14" t="s">
        <v>9</v>
      </c>
      <c r="G4" s="14" t="s">
        <v>14</v>
      </c>
      <c r="H4" s="14" t="s">
        <v>9</v>
      </c>
      <c r="I4" s="14" t="s">
        <v>9</v>
      </c>
      <c r="J4" s="14" t="s">
        <v>9</v>
      </c>
      <c r="K4" s="14" t="s">
        <v>14</v>
      </c>
      <c r="L4" s="14" t="s">
        <v>9</v>
      </c>
      <c r="M4" s="14" t="s">
        <v>14</v>
      </c>
      <c r="N4" s="14" t="s">
        <v>14</v>
      </c>
    </row>
    <row r="5" spans="1:16" ht="21" x14ac:dyDescent="0.35">
      <c r="A5" s="1" t="s">
        <v>4</v>
      </c>
      <c r="B5" s="14">
        <v>95</v>
      </c>
      <c r="C5" s="14">
        <v>50</v>
      </c>
      <c r="D5" s="14">
        <v>36</v>
      </c>
      <c r="E5" s="14">
        <v>27</v>
      </c>
      <c r="F5" s="14">
        <v>56</v>
      </c>
      <c r="G5" s="14">
        <v>60</v>
      </c>
      <c r="H5" s="14">
        <v>75</v>
      </c>
      <c r="I5" s="14">
        <v>90</v>
      </c>
      <c r="J5" s="14">
        <v>32</v>
      </c>
      <c r="K5" s="14">
        <v>60</v>
      </c>
      <c r="L5" s="14">
        <v>90</v>
      </c>
      <c r="M5" s="14">
        <v>29</v>
      </c>
      <c r="N5" s="14">
        <v>81</v>
      </c>
    </row>
    <row r="6" spans="1:16" ht="21" x14ac:dyDescent="0.35">
      <c r="A6" s="1" t="s">
        <v>5</v>
      </c>
      <c r="B6" s="14">
        <v>1.99</v>
      </c>
      <c r="C6" s="14">
        <v>19.989999999999998</v>
      </c>
      <c r="D6" s="14">
        <v>4.99</v>
      </c>
      <c r="E6" s="14">
        <v>19.989999999999998</v>
      </c>
      <c r="F6" s="14">
        <v>2.99</v>
      </c>
      <c r="G6" s="14">
        <v>4.99</v>
      </c>
      <c r="H6" s="14">
        <v>1.99</v>
      </c>
      <c r="I6" s="14">
        <v>4.99</v>
      </c>
      <c r="J6" s="14">
        <v>1.99</v>
      </c>
      <c r="K6" s="14">
        <v>8.99</v>
      </c>
      <c r="L6" s="14">
        <v>4.99</v>
      </c>
      <c r="M6" s="14">
        <v>1.99</v>
      </c>
      <c r="N6" s="14">
        <v>19.989999999999998</v>
      </c>
    </row>
    <row r="7" spans="1:16" ht="21" x14ac:dyDescent="0.35">
      <c r="A7" s="1" t="s">
        <v>6</v>
      </c>
      <c r="B7" s="15">
        <v>189.05</v>
      </c>
      <c r="C7" s="15">
        <v>999.5</v>
      </c>
      <c r="D7" s="15">
        <v>179.64</v>
      </c>
      <c r="E7" s="15">
        <v>539.73</v>
      </c>
      <c r="F7" s="15">
        <v>167.44</v>
      </c>
      <c r="G7" s="15">
        <v>299.39999999999998</v>
      </c>
      <c r="H7" s="15">
        <v>149.25</v>
      </c>
      <c r="I7" s="15">
        <v>449.1</v>
      </c>
      <c r="J7" s="15">
        <v>63.68</v>
      </c>
      <c r="K7" s="15">
        <v>539.4</v>
      </c>
      <c r="L7" s="16">
        <v>449.1</v>
      </c>
      <c r="M7" s="15">
        <v>57.71</v>
      </c>
      <c r="N7" s="15">
        <v>1619.19</v>
      </c>
      <c r="P7" s="8" t="s">
        <v>49</v>
      </c>
    </row>
    <row r="12" spans="1:16" x14ac:dyDescent="0.25">
      <c r="I12" s="6" t="s">
        <v>10</v>
      </c>
    </row>
    <row r="13" spans="1:16" ht="21" x14ac:dyDescent="0.35">
      <c r="I13" s="7" t="s">
        <v>2</v>
      </c>
      <c r="J13" s="11" t="s">
        <v>6</v>
      </c>
    </row>
    <row r="14" spans="1:16" x14ac:dyDescent="0.25">
      <c r="I14" s="10" t="s">
        <v>17</v>
      </c>
      <c r="J14" s="9">
        <f>HLOOKUP(I14,$A$3:$N$7,5,0)</f>
        <v>449.1</v>
      </c>
    </row>
    <row r="16" spans="1:16" x14ac:dyDescent="0.25">
      <c r="G16" s="65"/>
      <c r="H16" s="65"/>
      <c r="I16" s="65" t="s">
        <v>6</v>
      </c>
      <c r="J16" s="65" t="s">
        <v>5</v>
      </c>
    </row>
    <row r="17" spans="7:10" x14ac:dyDescent="0.25">
      <c r="G17" s="62" t="s">
        <v>143</v>
      </c>
      <c r="H17" s="63" t="s">
        <v>142</v>
      </c>
      <c r="I17" s="63">
        <f>HLOOKUP(L3,A3:N7,5,FALSE)</f>
        <v>449.1</v>
      </c>
      <c r="J17" s="64">
        <f>HLOOKUP(L3,A3:N6,4,FALSE)</f>
        <v>4.99</v>
      </c>
    </row>
    <row r="18" spans="7:10" x14ac:dyDescent="0.25">
      <c r="G18" s="62"/>
      <c r="H18" s="63" t="s">
        <v>19</v>
      </c>
      <c r="I18" s="63">
        <f>HLOOKUP(E3,A3:N7,5,FALSE)</f>
        <v>539.73</v>
      </c>
      <c r="J18" s="64">
        <f>HLOOKUP(E3,A3:N6,4,FALSE)</f>
        <v>19.989999999999998</v>
      </c>
    </row>
    <row r="19" spans="7:10" x14ac:dyDescent="0.25">
      <c r="G19" s="62" t="s">
        <v>144</v>
      </c>
      <c r="H19" s="63" t="s">
        <v>9</v>
      </c>
      <c r="I19" s="63">
        <f>HLOOKUP(B4,A4:N7,4,FALSE)</f>
        <v>189.05</v>
      </c>
      <c r="J19" s="64">
        <f>HLOOKUP(B4,A4:N6,3,FALSE)</f>
        <v>1.99</v>
      </c>
    </row>
    <row r="20" spans="7:10" x14ac:dyDescent="0.25">
      <c r="G20" s="55"/>
      <c r="H20" s="56" t="s">
        <v>145</v>
      </c>
      <c r="I20" s="56">
        <f>HLOOKUP(E4,A4:N7,4,FALSE)</f>
        <v>539.73</v>
      </c>
      <c r="J20" s="57">
        <f>HLOOKUP(E4,A4:N6,3,FALSE)</f>
        <v>19.989999999999998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selection activeCell="I9" sqref="I9"/>
    </sheetView>
  </sheetViews>
  <sheetFormatPr defaultRowHeight="15" x14ac:dyDescent="0.25"/>
  <cols>
    <col min="1" max="1" width="21" bestFit="1" customWidth="1"/>
    <col min="2" max="2" width="15" bestFit="1" customWidth="1"/>
    <col min="3" max="3" width="18.28515625" bestFit="1" customWidth="1"/>
    <col min="4" max="4" width="12" bestFit="1" customWidth="1"/>
    <col min="5" max="5" width="12.42578125" bestFit="1" customWidth="1"/>
    <col min="6" max="6" width="17.85546875" bestFit="1" customWidth="1"/>
    <col min="7" max="7" width="18.28515625" bestFit="1" customWidth="1"/>
    <col min="8" max="8" width="15.7109375" customWidth="1"/>
    <col min="9" max="9" width="14.140625" bestFit="1" customWidth="1"/>
    <col min="10" max="10" width="19.140625" bestFit="1" customWidth="1"/>
    <col min="11" max="12" width="24.5703125" bestFit="1" customWidth="1"/>
  </cols>
  <sheetData>
    <row r="1" spans="1:11" ht="26.2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11" ht="26.25" x14ac:dyDescent="0.4">
      <c r="A2" s="3">
        <v>43836</v>
      </c>
      <c r="B2" s="2" t="s">
        <v>7</v>
      </c>
      <c r="C2" s="2" t="s">
        <v>9</v>
      </c>
      <c r="D2" s="2">
        <v>95</v>
      </c>
      <c r="E2" s="2">
        <v>1.99</v>
      </c>
      <c r="F2" s="4">
        <v>189.05</v>
      </c>
      <c r="G2" s="4" t="s">
        <v>8</v>
      </c>
      <c r="I2" s="6" t="s">
        <v>10</v>
      </c>
    </row>
    <row r="3" spans="1:11" ht="26.25" x14ac:dyDescent="0.4">
      <c r="A3" s="3">
        <v>43853</v>
      </c>
      <c r="B3" s="2" t="s">
        <v>12</v>
      </c>
      <c r="C3" s="2" t="s">
        <v>14</v>
      </c>
      <c r="D3" s="2">
        <v>50</v>
      </c>
      <c r="E3" s="2">
        <v>19.989999999999998</v>
      </c>
      <c r="F3" s="4">
        <v>999.5</v>
      </c>
      <c r="G3" s="4" t="s">
        <v>13</v>
      </c>
      <c r="I3" s="11" t="s">
        <v>2</v>
      </c>
      <c r="J3" s="7" t="s">
        <v>50</v>
      </c>
      <c r="K3" s="7" t="s">
        <v>51</v>
      </c>
    </row>
    <row r="4" spans="1:11" ht="26.25" x14ac:dyDescent="0.4">
      <c r="A4" s="3">
        <v>43870</v>
      </c>
      <c r="B4" s="2" t="s">
        <v>12</v>
      </c>
      <c r="C4" s="2" t="s">
        <v>9</v>
      </c>
      <c r="D4" s="2">
        <v>36</v>
      </c>
      <c r="E4" s="2">
        <v>4.99</v>
      </c>
      <c r="F4" s="4">
        <v>179.64</v>
      </c>
      <c r="G4" s="4" t="s">
        <v>16</v>
      </c>
      <c r="I4" s="20" t="s">
        <v>17</v>
      </c>
      <c r="J4" s="10" t="e">
        <f>VLOOKUP(I4,$C$1:$F$14,1,0)</f>
        <v>#N/A</v>
      </c>
      <c r="K4" s="10">
        <f>INDEX($A$1:$G$14,MATCH($I$4,$G$1:$G$14,0),MATCH("Total",$A$1:$G$1,0))</f>
        <v>449.1</v>
      </c>
    </row>
    <row r="5" spans="1:11" ht="26.25" x14ac:dyDescent="0.4">
      <c r="A5" s="3">
        <v>43887</v>
      </c>
      <c r="B5" s="2" t="s">
        <v>12</v>
      </c>
      <c r="C5" s="2" t="s">
        <v>20</v>
      </c>
      <c r="D5" s="2">
        <v>27</v>
      </c>
      <c r="E5" s="2">
        <v>19.989999999999998</v>
      </c>
      <c r="F5" s="4">
        <v>539.73</v>
      </c>
      <c r="G5" s="4" t="s">
        <v>19</v>
      </c>
    </row>
    <row r="6" spans="1:11" ht="26.25" x14ac:dyDescent="0.4">
      <c r="A6" s="3">
        <v>43905</v>
      </c>
      <c r="B6" s="2" t="s">
        <v>22</v>
      </c>
      <c r="C6" s="2" t="s">
        <v>9</v>
      </c>
      <c r="D6" s="2">
        <v>56</v>
      </c>
      <c r="E6" s="2">
        <v>2.99</v>
      </c>
      <c r="F6" s="4">
        <v>167.44</v>
      </c>
      <c r="G6" s="4" t="s">
        <v>23</v>
      </c>
    </row>
    <row r="7" spans="1:11" ht="26.25" x14ac:dyDescent="0.4">
      <c r="A7" s="3">
        <v>43922</v>
      </c>
      <c r="B7" s="2" t="s">
        <v>7</v>
      </c>
      <c r="C7" s="2" t="s">
        <v>14</v>
      </c>
      <c r="D7" s="2">
        <v>60</v>
      </c>
      <c r="E7" s="2">
        <v>4.99</v>
      </c>
      <c r="F7" s="4">
        <v>299.39999999999998</v>
      </c>
      <c r="G7" s="4" t="s">
        <v>8</v>
      </c>
    </row>
    <row r="8" spans="1:11" ht="26.25" x14ac:dyDescent="0.4">
      <c r="A8" s="3">
        <v>43939</v>
      </c>
      <c r="B8" s="2" t="s">
        <v>12</v>
      </c>
      <c r="C8" s="2" t="s">
        <v>9</v>
      </c>
      <c r="D8" s="2">
        <v>75</v>
      </c>
      <c r="E8" s="2">
        <v>1.99</v>
      </c>
      <c r="F8" s="4">
        <v>149.25</v>
      </c>
      <c r="G8" s="4" t="s">
        <v>25</v>
      </c>
    </row>
    <row r="9" spans="1:11" ht="26.25" x14ac:dyDescent="0.4">
      <c r="A9" s="3">
        <v>43956</v>
      </c>
      <c r="B9" s="2" t="s">
        <v>12</v>
      </c>
      <c r="C9" s="2" t="s">
        <v>9</v>
      </c>
      <c r="D9" s="2">
        <v>90</v>
      </c>
      <c r="E9" s="2">
        <v>4.99</v>
      </c>
      <c r="F9" s="4">
        <v>449.1</v>
      </c>
      <c r="G9" s="4" t="s">
        <v>16</v>
      </c>
    </row>
    <row r="10" spans="1:11" ht="26.25" x14ac:dyDescent="0.4">
      <c r="A10" s="3">
        <v>43973</v>
      </c>
      <c r="B10" s="2" t="s">
        <v>22</v>
      </c>
      <c r="C10" s="2" t="s">
        <v>9</v>
      </c>
      <c r="D10" s="2">
        <v>32</v>
      </c>
      <c r="E10" s="2">
        <v>1.99</v>
      </c>
      <c r="F10" s="4">
        <v>63.68</v>
      </c>
      <c r="G10" s="4" t="s">
        <v>26</v>
      </c>
    </row>
    <row r="11" spans="1:11" ht="26.25" x14ac:dyDescent="0.4">
      <c r="A11" s="3">
        <v>43990</v>
      </c>
      <c r="B11" s="2" t="s">
        <v>7</v>
      </c>
      <c r="C11" s="2" t="s">
        <v>14</v>
      </c>
      <c r="D11" s="2">
        <v>60</v>
      </c>
      <c r="E11" s="2">
        <v>8.99</v>
      </c>
      <c r="F11" s="4">
        <v>539.4</v>
      </c>
      <c r="G11" s="4" t="s">
        <v>8</v>
      </c>
    </row>
    <row r="12" spans="1:11" ht="26.25" x14ac:dyDescent="0.4">
      <c r="A12" s="3">
        <v>44007</v>
      </c>
      <c r="B12" s="2" t="s">
        <v>12</v>
      </c>
      <c r="C12" s="2" t="s">
        <v>9</v>
      </c>
      <c r="D12" s="2">
        <v>90</v>
      </c>
      <c r="E12" s="2">
        <v>4.99</v>
      </c>
      <c r="F12" s="4">
        <v>449.1</v>
      </c>
      <c r="G12" s="4" t="s">
        <v>17</v>
      </c>
    </row>
    <row r="13" spans="1:11" ht="26.25" x14ac:dyDescent="0.4">
      <c r="A13" s="3">
        <v>44024</v>
      </c>
      <c r="B13" s="2" t="s">
        <v>7</v>
      </c>
      <c r="C13" s="2" t="s">
        <v>14</v>
      </c>
      <c r="D13" s="2">
        <v>29</v>
      </c>
      <c r="E13" s="2">
        <v>1.99</v>
      </c>
      <c r="F13" s="4">
        <v>57.71</v>
      </c>
      <c r="G13" s="4" t="s">
        <v>27</v>
      </c>
    </row>
    <row r="14" spans="1:11" ht="26.25" x14ac:dyDescent="0.4">
      <c r="A14" s="3">
        <v>44041</v>
      </c>
      <c r="B14" s="2" t="s">
        <v>7</v>
      </c>
      <c r="C14" s="2" t="s">
        <v>14</v>
      </c>
      <c r="D14" s="2">
        <v>81</v>
      </c>
      <c r="E14" s="2">
        <v>19.989999999999998</v>
      </c>
      <c r="F14" s="4">
        <v>1619.19</v>
      </c>
      <c r="G14" s="4" t="s">
        <v>28</v>
      </c>
    </row>
    <row r="16" spans="1:11" ht="15.75" x14ac:dyDescent="0.25">
      <c r="F16" s="8" t="s">
        <v>30</v>
      </c>
      <c r="G16" s="8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M6" sqref="M6"/>
    </sheetView>
  </sheetViews>
  <sheetFormatPr defaultRowHeight="15" x14ac:dyDescent="0.25"/>
  <cols>
    <col min="2" max="2" width="18.28515625" bestFit="1" customWidth="1"/>
    <col min="5" max="5" width="10.42578125" bestFit="1" customWidth="1"/>
  </cols>
  <sheetData>
    <row r="2" spans="2:10" ht="26.25" x14ac:dyDescent="0.4">
      <c r="B2" s="21" t="s">
        <v>2</v>
      </c>
      <c r="C2">
        <v>1</v>
      </c>
      <c r="E2" s="24" t="s">
        <v>21</v>
      </c>
    </row>
    <row r="3" spans="2:10" ht="26.25" x14ac:dyDescent="0.4">
      <c r="B3" s="22" t="s">
        <v>8</v>
      </c>
      <c r="C3">
        <v>2</v>
      </c>
      <c r="E3" s="23" t="str">
        <f>INDEX(B2:B15,2)</f>
        <v>Jones</v>
      </c>
      <c r="G3" t="str">
        <f>INDEX($B$2:$B$15,2)</f>
        <v>Jones</v>
      </c>
    </row>
    <row r="4" spans="2:10" ht="26.25" x14ac:dyDescent="0.4">
      <c r="B4" s="22" t="s">
        <v>13</v>
      </c>
      <c r="C4">
        <v>3</v>
      </c>
      <c r="E4" s="23" t="str">
        <f t="shared" ref="E4:E15" si="0">INDEX(B3:B16,2)</f>
        <v>Kivell</v>
      </c>
      <c r="I4" t="s">
        <v>150</v>
      </c>
    </row>
    <row r="5" spans="2:10" ht="26.25" x14ac:dyDescent="0.4">
      <c r="B5" s="22" t="s">
        <v>16</v>
      </c>
      <c r="C5">
        <v>4</v>
      </c>
      <c r="E5" s="23" t="str">
        <f t="shared" si="0"/>
        <v>Jardine</v>
      </c>
      <c r="I5" t="s">
        <v>151</v>
      </c>
      <c r="J5">
        <v>1</v>
      </c>
    </row>
    <row r="6" spans="2:10" ht="26.25" x14ac:dyDescent="0.4">
      <c r="B6" s="22" t="s">
        <v>19</v>
      </c>
      <c r="C6">
        <v>5</v>
      </c>
      <c r="E6" s="23" t="str">
        <f t="shared" si="0"/>
        <v>Gill</v>
      </c>
      <c r="I6" t="s">
        <v>147</v>
      </c>
      <c r="J6">
        <v>2</v>
      </c>
    </row>
    <row r="7" spans="2:10" ht="26.25" x14ac:dyDescent="0.4">
      <c r="B7" s="22" t="s">
        <v>23</v>
      </c>
      <c r="C7">
        <v>6</v>
      </c>
      <c r="E7" s="23" t="str">
        <f t="shared" si="0"/>
        <v>Sorvino</v>
      </c>
      <c r="I7" t="s">
        <v>148</v>
      </c>
      <c r="J7">
        <v>3</v>
      </c>
    </row>
    <row r="8" spans="2:10" ht="26.25" x14ac:dyDescent="0.4">
      <c r="B8" s="22" t="s">
        <v>8</v>
      </c>
      <c r="C8">
        <v>7</v>
      </c>
      <c r="E8" s="23" t="str">
        <f t="shared" si="0"/>
        <v>Jones</v>
      </c>
      <c r="I8" t="s">
        <v>149</v>
      </c>
      <c r="J8">
        <v>4</v>
      </c>
    </row>
    <row r="9" spans="2:10" ht="26.25" x14ac:dyDescent="0.4">
      <c r="B9" s="22" t="s">
        <v>25</v>
      </c>
      <c r="C9">
        <v>8</v>
      </c>
      <c r="E9" s="23" t="str">
        <f t="shared" si="0"/>
        <v>Andrews</v>
      </c>
    </row>
    <row r="10" spans="2:10" ht="26.25" x14ac:dyDescent="0.4">
      <c r="B10" s="22" t="s">
        <v>16</v>
      </c>
      <c r="C10">
        <v>9</v>
      </c>
      <c r="E10" s="23" t="str">
        <f t="shared" si="0"/>
        <v>Jardine</v>
      </c>
    </row>
    <row r="11" spans="2:10" ht="26.25" x14ac:dyDescent="0.4">
      <c r="B11" s="22" t="s">
        <v>26</v>
      </c>
      <c r="C11">
        <v>10</v>
      </c>
      <c r="E11" s="23" t="str">
        <f t="shared" si="0"/>
        <v>Thompson</v>
      </c>
    </row>
    <row r="12" spans="2:10" ht="26.25" x14ac:dyDescent="0.4">
      <c r="B12" s="22" t="s">
        <v>8</v>
      </c>
      <c r="C12">
        <v>11</v>
      </c>
      <c r="E12" s="23" t="str">
        <f t="shared" si="0"/>
        <v>Jones</v>
      </c>
    </row>
    <row r="13" spans="2:10" ht="26.25" x14ac:dyDescent="0.4">
      <c r="B13" s="22" t="s">
        <v>17</v>
      </c>
      <c r="C13">
        <v>12</v>
      </c>
      <c r="E13" s="23" t="str">
        <f t="shared" si="0"/>
        <v>Morgan</v>
      </c>
    </row>
    <row r="14" spans="2:10" ht="26.25" x14ac:dyDescent="0.4">
      <c r="B14" s="22" t="s">
        <v>27</v>
      </c>
      <c r="C14">
        <v>13</v>
      </c>
      <c r="E14" s="23" t="str">
        <f t="shared" si="0"/>
        <v>Howard</v>
      </c>
    </row>
    <row r="15" spans="2:10" ht="26.25" x14ac:dyDescent="0.4">
      <c r="B15" s="22" t="s">
        <v>28</v>
      </c>
      <c r="C15">
        <v>14</v>
      </c>
      <c r="E15" s="23" t="str">
        <f t="shared" si="0"/>
        <v>Parent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I7" sqref="I7"/>
    </sheetView>
  </sheetViews>
  <sheetFormatPr defaultRowHeight="15" x14ac:dyDescent="0.25"/>
  <cols>
    <col min="2" max="2" width="18.28515625" bestFit="1" customWidth="1"/>
    <col min="5" max="5" width="18.28515625" bestFit="1" customWidth="1"/>
    <col min="6" max="6" width="11.85546875" customWidth="1"/>
  </cols>
  <sheetData>
    <row r="1" spans="2:6" ht="15.75" thickBot="1" x14ac:dyDescent="0.3"/>
    <row r="2" spans="2:6" ht="26.25" x14ac:dyDescent="0.4">
      <c r="B2" s="21" t="s">
        <v>2</v>
      </c>
      <c r="C2">
        <v>1</v>
      </c>
      <c r="E2" s="66" t="s">
        <v>52</v>
      </c>
      <c r="F2" s="67" t="s">
        <v>24</v>
      </c>
    </row>
    <row r="3" spans="2:6" ht="26.25" x14ac:dyDescent="0.4">
      <c r="B3" s="22" t="s">
        <v>8</v>
      </c>
      <c r="C3">
        <v>2</v>
      </c>
      <c r="E3" s="66" t="s">
        <v>25</v>
      </c>
      <c r="F3" s="68">
        <f>MATCH(E3,$B$2:$B$15,0)</f>
        <v>8</v>
      </c>
    </row>
    <row r="4" spans="2:6" ht="26.25" x14ac:dyDescent="0.4">
      <c r="B4" s="22" t="s">
        <v>13</v>
      </c>
      <c r="C4">
        <v>3</v>
      </c>
      <c r="E4" s="66" t="s">
        <v>19</v>
      </c>
      <c r="F4" s="68">
        <f t="shared" ref="F4:F15" si="0">MATCH(E4,$B$2:$B$15,0)</f>
        <v>5</v>
      </c>
    </row>
    <row r="5" spans="2:6" ht="26.25" x14ac:dyDescent="0.4">
      <c r="B5" s="22" t="s">
        <v>16</v>
      </c>
      <c r="C5">
        <v>4</v>
      </c>
      <c r="E5" s="66" t="s">
        <v>27</v>
      </c>
      <c r="F5" s="68">
        <f t="shared" si="0"/>
        <v>13</v>
      </c>
    </row>
    <row r="6" spans="2:6" ht="26.25" x14ac:dyDescent="0.4">
      <c r="B6" s="22" t="s">
        <v>19</v>
      </c>
      <c r="C6">
        <v>5</v>
      </c>
      <c r="E6" s="66" t="s">
        <v>53</v>
      </c>
      <c r="F6" s="68">
        <f t="shared" si="0"/>
        <v>7</v>
      </c>
    </row>
    <row r="7" spans="2:6" ht="26.25" x14ac:dyDescent="0.4">
      <c r="B7" s="22" t="s">
        <v>23</v>
      </c>
      <c r="C7">
        <v>6</v>
      </c>
      <c r="E7" s="66" t="s">
        <v>16</v>
      </c>
      <c r="F7" s="68">
        <f t="shared" si="0"/>
        <v>4</v>
      </c>
    </row>
    <row r="8" spans="2:6" ht="26.25" x14ac:dyDescent="0.4">
      <c r="B8" s="22" t="s">
        <v>53</v>
      </c>
      <c r="C8">
        <v>7</v>
      </c>
      <c r="E8" s="66" t="s">
        <v>16</v>
      </c>
      <c r="F8" s="68">
        <f t="shared" si="0"/>
        <v>4</v>
      </c>
    </row>
    <row r="9" spans="2:6" ht="26.25" x14ac:dyDescent="0.4">
      <c r="B9" s="22" t="s">
        <v>25</v>
      </c>
      <c r="C9">
        <v>8</v>
      </c>
      <c r="E9" s="66" t="s">
        <v>54</v>
      </c>
      <c r="F9" s="68">
        <f t="shared" si="0"/>
        <v>11</v>
      </c>
    </row>
    <row r="10" spans="2:6" ht="26.25" x14ac:dyDescent="0.4">
      <c r="B10" s="22" t="s">
        <v>16</v>
      </c>
      <c r="C10">
        <v>9</v>
      </c>
      <c r="E10" s="66" t="s">
        <v>8</v>
      </c>
      <c r="F10" s="68">
        <f t="shared" si="0"/>
        <v>2</v>
      </c>
    </row>
    <row r="11" spans="2:6" ht="26.25" x14ac:dyDescent="0.4">
      <c r="B11" s="22" t="s">
        <v>26</v>
      </c>
      <c r="C11">
        <v>10</v>
      </c>
      <c r="E11" s="66" t="s">
        <v>13</v>
      </c>
      <c r="F11" s="68">
        <f t="shared" si="0"/>
        <v>3</v>
      </c>
    </row>
    <row r="12" spans="2:6" ht="26.25" x14ac:dyDescent="0.4">
      <c r="B12" s="22" t="s">
        <v>54</v>
      </c>
      <c r="C12">
        <v>11</v>
      </c>
      <c r="E12" s="66" t="s">
        <v>17</v>
      </c>
      <c r="F12" s="68">
        <f t="shared" si="0"/>
        <v>12</v>
      </c>
    </row>
    <row r="13" spans="2:6" ht="26.25" x14ac:dyDescent="0.4">
      <c r="B13" s="22" t="s">
        <v>17</v>
      </c>
      <c r="C13">
        <v>12</v>
      </c>
      <c r="E13" s="66" t="s">
        <v>28</v>
      </c>
      <c r="F13" s="68">
        <f t="shared" si="0"/>
        <v>14</v>
      </c>
    </row>
    <row r="14" spans="2:6" ht="26.25" x14ac:dyDescent="0.4">
      <c r="B14" s="22" t="s">
        <v>27</v>
      </c>
      <c r="C14">
        <v>13</v>
      </c>
      <c r="E14" s="66" t="s">
        <v>23</v>
      </c>
      <c r="F14" s="68">
        <f t="shared" si="0"/>
        <v>6</v>
      </c>
    </row>
    <row r="15" spans="2:6" ht="27" thickBot="1" x14ac:dyDescent="0.45">
      <c r="B15" s="22" t="s">
        <v>28</v>
      </c>
      <c r="C15">
        <v>14</v>
      </c>
      <c r="E15" s="66" t="s">
        <v>26</v>
      </c>
      <c r="F15" s="69">
        <f t="shared" si="0"/>
        <v>10</v>
      </c>
    </row>
  </sheetData>
  <sortState ref="E3:E15">
    <sortCondition ref="E3:E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80" zoomScaleNormal="80" workbookViewId="0">
      <selection activeCell="L12" sqref="L12"/>
    </sheetView>
  </sheetViews>
  <sheetFormatPr defaultRowHeight="15" x14ac:dyDescent="0.25"/>
  <cols>
    <col min="1" max="1" width="21" bestFit="1" customWidth="1"/>
    <col min="2" max="2" width="15" bestFit="1" customWidth="1"/>
    <col min="3" max="3" width="12" bestFit="1" customWidth="1"/>
    <col min="4" max="4" width="12.42578125" bestFit="1" customWidth="1"/>
    <col min="5" max="5" width="17.85546875" bestFit="1" customWidth="1"/>
    <col min="6" max="6" width="18.28515625" bestFit="1" customWidth="1"/>
    <col min="7" max="7" width="9.7109375" bestFit="1" customWidth="1"/>
    <col min="8" max="9" width="23" customWidth="1"/>
    <col min="10" max="10" width="9.7109375" customWidth="1"/>
    <col min="11" max="11" width="14.85546875" customWidth="1"/>
    <col min="12" max="12" width="26.140625" bestFit="1" customWidth="1"/>
    <col min="13" max="13" width="14.7109375" customWidth="1"/>
    <col min="14" max="14" width="15.42578125" customWidth="1"/>
  </cols>
  <sheetData>
    <row r="1" spans="1:16" ht="26.2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t="s">
        <v>146</v>
      </c>
      <c r="I1" t="s">
        <v>160</v>
      </c>
    </row>
    <row r="2" spans="1:16" ht="26.25" x14ac:dyDescent="0.4">
      <c r="A2" s="3">
        <v>43836</v>
      </c>
      <c r="B2" s="2" t="s">
        <v>7</v>
      </c>
      <c r="C2" s="2" t="s">
        <v>9</v>
      </c>
      <c r="D2" s="2">
        <v>95</v>
      </c>
      <c r="E2" s="2">
        <v>1.99</v>
      </c>
      <c r="F2" s="4" t="s">
        <v>8</v>
      </c>
      <c r="G2" s="4">
        <v>189.05</v>
      </c>
      <c r="K2" s="6" t="s">
        <v>10</v>
      </c>
    </row>
    <row r="3" spans="1:16" ht="26.25" x14ac:dyDescent="0.4">
      <c r="A3" s="3">
        <v>43853</v>
      </c>
      <c r="B3" s="2" t="s">
        <v>12</v>
      </c>
      <c r="C3" s="2" t="s">
        <v>14</v>
      </c>
      <c r="D3" s="2">
        <v>50</v>
      </c>
      <c r="E3" s="2">
        <v>19.989999999999998</v>
      </c>
      <c r="F3" s="4" t="s">
        <v>13</v>
      </c>
      <c r="G3" s="4">
        <v>999.5</v>
      </c>
      <c r="K3" s="11" t="s">
        <v>2</v>
      </c>
      <c r="L3" s="7" t="s">
        <v>6</v>
      </c>
      <c r="N3" t="s">
        <v>15</v>
      </c>
      <c r="O3">
        <f>VLOOKUP(F12,Table1364[[#All],[Rep]:[Total]],2,FALSE)</f>
        <v>449.1</v>
      </c>
    </row>
    <row r="4" spans="1:16" ht="26.25" x14ac:dyDescent="0.4">
      <c r="A4" s="3">
        <v>43870</v>
      </c>
      <c r="B4" s="2" t="s">
        <v>12</v>
      </c>
      <c r="C4" s="2" t="s">
        <v>9</v>
      </c>
      <c r="D4" s="2">
        <v>36</v>
      </c>
      <c r="E4" s="2">
        <v>4.99</v>
      </c>
      <c r="F4" s="4" t="s">
        <v>16</v>
      </c>
      <c r="G4" s="4">
        <v>179.64</v>
      </c>
      <c r="K4" s="20" t="s">
        <v>17</v>
      </c>
      <c r="L4" s="10">
        <f>INDEX($A$1:$G$14,MATCH($K$4,$F$1:$F$14,0),MATCH($L$3,$A$1:$G$1,0))</f>
        <v>449.1</v>
      </c>
      <c r="N4" t="s">
        <v>21</v>
      </c>
      <c r="O4" t="str">
        <f>INDEX(Table1364[[#All],[Rep]],12)</f>
        <v>Morgan</v>
      </c>
    </row>
    <row r="5" spans="1:16" ht="26.25" x14ac:dyDescent="0.4">
      <c r="A5" s="3">
        <v>43887</v>
      </c>
      <c r="B5" s="2" t="s">
        <v>12</v>
      </c>
      <c r="C5" s="2" t="s">
        <v>20</v>
      </c>
      <c r="D5" s="2">
        <v>27</v>
      </c>
      <c r="E5" s="2">
        <v>19.989999999999998</v>
      </c>
      <c r="F5" s="4" t="s">
        <v>19</v>
      </c>
      <c r="G5" s="4">
        <v>539.73</v>
      </c>
      <c r="N5" t="s">
        <v>24</v>
      </c>
      <c r="O5">
        <f>MATCH(F12,Table1364[[#All],[Rep]],0)</f>
        <v>12</v>
      </c>
      <c r="P5" t="s">
        <v>152</v>
      </c>
    </row>
    <row r="6" spans="1:16" ht="26.25" x14ac:dyDescent="0.4">
      <c r="A6" s="3">
        <v>43905</v>
      </c>
      <c r="B6" s="2" t="s">
        <v>22</v>
      </c>
      <c r="C6" s="2" t="s">
        <v>9</v>
      </c>
      <c r="D6" s="2">
        <v>56</v>
      </c>
      <c r="E6" s="2">
        <v>2.99</v>
      </c>
      <c r="F6" s="4" t="s">
        <v>23</v>
      </c>
      <c r="G6" s="4">
        <v>167.44</v>
      </c>
      <c r="K6" s="70" t="s">
        <v>154</v>
      </c>
      <c r="O6">
        <f>MATCH(Table1364[[#Headers],[Total]],Table1364[[#Headers],[OrderDate]:[Total]],0)</f>
        <v>7</v>
      </c>
      <c r="P6" t="s">
        <v>153</v>
      </c>
    </row>
    <row r="7" spans="1:16" ht="26.25" x14ac:dyDescent="0.4">
      <c r="A7" s="3">
        <v>43922</v>
      </c>
      <c r="B7" s="2" t="s">
        <v>7</v>
      </c>
      <c r="C7" s="2" t="s">
        <v>14</v>
      </c>
      <c r="D7" s="2">
        <v>60</v>
      </c>
      <c r="E7" s="2">
        <v>4.99</v>
      </c>
      <c r="F7" s="4" t="s">
        <v>8</v>
      </c>
      <c r="G7" s="4">
        <v>299.39999999999998</v>
      </c>
      <c r="J7">
        <v>1</v>
      </c>
      <c r="K7" t="s">
        <v>17</v>
      </c>
      <c r="L7">
        <f>INDEX(Table1364[[#All],[OrderDate]:[Total]],O5,O6)</f>
        <v>449.1</v>
      </c>
    </row>
    <row r="8" spans="1:16" ht="26.25" x14ac:dyDescent="0.4">
      <c r="A8" s="3">
        <v>43939</v>
      </c>
      <c r="B8" s="2" t="s">
        <v>12</v>
      </c>
      <c r="C8" s="2" t="s">
        <v>9</v>
      </c>
      <c r="D8" s="2">
        <v>75</v>
      </c>
      <c r="E8" s="2">
        <v>1.99</v>
      </c>
      <c r="F8" s="4" t="s">
        <v>25</v>
      </c>
      <c r="G8" s="4">
        <v>149.25</v>
      </c>
      <c r="J8">
        <v>2</v>
      </c>
      <c r="K8" t="s">
        <v>28</v>
      </c>
      <c r="L8">
        <f>INDEX(Table1364[[#All],[OrderDate]:[Total]],O8,O9)</f>
        <v>1619.19</v>
      </c>
      <c r="N8" t="s">
        <v>24</v>
      </c>
      <c r="O8">
        <f>MATCH(F14,Table1364[[#All],[Rep]],0)</f>
        <v>14</v>
      </c>
      <c r="P8" t="s">
        <v>152</v>
      </c>
    </row>
    <row r="9" spans="1:16" ht="26.25" x14ac:dyDescent="0.4">
      <c r="A9" s="3">
        <v>43956</v>
      </c>
      <c r="B9" s="2" t="s">
        <v>12</v>
      </c>
      <c r="C9" s="2" t="s">
        <v>9</v>
      </c>
      <c r="D9" s="2">
        <v>90</v>
      </c>
      <c r="E9" s="2">
        <v>4.99</v>
      </c>
      <c r="F9" s="4" t="s">
        <v>16</v>
      </c>
      <c r="G9" s="4">
        <v>449.1</v>
      </c>
      <c r="O9">
        <f>MATCH(Table1364[[#Headers],[Total]],Table1364[[#Headers],[OrderDate]:[Total]],0)</f>
        <v>7</v>
      </c>
      <c r="P9" t="s">
        <v>153</v>
      </c>
    </row>
    <row r="10" spans="1:16" ht="26.25" x14ac:dyDescent="0.4">
      <c r="A10" s="3">
        <v>43973</v>
      </c>
      <c r="B10" s="2" t="s">
        <v>22</v>
      </c>
      <c r="C10" s="2" t="s">
        <v>9</v>
      </c>
      <c r="D10" s="2">
        <v>32</v>
      </c>
      <c r="E10" s="2">
        <v>1.99</v>
      </c>
      <c r="F10" s="4" t="s">
        <v>26</v>
      </c>
      <c r="G10" s="4">
        <v>63.68</v>
      </c>
    </row>
    <row r="11" spans="1:16" ht="26.25" x14ac:dyDescent="0.4">
      <c r="A11" s="3">
        <v>43990</v>
      </c>
      <c r="B11" s="2" t="s">
        <v>7</v>
      </c>
      <c r="C11" s="2" t="s">
        <v>14</v>
      </c>
      <c r="D11" s="2">
        <v>60</v>
      </c>
      <c r="E11" s="2">
        <v>8.99</v>
      </c>
      <c r="F11" s="4" t="s">
        <v>8</v>
      </c>
      <c r="G11" s="4">
        <v>539.4</v>
      </c>
    </row>
    <row r="12" spans="1:16" ht="26.25" x14ac:dyDescent="0.4">
      <c r="A12" s="3">
        <v>44007</v>
      </c>
      <c r="B12" s="2" t="s">
        <v>12</v>
      </c>
      <c r="C12" s="2" t="s">
        <v>9</v>
      </c>
      <c r="D12" s="2">
        <v>90</v>
      </c>
      <c r="E12" s="2">
        <v>4.99</v>
      </c>
      <c r="F12" s="20" t="s">
        <v>17</v>
      </c>
      <c r="G12" s="20">
        <v>449.1</v>
      </c>
    </row>
    <row r="13" spans="1:16" ht="26.25" x14ac:dyDescent="0.4">
      <c r="A13" s="3">
        <v>44024</v>
      </c>
      <c r="B13" s="2" t="s">
        <v>7</v>
      </c>
      <c r="C13" s="2" t="s">
        <v>14</v>
      </c>
      <c r="D13" s="2">
        <v>29</v>
      </c>
      <c r="E13" s="2">
        <v>1.99</v>
      </c>
      <c r="F13" s="4" t="s">
        <v>27</v>
      </c>
      <c r="G13" s="4">
        <v>57.71</v>
      </c>
    </row>
    <row r="14" spans="1:16" ht="26.25" x14ac:dyDescent="0.4">
      <c r="A14" s="3">
        <v>44041</v>
      </c>
      <c r="B14" s="2" t="s">
        <v>7</v>
      </c>
      <c r="C14" s="2" t="s">
        <v>14</v>
      </c>
      <c r="D14" s="2">
        <v>81</v>
      </c>
      <c r="E14" s="2">
        <v>19.989999999999998</v>
      </c>
      <c r="F14" s="4" t="s">
        <v>28</v>
      </c>
      <c r="G14" s="4">
        <v>1619.19</v>
      </c>
    </row>
    <row r="16" spans="1:16" ht="15.75" x14ac:dyDescent="0.25">
      <c r="F1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I6" sqref="I6"/>
    </sheetView>
  </sheetViews>
  <sheetFormatPr defaultRowHeight="15" x14ac:dyDescent="0.25"/>
  <cols>
    <col min="2" max="2" width="14.5703125" bestFit="1" customWidth="1"/>
    <col min="3" max="3" width="11.85546875" bestFit="1" customWidth="1"/>
    <col min="4" max="4" width="12.28515625" bestFit="1" customWidth="1"/>
    <col min="5" max="6" width="11.85546875" bestFit="1" customWidth="1"/>
    <col min="13" max="13" width="13.85546875" customWidth="1"/>
  </cols>
  <sheetData>
    <row r="2" spans="2:14" x14ac:dyDescent="0.25">
      <c r="B2" s="26" t="s">
        <v>55</v>
      </c>
      <c r="C2" s="28" t="s">
        <v>56</v>
      </c>
      <c r="D2" s="28" t="s">
        <v>57</v>
      </c>
      <c r="E2" s="28" t="s">
        <v>58</v>
      </c>
      <c r="F2" s="28" t="s">
        <v>59</v>
      </c>
    </row>
    <row r="3" spans="2:14" x14ac:dyDescent="0.25">
      <c r="B3" s="29" t="s">
        <v>60</v>
      </c>
      <c r="C3" s="27">
        <v>1869</v>
      </c>
      <c r="D3" s="27">
        <v>1422</v>
      </c>
      <c r="E3" s="27">
        <v>1585</v>
      </c>
      <c r="F3" s="27">
        <v>846</v>
      </c>
      <c r="H3" s="29" t="s">
        <v>61</v>
      </c>
      <c r="I3" t="s">
        <v>62</v>
      </c>
    </row>
    <row r="4" spans="2:14" x14ac:dyDescent="0.25">
      <c r="B4" s="29" t="s">
        <v>63</v>
      </c>
      <c r="C4" s="27">
        <v>3351</v>
      </c>
      <c r="D4" s="27">
        <v>1659</v>
      </c>
      <c r="E4" s="27">
        <v>1849</v>
      </c>
      <c r="F4" s="27">
        <v>767</v>
      </c>
      <c r="H4" s="28" t="s">
        <v>64</v>
      </c>
      <c r="I4" t="s">
        <v>57</v>
      </c>
    </row>
    <row r="5" spans="2:14" x14ac:dyDescent="0.25">
      <c r="B5" s="29" t="s">
        <v>65</v>
      </c>
      <c r="C5" s="27">
        <v>2570</v>
      </c>
      <c r="D5" s="27">
        <v>2321</v>
      </c>
      <c r="E5" s="27">
        <v>2771</v>
      </c>
      <c r="F5" s="27">
        <v>1591</v>
      </c>
    </row>
    <row r="6" spans="2:14" x14ac:dyDescent="0.25">
      <c r="B6" s="29" t="s">
        <v>66</v>
      </c>
      <c r="C6" s="27">
        <v>1476</v>
      </c>
      <c r="D6" s="27">
        <v>636</v>
      </c>
      <c r="E6" s="27">
        <v>1450</v>
      </c>
      <c r="F6" s="27">
        <v>1590</v>
      </c>
      <c r="H6" t="s">
        <v>67</v>
      </c>
      <c r="I6" s="27">
        <f>INDEX($B$2:$F$14,MATCH($I$3,$B$2:$B$14,0),MATCH($I$4,$B$2:$F$2,0))</f>
        <v>1154</v>
      </c>
    </row>
    <row r="7" spans="2:14" x14ac:dyDescent="0.25">
      <c r="B7" s="29" t="s">
        <v>68</v>
      </c>
      <c r="C7" s="27">
        <v>1908</v>
      </c>
      <c r="D7" s="27">
        <v>1268</v>
      </c>
      <c r="E7" s="27">
        <v>2253</v>
      </c>
      <c r="F7" s="27">
        <v>1418</v>
      </c>
      <c r="K7" s="52"/>
      <c r="L7" s="53"/>
      <c r="M7" s="53" t="s">
        <v>157</v>
      </c>
      <c r="N7" s="54"/>
    </row>
    <row r="8" spans="2:14" x14ac:dyDescent="0.25">
      <c r="B8" s="29" t="s">
        <v>69</v>
      </c>
      <c r="C8" s="27">
        <v>1424</v>
      </c>
      <c r="D8" s="27">
        <v>2155</v>
      </c>
      <c r="E8" s="27">
        <v>1441</v>
      </c>
      <c r="F8" s="27">
        <v>718</v>
      </c>
      <c r="K8" s="62" t="s">
        <v>61</v>
      </c>
      <c r="L8" s="63" t="s">
        <v>62</v>
      </c>
      <c r="M8" s="63">
        <f>MATCH(B10,B2:B14,0)</f>
        <v>9</v>
      </c>
      <c r="N8" s="64" t="s">
        <v>155</v>
      </c>
    </row>
    <row r="9" spans="2:14" x14ac:dyDescent="0.25">
      <c r="B9" s="29" t="s">
        <v>70</v>
      </c>
      <c r="C9" s="27">
        <v>2864</v>
      </c>
      <c r="D9" s="27">
        <v>2506</v>
      </c>
      <c r="E9" s="27">
        <v>2462</v>
      </c>
      <c r="F9" s="27">
        <v>800</v>
      </c>
      <c r="K9" s="55" t="s">
        <v>64</v>
      </c>
      <c r="L9" s="56" t="s">
        <v>57</v>
      </c>
      <c r="M9" s="56">
        <f>MATCH(D2,B2:D2,0)</f>
        <v>3</v>
      </c>
      <c r="N9" s="57" t="s">
        <v>156</v>
      </c>
    </row>
    <row r="10" spans="2:14" x14ac:dyDescent="0.25">
      <c r="B10" s="29" t="s">
        <v>62</v>
      </c>
      <c r="C10" s="27">
        <v>919</v>
      </c>
      <c r="D10" s="27">
        <v>1154</v>
      </c>
      <c r="E10" s="27">
        <v>2494</v>
      </c>
      <c r="F10" s="27">
        <v>3118</v>
      </c>
    </row>
    <row r="11" spans="2:14" x14ac:dyDescent="0.25">
      <c r="B11" s="29" t="s">
        <v>71</v>
      </c>
      <c r="C11" s="27">
        <v>1053</v>
      </c>
      <c r="D11" s="27">
        <v>2114</v>
      </c>
      <c r="E11" s="27">
        <v>2516</v>
      </c>
      <c r="F11" s="27">
        <v>885</v>
      </c>
      <c r="K11" s="52" t="s">
        <v>158</v>
      </c>
      <c r="L11" s="53"/>
      <c r="M11" s="71" t="s">
        <v>154</v>
      </c>
    </row>
    <row r="12" spans="2:14" x14ac:dyDescent="0.25">
      <c r="B12" s="29" t="s">
        <v>72</v>
      </c>
      <c r="C12" s="27">
        <v>787</v>
      </c>
      <c r="D12" s="27">
        <v>3027</v>
      </c>
      <c r="E12" s="27">
        <v>1693</v>
      </c>
      <c r="F12" s="27">
        <v>733</v>
      </c>
      <c r="K12" s="55"/>
      <c r="L12" s="56"/>
      <c r="M12" s="72">
        <f>INDEX(B2:F14,M8,M9)</f>
        <v>1154</v>
      </c>
    </row>
    <row r="13" spans="2:14" x14ac:dyDescent="0.25">
      <c r="B13" s="29" t="s">
        <v>73</v>
      </c>
      <c r="C13" s="27">
        <v>1218</v>
      </c>
      <c r="D13" s="27">
        <v>587</v>
      </c>
      <c r="E13" s="27">
        <v>2149</v>
      </c>
      <c r="F13" s="27">
        <v>1545</v>
      </c>
    </row>
    <row r="14" spans="2:14" x14ac:dyDescent="0.25">
      <c r="B14" s="29" t="s">
        <v>74</v>
      </c>
      <c r="C14" s="27">
        <v>1369</v>
      </c>
      <c r="D14" s="27">
        <v>2457</v>
      </c>
      <c r="E14" s="27">
        <v>1397</v>
      </c>
      <c r="F14" s="27">
        <v>3333</v>
      </c>
    </row>
  </sheetData>
  <conditionalFormatting sqref="C3:F14">
    <cfRule type="cellIs" dxfId="9" priority="1" operator="equal">
      <formula>$I$6</formula>
    </cfRule>
  </conditionalFormatting>
  <dataValidations count="2">
    <dataValidation type="list" allowBlank="1" showInputMessage="1" showErrorMessage="1" sqref="I3">
      <formula1>$B$3:$B$14</formula1>
    </dataValidation>
    <dataValidation type="list" allowBlank="1" showInputMessage="1" showErrorMessage="1" sqref="I4">
      <formula1>$C$2:$F$2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E20" sqref="E20"/>
    </sheetView>
  </sheetViews>
  <sheetFormatPr defaultRowHeight="15" x14ac:dyDescent="0.25"/>
  <cols>
    <col min="2" max="2" width="15" bestFit="1" customWidth="1"/>
    <col min="3" max="6" width="13.140625" customWidth="1"/>
    <col min="8" max="8" width="12.28515625" bestFit="1" customWidth="1"/>
  </cols>
  <sheetData>
    <row r="2" spans="2:13" x14ac:dyDescent="0.25">
      <c r="B2" s="26" t="s">
        <v>55</v>
      </c>
      <c r="C2" s="28" t="s">
        <v>56</v>
      </c>
      <c r="D2" s="28" t="s">
        <v>57</v>
      </c>
      <c r="E2" s="28" t="s">
        <v>58</v>
      </c>
      <c r="F2" s="28" t="s">
        <v>59</v>
      </c>
      <c r="L2" s="74" t="s">
        <v>15</v>
      </c>
    </row>
    <row r="3" spans="2:13" x14ac:dyDescent="0.25">
      <c r="B3" s="73" t="s">
        <v>8</v>
      </c>
      <c r="C3" s="27">
        <v>1869</v>
      </c>
      <c r="D3" s="27">
        <v>1422</v>
      </c>
      <c r="E3" s="27">
        <v>1585</v>
      </c>
      <c r="F3" s="27">
        <v>846</v>
      </c>
      <c r="I3" s="82" t="s">
        <v>75</v>
      </c>
      <c r="J3" s="82"/>
      <c r="L3" t="s">
        <v>8</v>
      </c>
      <c r="M3" t="s">
        <v>76</v>
      </c>
    </row>
    <row r="4" spans="2:13" x14ac:dyDescent="0.25">
      <c r="B4" s="30" t="s">
        <v>13</v>
      </c>
      <c r="C4" s="27">
        <v>3351</v>
      </c>
      <c r="D4" s="27">
        <v>1659</v>
      </c>
      <c r="E4" s="27">
        <v>1849</v>
      </c>
      <c r="F4" s="27">
        <v>767</v>
      </c>
      <c r="I4" t="s">
        <v>76</v>
      </c>
      <c r="J4" t="s">
        <v>8</v>
      </c>
      <c r="L4">
        <f>VLOOKUP(B3,B2:C14,2,FALSE)</f>
        <v>1869</v>
      </c>
      <c r="M4">
        <f>VLOOKUP(I4,B2:F14,2,FALSE)</f>
        <v>1869</v>
      </c>
    </row>
    <row r="5" spans="2:13" x14ac:dyDescent="0.25">
      <c r="B5" s="30" t="s">
        <v>16</v>
      </c>
      <c r="C5" s="27">
        <v>2570</v>
      </c>
      <c r="D5" s="27">
        <v>2321</v>
      </c>
      <c r="E5" s="27">
        <v>2771</v>
      </c>
      <c r="F5" s="27">
        <v>1591</v>
      </c>
      <c r="H5" s="28" t="s">
        <v>56</v>
      </c>
      <c r="I5" cm="1">
        <f t="array" ref="I5">INDEX($B$2:$F$14,MATCH(TRUE,EXACT($I$4,$B$2:$B$14),0),MATCH(H5,$B$2:$F$2,0))</f>
        <v>1424</v>
      </c>
      <c r="J5" cm="1">
        <f t="array" ref="J5">INDEX($B$2:$F$14,MATCH(TRUE,EXACT($J$4,$B$2:$B$14),0),MATCH(H5,$B$2:$F$2,0))</f>
        <v>1869</v>
      </c>
    </row>
    <row r="6" spans="2:13" x14ac:dyDescent="0.25">
      <c r="B6" s="30" t="s">
        <v>19</v>
      </c>
      <c r="C6" s="27">
        <v>1476</v>
      </c>
      <c r="D6" s="27">
        <v>636</v>
      </c>
      <c r="E6" s="27">
        <v>1450</v>
      </c>
      <c r="F6" s="27">
        <v>1590</v>
      </c>
      <c r="H6" s="28" t="s">
        <v>57</v>
      </c>
      <c r="I6" cm="1">
        <f t="array" ref="I6">INDEX($B$2:$F$14,MATCH(TRUE,EXACT($I$4,$B$2:$B$14),0),MATCH(H6,$B$2:$F$2,0))</f>
        <v>2155</v>
      </c>
      <c r="J6" cm="1">
        <f t="array" ref="J6">INDEX($B$2:$F$14,MATCH(TRUE,EXACT($J$4,$B$2:$B$14),0),MATCH(H6,$B$2:$F$2,0))</f>
        <v>1422</v>
      </c>
    </row>
    <row r="7" spans="2:13" x14ac:dyDescent="0.25">
      <c r="B7" s="30" t="s">
        <v>23</v>
      </c>
      <c r="C7" s="27">
        <v>1908</v>
      </c>
      <c r="D7" s="27">
        <v>1268</v>
      </c>
      <c r="E7" s="27">
        <v>2253</v>
      </c>
      <c r="F7" s="27">
        <v>1418</v>
      </c>
      <c r="H7" s="28" t="s">
        <v>58</v>
      </c>
      <c r="I7" cm="1">
        <f t="array" ref="I7">INDEX($B$2:$F$14,MATCH(TRUE,EXACT($I$4,$B$2:$B$14),0),MATCH(H7,$B$2:$F$2,0))</f>
        <v>1441</v>
      </c>
      <c r="J7" cm="1">
        <f t="array" ref="J7">INDEX($B$2:$F$14,MATCH(TRUE,EXACT($J$4,$B$2:$B$14),0),MATCH(H7,$B$2:$F$2,0))</f>
        <v>1585</v>
      </c>
      <c r="L7" t="b">
        <f>EXACT(B3,B8)</f>
        <v>0</v>
      </c>
    </row>
    <row r="8" spans="2:13" x14ac:dyDescent="0.25">
      <c r="B8" s="73" t="s">
        <v>76</v>
      </c>
      <c r="C8" s="27">
        <v>1424</v>
      </c>
      <c r="D8" s="27">
        <v>2155</v>
      </c>
      <c r="E8" s="27">
        <v>1441</v>
      </c>
      <c r="F8" s="27">
        <v>718</v>
      </c>
      <c r="H8" s="28" t="s">
        <v>59</v>
      </c>
      <c r="I8" cm="1">
        <f t="array" ref="I8">INDEX($B$2:$F$14,MATCH(TRUE,EXACT($I$4,$B$2:$B$14),0),MATCH(H8,$B$2:$F$2,0))</f>
        <v>718</v>
      </c>
      <c r="J8" cm="1">
        <f t="array" ref="J8">INDEX($B$2:$F$14,MATCH(TRUE,EXACT($J$4,$B$2:$B$14),0),MATCH(H8,$B$2:$F$2,0))</f>
        <v>846</v>
      </c>
    </row>
    <row r="9" spans="2:13" x14ac:dyDescent="0.25">
      <c r="B9" s="30" t="s">
        <v>25</v>
      </c>
      <c r="C9" s="27">
        <v>2864</v>
      </c>
      <c r="D9" s="27">
        <v>2506</v>
      </c>
      <c r="E9" s="27">
        <v>2462</v>
      </c>
      <c r="F9" s="27">
        <v>800</v>
      </c>
    </row>
    <row r="10" spans="2:13" x14ac:dyDescent="0.25">
      <c r="B10" s="30" t="s">
        <v>16</v>
      </c>
      <c r="C10" s="27">
        <v>919</v>
      </c>
      <c r="D10" s="27">
        <v>1154</v>
      </c>
      <c r="E10" s="27">
        <v>2494</v>
      </c>
      <c r="F10" s="27">
        <v>3118</v>
      </c>
      <c r="L10">
        <f>INDEX(B2:F14,MATCH(B3,B2:B14,0),MATCH(C2,B2:C2,0))</f>
        <v>1869</v>
      </c>
    </row>
    <row r="11" spans="2:13" x14ac:dyDescent="0.25">
      <c r="B11" s="30" t="s">
        <v>26</v>
      </c>
      <c r="C11" s="27">
        <v>1053</v>
      </c>
      <c r="D11" s="27">
        <v>2114</v>
      </c>
      <c r="E11" s="27">
        <v>2516</v>
      </c>
      <c r="F11" s="27">
        <v>885</v>
      </c>
    </row>
    <row r="12" spans="2:13" x14ac:dyDescent="0.25">
      <c r="B12" s="30" t="s">
        <v>54</v>
      </c>
      <c r="C12" s="27">
        <v>787</v>
      </c>
      <c r="D12" s="27">
        <v>3027</v>
      </c>
      <c r="E12" s="27">
        <v>1693</v>
      </c>
      <c r="F12" s="27">
        <v>733</v>
      </c>
      <c r="L12" t="e">
        <f>INDEX(B2:F14,MATCH(TRUE,EXACT(B8,B2:B14),0),MATCH(C2,B2:C2,0))</f>
        <v>#N/A</v>
      </c>
    </row>
    <row r="13" spans="2:13" x14ac:dyDescent="0.25">
      <c r="B13" s="30" t="s">
        <v>17</v>
      </c>
      <c r="C13" s="27">
        <v>1218</v>
      </c>
      <c r="D13" s="27">
        <v>587</v>
      </c>
      <c r="E13" s="27">
        <v>2149</v>
      </c>
      <c r="F13" s="27">
        <v>1545</v>
      </c>
    </row>
    <row r="14" spans="2:13" x14ac:dyDescent="0.25">
      <c r="B14" s="30" t="s">
        <v>27</v>
      </c>
      <c r="C14" s="27">
        <v>1369</v>
      </c>
      <c r="D14" s="27">
        <v>2457</v>
      </c>
      <c r="E14" s="27">
        <v>1397</v>
      </c>
      <c r="F14" s="27">
        <v>3333</v>
      </c>
    </row>
    <row r="16" spans="2:13" x14ac:dyDescent="0.25">
      <c r="D16" t="s">
        <v>155</v>
      </c>
      <c r="E16" t="s">
        <v>159</v>
      </c>
    </row>
    <row r="17" spans="2:5" x14ac:dyDescent="0.25">
      <c r="B17">
        <f>INDEX(B2:F14,MATCH(B3,B2:B14,0),MATCH(C2,B2:C2,0))</f>
        <v>1869</v>
      </c>
      <c r="D17">
        <f>MATCH(B8,B2:B14,0)</f>
        <v>2</v>
      </c>
      <c r="E17">
        <f>MATCH(C2,B2:C2,0)</f>
        <v>2</v>
      </c>
    </row>
    <row r="18" spans="2:5" x14ac:dyDescent="0.25">
      <c r="D18">
        <f>MATCH(B8,B2:B14,0)</f>
        <v>2</v>
      </c>
      <c r="E18">
        <f>MATCH(C2,B2:F2,0)</f>
        <v>2</v>
      </c>
    </row>
    <row r="19" spans="2:5" x14ac:dyDescent="0.25">
      <c r="B19" t="str">
        <f>INDEX(B2:F14,TRUE,EXACT(D18,E18))</f>
        <v>months/flavors</v>
      </c>
    </row>
  </sheetData>
  <mergeCells count="1">
    <mergeCell ref="I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84" zoomScaleNormal="84" workbookViewId="0">
      <selection activeCell="G7" sqref="G7"/>
    </sheetView>
  </sheetViews>
  <sheetFormatPr defaultRowHeight="15" x14ac:dyDescent="0.25"/>
  <cols>
    <col min="1" max="1" width="21" bestFit="1" customWidth="1"/>
    <col min="2" max="2" width="15" bestFit="1" customWidth="1"/>
    <col min="3" max="3" width="12" bestFit="1" customWidth="1"/>
    <col min="4" max="4" width="12.42578125" bestFit="1" customWidth="1"/>
    <col min="5" max="5" width="17.85546875" bestFit="1" customWidth="1"/>
    <col min="6" max="6" width="15.7109375" bestFit="1" customWidth="1"/>
    <col min="7" max="7" width="18.28515625" bestFit="1" customWidth="1"/>
    <col min="9" max="9" width="19.140625" customWidth="1"/>
    <col min="10" max="10" width="22.5703125" customWidth="1"/>
    <col min="11" max="11" width="12.7109375" customWidth="1"/>
  </cols>
  <sheetData>
    <row r="1" spans="1:13" ht="26.2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13" ht="26.25" x14ac:dyDescent="0.4">
      <c r="A2" s="3">
        <v>43836</v>
      </c>
      <c r="B2" s="2" t="s">
        <v>7</v>
      </c>
      <c r="C2" s="2" t="s">
        <v>9</v>
      </c>
      <c r="D2" s="2">
        <v>95</v>
      </c>
      <c r="E2" s="2">
        <v>1.99</v>
      </c>
      <c r="F2" s="4">
        <v>189.05</v>
      </c>
      <c r="G2" s="4" t="s">
        <v>8</v>
      </c>
      <c r="I2" s="6" t="s">
        <v>10</v>
      </c>
    </row>
    <row r="3" spans="1:13" ht="26.25" x14ac:dyDescent="0.4">
      <c r="A3" s="3">
        <v>43853</v>
      </c>
      <c r="B3" s="2" t="s">
        <v>12</v>
      </c>
      <c r="C3" s="2" t="s">
        <v>14</v>
      </c>
      <c r="D3" s="2">
        <v>50</v>
      </c>
      <c r="E3" s="2">
        <v>19.989999999999998</v>
      </c>
      <c r="F3" s="4">
        <v>999.5</v>
      </c>
      <c r="G3" s="4" t="s">
        <v>13</v>
      </c>
      <c r="I3" s="11" t="s">
        <v>2</v>
      </c>
      <c r="J3" s="7" t="s">
        <v>6</v>
      </c>
    </row>
    <row r="4" spans="1:13" ht="26.25" x14ac:dyDescent="0.4">
      <c r="A4" s="3">
        <v>43870</v>
      </c>
      <c r="B4" s="2" t="s">
        <v>12</v>
      </c>
      <c r="C4" s="2" t="s">
        <v>9</v>
      </c>
      <c r="D4" s="2">
        <v>36</v>
      </c>
      <c r="E4" s="2">
        <v>4.99</v>
      </c>
      <c r="F4" s="4">
        <v>179.64</v>
      </c>
      <c r="G4" s="4" t="s">
        <v>16</v>
      </c>
      <c r="I4" s="20" t="s">
        <v>17</v>
      </c>
      <c r="J4" s="10">
        <f>INDEX($A$1:$G$14,MATCH($I$4,$G$1:$G$14,0),MATCH($J$3,$A$1:$G$1,0))</f>
        <v>449.1</v>
      </c>
    </row>
    <row r="5" spans="1:13" ht="26.25" x14ac:dyDescent="0.4">
      <c r="A5" s="3">
        <v>43887</v>
      </c>
      <c r="B5" s="2" t="s">
        <v>12</v>
      </c>
      <c r="C5" s="2" t="s">
        <v>20</v>
      </c>
      <c r="D5" s="2">
        <v>27</v>
      </c>
      <c r="E5" s="2">
        <v>19.989999999999998</v>
      </c>
      <c r="F5" s="4">
        <v>539.73</v>
      </c>
      <c r="G5" s="4" t="s">
        <v>19</v>
      </c>
      <c r="L5" t="s">
        <v>155</v>
      </c>
      <c r="M5" t="s">
        <v>159</v>
      </c>
    </row>
    <row r="6" spans="1:13" ht="26.25" x14ac:dyDescent="0.4">
      <c r="A6" s="3">
        <v>43905</v>
      </c>
      <c r="B6" s="2" t="s">
        <v>22</v>
      </c>
      <c r="C6" s="2" t="s">
        <v>9</v>
      </c>
      <c r="D6" s="2">
        <v>56</v>
      </c>
      <c r="E6" s="2">
        <v>2.99</v>
      </c>
      <c r="F6" s="4">
        <v>167.44</v>
      </c>
      <c r="G6" s="4" t="s">
        <v>23</v>
      </c>
      <c r="K6" t="s">
        <v>24</v>
      </c>
      <c r="L6">
        <f>MATCH(G12,Table1368[[#All],[Rep]],0)</f>
        <v>12</v>
      </c>
      <c r="M6">
        <f>MATCH(Table1368[[#Headers],[Total]],Table1368[[#Headers],[OrderDate]:[Total]],0)</f>
        <v>6</v>
      </c>
    </row>
    <row r="7" spans="1:13" ht="26.25" x14ac:dyDescent="0.4">
      <c r="A7" s="3">
        <v>43922</v>
      </c>
      <c r="B7" s="2" t="s">
        <v>7</v>
      </c>
      <c r="C7" s="2" t="s">
        <v>14</v>
      </c>
      <c r="D7" s="2">
        <v>60</v>
      </c>
      <c r="E7" s="2">
        <v>4.99</v>
      </c>
      <c r="F7" s="4">
        <v>299.39999999999998</v>
      </c>
      <c r="G7" s="4" t="s">
        <v>8</v>
      </c>
      <c r="K7" t="s">
        <v>154</v>
      </c>
      <c r="L7">
        <f>INDEX(Table1368[#All],L6,M6)</f>
        <v>449.1</v>
      </c>
    </row>
    <row r="8" spans="1:13" ht="26.25" x14ac:dyDescent="0.4">
      <c r="A8" s="3">
        <v>43939</v>
      </c>
      <c r="B8" s="2" t="s">
        <v>12</v>
      </c>
      <c r="C8" s="2" t="s">
        <v>9</v>
      </c>
      <c r="D8" s="2">
        <v>75</v>
      </c>
      <c r="E8" s="2">
        <v>1.99</v>
      </c>
      <c r="F8" s="4">
        <v>149.25</v>
      </c>
      <c r="G8" s="4" t="s">
        <v>25</v>
      </c>
    </row>
    <row r="9" spans="1:13" ht="26.25" x14ac:dyDescent="0.4">
      <c r="A9" s="3">
        <v>43956</v>
      </c>
      <c r="B9" s="2" t="s">
        <v>12</v>
      </c>
      <c r="C9" s="2" t="s">
        <v>9</v>
      </c>
      <c r="D9" s="2">
        <v>90</v>
      </c>
      <c r="E9" s="2">
        <v>4.99</v>
      </c>
      <c r="F9" s="4">
        <v>449.1</v>
      </c>
      <c r="G9" s="4" t="s">
        <v>16</v>
      </c>
      <c r="I9" s="75"/>
      <c r="J9" s="78" t="s">
        <v>17</v>
      </c>
    </row>
    <row r="10" spans="1:13" ht="26.25" x14ac:dyDescent="0.4">
      <c r="A10" s="3">
        <v>43973</v>
      </c>
      <c r="B10" s="2" t="s">
        <v>22</v>
      </c>
      <c r="C10" s="2" t="s">
        <v>9</v>
      </c>
      <c r="D10" s="2">
        <v>32</v>
      </c>
      <c r="E10" s="2">
        <v>1.99</v>
      </c>
      <c r="F10" s="4">
        <v>63.68</v>
      </c>
      <c r="G10" s="4" t="s">
        <v>26</v>
      </c>
      <c r="I10" s="77" t="s">
        <v>161</v>
      </c>
      <c r="J10" s="76">
        <f>INDEX(Table1368[#All],MATCH(G12,Table1368[[#All],[Rep]],0),MATCH(Table1368[[#Headers],[Total]],Table1368[[#Headers],[OrderDate]:[Total]],0))</f>
        <v>449.1</v>
      </c>
    </row>
    <row r="11" spans="1:13" ht="26.25" x14ac:dyDescent="0.4">
      <c r="A11" s="3">
        <v>43990</v>
      </c>
      <c r="B11" s="2" t="s">
        <v>7</v>
      </c>
      <c r="C11" s="2" t="s">
        <v>14</v>
      </c>
      <c r="D11" s="2">
        <v>60</v>
      </c>
      <c r="E11" s="2">
        <v>8.99</v>
      </c>
      <c r="F11" s="4">
        <v>539.4</v>
      </c>
      <c r="G11" s="4" t="s">
        <v>8</v>
      </c>
    </row>
    <row r="12" spans="1:13" ht="26.25" x14ac:dyDescent="0.4">
      <c r="A12" s="3">
        <v>44007</v>
      </c>
      <c r="B12" s="2" t="s">
        <v>12</v>
      </c>
      <c r="C12" s="2" t="s">
        <v>9</v>
      </c>
      <c r="D12" s="2">
        <v>90</v>
      </c>
      <c r="E12" s="2">
        <v>4.99</v>
      </c>
      <c r="F12" s="4">
        <v>449.1</v>
      </c>
      <c r="G12" s="4" t="s">
        <v>17</v>
      </c>
    </row>
    <row r="13" spans="1:13" ht="26.25" x14ac:dyDescent="0.4">
      <c r="A13" s="3">
        <v>44024</v>
      </c>
      <c r="B13" s="2" t="s">
        <v>7</v>
      </c>
      <c r="C13" s="2" t="s">
        <v>14</v>
      </c>
      <c r="D13" s="2">
        <v>29</v>
      </c>
      <c r="E13" s="2">
        <v>1.99</v>
      </c>
      <c r="F13" s="4">
        <v>57.71</v>
      </c>
      <c r="G13" s="4" t="s">
        <v>27</v>
      </c>
    </row>
    <row r="14" spans="1:13" ht="26.25" x14ac:dyDescent="0.4">
      <c r="A14" s="3">
        <v>44041</v>
      </c>
      <c r="B14" s="2" t="s">
        <v>7</v>
      </c>
      <c r="C14" s="2" t="s">
        <v>14</v>
      </c>
      <c r="D14" s="2">
        <v>81</v>
      </c>
      <c r="E14" s="2">
        <v>19.989999999999998</v>
      </c>
      <c r="F14" s="4">
        <v>1619.19</v>
      </c>
      <c r="G14" s="4" t="s">
        <v>28</v>
      </c>
    </row>
    <row r="16" spans="1:13" ht="15.75" x14ac:dyDescent="0.25">
      <c r="F16" s="8" t="s">
        <v>30</v>
      </c>
      <c r="G16" s="8" t="s">
        <v>29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K14"/>
  <sheetViews>
    <sheetView workbookViewId="0">
      <selection activeCell="B17" sqref="B17"/>
    </sheetView>
  </sheetViews>
  <sheetFormatPr defaultRowHeight="15" x14ac:dyDescent="0.25"/>
  <cols>
    <col min="2" max="2" width="15" bestFit="1" customWidth="1"/>
    <col min="3" max="3" width="15" customWidth="1"/>
    <col min="4" max="4" width="10.42578125" customWidth="1"/>
    <col min="6" max="6" width="10.5703125" bestFit="1" customWidth="1"/>
    <col min="7" max="7" width="10.28515625" bestFit="1" customWidth="1"/>
  </cols>
  <sheetData>
    <row r="2" spans="2:11" x14ac:dyDescent="0.25">
      <c r="B2" s="26" t="s">
        <v>77</v>
      </c>
      <c r="C2" s="26" t="s">
        <v>78</v>
      </c>
      <c r="D2" s="28" t="s">
        <v>67</v>
      </c>
      <c r="F2" s="26" t="s">
        <v>77</v>
      </c>
      <c r="G2" s="26" t="s">
        <v>78</v>
      </c>
      <c r="H2" s="31" t="s">
        <v>67</v>
      </c>
    </row>
    <row r="3" spans="2:11" x14ac:dyDescent="0.25">
      <c r="B3" s="30" t="s">
        <v>8</v>
      </c>
      <c r="C3" s="30" t="s">
        <v>79</v>
      </c>
      <c r="D3" s="27">
        <v>1869</v>
      </c>
      <c r="F3" t="s">
        <v>16</v>
      </c>
      <c r="G3" t="s">
        <v>80</v>
      </c>
      <c r="H3" s="6" cm="1">
        <f t="array" ref="H3">INDEX($D$3:$D$14,MATCH(F3&amp;G3,B3:B14&amp;C3:C14,0))</f>
        <v>919</v>
      </c>
      <c r="I3" t="e">
        <f>INDEX($D$2:$D$14,MATCH(F3&amp;G3,B2:B14&amp;C2:C14,0))</f>
        <v>#VALUE!</v>
      </c>
    </row>
    <row r="4" spans="2:11" x14ac:dyDescent="0.25">
      <c r="B4" s="30" t="s">
        <v>13</v>
      </c>
      <c r="C4" s="30" t="s">
        <v>81</v>
      </c>
      <c r="D4" s="27">
        <v>3351</v>
      </c>
    </row>
    <row r="5" spans="2:11" x14ac:dyDescent="0.25">
      <c r="B5" s="30" t="s">
        <v>16</v>
      </c>
      <c r="C5" s="30" t="s">
        <v>82</v>
      </c>
      <c r="D5" s="27">
        <v>2570</v>
      </c>
    </row>
    <row r="6" spans="2:11" x14ac:dyDescent="0.25">
      <c r="B6" s="30" t="s">
        <v>19</v>
      </c>
      <c r="C6" s="30" t="s">
        <v>83</v>
      </c>
      <c r="D6" s="27">
        <v>1476</v>
      </c>
    </row>
    <row r="7" spans="2:11" x14ac:dyDescent="0.25">
      <c r="B7" s="30" t="s">
        <v>23</v>
      </c>
      <c r="C7" s="30" t="s">
        <v>84</v>
      </c>
      <c r="D7" s="27">
        <v>1908</v>
      </c>
    </row>
    <row r="8" spans="2:11" x14ac:dyDescent="0.25">
      <c r="B8" s="30" t="s">
        <v>76</v>
      </c>
      <c r="C8" s="30" t="s">
        <v>85</v>
      </c>
      <c r="D8" s="27">
        <v>1424</v>
      </c>
    </row>
    <row r="9" spans="2:11" x14ac:dyDescent="0.25">
      <c r="B9" s="30" t="s">
        <v>25</v>
      </c>
      <c r="C9" s="30" t="s">
        <v>86</v>
      </c>
      <c r="D9" s="27">
        <v>2864</v>
      </c>
      <c r="G9" s="83" t="s">
        <v>162</v>
      </c>
      <c r="H9" s="83"/>
      <c r="I9" s="83"/>
      <c r="J9" s="83"/>
      <c r="K9" s="83"/>
    </row>
    <row r="10" spans="2:11" x14ac:dyDescent="0.25">
      <c r="B10" s="30" t="s">
        <v>16</v>
      </c>
      <c r="C10" s="30" t="s">
        <v>80</v>
      </c>
      <c r="D10" s="27">
        <v>919</v>
      </c>
    </row>
    <row r="11" spans="2:11" x14ac:dyDescent="0.25">
      <c r="B11" s="30" t="s">
        <v>26</v>
      </c>
      <c r="C11" s="30" t="s">
        <v>87</v>
      </c>
      <c r="D11" s="27">
        <v>1053</v>
      </c>
      <c r="G11" t="e">
        <f>INDEX(D2:D14,MATCH(F3&amp;G3,B2:B14&amp;C2:C14,0))</f>
        <v>#VALUE!</v>
      </c>
    </row>
    <row r="12" spans="2:11" x14ac:dyDescent="0.25">
      <c r="B12" s="30" t="s">
        <v>54</v>
      </c>
      <c r="C12" s="30" t="s">
        <v>88</v>
      </c>
      <c r="D12" s="27">
        <v>787</v>
      </c>
    </row>
    <row r="13" spans="2:11" x14ac:dyDescent="0.25">
      <c r="B13" s="30" t="s">
        <v>17</v>
      </c>
      <c r="C13" s="30" t="s">
        <v>89</v>
      </c>
      <c r="D13" s="27">
        <v>1218</v>
      </c>
    </row>
    <row r="14" spans="2:11" x14ac:dyDescent="0.25">
      <c r="B14" s="30" t="s">
        <v>27</v>
      </c>
      <c r="C14" s="30" t="s">
        <v>90</v>
      </c>
      <c r="D14" s="27">
        <v>1369</v>
      </c>
    </row>
  </sheetData>
  <mergeCells count="1">
    <mergeCell ref="G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14"/>
  <sheetViews>
    <sheetView workbookViewId="0">
      <selection activeCell="J10" sqref="J10"/>
    </sheetView>
  </sheetViews>
  <sheetFormatPr defaultRowHeight="15" x14ac:dyDescent="0.25"/>
  <cols>
    <col min="6" max="6" width="12" customWidth="1"/>
  </cols>
  <sheetData>
    <row r="2" spans="2:7" x14ac:dyDescent="0.25">
      <c r="B2" s="26" t="s">
        <v>77</v>
      </c>
      <c r="C2" s="28" t="s">
        <v>67</v>
      </c>
    </row>
    <row r="3" spans="2:7" ht="15.75" x14ac:dyDescent="0.25">
      <c r="B3" s="30" t="s">
        <v>8</v>
      </c>
      <c r="C3" s="27">
        <v>1869</v>
      </c>
      <c r="F3" s="25" t="s">
        <v>91</v>
      </c>
      <c r="G3">
        <v>2000</v>
      </c>
    </row>
    <row r="4" spans="2:7" ht="15.75" x14ac:dyDescent="0.25">
      <c r="B4" s="30" t="s">
        <v>13</v>
      </c>
      <c r="C4" s="27">
        <v>3351</v>
      </c>
      <c r="F4" s="25" t="s">
        <v>24</v>
      </c>
      <c r="G4" s="32" cm="1">
        <f t="array" ref="G4">INDEX(C3:C14,MATCH(MIN(ABS(C3:C14-G3)),ABS(C3:C14-G3),0))</f>
        <v>1908</v>
      </c>
    </row>
    <row r="5" spans="2:7" ht="15.75" x14ac:dyDescent="0.25">
      <c r="B5" s="30" t="s">
        <v>16</v>
      </c>
      <c r="C5" s="27">
        <v>2570</v>
      </c>
      <c r="F5" s="25" t="s">
        <v>75</v>
      </c>
      <c r="G5" s="32" t="str" cm="1">
        <f t="array" ref="G5">INDEX(B3:B14,MATCH(MIN(ABS(C3:C14-G4)),ABS(C3:C14-G4),0))</f>
        <v>Sorvino</v>
      </c>
    </row>
    <row r="6" spans="2:7" x14ac:dyDescent="0.25">
      <c r="B6" s="30" t="s">
        <v>19</v>
      </c>
      <c r="C6" s="27">
        <v>1476</v>
      </c>
    </row>
    <row r="7" spans="2:7" x14ac:dyDescent="0.25">
      <c r="B7" s="30" t="s">
        <v>23</v>
      </c>
      <c r="C7" s="27">
        <v>1908</v>
      </c>
    </row>
    <row r="8" spans="2:7" x14ac:dyDescent="0.25">
      <c r="B8" s="30" t="s">
        <v>76</v>
      </c>
      <c r="C8" s="27">
        <v>1424</v>
      </c>
    </row>
    <row r="9" spans="2:7" x14ac:dyDescent="0.25">
      <c r="B9" s="30" t="s">
        <v>25</v>
      </c>
      <c r="C9" s="27">
        <v>2864</v>
      </c>
    </row>
    <row r="10" spans="2:7" x14ac:dyDescent="0.25">
      <c r="B10" s="30" t="s">
        <v>16</v>
      </c>
      <c r="C10" s="27">
        <v>919</v>
      </c>
    </row>
    <row r="11" spans="2:7" x14ac:dyDescent="0.25">
      <c r="B11" s="30" t="s">
        <v>26</v>
      </c>
      <c r="C11" s="27">
        <v>1053</v>
      </c>
    </row>
    <row r="12" spans="2:7" x14ac:dyDescent="0.25">
      <c r="B12" s="30" t="s">
        <v>54</v>
      </c>
      <c r="C12" s="27">
        <v>787</v>
      </c>
    </row>
    <row r="13" spans="2:7" x14ac:dyDescent="0.25">
      <c r="B13" s="30" t="s">
        <v>17</v>
      </c>
      <c r="C13" s="27">
        <v>1218</v>
      </c>
    </row>
    <row r="14" spans="2:7" x14ac:dyDescent="0.25">
      <c r="B14" s="30" t="s">
        <v>27</v>
      </c>
      <c r="C14" s="2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19"/>
  <sheetViews>
    <sheetView topLeftCell="B1" workbookViewId="0">
      <selection activeCell="K17" sqref="K17"/>
    </sheetView>
  </sheetViews>
  <sheetFormatPr defaultRowHeight="15" x14ac:dyDescent="0.25"/>
  <cols>
    <col min="5" max="5" width="10.28515625" bestFit="1" customWidth="1"/>
    <col min="6" max="6" width="11.85546875" bestFit="1" customWidth="1"/>
    <col min="8" max="8" width="17.85546875" bestFit="1" customWidth="1"/>
    <col min="10" max="10" width="36.42578125" bestFit="1" customWidth="1"/>
  </cols>
  <sheetData>
    <row r="8" spans="5:12" x14ac:dyDescent="0.25">
      <c r="E8" t="s">
        <v>92</v>
      </c>
      <c r="F8" t="s">
        <v>93</v>
      </c>
      <c r="G8" t="s">
        <v>94</v>
      </c>
      <c r="J8" t="str">
        <f>"The final sales price is "&amp;TEXT(E9*F9*G9,"$###,###.00")</f>
        <v>The final sales price is $6,000.00</v>
      </c>
    </row>
    <row r="9" spans="5:12" x14ac:dyDescent="0.25">
      <c r="E9">
        <v>120</v>
      </c>
      <c r="F9" s="33">
        <v>0.25</v>
      </c>
      <c r="G9">
        <v>200</v>
      </c>
      <c r="L9" t="s">
        <v>163</v>
      </c>
    </row>
    <row r="11" spans="5:12" x14ac:dyDescent="0.25">
      <c r="E11" t="s">
        <v>95</v>
      </c>
      <c r="F11" t="s">
        <v>61</v>
      </c>
      <c r="G11" t="s">
        <v>96</v>
      </c>
      <c r="H11" t="s">
        <v>97</v>
      </c>
      <c r="J11" t="e">
        <f>The final date is &amp;TEXT(DATE(G12,F12,E12),"DD-MM-YY")</f>
        <v>#NAME?</v>
      </c>
      <c r="L11" t="s">
        <v>164</v>
      </c>
    </row>
    <row r="12" spans="5:12" x14ac:dyDescent="0.25">
      <c r="E12">
        <v>20</v>
      </c>
      <c r="F12">
        <v>9</v>
      </c>
      <c r="G12">
        <v>2021</v>
      </c>
      <c r="H12" s="34">
        <f>DATE(G12,F12,E12)</f>
        <v>44459</v>
      </c>
      <c r="J12" t="str">
        <f>"In other words, it is "&amp;TEXT(H12,"d mmmm,yyyy")</f>
        <v>In other words, it is 20 September,2021</v>
      </c>
    </row>
    <row r="15" spans="5:12" x14ac:dyDescent="0.25">
      <c r="E15" s="6" t="s">
        <v>77</v>
      </c>
      <c r="F15" s="6" t="s">
        <v>78</v>
      </c>
      <c r="G15" s="6"/>
      <c r="H15" s="6" t="s">
        <v>98</v>
      </c>
      <c r="J15" t="str">
        <f>"The final sales price is " &amp; TEXT(E9*F9*G9,"$###,###.00")</f>
        <v>The final sales price is $6,000.00</v>
      </c>
    </row>
    <row r="16" spans="5:12" x14ac:dyDescent="0.25">
      <c r="E16" t="s">
        <v>99</v>
      </c>
      <c r="F16" t="s">
        <v>100</v>
      </c>
      <c r="H16" t="str">
        <f>E16&amp;" "&amp;F16</f>
        <v>Sumant Malhotra</v>
      </c>
      <c r="J16" t="str">
        <f>"The final date is " &amp; TEXT(DATE(DE12,F12,L15),"DD-MM-YY")</f>
        <v>The final date is 31-08-00</v>
      </c>
    </row>
    <row r="17" spans="5:8" x14ac:dyDescent="0.25">
      <c r="E17" t="s">
        <v>101</v>
      </c>
      <c r="F17" t="s">
        <v>102</v>
      </c>
      <c r="H17" t="str">
        <f t="shared" ref="H17:H19" si="0">E17&amp;" "&amp;F17</f>
        <v>Rahul Hari</v>
      </c>
    </row>
    <row r="18" spans="5:8" x14ac:dyDescent="0.25">
      <c r="E18" t="s">
        <v>103</v>
      </c>
      <c r="F18" t="s">
        <v>104</v>
      </c>
      <c r="H18" t="str">
        <f t="shared" si="0"/>
        <v>Noor Shergill</v>
      </c>
    </row>
    <row r="19" spans="5:8" x14ac:dyDescent="0.25">
      <c r="E19" t="s">
        <v>105</v>
      </c>
      <c r="F19" t="s">
        <v>106</v>
      </c>
      <c r="H19" t="str">
        <f t="shared" si="0"/>
        <v>Sohail Mohammad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3"/>
  <sheetViews>
    <sheetView workbookViewId="0">
      <selection activeCell="J9" sqref="J9"/>
    </sheetView>
  </sheetViews>
  <sheetFormatPr defaultRowHeight="15" x14ac:dyDescent="0.25"/>
  <cols>
    <col min="3" max="3" width="10.28515625" bestFit="1" customWidth="1"/>
    <col min="4" max="4" width="10.5703125" bestFit="1" customWidth="1"/>
    <col min="5" max="5" width="11.85546875" bestFit="1" customWidth="1"/>
    <col min="7" max="7" width="17.85546875" bestFit="1" customWidth="1"/>
    <col min="9" max="9" width="20.28515625" customWidth="1"/>
    <col min="10" max="10" width="20.42578125" customWidth="1"/>
  </cols>
  <sheetData>
    <row r="7" spans="3:10" x14ac:dyDescent="0.25">
      <c r="C7" s="6" t="s">
        <v>107</v>
      </c>
      <c r="D7" s="6" t="s">
        <v>77</v>
      </c>
      <c r="E7" s="6" t="s">
        <v>78</v>
      </c>
      <c r="G7" s="6" t="s">
        <v>98</v>
      </c>
      <c r="I7" s="79" t="s">
        <v>165</v>
      </c>
      <c r="J7" s="80" t="s">
        <v>166</v>
      </c>
    </row>
    <row r="8" spans="3:10" x14ac:dyDescent="0.25">
      <c r="C8" t="s">
        <v>108</v>
      </c>
      <c r="D8" t="s">
        <v>99</v>
      </c>
      <c r="E8" t="s">
        <v>100</v>
      </c>
      <c r="G8" t="e">
        <f ca="1">_xlfn.CONCAT(C8," ",D8," ",E8)</f>
        <v>#NAME?</v>
      </c>
      <c r="I8" t="str">
        <f>CONCATENATE(C8," ",D8," ",E8)</f>
        <v>Mr. Sumant Malhotra</v>
      </c>
      <c r="J8" t="str">
        <f>C8&amp;" "&amp;D8&amp;" "&amp;E8</f>
        <v>Mr. Sumant Malhotra</v>
      </c>
    </row>
    <row r="9" spans="3:10" x14ac:dyDescent="0.25">
      <c r="C9" t="s">
        <v>108</v>
      </c>
      <c r="D9" t="s">
        <v>101</v>
      </c>
      <c r="E9" t="s">
        <v>102</v>
      </c>
      <c r="G9" t="str">
        <f t="shared" ref="G9:G11" si="0">_xlfn.CONCAT(C9," ",D9," ",E9)</f>
        <v>Mr. Rahul Hari</v>
      </c>
      <c r="I9" t="str">
        <f t="shared" ref="I9:I13" si="1">CONCATENATE(C9," ",D9," ",E9)</f>
        <v>Mr. Rahul Hari</v>
      </c>
      <c r="J9" t="str">
        <f t="shared" ref="J9:J11" si="2">C9&amp;" "&amp;D9&amp;" "&amp;E9</f>
        <v>Mr. Rahul Hari</v>
      </c>
    </row>
    <row r="10" spans="3:10" x14ac:dyDescent="0.25">
      <c r="C10" t="s">
        <v>109</v>
      </c>
      <c r="D10" t="s">
        <v>103</v>
      </c>
      <c r="E10" t="s">
        <v>104</v>
      </c>
      <c r="G10" t="str">
        <f t="shared" si="0"/>
        <v>Ms. Noor Shergill</v>
      </c>
      <c r="I10" t="str">
        <f t="shared" si="1"/>
        <v>Ms. Noor Shergill</v>
      </c>
      <c r="J10" t="str">
        <f t="shared" si="2"/>
        <v>Ms. Noor Shergill</v>
      </c>
    </row>
    <row r="11" spans="3:10" x14ac:dyDescent="0.25">
      <c r="C11" t="s">
        <v>108</v>
      </c>
      <c r="D11" t="s">
        <v>105</v>
      </c>
      <c r="E11" t="s">
        <v>106</v>
      </c>
      <c r="G11" t="str">
        <f t="shared" si="0"/>
        <v>Mr. Sohail Mohammad</v>
      </c>
      <c r="I11" t="str">
        <f t="shared" si="1"/>
        <v>Mr. Sohail Mohammad</v>
      </c>
      <c r="J11" t="str">
        <f t="shared" si="2"/>
        <v>Mr. Sohail Mohammad</v>
      </c>
    </row>
    <row r="12" spans="3:10" x14ac:dyDescent="0.25">
      <c r="I12" t="str">
        <f t="shared" si="1"/>
        <v xml:space="preserve">  </v>
      </c>
    </row>
    <row r="13" spans="3:10" x14ac:dyDescent="0.25">
      <c r="I13" t="str">
        <f t="shared" si="1"/>
        <v xml:space="preserve">  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G5" sqref="G5"/>
    </sheetView>
  </sheetViews>
  <sheetFormatPr defaultRowHeight="15" x14ac:dyDescent="0.25"/>
  <cols>
    <col min="3" max="3" width="21.5703125" bestFit="1" customWidth="1"/>
  </cols>
  <sheetData>
    <row r="4" spans="3:5" x14ac:dyDescent="0.25">
      <c r="C4" s="6" t="s">
        <v>98</v>
      </c>
      <c r="D4" s="6"/>
      <c r="E4" s="6" t="s">
        <v>107</v>
      </c>
    </row>
    <row r="5" spans="3:5" x14ac:dyDescent="0.25">
      <c r="C5" t="s">
        <v>110</v>
      </c>
      <c r="E5" t="str">
        <f>LEFT(C5,3)</f>
        <v>Mr.</v>
      </c>
    </row>
    <row r="6" spans="3:5" x14ac:dyDescent="0.25">
      <c r="C6" t="s">
        <v>111</v>
      </c>
      <c r="E6" t="str">
        <f t="shared" ref="E6:E8" si="0">LEFT(C6,3)</f>
        <v>Mr.</v>
      </c>
    </row>
    <row r="7" spans="3:5" x14ac:dyDescent="0.25">
      <c r="C7" t="s">
        <v>112</v>
      </c>
      <c r="E7" t="str">
        <f t="shared" si="0"/>
        <v>Ms.</v>
      </c>
    </row>
    <row r="8" spans="3:5" x14ac:dyDescent="0.25">
      <c r="C8" t="s">
        <v>113</v>
      </c>
      <c r="E8" t="str">
        <f t="shared" si="0"/>
        <v>Mr.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G3" sqref="G3"/>
    </sheetView>
  </sheetViews>
  <sheetFormatPr defaultRowHeight="15" x14ac:dyDescent="0.25"/>
  <cols>
    <col min="3" max="3" width="21.5703125" bestFit="1" customWidth="1"/>
    <col min="5" max="5" width="11.85546875" bestFit="1" customWidth="1"/>
    <col min="7" max="7" width="12.140625" customWidth="1"/>
  </cols>
  <sheetData>
    <row r="3" spans="3:7" x14ac:dyDescent="0.25">
      <c r="C3" s="6" t="s">
        <v>98</v>
      </c>
      <c r="E3" s="6" t="s">
        <v>78</v>
      </c>
      <c r="G3" s="81" t="s">
        <v>140</v>
      </c>
    </row>
    <row r="4" spans="3:7" x14ac:dyDescent="0.25">
      <c r="C4" t="s">
        <v>110</v>
      </c>
      <c r="E4" t="str">
        <f>RIGHT(C4,8)</f>
        <v>Malhotra</v>
      </c>
      <c r="G4" t="str">
        <f>RIGHT(C4,8)</f>
        <v>Malhotra</v>
      </c>
    </row>
    <row r="5" spans="3:7" x14ac:dyDescent="0.25">
      <c r="C5" t="s">
        <v>112</v>
      </c>
      <c r="E5" t="str">
        <f>RIGHT(C5,8)</f>
        <v>Shergill</v>
      </c>
      <c r="G5" t="str">
        <f t="shared" ref="G5:G9" si="0">RIGHT(C5,8)</f>
        <v>Shergill</v>
      </c>
    </row>
    <row r="6" spans="3:7" x14ac:dyDescent="0.25">
      <c r="C6" t="s">
        <v>113</v>
      </c>
      <c r="E6" t="str">
        <f t="shared" ref="E6" si="1">RIGHT(C6,8)</f>
        <v>Mohammad</v>
      </c>
      <c r="G6" t="str">
        <f t="shared" si="0"/>
        <v>Mohammad</v>
      </c>
    </row>
    <row r="7" spans="3:7" x14ac:dyDescent="0.25">
      <c r="G7" t="str">
        <f t="shared" si="0"/>
        <v/>
      </c>
    </row>
    <row r="9" spans="3:7" x14ac:dyDescent="0.25">
      <c r="G9" t="str">
        <f t="shared" si="0"/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workbookViewId="0">
      <selection activeCell="F8" sqref="F8"/>
    </sheetView>
  </sheetViews>
  <sheetFormatPr defaultRowHeight="15" x14ac:dyDescent="0.25"/>
  <cols>
    <col min="3" max="3" width="21.5703125" bestFit="1" customWidth="1"/>
    <col min="5" max="5" width="10.28515625" bestFit="1" customWidth="1"/>
    <col min="7" max="7" width="15.42578125" customWidth="1"/>
  </cols>
  <sheetData>
    <row r="3" spans="3:7" x14ac:dyDescent="0.25">
      <c r="C3" s="6" t="s">
        <v>98</v>
      </c>
      <c r="E3" t="s">
        <v>77</v>
      </c>
      <c r="G3" s="81" t="s">
        <v>167</v>
      </c>
    </row>
    <row r="4" spans="3:7" x14ac:dyDescent="0.25">
      <c r="C4" t="s">
        <v>110</v>
      </c>
      <c r="E4" t="str">
        <f>MID(C4,5,6)</f>
        <v>Sumant</v>
      </c>
      <c r="G4" t="str">
        <f>MID(C4,5,6)</f>
        <v>Sumant</v>
      </c>
    </row>
    <row r="5" spans="3:7" x14ac:dyDescent="0.25">
      <c r="C5" t="s">
        <v>111</v>
      </c>
      <c r="E5" t="str">
        <f t="shared" ref="E5:E6" si="0">MID(C5,5,6)</f>
        <v xml:space="preserve">Rahul </v>
      </c>
      <c r="G5" t="str">
        <f t="shared" ref="G5:G7" si="1">MID(C5,5,6)</f>
        <v xml:space="preserve">Rahul </v>
      </c>
    </row>
    <row r="6" spans="3:7" x14ac:dyDescent="0.25">
      <c r="C6" t="s">
        <v>113</v>
      </c>
      <c r="E6" t="str">
        <f t="shared" si="0"/>
        <v>Sohail</v>
      </c>
      <c r="G6" t="str">
        <f t="shared" si="1"/>
        <v>Sohail</v>
      </c>
    </row>
    <row r="7" spans="3:7" x14ac:dyDescent="0.25">
      <c r="G7" t="str">
        <f t="shared" si="1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6"/>
  <sheetViews>
    <sheetView workbookViewId="0">
      <selection activeCell="I7" sqref="I7"/>
    </sheetView>
  </sheetViews>
  <sheetFormatPr defaultRowHeight="15" x14ac:dyDescent="0.25"/>
  <cols>
    <col min="3" max="3" width="26.140625" bestFit="1" customWidth="1"/>
    <col min="5" max="5" width="18.7109375" bestFit="1" customWidth="1"/>
  </cols>
  <sheetData>
    <row r="3" spans="3:11" x14ac:dyDescent="0.25">
      <c r="C3" s="6" t="s">
        <v>98</v>
      </c>
      <c r="E3" t="s">
        <v>114</v>
      </c>
      <c r="I3" s="52" t="str">
        <f>TRIM(C4)</f>
        <v>Mr. Sumant Malhotra</v>
      </c>
      <c r="J3" s="53"/>
      <c r="K3" s="54"/>
    </row>
    <row r="4" spans="3:11" x14ac:dyDescent="0.25">
      <c r="C4" t="s">
        <v>115</v>
      </c>
      <c r="E4" t="str">
        <f>TRIM(C4)</f>
        <v>Mr. Sumant Malhotra</v>
      </c>
      <c r="I4" s="62" t="str">
        <f t="shared" ref="I4:I6" si="0">TRIM(C5)</f>
        <v>Mr. Rahul Hari</v>
      </c>
      <c r="J4" s="63"/>
      <c r="K4" s="64"/>
    </row>
    <row r="5" spans="3:11" x14ac:dyDescent="0.25">
      <c r="C5" t="s">
        <v>116</v>
      </c>
      <c r="E5" t="str">
        <f t="shared" ref="E5:E6" si="1">TRIM(C5)</f>
        <v>Mr. Rahul Hari</v>
      </c>
      <c r="I5" s="55" t="str">
        <f t="shared" si="0"/>
        <v>Mr. Sohail Mohammad</v>
      </c>
      <c r="J5" s="56"/>
      <c r="K5" s="57"/>
    </row>
    <row r="6" spans="3:11" x14ac:dyDescent="0.25">
      <c r="C6" t="s">
        <v>117</v>
      </c>
      <c r="E6" t="str">
        <f t="shared" si="1"/>
        <v>Mr. Sohail Mohammad</v>
      </c>
      <c r="I6" t="str">
        <f t="shared" si="0"/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workbookViewId="0">
      <selection activeCell="E7" sqref="E7"/>
    </sheetView>
  </sheetViews>
  <sheetFormatPr defaultRowHeight="15" x14ac:dyDescent="0.25"/>
  <cols>
    <col min="3" max="3" width="27.7109375" bestFit="1" customWidth="1"/>
    <col min="5" max="5" width="20.28515625" bestFit="1" customWidth="1"/>
    <col min="6" max="6" width="17.42578125" customWidth="1"/>
  </cols>
  <sheetData>
    <row r="2" spans="3:6" x14ac:dyDescent="0.25">
      <c r="C2" s="6" t="s">
        <v>98</v>
      </c>
      <c r="D2" s="6"/>
      <c r="E2" s="6" t="s">
        <v>118</v>
      </c>
    </row>
    <row r="3" spans="3:6" x14ac:dyDescent="0.25">
      <c r="C3" t="s">
        <v>119</v>
      </c>
      <c r="E3" t="str">
        <f>REPLACE(C3,20,7,"")</f>
        <v>Mr. Sumant Malhotra</v>
      </c>
    </row>
    <row r="4" spans="3:6" x14ac:dyDescent="0.25">
      <c r="C4" t="s">
        <v>120</v>
      </c>
      <c r="E4" t="str">
        <f>REPLACE(REPLACE(C4,1,3,"Mrs."),14,5,"Malhotra")</f>
        <v>Mrs. Supriya Malhotra</v>
      </c>
    </row>
    <row r="6" spans="3:6" x14ac:dyDescent="0.25">
      <c r="E6" t="str">
        <f>REPLACE(C3,20,7,"")</f>
        <v>Mr. Sumant Malhotra</v>
      </c>
      <c r="F6" t="str">
        <f>REPLACE(C4,1,2,"Mrs")</f>
        <v>Mrs. Supriya Rathi</v>
      </c>
    </row>
    <row r="7" spans="3:6" x14ac:dyDescent="0.25">
      <c r="E7" t="str">
        <f>REPLACE(C4,13,5,"Chandra")</f>
        <v>Ms. Supriya Chandra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selection activeCell="F7" sqref="F7"/>
    </sheetView>
  </sheetViews>
  <sheetFormatPr defaultRowHeight="15" x14ac:dyDescent="0.25"/>
  <cols>
    <col min="3" max="3" width="20.28515625" bestFit="1" customWidth="1"/>
    <col min="5" max="5" width="14.85546875" bestFit="1" customWidth="1"/>
  </cols>
  <sheetData>
    <row r="3" spans="3:5" x14ac:dyDescent="0.25">
      <c r="C3" s="6" t="s">
        <v>98</v>
      </c>
      <c r="E3" s="6" t="s">
        <v>121</v>
      </c>
    </row>
    <row r="4" spans="3:5" x14ac:dyDescent="0.25">
      <c r="C4" t="s">
        <v>110</v>
      </c>
      <c r="E4">
        <f>LEN(C4)</f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E13" sqref="E13"/>
    </sheetView>
  </sheetViews>
  <sheetFormatPr defaultRowHeight="15" x14ac:dyDescent="0.25"/>
  <cols>
    <col min="3" max="3" width="20.28515625" bestFit="1" customWidth="1"/>
    <col min="5" max="5" width="41.5703125" bestFit="1" customWidth="1"/>
  </cols>
  <sheetData>
    <row r="3" spans="3:5" x14ac:dyDescent="0.25">
      <c r="C3" s="6" t="s">
        <v>98</v>
      </c>
      <c r="E3" s="6" t="s">
        <v>122</v>
      </c>
    </row>
    <row r="4" spans="3:5" x14ac:dyDescent="0.25">
      <c r="C4" t="s">
        <v>110</v>
      </c>
      <c r="E4">
        <f>FIND("Sumant",C4)</f>
        <v>5</v>
      </c>
    </row>
    <row r="5" spans="3:5" x14ac:dyDescent="0.25">
      <c r="C5" t="s">
        <v>110</v>
      </c>
      <c r="E5" t="e">
        <f>FIND("suMant",C5)</f>
        <v>#VALUE!</v>
      </c>
    </row>
    <row r="7" spans="3:5" x14ac:dyDescent="0.25">
      <c r="C7" t="s">
        <v>119</v>
      </c>
      <c r="E7" s="84" t="s">
        <v>168</v>
      </c>
    </row>
    <row r="8" spans="3:5" x14ac:dyDescent="0.25">
      <c r="E8" s="79">
        <f>FIND("Sumant",C4)</f>
        <v>5</v>
      </c>
    </row>
    <row r="9" spans="3:5" x14ac:dyDescent="0.25">
      <c r="E9" s="79">
        <f>FIND("Sumant",C7,10)</f>
        <v>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workbookViewId="0">
      <selection activeCell="J13" sqref="J13"/>
    </sheetView>
  </sheetViews>
  <sheetFormatPr defaultRowHeight="15" x14ac:dyDescent="0.25"/>
  <cols>
    <col min="3" max="3" width="12.5703125" bestFit="1" customWidth="1"/>
    <col min="4" max="4" width="9.7109375" bestFit="1" customWidth="1"/>
    <col min="5" max="5" width="18.42578125" bestFit="1" customWidth="1"/>
    <col min="6" max="6" width="15.85546875" customWidth="1"/>
  </cols>
  <sheetData>
    <row r="3" spans="3:5" x14ac:dyDescent="0.25">
      <c r="C3" s="50" t="s">
        <v>123</v>
      </c>
      <c r="D3" s="50" t="s">
        <v>124</v>
      </c>
      <c r="E3" s="50" t="s">
        <v>125</v>
      </c>
    </row>
    <row r="4" spans="3:5" x14ac:dyDescent="0.25">
      <c r="C4">
        <v>23453.548269999999</v>
      </c>
      <c r="D4" s="17">
        <v>5</v>
      </c>
      <c r="E4">
        <f>ROUND(C4,D4)</f>
        <v>23453.548269999999</v>
      </c>
    </row>
    <row r="5" spans="3:5" x14ac:dyDescent="0.25">
      <c r="C5">
        <v>23453.548269999999</v>
      </c>
      <c r="D5" s="17">
        <v>4</v>
      </c>
      <c r="E5">
        <f t="shared" ref="E5:E13" si="0">ROUND(C5,D5)</f>
        <v>23453.548299999999</v>
      </c>
    </row>
    <row r="6" spans="3:5" x14ac:dyDescent="0.25">
      <c r="C6">
        <v>23453.548269999999</v>
      </c>
      <c r="D6" s="17">
        <v>3</v>
      </c>
      <c r="E6">
        <f t="shared" si="0"/>
        <v>23453.547999999999</v>
      </c>
    </row>
    <row r="7" spans="3:5" x14ac:dyDescent="0.25">
      <c r="C7">
        <v>23453.548269999999</v>
      </c>
      <c r="D7" s="17">
        <v>2</v>
      </c>
      <c r="E7">
        <f>ROUND(C7,D7)</f>
        <v>23453.55</v>
      </c>
    </row>
    <row r="8" spans="3:5" x14ac:dyDescent="0.25">
      <c r="C8">
        <v>23453.548269999999</v>
      </c>
      <c r="D8" s="17">
        <v>1</v>
      </c>
      <c r="E8">
        <f>ROUND(C8,D8)</f>
        <v>23453.5</v>
      </c>
    </row>
    <row r="9" spans="3:5" x14ac:dyDescent="0.25">
      <c r="C9">
        <v>23453.548269999999</v>
      </c>
      <c r="D9" s="17">
        <v>0</v>
      </c>
      <c r="E9">
        <f t="shared" si="0"/>
        <v>23454</v>
      </c>
    </row>
    <row r="10" spans="3:5" x14ac:dyDescent="0.25">
      <c r="C10">
        <v>23453.548269999999</v>
      </c>
      <c r="D10" s="17">
        <v>-1</v>
      </c>
      <c r="E10">
        <f t="shared" si="0"/>
        <v>23450</v>
      </c>
    </row>
    <row r="11" spans="3:5" x14ac:dyDescent="0.25">
      <c r="C11">
        <v>23453.548269999999</v>
      </c>
      <c r="D11" s="17">
        <v>-2</v>
      </c>
      <c r="E11">
        <f t="shared" si="0"/>
        <v>23500</v>
      </c>
    </row>
    <row r="12" spans="3:5" x14ac:dyDescent="0.25">
      <c r="C12">
        <v>23453.548269999999</v>
      </c>
      <c r="D12" s="17">
        <v>-3</v>
      </c>
      <c r="E12">
        <f t="shared" si="0"/>
        <v>23000</v>
      </c>
    </row>
    <row r="13" spans="3:5" x14ac:dyDescent="0.25">
      <c r="C13">
        <v>23453.548269999999</v>
      </c>
      <c r="D13" s="17">
        <v>-4</v>
      </c>
      <c r="E13">
        <f t="shared" si="0"/>
        <v>20000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3"/>
  <sheetViews>
    <sheetView workbookViewId="0">
      <selection activeCell="J13" sqref="J13"/>
    </sheetView>
  </sheetViews>
  <sheetFormatPr defaultRowHeight="15" x14ac:dyDescent="0.25"/>
  <cols>
    <col min="5" max="5" width="9.28515625" bestFit="1" customWidth="1"/>
  </cols>
  <sheetData>
    <row r="4" spans="4:10" x14ac:dyDescent="0.25">
      <c r="D4" t="s">
        <v>126</v>
      </c>
      <c r="E4" t="s">
        <v>127</v>
      </c>
      <c r="G4" t="s">
        <v>128</v>
      </c>
    </row>
    <row r="5" spans="4:10" x14ac:dyDescent="0.25">
      <c r="D5" t="s">
        <v>129</v>
      </c>
      <c r="E5" s="35">
        <v>4.1982717393548201</v>
      </c>
      <c r="G5">
        <f>SUBTOTAL(4,E5)</f>
        <v>4.1982717393548201</v>
      </c>
      <c r="I5">
        <f>SUBTOTAL(2,E5:E13)</f>
        <v>9</v>
      </c>
      <c r="J5">
        <f>SUBTOTAL(9,E5:E13)</f>
        <v>29.904186379356407</v>
      </c>
    </row>
    <row r="6" spans="4:10" x14ac:dyDescent="0.25">
      <c r="D6" t="s">
        <v>130</v>
      </c>
      <c r="E6" s="35">
        <v>2.150763545950142</v>
      </c>
      <c r="G6">
        <f t="shared" ref="G6:G13" si="0">SUBTOTAL(4,E6)</f>
        <v>2.150763545950142</v>
      </c>
    </row>
    <row r="7" spans="4:10" x14ac:dyDescent="0.25">
      <c r="D7" t="s">
        <v>131</v>
      </c>
      <c r="E7" s="35">
        <v>6.9367850715114363</v>
      </c>
      <c r="G7">
        <f t="shared" si="0"/>
        <v>6.9367850715114363</v>
      </c>
    </row>
    <row r="8" spans="4:10" x14ac:dyDescent="0.25">
      <c r="D8" t="s">
        <v>132</v>
      </c>
      <c r="E8" s="35">
        <v>1.4480213886155315</v>
      </c>
      <c r="G8">
        <f t="shared" si="0"/>
        <v>1.4480213886155315</v>
      </c>
    </row>
    <row r="9" spans="4:10" x14ac:dyDescent="0.25">
      <c r="D9" t="s">
        <v>133</v>
      </c>
      <c r="E9" s="35">
        <v>3.3437467999730055</v>
      </c>
      <c r="G9">
        <f t="shared" si="0"/>
        <v>3.3437467999730055</v>
      </c>
    </row>
    <row r="10" spans="4:10" x14ac:dyDescent="0.25">
      <c r="D10" t="s">
        <v>134</v>
      </c>
      <c r="E10" s="35">
        <v>6.9430426558376199</v>
      </c>
      <c r="G10">
        <f t="shared" si="0"/>
        <v>6.9430426558376199</v>
      </c>
    </row>
    <row r="11" spans="4:10" x14ac:dyDescent="0.25">
      <c r="D11" t="s">
        <v>135</v>
      </c>
      <c r="E11" s="35">
        <v>3.1354504468204398</v>
      </c>
      <c r="G11">
        <f t="shared" si="0"/>
        <v>3.1354504468204398</v>
      </c>
    </row>
    <row r="12" spans="4:10" x14ac:dyDescent="0.25">
      <c r="D12" t="s">
        <v>136</v>
      </c>
      <c r="E12" s="35">
        <v>1.483742423</v>
      </c>
      <c r="G12">
        <f t="shared" si="0"/>
        <v>1.483742423</v>
      </c>
    </row>
    <row r="13" spans="4:10" x14ac:dyDescent="0.25">
      <c r="D13" t="s">
        <v>137</v>
      </c>
      <c r="E13" s="35">
        <v>0.2643623082934129</v>
      </c>
      <c r="G13">
        <f t="shared" si="0"/>
        <v>0.2643623082934129</v>
      </c>
    </row>
  </sheetData>
  <autoFilter ref="D4:E1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2" zoomScaleNormal="82" workbookViewId="0">
      <selection activeCell="L9" sqref="L9"/>
    </sheetView>
  </sheetViews>
  <sheetFormatPr defaultRowHeight="15" x14ac:dyDescent="0.25"/>
  <cols>
    <col min="1" max="1" width="21" bestFit="1" customWidth="1"/>
    <col min="2" max="2" width="15" bestFit="1" customWidth="1"/>
    <col min="3" max="3" width="18.28515625" bestFit="1" customWidth="1"/>
    <col min="4" max="4" width="12" bestFit="1" customWidth="1"/>
    <col min="5" max="5" width="12.42578125" bestFit="1" customWidth="1"/>
    <col min="6" max="6" width="17.85546875" bestFit="1" customWidth="1"/>
    <col min="7" max="7" width="15.7109375" bestFit="1" customWidth="1"/>
    <col min="10" max="10" width="13" customWidth="1"/>
    <col min="11" max="11" width="11.28515625" customWidth="1"/>
    <col min="12" max="12" width="20.7109375" customWidth="1"/>
  </cols>
  <sheetData>
    <row r="1" spans="1:12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12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  <c r="K2" s="45" t="s">
        <v>3</v>
      </c>
      <c r="L2" t="s">
        <v>138</v>
      </c>
    </row>
    <row r="3" spans="1:12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  <c r="K3" t="s">
        <v>14</v>
      </c>
      <c r="L3" s="49">
        <v>3515.2000000000003</v>
      </c>
    </row>
    <row r="4" spans="1:12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  <c r="K4" t="s">
        <v>20</v>
      </c>
      <c r="L4" s="49">
        <v>539.73</v>
      </c>
    </row>
    <row r="5" spans="1:12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  <c r="K5" t="s">
        <v>9</v>
      </c>
      <c r="L5" s="49">
        <v>1647.2600000000002</v>
      </c>
    </row>
    <row r="6" spans="1:12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  <c r="K6" t="s">
        <v>139</v>
      </c>
      <c r="L6" s="49">
        <v>5702.1900000000005</v>
      </c>
    </row>
    <row r="7" spans="1:12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12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  <c r="J8" s="81" t="s">
        <v>169</v>
      </c>
      <c r="K8" s="45" t="s">
        <v>3</v>
      </c>
      <c r="L8" t="s">
        <v>138</v>
      </c>
    </row>
    <row r="9" spans="1:12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  <c r="K9" t="s">
        <v>14</v>
      </c>
      <c r="L9" s="49">
        <v>3515.2000000000003</v>
      </c>
    </row>
    <row r="10" spans="1:12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  <c r="K10" t="s">
        <v>20</v>
      </c>
      <c r="L10" s="49">
        <v>539.73</v>
      </c>
    </row>
    <row r="11" spans="1:12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  <c r="K11" t="s">
        <v>9</v>
      </c>
      <c r="L11" s="49">
        <v>1647.2600000000002</v>
      </c>
    </row>
    <row r="12" spans="1:12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  <c r="K12" t="s">
        <v>139</v>
      </c>
      <c r="L12" s="49">
        <v>5702.1900000000005</v>
      </c>
    </row>
    <row r="13" spans="1:12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12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7" zoomScaleNormal="87" workbookViewId="0">
      <selection activeCell="I6" sqref="I6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  <col min="11" max="11" width="13.7109375" customWidth="1"/>
    <col min="12" max="12" width="12.28515625" customWidth="1"/>
    <col min="13" max="13" width="8" customWidth="1"/>
    <col min="14" max="14" width="9.140625" customWidth="1"/>
    <col min="15" max="15" width="11.42578125" customWidth="1"/>
    <col min="16" max="17" width="8" customWidth="1"/>
    <col min="18" max="20" width="6.85546875" customWidth="1"/>
    <col min="21" max="21" width="8" customWidth="1"/>
    <col min="22" max="22" width="6.85546875" customWidth="1"/>
    <col min="24" max="24" width="11.4257812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I14" sqref="I14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  <col min="10" max="10" width="11.28515625" customWidth="1"/>
    <col min="11" max="11" width="6.7109375" customWidth="1"/>
    <col min="12" max="12" width="12" customWidth="1"/>
  </cols>
  <sheetData>
    <row r="1" spans="1:12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12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  <c r="J2" s="45" t="s">
        <v>1</v>
      </c>
      <c r="K2" s="45" t="s">
        <v>2</v>
      </c>
      <c r="L2" t="s">
        <v>138</v>
      </c>
    </row>
    <row r="3" spans="1:12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  <c r="J3" t="s">
        <v>12</v>
      </c>
      <c r="L3" s="49">
        <v>2766.3199999999997</v>
      </c>
    </row>
    <row r="4" spans="1:12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  <c r="J4" t="s">
        <v>7</v>
      </c>
      <c r="L4" s="49">
        <v>2704.75</v>
      </c>
    </row>
    <row r="5" spans="1:12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  <c r="J5" t="s">
        <v>22</v>
      </c>
      <c r="L5" s="49">
        <v>231.12</v>
      </c>
    </row>
    <row r="6" spans="1:12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  <c r="J6" t="s">
        <v>139</v>
      </c>
      <c r="L6" s="49">
        <v>5702.19</v>
      </c>
    </row>
    <row r="7" spans="1:12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12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  <c r="J8" s="45" t="s">
        <v>1</v>
      </c>
      <c r="K8" s="45" t="s">
        <v>2</v>
      </c>
      <c r="L8" t="s">
        <v>138</v>
      </c>
    </row>
    <row r="9" spans="1:12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  <c r="J9" t="s">
        <v>12</v>
      </c>
      <c r="L9" s="49">
        <v>2766.3199999999997</v>
      </c>
    </row>
    <row r="10" spans="1:12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  <c r="J10" t="s">
        <v>7</v>
      </c>
      <c r="L10" s="49">
        <v>2704.75</v>
      </c>
    </row>
    <row r="11" spans="1:12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  <c r="J11" t="s">
        <v>22</v>
      </c>
      <c r="L11" s="49">
        <v>231.12</v>
      </c>
    </row>
    <row r="12" spans="1:12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  <c r="J12" t="s">
        <v>139</v>
      </c>
      <c r="L12" s="49">
        <v>5702.19</v>
      </c>
    </row>
    <row r="13" spans="1:12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12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B1" workbookViewId="0">
      <selection activeCell="K7" sqref="K7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  <col min="11" max="11" width="11.7109375" bestFit="1" customWidth="1"/>
    <col min="12" max="12" width="10.42578125" bestFit="1" customWidth="1"/>
    <col min="13" max="13" width="12.42578125" bestFit="1" customWidth="1"/>
  </cols>
  <sheetData>
    <row r="1" spans="1:13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13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  <c r="K2" s="45" t="s">
        <v>1</v>
      </c>
      <c r="L2" s="45" t="s">
        <v>2</v>
      </c>
      <c r="M2" t="s">
        <v>138</v>
      </c>
    </row>
    <row r="3" spans="1:13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  <c r="K3" t="s">
        <v>12</v>
      </c>
      <c r="L3" t="s">
        <v>25</v>
      </c>
      <c r="M3" s="49">
        <v>149.25</v>
      </c>
    </row>
    <row r="4" spans="1:13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  <c r="L4" t="s">
        <v>19</v>
      </c>
      <c r="M4" s="49">
        <v>539.73</v>
      </c>
    </row>
    <row r="5" spans="1:13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  <c r="L5" t="s">
        <v>16</v>
      </c>
      <c r="M5" s="49">
        <v>628.74</v>
      </c>
    </row>
    <row r="6" spans="1:13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  <c r="L6" t="s">
        <v>13</v>
      </c>
      <c r="M6" s="49">
        <v>999.5</v>
      </c>
    </row>
    <row r="7" spans="1:13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  <c r="L7" t="s">
        <v>17</v>
      </c>
      <c r="M7" s="49">
        <v>449.1</v>
      </c>
    </row>
    <row r="8" spans="1:13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  <c r="K8" t="s">
        <v>7</v>
      </c>
      <c r="L8" t="s">
        <v>27</v>
      </c>
      <c r="M8" s="49">
        <v>57.71</v>
      </c>
    </row>
    <row r="9" spans="1:13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  <c r="L9" t="s">
        <v>8</v>
      </c>
      <c r="M9" s="49">
        <v>1027.8499999999999</v>
      </c>
    </row>
    <row r="10" spans="1:13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  <c r="L10" t="s">
        <v>28</v>
      </c>
      <c r="M10" s="49">
        <v>1619.19</v>
      </c>
    </row>
    <row r="11" spans="1:13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  <c r="K11" t="s">
        <v>22</v>
      </c>
      <c r="L11" t="s">
        <v>23</v>
      </c>
      <c r="M11" s="49">
        <v>167.44</v>
      </c>
    </row>
    <row r="12" spans="1:13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  <c r="L12" t="s">
        <v>26</v>
      </c>
      <c r="M12" s="49">
        <v>63.68</v>
      </c>
    </row>
    <row r="13" spans="1:13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  <c r="K13" t="s">
        <v>139</v>
      </c>
      <c r="M13" s="49">
        <v>5702.19</v>
      </c>
    </row>
    <row r="14" spans="1:13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C1" workbookViewId="0">
      <selection activeCell="K6" sqref="K6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  <col min="11" max="11" width="12.42578125" bestFit="1" customWidth="1"/>
    <col min="12" max="12" width="8.42578125" bestFit="1" customWidth="1"/>
    <col min="13" max="13" width="7.140625" bestFit="1" customWidth="1"/>
    <col min="14" max="14" width="8.28515625" bestFit="1" customWidth="1"/>
    <col min="15" max="15" width="11.7109375" bestFit="1" customWidth="1"/>
  </cols>
  <sheetData>
    <row r="1" spans="1:15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15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  <c r="K2" s="45" t="s">
        <v>138</v>
      </c>
      <c r="L2" s="45" t="s">
        <v>3</v>
      </c>
    </row>
    <row r="3" spans="1:15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  <c r="K3" s="45" t="s">
        <v>2</v>
      </c>
      <c r="L3" t="s">
        <v>14</v>
      </c>
      <c r="M3" t="s">
        <v>20</v>
      </c>
      <c r="N3" t="s">
        <v>9</v>
      </c>
      <c r="O3" t="s">
        <v>139</v>
      </c>
    </row>
    <row r="4" spans="1:15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  <c r="K4" t="s">
        <v>25</v>
      </c>
      <c r="L4" s="49"/>
      <c r="M4" s="49"/>
      <c r="N4" s="49">
        <v>149.25</v>
      </c>
      <c r="O4" s="49">
        <v>149.25</v>
      </c>
    </row>
    <row r="5" spans="1:15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  <c r="K5" t="s">
        <v>19</v>
      </c>
      <c r="L5" s="49"/>
      <c r="M5" s="49">
        <v>539.73</v>
      </c>
      <c r="N5" s="49"/>
      <c r="O5" s="49">
        <v>539.73</v>
      </c>
    </row>
    <row r="6" spans="1:15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  <c r="K6" t="s">
        <v>27</v>
      </c>
      <c r="L6" s="49">
        <v>57.71</v>
      </c>
      <c r="M6" s="49"/>
      <c r="N6" s="49"/>
      <c r="O6" s="49">
        <v>57.71</v>
      </c>
    </row>
    <row r="7" spans="1:15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  <c r="K7" t="s">
        <v>16</v>
      </c>
      <c r="L7" s="49"/>
      <c r="M7" s="49"/>
      <c r="N7" s="49">
        <v>628.74</v>
      </c>
      <c r="O7" s="49">
        <v>628.74</v>
      </c>
    </row>
    <row r="8" spans="1:15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  <c r="K8" t="s">
        <v>8</v>
      </c>
      <c r="L8" s="49">
        <v>838.8</v>
      </c>
      <c r="M8" s="49"/>
      <c r="N8" s="49">
        <v>189.05</v>
      </c>
      <c r="O8" s="49">
        <v>1027.8499999999999</v>
      </c>
    </row>
    <row r="9" spans="1:15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  <c r="K9" t="s">
        <v>13</v>
      </c>
      <c r="L9" s="49">
        <v>999.5</v>
      </c>
      <c r="M9" s="49"/>
      <c r="N9" s="49"/>
      <c r="O9" s="49">
        <v>999.5</v>
      </c>
    </row>
    <row r="10" spans="1:15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  <c r="K10" t="s">
        <v>17</v>
      </c>
      <c r="L10" s="49"/>
      <c r="M10" s="49"/>
      <c r="N10" s="49">
        <v>449.1</v>
      </c>
      <c r="O10" s="49">
        <v>449.1</v>
      </c>
    </row>
    <row r="11" spans="1:15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  <c r="K11" t="s">
        <v>28</v>
      </c>
      <c r="L11" s="49">
        <v>1619.19</v>
      </c>
      <c r="M11" s="49"/>
      <c r="N11" s="49"/>
      <c r="O11" s="49">
        <v>1619.19</v>
      </c>
    </row>
    <row r="12" spans="1:15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  <c r="K12" t="s">
        <v>23</v>
      </c>
      <c r="L12" s="49"/>
      <c r="M12" s="49"/>
      <c r="N12" s="49">
        <v>167.44</v>
      </c>
      <c r="O12" s="49">
        <v>167.44</v>
      </c>
    </row>
    <row r="13" spans="1:15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  <c r="K13" t="s">
        <v>26</v>
      </c>
      <c r="L13" s="49"/>
      <c r="M13" s="49"/>
      <c r="N13" s="49">
        <v>63.68</v>
      </c>
      <c r="O13" s="49">
        <v>63.68</v>
      </c>
    </row>
    <row r="14" spans="1:15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  <c r="K14" t="s">
        <v>139</v>
      </c>
      <c r="L14" s="49">
        <v>3515.2</v>
      </c>
      <c r="M14" s="49">
        <v>539.73</v>
      </c>
      <c r="N14" s="49">
        <v>1647.26</v>
      </c>
      <c r="O14" s="49">
        <v>5702.19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workbookViewId="0">
      <selection activeCell="K7" sqref="K7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  <col min="11" max="11" width="11.7109375" bestFit="1" customWidth="1"/>
    <col min="12" max="12" width="12.42578125" bestFit="1" customWidth="1"/>
    <col min="16" max="16" width="11.7109375" bestFit="1" customWidth="1"/>
    <col min="17" max="17" width="12.42578125" bestFit="1" customWidth="1"/>
  </cols>
  <sheetData>
    <row r="1" spans="1:1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  <c r="K1" s="45" t="s">
        <v>3</v>
      </c>
      <c r="L1" t="s">
        <v>20</v>
      </c>
    </row>
    <row r="2" spans="1:1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  <c r="P2" s="45" t="s">
        <v>1</v>
      </c>
      <c r="Q2" t="s">
        <v>138</v>
      </c>
    </row>
    <row r="3" spans="1:1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  <c r="K3" s="45" t="s">
        <v>2</v>
      </c>
      <c r="L3" t="s">
        <v>138</v>
      </c>
      <c r="P3" t="s">
        <v>12</v>
      </c>
      <c r="Q3" s="49">
        <v>2766.3199999999997</v>
      </c>
    </row>
    <row r="4" spans="1:1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  <c r="K4" t="s">
        <v>19</v>
      </c>
      <c r="L4" s="49">
        <v>539.73</v>
      </c>
      <c r="P4" t="s">
        <v>7</v>
      </c>
      <c r="Q4" s="49">
        <v>2704.75</v>
      </c>
    </row>
    <row r="5" spans="1:1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  <c r="K5" t="s">
        <v>139</v>
      </c>
      <c r="L5" s="49">
        <v>539.73</v>
      </c>
      <c r="P5" t="s">
        <v>22</v>
      </c>
      <c r="Q5" s="49">
        <v>231.12</v>
      </c>
    </row>
    <row r="6" spans="1:1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  <c r="P6" t="s">
        <v>139</v>
      </c>
      <c r="Q6" s="49">
        <v>5702.19</v>
      </c>
    </row>
    <row r="7" spans="1:1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1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1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1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1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1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1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1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0" sqref="H20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3" workbookViewId="0">
      <selection activeCell="K4" sqref="K4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Q20" sqref="Q20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Q14" sqref="Q14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Q25" sqref="Q25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8.28515625" bestFit="1" customWidth="1"/>
    <col min="4" max="4" width="12" bestFit="1" customWidth="1"/>
    <col min="5" max="5" width="10.140625" bestFit="1" customWidth="1"/>
    <col min="6" max="6" width="15.5703125" bestFit="1" customWidth="1"/>
    <col min="7" max="7" width="15.7109375" bestFit="1" customWidth="1"/>
  </cols>
  <sheetData>
    <row r="1" spans="1:7" ht="26.25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26.25" x14ac:dyDescent="0.4">
      <c r="A2" s="46">
        <v>43836</v>
      </c>
      <c r="B2" s="39" t="s">
        <v>7</v>
      </c>
      <c r="C2" s="39" t="s">
        <v>8</v>
      </c>
      <c r="D2" s="39" t="s">
        <v>9</v>
      </c>
      <c r="E2" s="39">
        <v>95</v>
      </c>
      <c r="F2" s="39">
        <v>1.99</v>
      </c>
      <c r="G2" s="40">
        <v>189.05</v>
      </c>
    </row>
    <row r="3" spans="1:7" ht="26.25" x14ac:dyDescent="0.4">
      <c r="A3" s="47">
        <v>43853</v>
      </c>
      <c r="B3" s="41" t="s">
        <v>12</v>
      </c>
      <c r="C3" s="41" t="s">
        <v>13</v>
      </c>
      <c r="D3" s="41" t="s">
        <v>14</v>
      </c>
      <c r="E3" s="41">
        <v>50</v>
      </c>
      <c r="F3" s="41">
        <v>19.989999999999998</v>
      </c>
      <c r="G3" s="42">
        <v>999.5</v>
      </c>
    </row>
    <row r="4" spans="1:7" ht="26.25" x14ac:dyDescent="0.4">
      <c r="A4" s="46">
        <v>43870</v>
      </c>
      <c r="B4" s="39" t="s">
        <v>12</v>
      </c>
      <c r="C4" s="39" t="s">
        <v>16</v>
      </c>
      <c r="D4" s="39" t="s">
        <v>9</v>
      </c>
      <c r="E4" s="39">
        <v>36</v>
      </c>
      <c r="F4" s="39">
        <v>4.99</v>
      </c>
      <c r="G4" s="40">
        <v>179.64</v>
      </c>
    </row>
    <row r="5" spans="1:7" ht="26.25" x14ac:dyDescent="0.4">
      <c r="A5" s="47">
        <v>43887</v>
      </c>
      <c r="B5" s="41" t="s">
        <v>12</v>
      </c>
      <c r="C5" s="41" t="s">
        <v>19</v>
      </c>
      <c r="D5" s="41" t="s">
        <v>20</v>
      </c>
      <c r="E5" s="41">
        <v>27</v>
      </c>
      <c r="F5" s="41">
        <v>19.989999999999998</v>
      </c>
      <c r="G5" s="42">
        <v>539.73</v>
      </c>
    </row>
    <row r="6" spans="1:7" ht="26.25" x14ac:dyDescent="0.4">
      <c r="A6" s="46">
        <v>43905</v>
      </c>
      <c r="B6" s="39" t="s">
        <v>22</v>
      </c>
      <c r="C6" s="39" t="s">
        <v>23</v>
      </c>
      <c r="D6" s="39" t="s">
        <v>9</v>
      </c>
      <c r="E6" s="39">
        <v>56</v>
      </c>
      <c r="F6" s="39">
        <v>2.99</v>
      </c>
      <c r="G6" s="40">
        <v>167.44</v>
      </c>
    </row>
    <row r="7" spans="1:7" ht="26.25" x14ac:dyDescent="0.4">
      <c r="A7" s="47">
        <v>43922</v>
      </c>
      <c r="B7" s="41" t="s">
        <v>7</v>
      </c>
      <c r="C7" s="41" t="s">
        <v>8</v>
      </c>
      <c r="D7" s="41" t="s">
        <v>14</v>
      </c>
      <c r="E7" s="41">
        <v>60</v>
      </c>
      <c r="F7" s="41">
        <v>4.99</v>
      </c>
      <c r="G7" s="42">
        <v>299.39999999999998</v>
      </c>
    </row>
    <row r="8" spans="1:7" ht="26.25" x14ac:dyDescent="0.4">
      <c r="A8" s="46">
        <v>43939</v>
      </c>
      <c r="B8" s="39" t="s">
        <v>12</v>
      </c>
      <c r="C8" s="39" t="s">
        <v>25</v>
      </c>
      <c r="D8" s="39" t="s">
        <v>9</v>
      </c>
      <c r="E8" s="39">
        <v>75</v>
      </c>
      <c r="F8" s="39">
        <v>1.99</v>
      </c>
      <c r="G8" s="40">
        <v>149.25</v>
      </c>
    </row>
    <row r="9" spans="1:7" ht="26.25" x14ac:dyDescent="0.4">
      <c r="A9" s="47">
        <v>43956</v>
      </c>
      <c r="B9" s="41" t="s">
        <v>12</v>
      </c>
      <c r="C9" s="41" t="s">
        <v>16</v>
      </c>
      <c r="D9" s="41" t="s">
        <v>9</v>
      </c>
      <c r="E9" s="41">
        <v>90</v>
      </c>
      <c r="F9" s="41">
        <v>4.99</v>
      </c>
      <c r="G9" s="42">
        <v>449.1</v>
      </c>
    </row>
    <row r="10" spans="1:7" ht="26.25" x14ac:dyDescent="0.4">
      <c r="A10" s="46">
        <v>43973</v>
      </c>
      <c r="B10" s="39" t="s">
        <v>22</v>
      </c>
      <c r="C10" s="39" t="s">
        <v>26</v>
      </c>
      <c r="D10" s="39" t="s">
        <v>9</v>
      </c>
      <c r="E10" s="39">
        <v>32</v>
      </c>
      <c r="F10" s="39">
        <v>1.99</v>
      </c>
      <c r="G10" s="40">
        <v>63.68</v>
      </c>
    </row>
    <row r="11" spans="1:7" ht="26.25" x14ac:dyDescent="0.4">
      <c r="A11" s="47">
        <v>43990</v>
      </c>
      <c r="B11" s="41" t="s">
        <v>7</v>
      </c>
      <c r="C11" s="41" t="s">
        <v>8</v>
      </c>
      <c r="D11" s="41" t="s">
        <v>14</v>
      </c>
      <c r="E11" s="41">
        <v>60</v>
      </c>
      <c r="F11" s="41">
        <v>8.99</v>
      </c>
      <c r="G11" s="42">
        <v>539.4</v>
      </c>
    </row>
    <row r="12" spans="1:7" ht="26.25" x14ac:dyDescent="0.4">
      <c r="A12" s="46">
        <v>44007</v>
      </c>
      <c r="B12" s="39" t="s">
        <v>12</v>
      </c>
      <c r="C12" s="39" t="s">
        <v>17</v>
      </c>
      <c r="D12" s="39" t="s">
        <v>9</v>
      </c>
      <c r="E12" s="39">
        <v>90</v>
      </c>
      <c r="F12" s="39">
        <v>4.99</v>
      </c>
      <c r="G12" s="40">
        <v>449.1</v>
      </c>
    </row>
    <row r="13" spans="1:7" ht="26.25" x14ac:dyDescent="0.4">
      <c r="A13" s="47">
        <v>44024</v>
      </c>
      <c r="B13" s="41" t="s">
        <v>7</v>
      </c>
      <c r="C13" s="41" t="s">
        <v>27</v>
      </c>
      <c r="D13" s="41" t="s">
        <v>14</v>
      </c>
      <c r="E13" s="41">
        <v>29</v>
      </c>
      <c r="F13" s="41">
        <v>1.99</v>
      </c>
      <c r="G13" s="42">
        <v>57.71</v>
      </c>
    </row>
    <row r="14" spans="1:7" ht="26.25" x14ac:dyDescent="0.4">
      <c r="A14" s="48">
        <v>44041</v>
      </c>
      <c r="B14" s="43" t="s">
        <v>7</v>
      </c>
      <c r="C14" s="43" t="s">
        <v>28</v>
      </c>
      <c r="D14" s="43" t="s">
        <v>14</v>
      </c>
      <c r="E14" s="43">
        <v>81</v>
      </c>
      <c r="F14" s="43">
        <v>19.989999999999998</v>
      </c>
      <c r="G14" s="44">
        <v>1619.19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Lookup functions</vt:lpstr>
      <vt:lpstr>Vlookup</vt:lpstr>
      <vt:lpstr>Hlookup</vt:lpstr>
      <vt:lpstr>Index and Match</vt:lpstr>
      <vt:lpstr>Index</vt:lpstr>
      <vt:lpstr>Match</vt:lpstr>
      <vt:lpstr>Index+Match</vt:lpstr>
      <vt:lpstr>2-way lookup</vt:lpstr>
      <vt:lpstr>Case sensitive lookup</vt:lpstr>
      <vt:lpstr>Left lookup</vt:lpstr>
      <vt:lpstr>2 column lookup</vt:lpstr>
      <vt:lpstr>Closest match</vt:lpstr>
      <vt:lpstr>TEXT functions</vt:lpstr>
      <vt:lpstr>Concatenate</vt:lpstr>
      <vt:lpstr>Left</vt:lpstr>
      <vt:lpstr>Right</vt:lpstr>
      <vt:lpstr>Mid</vt:lpstr>
      <vt:lpstr>Trim</vt:lpstr>
      <vt:lpstr>Replace</vt:lpstr>
      <vt:lpstr>Len</vt:lpstr>
      <vt:lpstr>Find</vt:lpstr>
      <vt:lpstr>Round</vt:lpstr>
      <vt:lpstr>Subtotal</vt:lpstr>
      <vt:lpstr>Pivot tables</vt:lpstr>
      <vt:lpstr>Create pivot</vt:lpstr>
      <vt:lpstr>Sort &amp; filter pivot</vt:lpstr>
      <vt:lpstr>Summary calc pivot</vt:lpstr>
      <vt:lpstr>2D pivot</vt:lpstr>
      <vt:lpstr>Slicer pivot</vt:lpstr>
      <vt:lpstr>Charts</vt:lpstr>
      <vt:lpstr>create chart</vt:lpstr>
      <vt:lpstr>Switch row-column</vt:lpstr>
      <vt:lpstr>Legend alignment</vt:lpstr>
      <vt:lpstr>Data 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Chandrakant</cp:lastModifiedBy>
  <cp:revision/>
  <dcterms:created xsi:type="dcterms:W3CDTF">2021-09-18T08:35:47Z</dcterms:created>
  <dcterms:modified xsi:type="dcterms:W3CDTF">2022-09-23T17:25:12Z</dcterms:modified>
  <cp:category/>
  <cp:contentStatus/>
</cp:coreProperties>
</file>