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3"/>
  </bookViews>
  <sheets>
    <sheet name="Input Data" sheetId="1" r:id="rId1"/>
    <sheet name="Ride frequency" sheetId="2" r:id="rId2"/>
    <sheet name="Roll gradient" sheetId="3" r:id="rId3"/>
    <sheet name="Pitch gradient" sheetId="4" r:id="rId4"/>
  </sheets>
  <calcPr calcId="125725"/>
</workbook>
</file>

<file path=xl/calcChain.xml><?xml version="1.0" encoding="utf-8"?>
<calcChain xmlns="http://schemas.openxmlformats.org/spreadsheetml/2006/main">
  <c r="K18" i="4"/>
  <c r="K17"/>
  <c r="G18"/>
  <c r="G17"/>
  <c r="K16"/>
  <c r="K20" s="1"/>
  <c r="K15"/>
  <c r="K19" s="1"/>
  <c r="G16"/>
  <c r="G15"/>
  <c r="G20" l="1"/>
  <c r="G19"/>
  <c r="G2"/>
  <c r="C15"/>
  <c r="C14"/>
  <c r="C21"/>
  <c r="C20"/>
  <c r="C17"/>
  <c r="C16"/>
  <c r="C9"/>
  <c r="C8"/>
  <c r="C4"/>
  <c r="C5" s="1"/>
  <c r="O10" i="3"/>
  <c r="O9"/>
  <c r="O12" s="1"/>
  <c r="O13" s="1"/>
  <c r="O14" s="1"/>
  <c r="O15" s="1"/>
  <c r="K10"/>
  <c r="K9"/>
  <c r="K12" s="1"/>
  <c r="K13" s="1"/>
  <c r="K14" s="1"/>
  <c r="K15" s="1"/>
  <c r="G24"/>
  <c r="G23"/>
  <c r="G6"/>
  <c r="C19" i="4" l="1"/>
  <c r="C23" s="1"/>
  <c r="G4" s="1"/>
  <c r="C18"/>
  <c r="C22" s="1"/>
  <c r="G3" s="1"/>
  <c r="G3" i="3"/>
  <c r="G4" s="1"/>
  <c r="G2"/>
  <c r="C4"/>
  <c r="C5" s="1"/>
  <c r="B15" i="2"/>
  <c r="D8"/>
  <c r="C8"/>
  <c r="D6"/>
  <c r="D7" s="1"/>
  <c r="G21" i="3" s="1"/>
  <c r="C6" i="2"/>
  <c r="C7" s="1"/>
  <c r="G20" i="3" s="1"/>
  <c r="D3" i="2"/>
  <c r="C3"/>
  <c r="K22" i="4" l="1"/>
  <c r="G22"/>
  <c r="G6"/>
  <c r="K21"/>
  <c r="G21"/>
  <c r="C8" i="3"/>
  <c r="C21"/>
  <c r="C22" s="1"/>
  <c r="C9"/>
  <c r="D9" i="2"/>
  <c r="D10" s="1"/>
  <c r="C9"/>
  <c r="C10" s="1"/>
  <c r="K24" i="4" l="1"/>
  <c r="K25" s="1"/>
  <c r="G24"/>
  <c r="G25" s="1"/>
  <c r="C10" i="3"/>
  <c r="C24"/>
  <c r="C23" s="1"/>
  <c r="C25"/>
  <c r="G5" i="2"/>
  <c r="G9"/>
  <c r="G13"/>
  <c r="G17"/>
  <c r="G21"/>
  <c r="G25"/>
  <c r="G29"/>
  <c r="G33"/>
  <c r="G37"/>
  <c r="G41"/>
  <c r="G4"/>
  <c r="G8"/>
  <c r="G12"/>
  <c r="G16"/>
  <c r="G20"/>
  <c r="G24"/>
  <c r="G28"/>
  <c r="G32"/>
  <c r="G36"/>
  <c r="G40"/>
  <c r="G3"/>
  <c r="G7"/>
  <c r="G11"/>
  <c r="G15"/>
  <c r="G19"/>
  <c r="G23"/>
  <c r="G27"/>
  <c r="G31"/>
  <c r="G35"/>
  <c r="G39"/>
  <c r="G6"/>
  <c r="G10"/>
  <c r="G14"/>
  <c r="G18"/>
  <c r="G22"/>
  <c r="G26"/>
  <c r="G30"/>
  <c r="G34"/>
  <c r="G38"/>
  <c r="G42"/>
  <c r="H6"/>
  <c r="H10"/>
  <c r="H14"/>
  <c r="H18"/>
  <c r="H22"/>
  <c r="H26"/>
  <c r="H30"/>
  <c r="H34"/>
  <c r="H38"/>
  <c r="H42"/>
  <c r="H5"/>
  <c r="H9"/>
  <c r="H13"/>
  <c r="H17"/>
  <c r="H21"/>
  <c r="H25"/>
  <c r="H29"/>
  <c r="H33"/>
  <c r="H37"/>
  <c r="H41"/>
  <c r="H36"/>
  <c r="H4"/>
  <c r="H8"/>
  <c r="H12"/>
  <c r="H16"/>
  <c r="H20"/>
  <c r="H24"/>
  <c r="H28"/>
  <c r="H32"/>
  <c r="H40"/>
  <c r="H3"/>
  <c r="H7"/>
  <c r="H11"/>
  <c r="H15"/>
  <c r="H19"/>
  <c r="H23"/>
  <c r="H27"/>
  <c r="H31"/>
  <c r="H35"/>
  <c r="H39"/>
  <c r="H2"/>
  <c r="G2"/>
  <c r="C26" i="3" l="1"/>
  <c r="G7"/>
  <c r="G8" s="1"/>
  <c r="G17" s="1"/>
  <c r="G26" s="1"/>
  <c r="G29" s="1"/>
  <c r="G32" s="1"/>
  <c r="G12" l="1"/>
  <c r="G13"/>
  <c r="G14" l="1"/>
  <c r="G15" s="1"/>
  <c r="G18" s="1"/>
  <c r="G27" s="1"/>
  <c r="G30" s="1"/>
  <c r="G33" s="1"/>
</calcChain>
</file>

<file path=xl/sharedStrings.xml><?xml version="1.0" encoding="utf-8"?>
<sst xmlns="http://schemas.openxmlformats.org/spreadsheetml/2006/main" count="310" uniqueCount="134">
  <si>
    <t>Parameters</t>
  </si>
  <si>
    <t>Units</t>
  </si>
  <si>
    <t>Value</t>
  </si>
  <si>
    <t>Total weight</t>
  </si>
  <si>
    <t>%distribution</t>
  </si>
  <si>
    <t>Unsprung mass front</t>
  </si>
  <si>
    <t>Unsprung mass rear</t>
  </si>
  <si>
    <t>Wheelbase</t>
  </si>
  <si>
    <t>in</t>
  </si>
  <si>
    <t>CG height</t>
  </si>
  <si>
    <t>Trackwidth</t>
  </si>
  <si>
    <t>Front spring motion ratio</t>
  </si>
  <si>
    <t>Rear spring motion ratio</t>
  </si>
  <si>
    <t>in/in</t>
  </si>
  <si>
    <t>Front tire loaded radius</t>
  </si>
  <si>
    <t>Rear tire loaded radius</t>
  </si>
  <si>
    <t>Front tire rate</t>
  </si>
  <si>
    <t>Rear tire rate</t>
  </si>
  <si>
    <t>lb/in</t>
  </si>
  <si>
    <t>lb</t>
  </si>
  <si>
    <t>%</t>
  </si>
  <si>
    <t xml:space="preserve">Unsprung mass </t>
  </si>
  <si>
    <t>Sprung mass corner</t>
  </si>
  <si>
    <t>Front</t>
  </si>
  <si>
    <t>Rear</t>
  </si>
  <si>
    <t>Spring rate</t>
  </si>
  <si>
    <t>Motion ratio</t>
  </si>
  <si>
    <t xml:space="preserve">Wheel rate </t>
  </si>
  <si>
    <t>Tire rate</t>
  </si>
  <si>
    <t>Ride rate</t>
  </si>
  <si>
    <t>Hz</t>
  </si>
  <si>
    <t>Ride frequency</t>
  </si>
  <si>
    <t>Time</t>
  </si>
  <si>
    <t>Wheelbase(in)</t>
  </si>
  <si>
    <t>Velocity(mph)</t>
  </si>
  <si>
    <t>Time(sec.)</t>
  </si>
  <si>
    <t>Front amplitude</t>
  </si>
  <si>
    <t>Rear amplitude</t>
  </si>
  <si>
    <t>Front axle weight</t>
  </si>
  <si>
    <t>Rear axle weight</t>
  </si>
  <si>
    <t>Front axle sprung mass</t>
  </si>
  <si>
    <t>Rear axle sprung mass</t>
  </si>
  <si>
    <t>Front axle unsprung mass</t>
  </si>
  <si>
    <t>Rear axle unsprung mass</t>
  </si>
  <si>
    <t>Front roll center height</t>
  </si>
  <si>
    <t>Rear roll center height</t>
  </si>
  <si>
    <t>Front axle to CG</t>
  </si>
  <si>
    <t>Rear axle to CG</t>
  </si>
  <si>
    <t>Front axle to sprung CG</t>
  </si>
  <si>
    <t>Rear axle to sprung CG</t>
  </si>
  <si>
    <t>Sprung mass CG height</t>
  </si>
  <si>
    <t>Sprung mass roll moment arm</t>
  </si>
  <si>
    <t>Total lateral load transfer</t>
  </si>
  <si>
    <t>lb/g</t>
  </si>
  <si>
    <t>Lateral load transfer on front axle</t>
  </si>
  <si>
    <t>Desired lateral load transfer on front axle</t>
  </si>
  <si>
    <t>Front lateral load transfer due to unsprung mass</t>
  </si>
  <si>
    <t>Front lateral load transfer due to sprung mass</t>
  </si>
  <si>
    <t>Front lateral load transfer due to roll</t>
  </si>
  <si>
    <t>Sprung mass</t>
  </si>
  <si>
    <t>Target roll gradient</t>
  </si>
  <si>
    <t>deg/g</t>
  </si>
  <si>
    <t>Roll moment per g of lateral acceleration(lateral comp)</t>
  </si>
  <si>
    <t>ft-lb/g</t>
  </si>
  <si>
    <t>Roll moment per g of lateral acceleration(gravity comp)</t>
  </si>
  <si>
    <t>Total roll moment per g of lateral accelearation</t>
  </si>
  <si>
    <t>Total roll stiffness</t>
  </si>
  <si>
    <t>ft-lb/deg</t>
  </si>
  <si>
    <t xml:space="preserve">Front roll stiffness satisfying desired load transfer </t>
  </si>
  <si>
    <t>Rear roll stiffness</t>
  </si>
  <si>
    <t>Front roll stiffness from wheel rate</t>
  </si>
  <si>
    <t>Rear roll stiffness from wheel rate</t>
  </si>
  <si>
    <t>Front roll stiffness from tire rate</t>
  </si>
  <si>
    <t>Rear roll stiffness from tire rate</t>
  </si>
  <si>
    <t>Front roll stiffness after tire effect removed</t>
  </si>
  <si>
    <t>Rear roll stiffness after tire effect removed</t>
  </si>
  <si>
    <t>Front auxiliary roll stiffness</t>
  </si>
  <si>
    <t>Rear auxiliary roll stiffness</t>
  </si>
  <si>
    <t>Anti-roll bar sizing</t>
  </si>
  <si>
    <t>FRONT</t>
  </si>
  <si>
    <t>REAR</t>
  </si>
  <si>
    <t>OD</t>
  </si>
  <si>
    <t>ID</t>
  </si>
  <si>
    <t>Virtual torque arm(A)</t>
  </si>
  <si>
    <t>Centre length(B)</t>
  </si>
  <si>
    <t>Physical torque arm©</t>
  </si>
  <si>
    <t>Arb spring rate for one wheel jounce</t>
  </si>
  <si>
    <t>Arb effective spring rate for one wheel jounce</t>
  </si>
  <si>
    <t>Arb effective spring rate for roll</t>
  </si>
  <si>
    <t>Arb effective torsional rate</t>
  </si>
  <si>
    <t>mm</t>
  </si>
  <si>
    <t>Front axle static weight</t>
  </si>
  <si>
    <t>Rear axle static weight</t>
  </si>
  <si>
    <t>Tire loaded radius</t>
  </si>
  <si>
    <t>Drive ratio- front</t>
  </si>
  <si>
    <t>Brake ratio- front</t>
  </si>
  <si>
    <t>Longitudinal load transfer</t>
  </si>
  <si>
    <t>Front Spring rate</t>
  </si>
  <si>
    <t>Rear Spring rate</t>
  </si>
  <si>
    <t>Front Motion ratio</t>
  </si>
  <si>
    <t>Rear Motion ratio</t>
  </si>
  <si>
    <t xml:space="preserve">Front Wheel rate </t>
  </si>
  <si>
    <t xml:space="preserve">Rear Wheel rate </t>
  </si>
  <si>
    <t>Front Tire rate</t>
  </si>
  <si>
    <t>Rear Tire rate</t>
  </si>
  <si>
    <t>Front Ride rate</t>
  </si>
  <si>
    <t>Rear Ride rate</t>
  </si>
  <si>
    <t>Front end deflection</t>
  </si>
  <si>
    <t>Rear end deflection</t>
  </si>
  <si>
    <t>in/g</t>
  </si>
  <si>
    <t>Pitch gradient</t>
  </si>
  <si>
    <t>Front IC vertical distance fron contact patch</t>
  </si>
  <si>
    <t>Front IC horizontal distance fron contact patch</t>
  </si>
  <si>
    <t>Rear IC vertical distance fron contact patch</t>
  </si>
  <si>
    <t>Rear IC horizontal distance fron contact patch</t>
  </si>
  <si>
    <t>Acceleration</t>
  </si>
  <si>
    <t>Front Anti-lift angle</t>
  </si>
  <si>
    <t>deg</t>
  </si>
  <si>
    <t>Rear Anti-squat angle</t>
  </si>
  <si>
    <t>Front swing arm angle for 100% anti-lift</t>
  </si>
  <si>
    <t>Rear swing arm angle for 100% anti-squat</t>
  </si>
  <si>
    <t xml:space="preserve">Front anti-lift </t>
  </si>
  <si>
    <t>Rear anti-squat</t>
  </si>
  <si>
    <t>Front end deflection under load with compensation</t>
  </si>
  <si>
    <t>Rear end deflection under load with compensation</t>
  </si>
  <si>
    <t>Pitch gradient with compensation</t>
  </si>
  <si>
    <t>Pitch compensation</t>
  </si>
  <si>
    <t>Braking</t>
  </si>
  <si>
    <t>Front Anti-dive angle</t>
  </si>
  <si>
    <t>Rear Anti-lift angle</t>
  </si>
  <si>
    <t>Front swing arm angle for 100% anti-dive</t>
  </si>
  <si>
    <t>Rear swing arm angle for 100% anti-lift</t>
  </si>
  <si>
    <t xml:space="preserve">Front Anti-dive </t>
  </si>
  <si>
    <t>Rear anti-lift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</si>
</sst>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164" fontId="0" fillId="0" borderId="4" xfId="0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4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164" fontId="0" fillId="0" borderId="7" xfId="0" applyNumberFormat="1" applyBorder="1"/>
    <xf numFmtId="164" fontId="0" fillId="2" borderId="4" xfId="0" applyNumberFormat="1" applyFont="1" applyFill="1" applyBorder="1"/>
    <xf numFmtId="164" fontId="0" fillId="2" borderId="0" xfId="0" applyNumberFormat="1" applyFont="1" applyFill="1" applyBorder="1"/>
    <xf numFmtId="164" fontId="0" fillId="2" borderId="5" xfId="0" applyNumberFormat="1" applyFont="1" applyFill="1" applyBorder="1"/>
    <xf numFmtId="164" fontId="1" fillId="3" borderId="0" xfId="0" applyNumberFormat="1" applyFont="1" applyFill="1"/>
    <xf numFmtId="164" fontId="1" fillId="3" borderId="5" xfId="0" applyNumberFormat="1" applyFont="1" applyFill="1" applyBorder="1"/>
    <xf numFmtId="164" fontId="1" fillId="2" borderId="0" xfId="0" applyNumberFormat="1" applyFont="1" applyFill="1"/>
    <xf numFmtId="164" fontId="1" fillId="2" borderId="5" xfId="0" applyNumberFormat="1" applyFont="1" applyFill="1" applyBorder="1"/>
    <xf numFmtId="164" fontId="2" fillId="0" borderId="1" xfId="0" applyNumberFormat="1" applyFont="1" applyFill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0" xfId="0" applyNumberFormat="1" applyFont="1" applyFill="1" applyBorder="1"/>
    <xf numFmtId="164" fontId="2" fillId="0" borderId="0" xfId="0" applyNumberFormat="1" applyFont="1" applyBorder="1"/>
    <xf numFmtId="164" fontId="2" fillId="0" borderId="5" xfId="0" applyNumberFormat="1" applyFont="1" applyBorder="1"/>
    <xf numFmtId="164" fontId="2" fillId="0" borderId="0" xfId="0" applyNumberFormat="1" applyFont="1"/>
    <xf numFmtId="164" fontId="2" fillId="0" borderId="1" xfId="0" applyNumberFormat="1" applyFont="1" applyBorder="1"/>
    <xf numFmtId="164" fontId="2" fillId="0" borderId="3" xfId="0" applyNumberFormat="1" applyFont="1" applyFill="1" applyBorder="1"/>
    <xf numFmtId="164" fontId="2" fillId="0" borderId="9" xfId="0" applyNumberFormat="1" applyFont="1" applyBorder="1"/>
    <xf numFmtId="164" fontId="0" fillId="0" borderId="0" xfId="0" applyNumberFormat="1" applyFont="1" applyFill="1" applyBorder="1"/>
    <xf numFmtId="0" fontId="1" fillId="0" borderId="0" xfId="0" applyFont="1"/>
    <xf numFmtId="0" fontId="0" fillId="0" borderId="0" xfId="0" applyFont="1" applyBorder="1"/>
    <xf numFmtId="0" fontId="0" fillId="0" borderId="0" xfId="0" applyFill="1" applyBorder="1"/>
    <xf numFmtId="0" fontId="0" fillId="0" borderId="0" xfId="0" applyBorder="1"/>
    <xf numFmtId="0" fontId="0" fillId="2" borderId="0" xfId="0" applyFill="1"/>
    <xf numFmtId="164" fontId="0" fillId="0" borderId="5" xfId="0" applyNumberFormat="1" applyFill="1" applyBorder="1"/>
    <xf numFmtId="0" fontId="0" fillId="0" borderId="5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'Ride frequency'!$G$1</c:f>
              <c:strCache>
                <c:ptCount val="1"/>
                <c:pt idx="0">
                  <c:v>Front amplitude</c:v>
                </c:pt>
              </c:strCache>
            </c:strRef>
          </c:tx>
          <c:marker>
            <c:symbol val="none"/>
          </c:marker>
          <c:xVal>
            <c:numRef>
              <c:f>'Ride frequency'!$F$2:$F$42</c:f>
              <c:numCache>
                <c:formatCode>0.000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'Ride frequency'!$G$2:$G$42</c:f>
              <c:numCache>
                <c:formatCode>0.000</c:formatCode>
                <c:ptCount val="41"/>
                <c:pt idx="0">
                  <c:v>0</c:v>
                </c:pt>
                <c:pt idx="1">
                  <c:v>0.6804407904319566</c:v>
                </c:pt>
                <c:pt idx="2">
                  <c:v>0.8116732696120732</c:v>
                </c:pt>
                <c:pt idx="3">
                  <c:v>0.41111795857755074</c:v>
                </c:pt>
                <c:pt idx="4">
                  <c:v>-0.17413408702160574</c:v>
                </c:pt>
                <c:pt idx="5">
                  <c:v>-0.54431318573864196</c:v>
                </c:pt>
                <c:pt idx="6">
                  <c:v>-0.50672262905168874</c:v>
                </c:pt>
                <c:pt idx="7">
                  <c:v>-0.15880519792500997</c:v>
                </c:pt>
                <c:pt idx="8">
                  <c:v>0.22543640853633523</c:v>
                </c:pt>
                <c:pt idx="9">
                  <c:v>0.3989336576216761</c:v>
                </c:pt>
                <c:pt idx="10">
                  <c:v>0.29130184671024439</c:v>
                </c:pt>
                <c:pt idx="11">
                  <c:v>2.0864209269451539E-2</c:v>
                </c:pt>
                <c:pt idx="12">
                  <c:v>-0.2136096178422722</c:v>
                </c:pt>
                <c:pt idx="13">
                  <c:v>-0.27188937617350367</c:v>
                </c:pt>
                <c:pt idx="14">
                  <c:v>-0.1494382641913555</c:v>
                </c:pt>
                <c:pt idx="15">
                  <c:v>4.4344679865431037E-2</c:v>
                </c:pt>
                <c:pt idx="16">
                  <c:v>0.17524687130126812</c:v>
                </c:pt>
                <c:pt idx="17">
                  <c:v>0.17273931698693867</c:v>
                </c:pt>
                <c:pt idx="18">
                  <c:v>6.2574496140393052E-2</c:v>
                </c:pt>
                <c:pt idx="19">
                  <c:v>-6.6784132232002094E-2</c:v>
                </c:pt>
                <c:pt idx="20">
                  <c:v>-0.13089604621564532</c:v>
                </c:pt>
                <c:pt idx="21">
                  <c:v>-0.10146294811952851</c:v>
                </c:pt>
                <c:pt idx="22">
                  <c:v>-1.3862871686083305E-2</c:v>
                </c:pt>
                <c:pt idx="23">
                  <c:v>6.6534316440927832E-2</c:v>
                </c:pt>
                <c:pt idx="24">
                  <c:v>9.0716344998327633E-2</c:v>
                </c:pt>
                <c:pt idx="25">
                  <c:v>5.3738564032155753E-2</c:v>
                </c:pt>
                <c:pt idx="26">
                  <c:v>-1.0169467230667415E-2</c:v>
                </c:pt>
                <c:pt idx="27">
                  <c:v>-5.6128205559549088E-2</c:v>
                </c:pt>
                <c:pt idx="28">
                  <c:v>-5.8627255825435959E-2</c:v>
                </c:pt>
                <c:pt idx="29">
                  <c:v>-2.3980450283067212E-2</c:v>
                </c:pt>
                <c:pt idx="30">
                  <c:v>1.9394523349252433E-2</c:v>
                </c:pt>
                <c:pt idx="31">
                  <c:v>4.276855929709935E-2</c:v>
                </c:pt>
                <c:pt idx="32">
                  <c:v>3.5138178652020485E-2</c:v>
                </c:pt>
                <c:pt idx="33">
                  <c:v>6.8991308192665095E-3</c:v>
                </c:pt>
                <c:pt idx="34">
                  <c:v>-2.0538983225658693E-2</c:v>
                </c:pt>
                <c:pt idx="35">
                  <c:v>-3.0148742645086993E-2</c:v>
                </c:pt>
                <c:pt idx="36">
                  <c:v>-1.9147450175619092E-2</c:v>
                </c:pt>
                <c:pt idx="37">
                  <c:v>1.8434002672653126E-3</c:v>
                </c:pt>
                <c:pt idx="38">
                  <c:v>1.787553197348175E-2</c:v>
                </c:pt>
                <c:pt idx="39">
                  <c:v>1.981382867945089E-2</c:v>
                </c:pt>
                <c:pt idx="40">
                  <c:v>8.999953623856036E-3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'Ride frequency'!$H$1</c:f>
              <c:strCache>
                <c:ptCount val="1"/>
                <c:pt idx="0">
                  <c:v>Rear amplitude</c:v>
                </c:pt>
              </c:strCache>
            </c:strRef>
          </c:tx>
          <c:marker>
            <c:symbol val="none"/>
          </c:marker>
          <c:xVal>
            <c:numRef>
              <c:f>'Ride frequency'!$F$2:$F$42</c:f>
              <c:numCache>
                <c:formatCode>0.000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'Ride frequency'!$H$2:$H$42</c:f>
              <c:numCache>
                <c:formatCode>0.000</c:formatCode>
                <c:ptCount val="41"/>
                <c:pt idx="0">
                  <c:v>-0.73879478365813278</c:v>
                </c:pt>
                <c:pt idx="1">
                  <c:v>0.12546833319478884</c:v>
                </c:pt>
                <c:pt idx="2">
                  <c:v>0.73315564271417333</c:v>
                </c:pt>
                <c:pt idx="3">
                  <c:v>0.64686996168983368</c:v>
                </c:pt>
                <c:pt idx="4">
                  <c:v>6.1117260897990321E-2</c:v>
                </c:pt>
                <c:pt idx="5">
                  <c:v>-0.46712467490792559</c:v>
                </c:pt>
                <c:pt idx="6">
                  <c:v>-0.52763730768272643</c:v>
                </c:pt>
                <c:pt idx="7">
                  <c:v>-0.15701886041200011</c:v>
                </c:pt>
                <c:pt idx="8">
                  <c:v>0.27145329170190052</c:v>
                </c:pt>
                <c:pt idx="9">
                  <c:v>0.40609609316259648</c:v>
                </c:pt>
                <c:pt idx="10">
                  <c:v>0.19295458028236528</c:v>
                </c:pt>
                <c:pt idx="11">
                  <c:v>-0.13520227700433746</c:v>
                </c:pt>
                <c:pt idx="12">
                  <c:v>-0.29621168403994158</c:v>
                </c:pt>
                <c:pt idx="13">
                  <c:v>-0.19215919593223091</c:v>
                </c:pt>
                <c:pt idx="14">
                  <c:v>4.6049750740209706E-2</c:v>
                </c:pt>
                <c:pt idx="15">
                  <c:v>0.20440893941646249</c:v>
                </c:pt>
                <c:pt idx="16">
                  <c:v>0.17128992931423145</c:v>
                </c:pt>
                <c:pt idx="17">
                  <c:v>7.7747740426609459E-3</c:v>
                </c:pt>
                <c:pt idx="18">
                  <c:v>-0.13229122976213817</c:v>
                </c:pt>
                <c:pt idx="19">
                  <c:v>-0.14162296194311397</c:v>
                </c:pt>
                <c:pt idx="20">
                  <c:v>-3.6487589088585175E-2</c:v>
                </c:pt>
                <c:pt idx="21">
                  <c:v>7.8645346236163621E-2</c:v>
                </c:pt>
                <c:pt idx="22">
                  <c:v>0.11028227416953255</c:v>
                </c:pt>
                <c:pt idx="23">
                  <c:v>4.8365702803303157E-2</c:v>
                </c:pt>
                <c:pt idx="24">
                  <c:v>-4.0841311918025688E-2</c:v>
                </c:pt>
                <c:pt idx="25">
                  <c:v>-8.1355560029503629E-2</c:v>
                </c:pt>
                <c:pt idx="26">
                  <c:v>-4.9741708078242047E-2</c:v>
                </c:pt>
                <c:pt idx="27">
                  <c:v>1.5751262863954764E-2</c:v>
                </c:pt>
                <c:pt idx="28">
                  <c:v>5.6829509940347259E-2</c:v>
                </c:pt>
                <c:pt idx="29">
                  <c:v>4.5207720080678367E-2</c:v>
                </c:pt>
                <c:pt idx="30">
                  <c:v>-3.0668225004721656E-4</c:v>
                </c:pt>
                <c:pt idx="31">
                  <c:v>-3.732650950571817E-2</c:v>
                </c:pt>
                <c:pt idx="32">
                  <c:v>-3.7912368877193785E-2</c:v>
                </c:pt>
                <c:pt idx="33">
                  <c:v>-8.2020935682479371E-3</c:v>
                </c:pt>
                <c:pt idx="34">
                  <c:v>2.2654018211087333E-2</c:v>
                </c:pt>
                <c:pt idx="35">
                  <c:v>2.9877281691005227E-2</c:v>
                </c:pt>
                <c:pt idx="36">
                  <c:v>1.1999660369047359E-2</c:v>
                </c:pt>
                <c:pt idx="37">
                  <c:v>-1.2192727902667219E-2</c:v>
                </c:pt>
                <c:pt idx="38">
                  <c:v>-2.2290608975956642E-2</c:v>
                </c:pt>
                <c:pt idx="39">
                  <c:v>-1.2807856410428229E-2</c:v>
                </c:pt>
                <c:pt idx="40">
                  <c:v>5.1549679089389578E-3</c:v>
                </c:pt>
              </c:numCache>
            </c:numRef>
          </c:yVal>
          <c:smooth val="1"/>
        </c:ser>
        <c:axId val="83808640"/>
        <c:axId val="83810176"/>
      </c:scatterChart>
      <c:valAx>
        <c:axId val="83808640"/>
        <c:scaling>
          <c:orientation val="minMax"/>
        </c:scaling>
        <c:axPos val="b"/>
        <c:numFmt formatCode="0.000" sourceLinked="1"/>
        <c:tickLblPos val="nextTo"/>
        <c:crossAx val="83810176"/>
        <c:crosses val="autoZero"/>
        <c:crossBetween val="midCat"/>
      </c:valAx>
      <c:valAx>
        <c:axId val="83810176"/>
        <c:scaling>
          <c:orientation val="minMax"/>
        </c:scaling>
        <c:axPos val="l"/>
        <c:majorGridlines/>
        <c:numFmt formatCode="0.000" sourceLinked="1"/>
        <c:tickLblPos val="nextTo"/>
        <c:crossAx val="83808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0</xdr:row>
      <xdr:rowOff>142875</xdr:rowOff>
    </xdr:from>
    <xdr:to>
      <xdr:col>21</xdr:col>
      <xdr:colOff>104776</xdr:colOff>
      <xdr:row>24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7" sqref="C7"/>
    </sheetView>
  </sheetViews>
  <sheetFormatPr defaultRowHeight="15"/>
  <cols>
    <col min="1" max="1" width="23.42578125" style="1" bestFit="1" customWidth="1"/>
    <col min="2" max="16384" width="9.140625" style="1"/>
  </cols>
  <sheetData>
    <row r="1" spans="1:3">
      <c r="A1" s="22" t="s">
        <v>0</v>
      </c>
      <c r="B1" s="23" t="s">
        <v>1</v>
      </c>
      <c r="C1" s="24" t="s">
        <v>2</v>
      </c>
    </row>
    <row r="2" spans="1:3">
      <c r="A2" s="2" t="s">
        <v>3</v>
      </c>
      <c r="B2" s="3" t="s">
        <v>19</v>
      </c>
      <c r="C2" s="5">
        <v>3500</v>
      </c>
    </row>
    <row r="3" spans="1:3">
      <c r="A3" s="2" t="s">
        <v>4</v>
      </c>
      <c r="B3" s="3" t="s">
        <v>20</v>
      </c>
      <c r="C3" s="5">
        <v>55</v>
      </c>
    </row>
    <row r="4" spans="1:3">
      <c r="A4" s="2" t="s">
        <v>5</v>
      </c>
      <c r="B4" s="3" t="s">
        <v>19</v>
      </c>
      <c r="C4" s="5">
        <v>200</v>
      </c>
    </row>
    <row r="5" spans="1:3">
      <c r="A5" s="2" t="s">
        <v>6</v>
      </c>
      <c r="B5" s="3" t="s">
        <v>19</v>
      </c>
      <c r="C5" s="5">
        <v>240</v>
      </c>
    </row>
    <row r="6" spans="1:3">
      <c r="A6" s="2" t="s">
        <v>7</v>
      </c>
      <c r="B6" s="3" t="s">
        <v>8</v>
      </c>
      <c r="C6" s="5">
        <v>98</v>
      </c>
    </row>
    <row r="7" spans="1:3">
      <c r="A7" s="2" t="s">
        <v>9</v>
      </c>
      <c r="B7" s="3" t="s">
        <v>8</v>
      </c>
      <c r="C7" s="5">
        <v>17</v>
      </c>
    </row>
    <row r="8" spans="1:3">
      <c r="A8" s="11" t="s">
        <v>10</v>
      </c>
      <c r="B8" s="3" t="s">
        <v>8</v>
      </c>
      <c r="C8" s="5">
        <v>58</v>
      </c>
    </row>
    <row r="9" spans="1:3">
      <c r="A9" s="2"/>
      <c r="B9" s="3"/>
      <c r="C9" s="5"/>
    </row>
    <row r="10" spans="1:3">
      <c r="A10" s="2" t="s">
        <v>11</v>
      </c>
      <c r="B10" s="3" t="s">
        <v>13</v>
      </c>
      <c r="C10" s="5">
        <v>0.95</v>
      </c>
    </row>
    <row r="11" spans="1:3">
      <c r="A11" s="2" t="s">
        <v>12</v>
      </c>
      <c r="B11" s="3" t="s">
        <v>13</v>
      </c>
      <c r="C11" s="5">
        <v>0.8</v>
      </c>
    </row>
    <row r="12" spans="1:3">
      <c r="A12" s="2"/>
      <c r="B12" s="3"/>
      <c r="C12" s="5"/>
    </row>
    <row r="13" spans="1:3">
      <c r="A13" s="2" t="s">
        <v>14</v>
      </c>
      <c r="B13" s="3" t="s">
        <v>8</v>
      </c>
      <c r="C13" s="5">
        <v>12.27</v>
      </c>
    </row>
    <row r="14" spans="1:3">
      <c r="A14" s="2" t="s">
        <v>15</v>
      </c>
      <c r="B14" s="3" t="s">
        <v>8</v>
      </c>
      <c r="C14" s="5">
        <v>12.27</v>
      </c>
    </row>
    <row r="15" spans="1:3">
      <c r="A15" s="2"/>
      <c r="B15" s="3"/>
      <c r="C15" s="5"/>
    </row>
    <row r="16" spans="1:3">
      <c r="A16" s="2" t="s">
        <v>16</v>
      </c>
      <c r="B16" s="3" t="s">
        <v>18</v>
      </c>
      <c r="C16" s="5">
        <v>1567</v>
      </c>
    </row>
    <row r="17" spans="1:3">
      <c r="A17" s="9" t="s">
        <v>17</v>
      </c>
      <c r="B17" s="14" t="s">
        <v>18</v>
      </c>
      <c r="C17" s="10">
        <v>1764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2"/>
  <sheetViews>
    <sheetView zoomScaleNormal="100" workbookViewId="0">
      <selection activeCell="D6" sqref="D6"/>
    </sheetView>
  </sheetViews>
  <sheetFormatPr defaultRowHeight="15"/>
  <cols>
    <col min="1" max="1" width="21.85546875" style="1" bestFit="1" customWidth="1"/>
    <col min="2" max="3" width="9.140625" style="1"/>
    <col min="4" max="4" width="9.140625" style="1" customWidth="1"/>
    <col min="5" max="5" width="9.140625" style="1"/>
    <col min="6" max="6" width="5.5703125" style="1" bestFit="1" customWidth="1"/>
    <col min="7" max="7" width="15.42578125" style="1" bestFit="1" customWidth="1"/>
    <col min="8" max="8" width="14.7109375" style="1" bestFit="1" customWidth="1"/>
    <col min="9" max="16384" width="9.140625" style="1"/>
  </cols>
  <sheetData>
    <row r="1" spans="1:8">
      <c r="A1" s="29" t="s">
        <v>0</v>
      </c>
      <c r="B1" s="23" t="s">
        <v>1</v>
      </c>
      <c r="C1" s="24" t="s">
        <v>23</v>
      </c>
      <c r="D1" s="30" t="s">
        <v>24</v>
      </c>
      <c r="F1" s="31" t="s">
        <v>32</v>
      </c>
      <c r="G1" s="31" t="s">
        <v>36</v>
      </c>
      <c r="H1" s="31" t="s">
        <v>37</v>
      </c>
    </row>
    <row r="2" spans="1:8">
      <c r="A2" s="2" t="s">
        <v>21</v>
      </c>
      <c r="B2" s="3" t="s">
        <v>19</v>
      </c>
      <c r="C2" s="3">
        <v>200</v>
      </c>
      <c r="D2" s="5">
        <v>240</v>
      </c>
      <c r="F2" s="6">
        <v>0</v>
      </c>
      <c r="G2" s="6">
        <f>EXP(-F2)*SIN(2*3.14159*$C$10*F2)</f>
        <v>0</v>
      </c>
      <c r="H2" s="6">
        <f>EXP(-F2)*SIN(2*3.14159*$D$10*(F2-$B$15))</f>
        <v>-0.73879478365813278</v>
      </c>
    </row>
    <row r="3" spans="1:8">
      <c r="A3" s="2" t="s">
        <v>22</v>
      </c>
      <c r="B3" s="3" t="s">
        <v>19</v>
      </c>
      <c r="C3" s="3">
        <f>('Input Data'!C2*'Input Data'!C3*0.01-200)/2</f>
        <v>862.5</v>
      </c>
      <c r="D3" s="5">
        <f>(0.45*'Input Data'!C2-'Ride frequency'!D2)/2</f>
        <v>667.5</v>
      </c>
      <c r="F3" s="6">
        <v>0.1</v>
      </c>
      <c r="G3" s="6">
        <f t="shared" ref="G3:G42" si="0">EXP(-F3)*SIN(2*3.14159*$C$10*F3)</f>
        <v>0.6804407904319566</v>
      </c>
      <c r="H3" s="6">
        <f t="shared" ref="H3:H42" si="1">EXP(-F3)*SIN(2*3.14159*$D$10*(F3-$B$15))</f>
        <v>0.12546833319478884</v>
      </c>
    </row>
    <row r="4" spans="1:8">
      <c r="A4" s="2"/>
      <c r="B4" s="3"/>
      <c r="C4" s="3"/>
      <c r="D4" s="5"/>
      <c r="F4" s="6">
        <v>0.2</v>
      </c>
      <c r="G4" s="6">
        <f t="shared" si="0"/>
        <v>0.8116732696120732</v>
      </c>
      <c r="H4" s="6">
        <f t="shared" si="1"/>
        <v>0.73315564271417333</v>
      </c>
    </row>
    <row r="5" spans="1:8">
      <c r="A5" s="15" t="s">
        <v>25</v>
      </c>
      <c r="B5" s="16" t="s">
        <v>18</v>
      </c>
      <c r="C5" s="16">
        <v>200</v>
      </c>
      <c r="D5" s="17">
        <v>280</v>
      </c>
      <c r="F5" s="6">
        <v>0.3</v>
      </c>
      <c r="G5" s="6">
        <f t="shared" si="0"/>
        <v>0.41111795857755074</v>
      </c>
      <c r="H5" s="6">
        <f t="shared" si="1"/>
        <v>0.64686996168983368</v>
      </c>
    </row>
    <row r="6" spans="1:8">
      <c r="A6" s="11" t="s">
        <v>26</v>
      </c>
      <c r="B6" s="4" t="s">
        <v>13</v>
      </c>
      <c r="C6" s="3">
        <f>'Input Data'!C10</f>
        <v>0.95</v>
      </c>
      <c r="D6" s="5">
        <f>'Input Data'!C11</f>
        <v>0.8</v>
      </c>
      <c r="F6" s="6">
        <v>0.4</v>
      </c>
      <c r="G6" s="6">
        <f t="shared" si="0"/>
        <v>-0.17413408702160574</v>
      </c>
      <c r="H6" s="6">
        <f t="shared" si="1"/>
        <v>6.1117260897990321E-2</v>
      </c>
    </row>
    <row r="7" spans="1:8">
      <c r="A7" s="11" t="s">
        <v>27</v>
      </c>
      <c r="B7" s="4" t="s">
        <v>18</v>
      </c>
      <c r="C7" s="3">
        <f>C5*C6^2</f>
        <v>180.5</v>
      </c>
      <c r="D7" s="5">
        <f>D5*D6^2</f>
        <v>179.20000000000005</v>
      </c>
      <c r="F7" s="6">
        <v>0.5</v>
      </c>
      <c r="G7" s="6">
        <f t="shared" si="0"/>
        <v>-0.54431318573864196</v>
      </c>
      <c r="H7" s="6">
        <f t="shared" si="1"/>
        <v>-0.46712467490792559</v>
      </c>
    </row>
    <row r="8" spans="1:8">
      <c r="A8" s="11" t="s">
        <v>28</v>
      </c>
      <c r="B8" s="4" t="s">
        <v>18</v>
      </c>
      <c r="C8" s="3">
        <f>'Input Data'!C16</f>
        <v>1567</v>
      </c>
      <c r="D8" s="5">
        <f>'Input Data'!C17</f>
        <v>1764</v>
      </c>
      <c r="F8" s="6">
        <v>0.6</v>
      </c>
      <c r="G8" s="6">
        <f t="shared" si="0"/>
        <v>-0.50672262905168874</v>
      </c>
      <c r="H8" s="6">
        <f t="shared" si="1"/>
        <v>-0.52763730768272643</v>
      </c>
    </row>
    <row r="9" spans="1:8">
      <c r="A9" s="11" t="s">
        <v>29</v>
      </c>
      <c r="B9" s="4" t="s">
        <v>18</v>
      </c>
      <c r="C9" s="3">
        <f>(C7*C8)/(C7+C8)</f>
        <v>161.85608011444921</v>
      </c>
      <c r="D9" s="5">
        <f>(D7*D8)/(D7+D8)</f>
        <v>162.67435158501445</v>
      </c>
      <c r="F9" s="6">
        <v>0.7</v>
      </c>
      <c r="G9" s="6">
        <f t="shared" si="0"/>
        <v>-0.15880519792500997</v>
      </c>
      <c r="H9" s="6">
        <f t="shared" si="1"/>
        <v>-0.15701886041200011</v>
      </c>
    </row>
    <row r="10" spans="1:8">
      <c r="A10" s="12" t="s">
        <v>31</v>
      </c>
      <c r="B10" s="13" t="s">
        <v>30</v>
      </c>
      <c r="C10" s="14">
        <f>((386*C9/C3)^0.5)/(2*3.14159)</f>
        <v>1.3545626863587523</v>
      </c>
      <c r="D10" s="10">
        <f>((386*D9/D3)^0.5)/(2*3.14)</f>
        <v>1.5444288858272897</v>
      </c>
      <c r="F10" s="6">
        <v>0.8</v>
      </c>
      <c r="G10" s="6">
        <f t="shared" si="0"/>
        <v>0.22543640853633523</v>
      </c>
      <c r="H10" s="6">
        <f t="shared" si="1"/>
        <v>0.27145329170190052</v>
      </c>
    </row>
    <row r="11" spans="1:8">
      <c r="D11" s="3"/>
      <c r="F11" s="6">
        <v>0.9</v>
      </c>
      <c r="G11" s="6">
        <f t="shared" si="0"/>
        <v>0.3989336576216761</v>
      </c>
      <c r="H11" s="6">
        <f t="shared" si="1"/>
        <v>0.40609609316259648</v>
      </c>
    </row>
    <row r="12" spans="1:8">
      <c r="D12" s="3"/>
      <c r="F12" s="6">
        <v>1</v>
      </c>
      <c r="G12" s="6">
        <f t="shared" si="0"/>
        <v>0.29130184671024439</v>
      </c>
      <c r="H12" s="6">
        <f t="shared" si="1"/>
        <v>0.19295458028236528</v>
      </c>
    </row>
    <row r="13" spans="1:8">
      <c r="A13" s="7" t="s">
        <v>33</v>
      </c>
      <c r="B13" s="8">
        <v>98</v>
      </c>
      <c r="D13" s="3"/>
      <c r="F13" s="6">
        <v>1.1000000000000001</v>
      </c>
      <c r="G13" s="6">
        <f t="shared" si="0"/>
        <v>2.0864209269451539E-2</v>
      </c>
      <c r="H13" s="6">
        <f t="shared" si="1"/>
        <v>-0.13520227700433746</v>
      </c>
    </row>
    <row r="14" spans="1:8">
      <c r="A14" s="2" t="s">
        <v>34</v>
      </c>
      <c r="B14" s="5">
        <v>65</v>
      </c>
      <c r="D14" s="3"/>
      <c r="F14" s="6">
        <v>1.2</v>
      </c>
      <c r="G14" s="6">
        <f t="shared" si="0"/>
        <v>-0.2136096178422722</v>
      </c>
      <c r="H14" s="6">
        <f t="shared" si="1"/>
        <v>-0.29621168403994158</v>
      </c>
    </row>
    <row r="15" spans="1:8">
      <c r="A15" s="9" t="s">
        <v>35</v>
      </c>
      <c r="B15" s="10">
        <f>(0.0254*B13)/(B14*0.44704)</f>
        <v>8.5664335664335664E-2</v>
      </c>
      <c r="D15" s="3"/>
      <c r="F15" s="6">
        <v>1.3</v>
      </c>
      <c r="G15" s="6">
        <f t="shared" si="0"/>
        <v>-0.27188937617350367</v>
      </c>
      <c r="H15" s="6">
        <f t="shared" si="1"/>
        <v>-0.19215919593223091</v>
      </c>
    </row>
    <row r="16" spans="1:8">
      <c r="F16" s="6">
        <v>1.4</v>
      </c>
      <c r="G16" s="6">
        <f t="shared" si="0"/>
        <v>-0.1494382641913555</v>
      </c>
      <c r="H16" s="6">
        <f t="shared" si="1"/>
        <v>4.6049750740209706E-2</v>
      </c>
    </row>
    <row r="17" spans="6:8">
      <c r="F17" s="6">
        <v>1.5</v>
      </c>
      <c r="G17" s="6">
        <f t="shared" si="0"/>
        <v>4.4344679865431037E-2</v>
      </c>
      <c r="H17" s="6">
        <f t="shared" si="1"/>
        <v>0.20440893941646249</v>
      </c>
    </row>
    <row r="18" spans="6:8">
      <c r="F18" s="6">
        <v>1.6</v>
      </c>
      <c r="G18" s="6">
        <f t="shared" si="0"/>
        <v>0.17524687130126812</v>
      </c>
      <c r="H18" s="6">
        <f t="shared" si="1"/>
        <v>0.17128992931423145</v>
      </c>
    </row>
    <row r="19" spans="6:8">
      <c r="F19" s="6">
        <v>1.7</v>
      </c>
      <c r="G19" s="6">
        <f t="shared" si="0"/>
        <v>0.17273931698693867</v>
      </c>
      <c r="H19" s="6">
        <f t="shared" si="1"/>
        <v>7.7747740426609459E-3</v>
      </c>
    </row>
    <row r="20" spans="6:8">
      <c r="F20" s="6">
        <v>1.8</v>
      </c>
      <c r="G20" s="6">
        <f t="shared" si="0"/>
        <v>6.2574496140393052E-2</v>
      </c>
      <c r="H20" s="6">
        <f t="shared" si="1"/>
        <v>-0.13229122976213817</v>
      </c>
    </row>
    <row r="21" spans="6:8">
      <c r="F21" s="6">
        <v>1.9</v>
      </c>
      <c r="G21" s="6">
        <f t="shared" si="0"/>
        <v>-6.6784132232002094E-2</v>
      </c>
      <c r="H21" s="6">
        <f t="shared" si="1"/>
        <v>-0.14162296194311397</v>
      </c>
    </row>
    <row r="22" spans="6:8">
      <c r="F22" s="6">
        <v>2</v>
      </c>
      <c r="G22" s="6">
        <f t="shared" si="0"/>
        <v>-0.13089604621564532</v>
      </c>
      <c r="H22" s="6">
        <f t="shared" si="1"/>
        <v>-3.6487589088585175E-2</v>
      </c>
    </row>
    <row r="23" spans="6:8">
      <c r="F23" s="6">
        <v>2.1</v>
      </c>
      <c r="G23" s="6">
        <f t="shared" si="0"/>
        <v>-0.10146294811952851</v>
      </c>
      <c r="H23" s="6">
        <f t="shared" si="1"/>
        <v>7.8645346236163621E-2</v>
      </c>
    </row>
    <row r="24" spans="6:8">
      <c r="F24" s="6">
        <v>2.2000000000000002</v>
      </c>
      <c r="G24" s="6">
        <f t="shared" si="0"/>
        <v>-1.3862871686083305E-2</v>
      </c>
      <c r="H24" s="6">
        <f t="shared" si="1"/>
        <v>0.11028227416953255</v>
      </c>
    </row>
    <row r="25" spans="6:8" ht="14.25" customHeight="1">
      <c r="F25" s="6">
        <v>2.2999999999999998</v>
      </c>
      <c r="G25" s="6">
        <f t="shared" si="0"/>
        <v>6.6534316440927832E-2</v>
      </c>
      <c r="H25" s="6">
        <f t="shared" si="1"/>
        <v>4.8365702803303157E-2</v>
      </c>
    </row>
    <row r="26" spans="6:8">
      <c r="F26" s="6">
        <v>2.4</v>
      </c>
      <c r="G26" s="6">
        <f t="shared" si="0"/>
        <v>9.0716344998327633E-2</v>
      </c>
      <c r="H26" s="6">
        <f t="shared" si="1"/>
        <v>-4.0841311918025688E-2</v>
      </c>
    </row>
    <row r="27" spans="6:8">
      <c r="F27" s="6">
        <v>2.5</v>
      </c>
      <c r="G27" s="6">
        <f t="shared" si="0"/>
        <v>5.3738564032155753E-2</v>
      </c>
      <c r="H27" s="6">
        <f t="shared" si="1"/>
        <v>-8.1355560029503629E-2</v>
      </c>
    </row>
    <row r="28" spans="6:8">
      <c r="F28" s="6">
        <v>2.6</v>
      </c>
      <c r="G28" s="6">
        <f t="shared" si="0"/>
        <v>-1.0169467230667415E-2</v>
      </c>
      <c r="H28" s="6">
        <f t="shared" si="1"/>
        <v>-4.9741708078242047E-2</v>
      </c>
    </row>
    <row r="29" spans="6:8">
      <c r="F29" s="6">
        <v>2.7</v>
      </c>
      <c r="G29" s="6">
        <f t="shared" si="0"/>
        <v>-5.6128205559549088E-2</v>
      </c>
      <c r="H29" s="6">
        <f t="shared" si="1"/>
        <v>1.5751262863954764E-2</v>
      </c>
    </row>
    <row r="30" spans="6:8">
      <c r="F30" s="6">
        <v>2.8</v>
      </c>
      <c r="G30" s="6">
        <f t="shared" si="0"/>
        <v>-5.8627255825435959E-2</v>
      </c>
      <c r="H30" s="6">
        <f t="shared" si="1"/>
        <v>5.6829509940347259E-2</v>
      </c>
    </row>
    <row r="31" spans="6:8">
      <c r="F31" s="6">
        <v>2.9</v>
      </c>
      <c r="G31" s="6">
        <f t="shared" si="0"/>
        <v>-2.3980450283067212E-2</v>
      </c>
      <c r="H31" s="6">
        <f t="shared" si="1"/>
        <v>4.5207720080678367E-2</v>
      </c>
    </row>
    <row r="32" spans="6:8">
      <c r="F32" s="6">
        <v>3</v>
      </c>
      <c r="G32" s="6">
        <f t="shared" si="0"/>
        <v>1.9394523349252433E-2</v>
      </c>
      <c r="H32" s="6">
        <f t="shared" si="1"/>
        <v>-3.0668225004721656E-4</v>
      </c>
    </row>
    <row r="33" spans="6:8">
      <c r="F33" s="6">
        <v>3.1</v>
      </c>
      <c r="G33" s="6">
        <f t="shared" si="0"/>
        <v>4.276855929709935E-2</v>
      </c>
      <c r="H33" s="6">
        <f t="shared" si="1"/>
        <v>-3.732650950571817E-2</v>
      </c>
    </row>
    <row r="34" spans="6:8">
      <c r="F34" s="6">
        <v>3.2</v>
      </c>
      <c r="G34" s="6">
        <f t="shared" si="0"/>
        <v>3.5138178652020485E-2</v>
      </c>
      <c r="H34" s="6">
        <f t="shared" si="1"/>
        <v>-3.7912368877193785E-2</v>
      </c>
    </row>
    <row r="35" spans="6:8">
      <c r="F35" s="6">
        <v>3.3</v>
      </c>
      <c r="G35" s="6">
        <f t="shared" si="0"/>
        <v>6.8991308192665095E-3</v>
      </c>
      <c r="H35" s="6">
        <f t="shared" si="1"/>
        <v>-8.2020935682479371E-3</v>
      </c>
    </row>
    <row r="36" spans="6:8">
      <c r="F36" s="6">
        <v>3.4</v>
      </c>
      <c r="G36" s="6">
        <f t="shared" si="0"/>
        <v>-2.0538983225658693E-2</v>
      </c>
      <c r="H36" s="6">
        <f t="shared" si="1"/>
        <v>2.2654018211087333E-2</v>
      </c>
    </row>
    <row r="37" spans="6:8">
      <c r="F37" s="6">
        <v>3.5</v>
      </c>
      <c r="G37" s="6">
        <f t="shared" si="0"/>
        <v>-3.0148742645086993E-2</v>
      </c>
      <c r="H37" s="6">
        <f t="shared" si="1"/>
        <v>2.9877281691005227E-2</v>
      </c>
    </row>
    <row r="38" spans="6:8">
      <c r="F38" s="6">
        <v>3.6</v>
      </c>
      <c r="G38" s="6">
        <f t="shared" si="0"/>
        <v>-1.9147450175619092E-2</v>
      </c>
      <c r="H38" s="6">
        <f t="shared" si="1"/>
        <v>1.1999660369047359E-2</v>
      </c>
    </row>
    <row r="39" spans="6:8">
      <c r="F39" s="6">
        <v>3.7</v>
      </c>
      <c r="G39" s="6">
        <f t="shared" si="0"/>
        <v>1.8434002672653126E-3</v>
      </c>
      <c r="H39" s="6">
        <f t="shared" si="1"/>
        <v>-1.2192727902667219E-2</v>
      </c>
    </row>
    <row r="40" spans="6:8">
      <c r="F40" s="6">
        <v>3.8</v>
      </c>
      <c r="G40" s="6">
        <f t="shared" si="0"/>
        <v>1.787553197348175E-2</v>
      </c>
      <c r="H40" s="6">
        <f t="shared" si="1"/>
        <v>-2.2290608975956642E-2</v>
      </c>
    </row>
    <row r="41" spans="6:8">
      <c r="F41" s="6">
        <v>3.9</v>
      </c>
      <c r="G41" s="6">
        <f t="shared" si="0"/>
        <v>1.981382867945089E-2</v>
      </c>
      <c r="H41" s="6">
        <f t="shared" si="1"/>
        <v>-1.2807856410428229E-2</v>
      </c>
    </row>
    <row r="42" spans="6:8">
      <c r="F42" s="6">
        <v>4</v>
      </c>
      <c r="G42" s="6">
        <f t="shared" si="0"/>
        <v>8.999953623856036E-3</v>
      </c>
      <c r="H42" s="6">
        <f t="shared" si="1"/>
        <v>5.1549679089389578E-3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3"/>
  <sheetViews>
    <sheetView zoomScale="80" zoomScaleNormal="80" workbookViewId="0">
      <selection activeCell="G33" sqref="G33"/>
    </sheetView>
  </sheetViews>
  <sheetFormatPr defaultRowHeight="15"/>
  <cols>
    <col min="1" max="1" width="27.85546875" style="1" bestFit="1" customWidth="1"/>
    <col min="2" max="4" width="9.140625" style="1"/>
    <col min="5" max="5" width="50.85546875" style="1" bestFit="1" customWidth="1"/>
    <col min="6" max="6" width="9.140625" style="1"/>
    <col min="7" max="7" width="9.5703125" style="1" bestFit="1" customWidth="1"/>
    <col min="8" max="8" width="9.140625" style="1"/>
    <col min="9" max="9" width="42.85546875" style="1" bestFit="1" customWidth="1"/>
    <col min="10" max="10" width="13.7109375" style="1" bestFit="1" customWidth="1"/>
    <col min="11" max="12" width="9.140625" style="1"/>
    <col min="13" max="13" width="42.85546875" style="1" bestFit="1" customWidth="1"/>
    <col min="14" max="16384" width="9.140625" style="1"/>
  </cols>
  <sheetData>
    <row r="1" spans="1:15">
      <c r="A1" s="22" t="s">
        <v>0</v>
      </c>
      <c r="B1" s="23" t="s">
        <v>1</v>
      </c>
      <c r="C1" s="24" t="s">
        <v>2</v>
      </c>
      <c r="E1" s="25" t="s">
        <v>0</v>
      </c>
      <c r="F1" s="26" t="s">
        <v>1</v>
      </c>
      <c r="G1" s="27" t="s">
        <v>2</v>
      </c>
      <c r="I1" s="28" t="s">
        <v>78</v>
      </c>
      <c r="K1" s="5"/>
    </row>
    <row r="2" spans="1:15">
      <c r="A2" s="2" t="s">
        <v>3</v>
      </c>
      <c r="B2" s="3" t="s">
        <v>19</v>
      </c>
      <c r="C2" s="5">
        <v>3500</v>
      </c>
      <c r="E2" s="1" t="s">
        <v>52</v>
      </c>
      <c r="F2" s="1" t="s">
        <v>53</v>
      </c>
      <c r="G2" s="5">
        <f>C2*C13/C14</f>
        <v>1025.8620689655172</v>
      </c>
      <c r="I2" s="28" t="s">
        <v>79</v>
      </c>
      <c r="K2" s="5"/>
      <c r="M2" s="28" t="s">
        <v>80</v>
      </c>
      <c r="O2" s="5"/>
    </row>
    <row r="3" spans="1:15">
      <c r="A3" s="2" t="s">
        <v>4</v>
      </c>
      <c r="B3" s="3" t="s">
        <v>20</v>
      </c>
      <c r="C3" s="5">
        <v>55</v>
      </c>
      <c r="E3" s="1" t="s">
        <v>54</v>
      </c>
      <c r="F3" s="1" t="s">
        <v>53</v>
      </c>
      <c r="G3" s="5">
        <f>G2*C3*0.01</f>
        <v>564.22413793103453</v>
      </c>
      <c r="I3" s="1" t="s">
        <v>26</v>
      </c>
      <c r="J3" s="1" t="s">
        <v>13</v>
      </c>
      <c r="K3" s="5">
        <v>0.64</v>
      </c>
      <c r="M3" s="1" t="s">
        <v>26</v>
      </c>
      <c r="N3" s="1" t="s">
        <v>13</v>
      </c>
      <c r="O3" s="5">
        <v>0.75</v>
      </c>
    </row>
    <row r="4" spans="1:15">
      <c r="A4" s="2" t="s">
        <v>38</v>
      </c>
      <c r="B4" s="3" t="s">
        <v>19</v>
      </c>
      <c r="C4" s="5">
        <f>C2*0.01*C3</f>
        <v>1925</v>
      </c>
      <c r="E4" s="1" t="s">
        <v>55</v>
      </c>
      <c r="F4" s="1" t="s">
        <v>53</v>
      </c>
      <c r="G4" s="5">
        <f>G3+0.05*G2</f>
        <v>615.51724137931035</v>
      </c>
      <c r="I4" s="1" t="s">
        <v>83</v>
      </c>
      <c r="J4" s="1" t="s">
        <v>8</v>
      </c>
      <c r="K4" s="5">
        <v>8.9</v>
      </c>
      <c r="M4" s="1" t="s">
        <v>83</v>
      </c>
      <c r="N4" s="1" t="s">
        <v>8</v>
      </c>
      <c r="O4" s="5">
        <v>8.51</v>
      </c>
    </row>
    <row r="5" spans="1:15">
      <c r="A5" s="2" t="s">
        <v>39</v>
      </c>
      <c r="B5" s="3" t="s">
        <v>19</v>
      </c>
      <c r="C5" s="5">
        <f>C2-C4</f>
        <v>1575</v>
      </c>
      <c r="G5" s="5"/>
      <c r="I5" s="1" t="s">
        <v>84</v>
      </c>
      <c r="J5" s="1" t="s">
        <v>8</v>
      </c>
      <c r="K5" s="5">
        <v>32</v>
      </c>
      <c r="M5" s="1" t="s">
        <v>84</v>
      </c>
      <c r="N5" s="1" t="s">
        <v>8</v>
      </c>
      <c r="O5" s="5">
        <v>32.28</v>
      </c>
    </row>
    <row r="6" spans="1:15">
      <c r="A6" s="2" t="s">
        <v>42</v>
      </c>
      <c r="B6" s="3" t="s">
        <v>19</v>
      </c>
      <c r="C6" s="5">
        <v>200</v>
      </c>
      <c r="E6" s="1" t="s">
        <v>56</v>
      </c>
      <c r="F6" s="1" t="s">
        <v>53</v>
      </c>
      <c r="G6" s="5">
        <f>C6*C16/C14</f>
        <v>42.310344827586206</v>
      </c>
      <c r="I6" s="1" t="s">
        <v>85</v>
      </c>
      <c r="J6" s="1" t="s">
        <v>8</v>
      </c>
      <c r="K6" s="5">
        <v>10.7</v>
      </c>
      <c r="M6" s="1" t="s">
        <v>85</v>
      </c>
      <c r="N6" s="1" t="s">
        <v>8</v>
      </c>
      <c r="O6" s="5">
        <v>8.59</v>
      </c>
    </row>
    <row r="7" spans="1:15">
      <c r="A7" s="2" t="s">
        <v>43</v>
      </c>
      <c r="B7" s="3" t="s">
        <v>19</v>
      </c>
      <c r="C7" s="5">
        <v>240</v>
      </c>
      <c r="E7" s="1" t="s">
        <v>57</v>
      </c>
      <c r="F7" s="1" t="s">
        <v>53</v>
      </c>
      <c r="G7" s="5">
        <f>C10*(C24/C12)*C19/C14</f>
        <v>14.781465517241379</v>
      </c>
      <c r="I7" s="20" t="s">
        <v>81</v>
      </c>
      <c r="J7" s="20" t="s">
        <v>90</v>
      </c>
      <c r="K7" s="21">
        <v>22.2</v>
      </c>
      <c r="M7" s="20" t="s">
        <v>81</v>
      </c>
      <c r="N7" s="20" t="s">
        <v>90</v>
      </c>
      <c r="O7" s="21">
        <v>15.25</v>
      </c>
    </row>
    <row r="8" spans="1:15">
      <c r="A8" s="2" t="s">
        <v>40</v>
      </c>
      <c r="B8" s="3" t="s">
        <v>19</v>
      </c>
      <c r="C8" s="5">
        <f>C4-C6</f>
        <v>1725</v>
      </c>
      <c r="E8" s="1" t="s">
        <v>58</v>
      </c>
      <c r="F8" s="1" t="s">
        <v>53</v>
      </c>
      <c r="G8" s="5">
        <f>G4-G6-G7</f>
        <v>558.42543103448281</v>
      </c>
      <c r="I8" s="1" t="s">
        <v>82</v>
      </c>
      <c r="J8" s="1" t="s">
        <v>90</v>
      </c>
      <c r="K8" s="5">
        <v>0</v>
      </c>
      <c r="M8" s="1" t="s">
        <v>82</v>
      </c>
      <c r="N8" s="1" t="s">
        <v>90</v>
      </c>
      <c r="O8" s="5">
        <v>0</v>
      </c>
    </row>
    <row r="9" spans="1:15">
      <c r="A9" s="3" t="s">
        <v>41</v>
      </c>
      <c r="B9" s="3" t="s">
        <v>19</v>
      </c>
      <c r="C9" s="5">
        <f>C5-C7</f>
        <v>1335</v>
      </c>
      <c r="G9" s="5"/>
      <c r="I9" s="1" t="s">
        <v>81</v>
      </c>
      <c r="J9" s="1" t="s">
        <v>8</v>
      </c>
      <c r="K9" s="5">
        <f>K7*0.0393701</f>
        <v>0.8740162199999999</v>
      </c>
      <c r="M9" s="1" t="s">
        <v>81</v>
      </c>
      <c r="N9" s="1" t="s">
        <v>8</v>
      </c>
      <c r="O9" s="5">
        <f>O7*0.0393701</f>
        <v>0.60039402499999994</v>
      </c>
    </row>
    <row r="10" spans="1:15">
      <c r="A10" s="3" t="s">
        <v>59</v>
      </c>
      <c r="B10" s="3" t="s">
        <v>19</v>
      </c>
      <c r="C10" s="5">
        <f>C8+C9</f>
        <v>3060</v>
      </c>
      <c r="E10" s="18" t="s">
        <v>60</v>
      </c>
      <c r="F10" s="18" t="s">
        <v>61</v>
      </c>
      <c r="G10" s="19">
        <v>3.8</v>
      </c>
      <c r="I10" s="1" t="s">
        <v>82</v>
      </c>
      <c r="J10" s="1" t="s">
        <v>8</v>
      </c>
      <c r="K10" s="5">
        <f>K8*0.0393701</f>
        <v>0</v>
      </c>
      <c r="M10" s="1" t="s">
        <v>82</v>
      </c>
      <c r="N10" s="1" t="s">
        <v>8</v>
      </c>
      <c r="O10" s="5">
        <f>O8*0.0393701</f>
        <v>0</v>
      </c>
    </row>
    <row r="11" spans="1:15">
      <c r="A11" s="3"/>
      <c r="B11" s="3"/>
      <c r="C11" s="5"/>
      <c r="G11" s="5"/>
      <c r="K11" s="5"/>
      <c r="O11" s="5"/>
    </row>
    <row r="12" spans="1:15">
      <c r="A12" s="3" t="s">
        <v>7</v>
      </c>
      <c r="B12" s="3" t="s">
        <v>8</v>
      </c>
      <c r="C12" s="5">
        <v>98</v>
      </c>
      <c r="E12" s="1" t="s">
        <v>62</v>
      </c>
      <c r="F12" s="1" t="s">
        <v>63</v>
      </c>
      <c r="G12" s="5">
        <f>C10*C26/12</f>
        <v>4337.3095833333336</v>
      </c>
      <c r="I12" s="1" t="s">
        <v>86</v>
      </c>
      <c r="J12" s="1" t="s">
        <v>18</v>
      </c>
      <c r="K12" s="5">
        <f>500000*(K9^4-K10^4)/((0.4422*K4^2*K5)+(0.2264*K6^3))</f>
        <v>208.67853022218938</v>
      </c>
      <c r="M12" s="1" t="s">
        <v>86</v>
      </c>
      <c r="N12" s="1" t="s">
        <v>18</v>
      </c>
      <c r="O12" s="5">
        <f>500000*(O9^4-O10^4)/((0.4422*O4^2*O5)+(0.2264*O6^3))</f>
        <v>55.188665934891034</v>
      </c>
    </row>
    <row r="13" spans="1:15">
      <c r="A13" s="3" t="s">
        <v>9</v>
      </c>
      <c r="B13" s="3" t="s">
        <v>8</v>
      </c>
      <c r="C13" s="5">
        <v>17</v>
      </c>
      <c r="E13" s="1" t="s">
        <v>64</v>
      </c>
      <c r="F13" s="1" t="s">
        <v>63</v>
      </c>
      <c r="G13" s="5">
        <f>C10*C26*G10*(PI()/180)/12</f>
        <v>287.66126504838616</v>
      </c>
      <c r="I13" s="1" t="s">
        <v>87</v>
      </c>
      <c r="J13" s="1" t="s">
        <v>18</v>
      </c>
      <c r="K13" s="5">
        <f>K12*K3^2</f>
        <v>85.474725979008781</v>
      </c>
      <c r="M13" s="1" t="s">
        <v>87</v>
      </c>
      <c r="N13" s="1" t="s">
        <v>18</v>
      </c>
      <c r="O13" s="5">
        <f>O12*O3^2</f>
        <v>31.043624588376208</v>
      </c>
    </row>
    <row r="14" spans="1:15">
      <c r="A14" s="4" t="s">
        <v>10</v>
      </c>
      <c r="B14" s="3" t="s">
        <v>8</v>
      </c>
      <c r="C14" s="5">
        <v>58</v>
      </c>
      <c r="E14" s="1" t="s">
        <v>65</v>
      </c>
      <c r="F14" s="1" t="s">
        <v>63</v>
      </c>
      <c r="G14" s="5">
        <f>G12+G13</f>
        <v>4624.9708483817194</v>
      </c>
      <c r="I14" s="1" t="s">
        <v>88</v>
      </c>
      <c r="J14" s="1" t="s">
        <v>18</v>
      </c>
      <c r="K14" s="5">
        <f>K13*2</f>
        <v>170.94945195801756</v>
      </c>
      <c r="M14" s="1" t="s">
        <v>88</v>
      </c>
      <c r="N14" s="1" t="s">
        <v>18</v>
      </c>
      <c r="O14" s="5">
        <f>O13*2</f>
        <v>62.087249176752415</v>
      </c>
    </row>
    <row r="15" spans="1:15">
      <c r="A15" s="3" t="s">
        <v>9</v>
      </c>
      <c r="B15" s="3" t="s">
        <v>8</v>
      </c>
      <c r="C15" s="5">
        <v>17</v>
      </c>
      <c r="E15" s="1" t="s">
        <v>66</v>
      </c>
      <c r="F15" s="1" t="s">
        <v>67</v>
      </c>
      <c r="G15" s="5">
        <f>G14/G10</f>
        <v>1217.0975916794</v>
      </c>
      <c r="I15" s="1" t="s">
        <v>89</v>
      </c>
      <c r="J15" s="1" t="s">
        <v>67</v>
      </c>
      <c r="K15" s="5">
        <f>K14*C14^2/(2*12*180/PI())</f>
        <v>418.20558255914284</v>
      </c>
      <c r="M15" s="1" t="s">
        <v>89</v>
      </c>
      <c r="N15" s="1" t="s">
        <v>67</v>
      </c>
      <c r="O15" s="5">
        <f>O14*C14^2/(2*12*180/PI())</f>
        <v>151.88837351660564</v>
      </c>
    </row>
    <row r="16" spans="1:15">
      <c r="A16" s="3" t="s">
        <v>14</v>
      </c>
      <c r="B16" s="3" t="s">
        <v>8</v>
      </c>
      <c r="C16" s="5">
        <v>12.27</v>
      </c>
      <c r="G16" s="5"/>
    </row>
    <row r="17" spans="1:7">
      <c r="A17" s="3" t="s">
        <v>15</v>
      </c>
      <c r="B17" s="3" t="s">
        <v>8</v>
      </c>
      <c r="C17" s="5">
        <v>12.27</v>
      </c>
      <c r="E17" s="1" t="s">
        <v>68</v>
      </c>
      <c r="F17" s="1" t="s">
        <v>67</v>
      </c>
      <c r="G17" s="5">
        <f>G8*C14/(12*G10)</f>
        <v>710.27796052631595</v>
      </c>
    </row>
    <row r="18" spans="1:7">
      <c r="A18" s="3"/>
      <c r="B18" s="3"/>
      <c r="C18" s="5"/>
      <c r="E18" s="1" t="s">
        <v>69</v>
      </c>
      <c r="F18" s="1" t="s">
        <v>67</v>
      </c>
      <c r="G18" s="5">
        <f>G15-G17</f>
        <v>506.81963115308406</v>
      </c>
    </row>
    <row r="19" spans="1:7">
      <c r="A19" s="3" t="s">
        <v>44</v>
      </c>
      <c r="B19" s="3" t="s">
        <v>8</v>
      </c>
      <c r="C19" s="5">
        <v>0.497</v>
      </c>
      <c r="G19" s="5"/>
    </row>
    <row r="20" spans="1:7">
      <c r="A20" s="3" t="s">
        <v>45</v>
      </c>
      <c r="B20" s="3" t="s">
        <v>8</v>
      </c>
      <c r="C20" s="5">
        <v>0.89600000000000002</v>
      </c>
      <c r="E20" s="1" t="s">
        <v>70</v>
      </c>
      <c r="F20" s="1" t="s">
        <v>67</v>
      </c>
      <c r="G20" s="5">
        <f>('Ride frequency'!C7*'Roll gradient'!C14^2)/(2*12*180/PI())</f>
        <v>441.56975519560871</v>
      </c>
    </row>
    <row r="21" spans="1:7">
      <c r="A21" s="3" t="s">
        <v>46</v>
      </c>
      <c r="B21" s="3" t="s">
        <v>8</v>
      </c>
      <c r="C21" s="5">
        <f>C5*C12/C2</f>
        <v>44.1</v>
      </c>
      <c r="E21" s="1" t="s">
        <v>71</v>
      </c>
      <c r="F21" s="1" t="s">
        <v>67</v>
      </c>
      <c r="G21" s="5">
        <f>('Ride frequency'!D7*'Roll gradient'!C14^2)/(2*12*180/PI())</f>
        <v>438.38947441026647</v>
      </c>
    </row>
    <row r="22" spans="1:7">
      <c r="A22" s="3" t="s">
        <v>47</v>
      </c>
      <c r="B22" s="3" t="s">
        <v>8</v>
      </c>
      <c r="C22" s="5">
        <f>C12-C21</f>
        <v>53.9</v>
      </c>
      <c r="G22" s="5"/>
    </row>
    <row r="23" spans="1:7">
      <c r="A23" s="3" t="s">
        <v>48</v>
      </c>
      <c r="B23" s="3" t="s">
        <v>8</v>
      </c>
      <c r="C23" s="5">
        <f>C12-C24</f>
        <v>42.754901960784316</v>
      </c>
      <c r="E23" s="1" t="s">
        <v>72</v>
      </c>
      <c r="F23" s="1" t="s">
        <v>67</v>
      </c>
      <c r="G23" s="5">
        <f>'Ride frequency'!C8*'Roll gradient'!C14^2/(2*12*180/PI())</f>
        <v>3833.4615312549518</v>
      </c>
    </row>
    <row r="24" spans="1:7">
      <c r="A24" s="3" t="s">
        <v>49</v>
      </c>
      <c r="B24" s="3" t="s">
        <v>8</v>
      </c>
      <c r="C24" s="5">
        <f>(C2*C22-C6*C12)/(C8+C9)</f>
        <v>55.245098039215684</v>
      </c>
      <c r="E24" s="1" t="s">
        <v>73</v>
      </c>
      <c r="F24" s="1" t="s">
        <v>67</v>
      </c>
      <c r="G24" s="5">
        <f>'Ride frequency'!D8*'Roll gradient'!C14^2/(2*12*180/PI())</f>
        <v>4315.3963887260597</v>
      </c>
    </row>
    <row r="25" spans="1:7">
      <c r="A25" s="3" t="s">
        <v>50</v>
      </c>
      <c r="B25" s="3" t="s">
        <v>8</v>
      </c>
      <c r="C25" s="5">
        <f>(C2*C15-C6*C16-C7*C17)/(C8+C9)</f>
        <v>17.680130718954249</v>
      </c>
      <c r="G25" s="5"/>
    </row>
    <row r="26" spans="1:7">
      <c r="A26" s="3" t="s">
        <v>51</v>
      </c>
      <c r="B26" s="3" t="s">
        <v>8</v>
      </c>
      <c r="C26" s="5">
        <f>C25-(C19+((C20-C19)*C23/(C23+C24)))</f>
        <v>17.009057189542485</v>
      </c>
      <c r="E26" s="1" t="s">
        <v>74</v>
      </c>
      <c r="F26" s="1" t="s">
        <v>67</v>
      </c>
      <c r="G26" s="5">
        <f>G23*G17/(G23-G17)</f>
        <v>871.81018230722293</v>
      </c>
    </row>
    <row r="27" spans="1:7">
      <c r="E27" s="1" t="s">
        <v>75</v>
      </c>
      <c r="F27" s="1" t="s">
        <v>67</v>
      </c>
      <c r="G27" s="5">
        <f>G24*G18/(G24-G18)</f>
        <v>574.26375920207124</v>
      </c>
    </row>
    <row r="28" spans="1:7">
      <c r="G28" s="5"/>
    </row>
    <row r="29" spans="1:7">
      <c r="E29" s="1" t="s">
        <v>76</v>
      </c>
      <c r="F29" s="1" t="s">
        <v>67</v>
      </c>
      <c r="G29" s="5">
        <f>G26-G20</f>
        <v>430.24042711161422</v>
      </c>
    </row>
    <row r="30" spans="1:7">
      <c r="E30" s="1" t="s">
        <v>77</v>
      </c>
      <c r="F30" s="1" t="s">
        <v>67</v>
      </c>
      <c r="G30" s="5">
        <f>G27-G21</f>
        <v>135.87428479180477</v>
      </c>
    </row>
    <row r="31" spans="1:7">
      <c r="G31" s="5"/>
    </row>
    <row r="32" spans="1:7">
      <c r="E32" s="20" t="s">
        <v>76</v>
      </c>
      <c r="F32" s="20" t="s">
        <v>20</v>
      </c>
      <c r="G32" s="21">
        <f>G29*100/G17</f>
        <v>60.573529100185802</v>
      </c>
    </row>
    <row r="33" spans="5:7">
      <c r="E33" s="20" t="s">
        <v>77</v>
      </c>
      <c r="F33" s="20" t="s">
        <v>20</v>
      </c>
      <c r="G33" s="21">
        <f>G30*100/G18</f>
        <v>26.809199257469992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5"/>
  <sheetViews>
    <sheetView tabSelected="1" zoomScale="90" zoomScaleNormal="90" workbookViewId="0">
      <selection activeCell="G12" sqref="G12"/>
    </sheetView>
  </sheetViews>
  <sheetFormatPr defaultRowHeight="15"/>
  <cols>
    <col min="1" max="1" width="22" bestFit="1" customWidth="1"/>
    <col min="5" max="5" width="47.85546875" bestFit="1" customWidth="1"/>
    <col min="9" max="9" width="47.85546875" bestFit="1" customWidth="1"/>
  </cols>
  <sheetData>
    <row r="1" spans="1:11">
      <c r="A1" s="22" t="s">
        <v>0</v>
      </c>
      <c r="B1" s="23" t="s">
        <v>1</v>
      </c>
      <c r="C1" s="27" t="s">
        <v>2</v>
      </c>
      <c r="E1" s="22" t="s">
        <v>0</v>
      </c>
      <c r="F1" s="23" t="s">
        <v>1</v>
      </c>
      <c r="G1" s="26" t="s">
        <v>2</v>
      </c>
    </row>
    <row r="2" spans="1:11">
      <c r="A2" s="2" t="s">
        <v>3</v>
      </c>
      <c r="B2" s="3" t="s">
        <v>19</v>
      </c>
      <c r="C2" s="5">
        <v>3500</v>
      </c>
      <c r="E2" t="s">
        <v>96</v>
      </c>
      <c r="F2" s="4" t="s">
        <v>53</v>
      </c>
      <c r="G2">
        <f>C2*C7/C6</f>
        <v>607.14285714285711</v>
      </c>
    </row>
    <row r="3" spans="1:11">
      <c r="A3" s="2" t="s">
        <v>4</v>
      </c>
      <c r="B3" s="3" t="s">
        <v>20</v>
      </c>
      <c r="C3" s="5">
        <v>55</v>
      </c>
      <c r="E3" t="s">
        <v>107</v>
      </c>
      <c r="F3" s="4" t="s">
        <v>109</v>
      </c>
      <c r="G3">
        <f>G2/(2*C22)</f>
        <v>1.875563947655051</v>
      </c>
    </row>
    <row r="4" spans="1:11">
      <c r="A4" s="2" t="s">
        <v>91</v>
      </c>
      <c r="B4" s="3" t="s">
        <v>19</v>
      </c>
      <c r="C4" s="5">
        <f>C2*0.01*C3</f>
        <v>1925</v>
      </c>
      <c r="E4" t="s">
        <v>108</v>
      </c>
      <c r="F4" s="4" t="s">
        <v>109</v>
      </c>
      <c r="G4">
        <f>G2/(2*C23)</f>
        <v>1.8661296363783604</v>
      </c>
    </row>
    <row r="5" spans="1:11">
      <c r="A5" s="2" t="s">
        <v>92</v>
      </c>
      <c r="B5" s="3" t="s">
        <v>19</v>
      </c>
      <c r="C5" s="5">
        <f>C2-C4</f>
        <v>1575</v>
      </c>
    </row>
    <row r="6" spans="1:11">
      <c r="A6" s="3" t="s">
        <v>7</v>
      </c>
      <c r="B6" s="3" t="s">
        <v>8</v>
      </c>
      <c r="C6" s="5">
        <v>98</v>
      </c>
      <c r="E6" t="s">
        <v>110</v>
      </c>
      <c r="F6" s="4" t="s">
        <v>61</v>
      </c>
      <c r="G6">
        <f>(G3+G4)*(180/PI())/C6</f>
        <v>2.187584189758093</v>
      </c>
    </row>
    <row r="7" spans="1:11">
      <c r="A7" s="3" t="s">
        <v>9</v>
      </c>
      <c r="B7" s="3" t="s">
        <v>8</v>
      </c>
      <c r="C7" s="5">
        <v>17</v>
      </c>
    </row>
    <row r="8" spans="1:11">
      <c r="A8" s="3" t="s">
        <v>46</v>
      </c>
      <c r="B8" s="3" t="s">
        <v>8</v>
      </c>
      <c r="C8" s="5">
        <f>'Roll gradient'!C21</f>
        <v>44.1</v>
      </c>
    </row>
    <row r="9" spans="1:11">
      <c r="A9" s="3" t="s">
        <v>47</v>
      </c>
      <c r="B9" s="3" t="s">
        <v>8</v>
      </c>
      <c r="C9" s="5">
        <f>'Roll gradient'!C22</f>
        <v>53.9</v>
      </c>
      <c r="E9" t="s">
        <v>111</v>
      </c>
      <c r="F9" t="s">
        <v>8</v>
      </c>
      <c r="G9">
        <v>13.22</v>
      </c>
    </row>
    <row r="10" spans="1:11">
      <c r="A10" s="3" t="s">
        <v>93</v>
      </c>
      <c r="B10" s="3" t="s">
        <v>8</v>
      </c>
      <c r="C10" s="5">
        <v>12.27</v>
      </c>
      <c r="E10" t="s">
        <v>112</v>
      </c>
      <c r="F10" t="s">
        <v>8</v>
      </c>
      <c r="G10">
        <v>60</v>
      </c>
    </row>
    <row r="11" spans="1:11">
      <c r="A11" s="4" t="s">
        <v>94</v>
      </c>
      <c r="B11" s="4" t="s">
        <v>20</v>
      </c>
      <c r="C11" s="38">
        <v>70</v>
      </c>
      <c r="E11" t="s">
        <v>113</v>
      </c>
      <c r="F11" t="s">
        <v>8</v>
      </c>
      <c r="G11">
        <v>15</v>
      </c>
    </row>
    <row r="12" spans="1:11">
      <c r="A12" s="4" t="s">
        <v>95</v>
      </c>
      <c r="B12" s="4" t="s">
        <v>20</v>
      </c>
      <c r="C12" s="38">
        <v>60</v>
      </c>
      <c r="E12" t="s">
        <v>114</v>
      </c>
      <c r="F12" t="s">
        <v>8</v>
      </c>
      <c r="G12">
        <v>110</v>
      </c>
    </row>
    <row r="13" spans="1:11">
      <c r="C13" s="39"/>
    </row>
    <row r="14" spans="1:11">
      <c r="A14" s="15" t="s">
        <v>97</v>
      </c>
      <c r="B14" s="16" t="s">
        <v>18</v>
      </c>
      <c r="C14" s="17">
        <f>'Ride frequency'!C5</f>
        <v>200</v>
      </c>
      <c r="E14" s="33" t="s">
        <v>115</v>
      </c>
      <c r="G14" s="39"/>
      <c r="I14" s="33" t="s">
        <v>127</v>
      </c>
    </row>
    <row r="15" spans="1:11">
      <c r="A15" s="15" t="s">
        <v>98</v>
      </c>
      <c r="B15" s="16" t="s">
        <v>18</v>
      </c>
      <c r="C15" s="17">
        <f>'Ride frequency'!D5</f>
        <v>280</v>
      </c>
      <c r="D15" s="32"/>
      <c r="E15" s="34" t="s">
        <v>116</v>
      </c>
      <c r="F15" s="34" t="s">
        <v>117</v>
      </c>
      <c r="G15" s="39">
        <f>ATAN((G9-C10)/G10)*(180/PI())</f>
        <v>0.90710737843056488</v>
      </c>
      <c r="I15" s="36" t="s">
        <v>128</v>
      </c>
      <c r="J15" s="34" t="s">
        <v>117</v>
      </c>
      <c r="K15">
        <f>ATAN((G9)/G10)*(180/PI())</f>
        <v>12.425634148075472</v>
      </c>
    </row>
    <row r="16" spans="1:11">
      <c r="A16" s="11" t="s">
        <v>99</v>
      </c>
      <c r="B16" s="4" t="s">
        <v>13</v>
      </c>
      <c r="C16" s="38">
        <f>'Input Data'!C10</f>
        <v>0.95</v>
      </c>
      <c r="E16" s="34" t="s">
        <v>118</v>
      </c>
      <c r="F16" s="34" t="s">
        <v>117</v>
      </c>
      <c r="G16" s="39">
        <f>ATAN((G11-C10)/G12)*(180/PI())</f>
        <v>1.421685229346612</v>
      </c>
      <c r="I16" s="36" t="s">
        <v>129</v>
      </c>
      <c r="J16" s="34" t="s">
        <v>117</v>
      </c>
      <c r="K16">
        <f>ATAN((G11)/G12)*(180/PI())</f>
        <v>7.765166018425333</v>
      </c>
    </row>
    <row r="17" spans="1:11">
      <c r="A17" s="11" t="s">
        <v>100</v>
      </c>
      <c r="B17" s="4" t="s">
        <v>13</v>
      </c>
      <c r="C17" s="38">
        <f>'Input Data'!C11</f>
        <v>0.8</v>
      </c>
      <c r="D17" s="4"/>
      <c r="E17" s="34" t="s">
        <v>119</v>
      </c>
      <c r="F17" s="34" t="s">
        <v>117</v>
      </c>
      <c r="G17" s="39">
        <f>ATAN((C7/C6))*(180/PI())</f>
        <v>9.8411317596343881</v>
      </c>
      <c r="I17" s="36" t="s">
        <v>130</v>
      </c>
      <c r="J17" s="34" t="s">
        <v>117</v>
      </c>
      <c r="K17">
        <f>ATAN((C7/C6))*(180/PI())</f>
        <v>9.8411317596343881</v>
      </c>
    </row>
    <row r="18" spans="1:11">
      <c r="A18" s="11" t="s">
        <v>101</v>
      </c>
      <c r="B18" s="4" t="s">
        <v>18</v>
      </c>
      <c r="C18" s="5">
        <f>C14*C16^2</f>
        <v>180.5</v>
      </c>
      <c r="E18" s="34" t="s">
        <v>120</v>
      </c>
      <c r="F18" s="34" t="s">
        <v>117</v>
      </c>
      <c r="G18" s="39">
        <f>ATAN((C7/C6))*(180/PI())</f>
        <v>9.8411317596343881</v>
      </c>
      <c r="I18" s="36" t="s">
        <v>131</v>
      </c>
      <c r="J18" s="34" t="s">
        <v>117</v>
      </c>
      <c r="K18">
        <f>ATAN((C7/C6))*(180/PI())</f>
        <v>9.8411317596343881</v>
      </c>
    </row>
    <row r="19" spans="1:11">
      <c r="A19" s="11" t="s">
        <v>102</v>
      </c>
      <c r="B19" s="4" t="s">
        <v>18</v>
      </c>
      <c r="C19" s="5">
        <f>C15*C17^2</f>
        <v>179.20000000000005</v>
      </c>
      <c r="D19" s="3"/>
      <c r="E19" s="34" t="s">
        <v>121</v>
      </c>
      <c r="F19" s="34" t="s">
        <v>20</v>
      </c>
      <c r="G19" s="39">
        <f>(G15*(C11/100)/G17)*100</f>
        <v>6.4522575290160091</v>
      </c>
      <c r="I19" s="36" t="s">
        <v>132</v>
      </c>
      <c r="J19" s="34" t="s">
        <v>20</v>
      </c>
      <c r="K19">
        <f>(K15*(C12/100)/K17)*100</f>
        <v>75.757348554413227</v>
      </c>
    </row>
    <row r="20" spans="1:11">
      <c r="A20" s="11" t="s">
        <v>103</v>
      </c>
      <c r="B20" s="4" t="s">
        <v>18</v>
      </c>
      <c r="C20" s="5">
        <f>'Input Data'!C16</f>
        <v>1567</v>
      </c>
      <c r="E20" s="34" t="s">
        <v>122</v>
      </c>
      <c r="F20" s="34" t="s">
        <v>20</v>
      </c>
      <c r="G20" s="39">
        <f>(G16*((100-C11)/100)/G18)*100</f>
        <v>4.3339077173358449</v>
      </c>
      <c r="I20" s="36" t="s">
        <v>133</v>
      </c>
      <c r="J20" s="34" t="s">
        <v>20</v>
      </c>
      <c r="K20">
        <f>(K16*((100-C12)/100)/K18)*100</f>
        <v>31.562085370204695</v>
      </c>
    </row>
    <row r="21" spans="1:11">
      <c r="A21" s="11" t="s">
        <v>104</v>
      </c>
      <c r="B21" s="4" t="s">
        <v>18</v>
      </c>
      <c r="C21" s="5">
        <f>'Input Data'!C17</f>
        <v>1764</v>
      </c>
      <c r="D21" s="3"/>
      <c r="E21" s="35" t="s">
        <v>123</v>
      </c>
      <c r="F21" s="32" t="s">
        <v>109</v>
      </c>
      <c r="G21" s="39">
        <f>G3*(1-(G19/100))</f>
        <v>1.7545477316309679</v>
      </c>
      <c r="I21" s="35" t="s">
        <v>123</v>
      </c>
      <c r="J21" s="32" t="s">
        <v>109</v>
      </c>
      <c r="K21">
        <f>G3*(1-(K19/100))</f>
        <v>0.45468643046910151</v>
      </c>
    </row>
    <row r="22" spans="1:11">
      <c r="A22" s="11" t="s">
        <v>105</v>
      </c>
      <c r="B22" s="4" t="s">
        <v>18</v>
      </c>
      <c r="C22" s="5">
        <f>(C18*C20)/(C18+C20)</f>
        <v>161.85608011444921</v>
      </c>
      <c r="E22" s="35" t="s">
        <v>124</v>
      </c>
      <c r="F22" s="32" t="s">
        <v>109</v>
      </c>
      <c r="G22" s="39">
        <f>G4*(1-(G20/100))</f>
        <v>1.7852533000518671</v>
      </c>
      <c r="I22" s="35" t="s">
        <v>124</v>
      </c>
      <c r="J22" s="32" t="s">
        <v>109</v>
      </c>
      <c r="K22">
        <f>G4*(1-(K20/100))</f>
        <v>1.2771402074259317</v>
      </c>
    </row>
    <row r="23" spans="1:11">
      <c r="A23" s="11" t="s">
        <v>106</v>
      </c>
      <c r="B23" s="4" t="s">
        <v>18</v>
      </c>
      <c r="C23" s="5">
        <f>(C19*C21)/(C19+C21)</f>
        <v>162.67435158501445</v>
      </c>
      <c r="G23" s="39"/>
    </row>
    <row r="24" spans="1:11">
      <c r="E24" s="37" t="s">
        <v>125</v>
      </c>
      <c r="F24" s="37" t="s">
        <v>61</v>
      </c>
      <c r="G24" s="40">
        <f>(G21+G22)*(180/PI())/C6</f>
        <v>2.0695475452191943</v>
      </c>
      <c r="I24" s="37" t="s">
        <v>125</v>
      </c>
      <c r="J24" s="37" t="s">
        <v>61</v>
      </c>
      <c r="K24" s="37">
        <f>(K21+K22)*(180/PI())/C6</f>
        <v>1.0125138489766987</v>
      </c>
    </row>
    <row r="25" spans="1:11">
      <c r="E25" t="s">
        <v>126</v>
      </c>
      <c r="F25" t="s">
        <v>20</v>
      </c>
      <c r="G25" s="39">
        <f>(1-(G24/G6))*100</f>
        <v>5.3957532282198244</v>
      </c>
      <c r="I25" t="s">
        <v>126</v>
      </c>
      <c r="J25" t="s">
        <v>20</v>
      </c>
      <c r="K25">
        <f>(1-(K24/G6))*100</f>
        <v>53.715433960570699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Data</vt:lpstr>
      <vt:lpstr>Ride frequency</vt:lpstr>
      <vt:lpstr>Roll gradient</vt:lpstr>
      <vt:lpstr>Pitch gradient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jain</dc:creator>
  <cp:lastModifiedBy>shashwat jain</cp:lastModifiedBy>
  <dcterms:created xsi:type="dcterms:W3CDTF">2017-10-03T12:39:04Z</dcterms:created>
  <dcterms:modified xsi:type="dcterms:W3CDTF">2017-10-07T07:53:07Z</dcterms:modified>
</cp:coreProperties>
</file>