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Roll gradient" sheetId="3" r:id="rId1"/>
    <sheet name="Understeer gradient" sheetId="5" r:id="rId2"/>
  </sheets>
  <calcPr calcId="125725"/>
</workbook>
</file>

<file path=xl/calcChain.xml><?xml version="1.0" encoding="utf-8"?>
<calcChain xmlns="http://schemas.openxmlformats.org/spreadsheetml/2006/main">
  <c r="E12" i="5"/>
  <c r="D12" s="1"/>
  <c r="E13"/>
  <c r="Q4" s="1"/>
  <c r="Q10"/>
  <c r="P10"/>
  <c r="Q8"/>
  <c r="P8"/>
  <c r="Q7"/>
  <c r="Q6"/>
  <c r="P6"/>
  <c r="H13"/>
  <c r="H12"/>
  <c r="F13"/>
  <c r="F12"/>
  <c r="C13"/>
  <c r="C12"/>
  <c r="Q9" l="1"/>
  <c r="D13"/>
  <c r="P7"/>
  <c r="R7" s="1"/>
  <c r="P4"/>
  <c r="P9"/>
  <c r="R6"/>
  <c r="I13"/>
  <c r="G13"/>
  <c r="B13"/>
  <c r="I12"/>
  <c r="G12"/>
  <c r="R10"/>
  <c r="R8"/>
  <c r="Q5"/>
  <c r="B12"/>
  <c r="H4"/>
  <c r="H5"/>
  <c r="H6"/>
  <c r="H3"/>
  <c r="F4"/>
  <c r="F5"/>
  <c r="F6"/>
  <c r="F3"/>
  <c r="D4"/>
  <c r="D5"/>
  <c r="D6"/>
  <c r="D3"/>
  <c r="B4"/>
  <c r="B5"/>
  <c r="B6"/>
  <c r="B3"/>
  <c r="G24" i="3"/>
  <c r="G23"/>
  <c r="G21"/>
  <c r="G20"/>
  <c r="C32"/>
  <c r="C33"/>
  <c r="C17"/>
  <c r="C15"/>
  <c r="R9" i="5" l="1"/>
  <c r="P5"/>
  <c r="R5" s="1"/>
  <c r="R4"/>
  <c r="O10" i="3"/>
  <c r="O9"/>
  <c r="O12" s="1"/>
  <c r="O13" s="1"/>
  <c r="O14" s="1"/>
  <c r="O15" s="1"/>
  <c r="K10"/>
  <c r="K9"/>
  <c r="G6"/>
  <c r="R11" i="5" l="1"/>
  <c r="S9" s="1"/>
  <c r="K12" i="3"/>
  <c r="K13" s="1"/>
  <c r="K14" s="1"/>
  <c r="K15" s="1"/>
  <c r="G2"/>
  <c r="G3" s="1"/>
  <c r="G4" s="1"/>
  <c r="C4"/>
  <c r="C5" s="1"/>
  <c r="S4" i="5" l="1"/>
  <c r="S8"/>
  <c r="S7"/>
  <c r="S6"/>
  <c r="S5"/>
  <c r="S10"/>
  <c r="C8" i="3"/>
  <c r="C21"/>
  <c r="C9"/>
  <c r="S11" i="5" l="1"/>
  <c r="C22" i="3"/>
  <c r="C10"/>
  <c r="C25"/>
  <c r="C24" l="1"/>
  <c r="C23" s="1"/>
  <c r="C26" s="1"/>
  <c r="G7" l="1"/>
  <c r="G8" s="1"/>
  <c r="G17" s="1"/>
  <c r="G26" s="1"/>
  <c r="G12"/>
  <c r="G13"/>
  <c r="G29" l="1"/>
  <c r="K18"/>
  <c r="G14"/>
  <c r="G15" s="1"/>
  <c r="G18" s="1"/>
  <c r="G27" s="1"/>
  <c r="G30" l="1"/>
  <c r="K19"/>
</calcChain>
</file>

<file path=xl/sharedStrings.xml><?xml version="1.0" encoding="utf-8"?>
<sst xmlns="http://schemas.openxmlformats.org/spreadsheetml/2006/main" count="219" uniqueCount="109">
  <si>
    <t>Parameters</t>
  </si>
  <si>
    <t>Units</t>
  </si>
  <si>
    <t>Value</t>
  </si>
  <si>
    <t>Total weight</t>
  </si>
  <si>
    <t>%distribution</t>
  </si>
  <si>
    <t>Wheelbase</t>
  </si>
  <si>
    <t>in</t>
  </si>
  <si>
    <t>CG height</t>
  </si>
  <si>
    <t>Trackwidth</t>
  </si>
  <si>
    <t>in/in</t>
  </si>
  <si>
    <t>Front tire loaded radius</t>
  </si>
  <si>
    <t>Rear tire loaded radius</t>
  </si>
  <si>
    <t>lb/in</t>
  </si>
  <si>
    <t>lb</t>
  </si>
  <si>
    <t>%</t>
  </si>
  <si>
    <t>Front</t>
  </si>
  <si>
    <t>Rear</t>
  </si>
  <si>
    <t>Motion ratio</t>
  </si>
  <si>
    <t>Front axle weight</t>
  </si>
  <si>
    <t>Rear axle weight</t>
  </si>
  <si>
    <t>Front axle sprung mass</t>
  </si>
  <si>
    <t>Rear axle sprung mass</t>
  </si>
  <si>
    <t>Front axle unsprung mass</t>
  </si>
  <si>
    <t>Rear axle unsprung mass</t>
  </si>
  <si>
    <t>Front roll center height</t>
  </si>
  <si>
    <t>Rear roll center height</t>
  </si>
  <si>
    <t>Front axle to CG</t>
  </si>
  <si>
    <t>Rear axle to CG</t>
  </si>
  <si>
    <t>Front axle to sprung CG</t>
  </si>
  <si>
    <t>Rear axle to sprung CG</t>
  </si>
  <si>
    <t>Sprung mass CG height</t>
  </si>
  <si>
    <t>Sprung mass roll moment arm</t>
  </si>
  <si>
    <t>Total lateral load transfer</t>
  </si>
  <si>
    <t>lb/g</t>
  </si>
  <si>
    <t>Lateral load transfer on front axle</t>
  </si>
  <si>
    <t>Desired lateral load transfer on front axle</t>
  </si>
  <si>
    <t>Front lateral load transfer due to unsprung mass</t>
  </si>
  <si>
    <t>Front lateral load transfer due to sprung mass</t>
  </si>
  <si>
    <t>Front lateral load transfer due to roll</t>
  </si>
  <si>
    <t>Sprung mass</t>
  </si>
  <si>
    <t>deg/g</t>
  </si>
  <si>
    <t>Roll moment per g of lateral acceleration(lateral comp)</t>
  </si>
  <si>
    <t>ft-lb/g</t>
  </si>
  <si>
    <t>Roll moment per g of lateral acceleration(gravity comp)</t>
  </si>
  <si>
    <t>Total roll moment per g of lateral accelearation</t>
  </si>
  <si>
    <t>Total roll stiffness</t>
  </si>
  <si>
    <t>ft-lb/deg</t>
  </si>
  <si>
    <t xml:space="preserve">Front roll stiffness satisfying desired load transfer </t>
  </si>
  <si>
    <t>Rear roll stiffness</t>
  </si>
  <si>
    <t>Front roll stiffness from wheel rate</t>
  </si>
  <si>
    <t>Rear roll stiffness from wheel rate</t>
  </si>
  <si>
    <t>Front roll stiffness from tire rate</t>
  </si>
  <si>
    <t>Rear roll stiffness from tire rate</t>
  </si>
  <si>
    <t>Front roll stiffness after tire effect removed</t>
  </si>
  <si>
    <t>Rear roll stiffness after tire effect removed</t>
  </si>
  <si>
    <t>Front auxiliary roll stiffness</t>
  </si>
  <si>
    <t>Rear auxiliary roll stiffness</t>
  </si>
  <si>
    <t>Anti-roll bar sizing</t>
  </si>
  <si>
    <t>FRONT</t>
  </si>
  <si>
    <t>REAR</t>
  </si>
  <si>
    <t>OD</t>
  </si>
  <si>
    <t>ID</t>
  </si>
  <si>
    <t>Virtual torque arm(A)</t>
  </si>
  <si>
    <t>Centre length(B)</t>
  </si>
  <si>
    <t>Physical torque arm©</t>
  </si>
  <si>
    <t>Arb spring rate for one wheel jounce</t>
  </si>
  <si>
    <t>Arb effective spring rate for one wheel jounce</t>
  </si>
  <si>
    <t>Arb effective spring rate for roll</t>
  </si>
  <si>
    <t>Arb effective torsional rate</t>
  </si>
  <si>
    <t>mm</t>
  </si>
  <si>
    <t>Spring rate front</t>
  </si>
  <si>
    <t>Spring rate rear</t>
  </si>
  <si>
    <t>Motion ratio front</t>
  </si>
  <si>
    <t>Motion ratio rear</t>
  </si>
  <si>
    <t>Roll gradient</t>
  </si>
  <si>
    <t>Wheel rate front</t>
  </si>
  <si>
    <t>Wheel rate rear</t>
  </si>
  <si>
    <t>Tire rate front</t>
  </si>
  <si>
    <t>Tire rate rear</t>
  </si>
  <si>
    <t>Normal load</t>
  </si>
  <si>
    <t>N</t>
  </si>
  <si>
    <t>Cornering stiffness</t>
  </si>
  <si>
    <t>Camber stiffness</t>
  </si>
  <si>
    <t>Aligning stiffness</t>
  </si>
  <si>
    <t>lb/deg</t>
  </si>
  <si>
    <t>N/deg</t>
  </si>
  <si>
    <t>N-m/deg</t>
  </si>
  <si>
    <t>Cornering compliance contributions</t>
  </si>
  <si>
    <t>Weight distribution</t>
  </si>
  <si>
    <t>Rigid body Aligning torque</t>
  </si>
  <si>
    <t>Roll Steer</t>
  </si>
  <si>
    <t>Roll Camber</t>
  </si>
  <si>
    <t>Lateral force compliance steer</t>
  </si>
  <si>
    <t>Lateral force compliance camber</t>
  </si>
  <si>
    <t>Aligning torque compliance steer</t>
  </si>
  <si>
    <t>Understeer budget sheet</t>
  </si>
  <si>
    <t>Cornering compliance(deg/g)</t>
  </si>
  <si>
    <t>Understeer(deg/g)</t>
  </si>
  <si>
    <t>% contribution</t>
  </si>
  <si>
    <t>Total</t>
  </si>
  <si>
    <t>(Front-Rear)</t>
  </si>
  <si>
    <t>Interpolation</t>
  </si>
  <si>
    <t>Tire response</t>
  </si>
  <si>
    <t>Slip angle</t>
  </si>
  <si>
    <t>camber</t>
  </si>
  <si>
    <t>lateral force</t>
  </si>
  <si>
    <t>Aligning moment</t>
  </si>
  <si>
    <t>N/g</t>
  </si>
  <si>
    <t>Nm/g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</si>
</sst>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4" fontId="0" fillId="0" borderId="4" xfId="0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1" fillId="2" borderId="0" xfId="0" applyNumberFormat="1" applyFont="1" applyFill="1"/>
    <xf numFmtId="164" fontId="1" fillId="2" borderId="5" xfId="0" applyNumberFormat="1" applyFont="1" applyFill="1" applyBorder="1"/>
    <xf numFmtId="164" fontId="2" fillId="0" borderId="1" xfId="0" applyNumberFormat="1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 applyFill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164" fontId="2" fillId="0" borderId="0" xfId="0" applyNumberFormat="1" applyFont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Fill="1" applyBorder="1" applyAlignment="1"/>
    <xf numFmtId="0" fontId="0" fillId="0" borderId="9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2" borderId="1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2" borderId="0" xfId="0" applyNumberFormat="1" applyFill="1"/>
    <xf numFmtId="164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8.1090054742065099E-2"/>
                  <c:y val="0.25616669344903314"/>
                </c:manualLayout>
              </c:layout>
              <c:numFmt formatCode="General" sourceLinked="0"/>
            </c:trendlineLbl>
          </c:trendline>
          <c:xVal>
            <c:numRef>
              <c:f>'Understeer gradient'!$B$3:$B$6</c:f>
              <c:numCache>
                <c:formatCode>General</c:formatCode>
                <c:ptCount val="4"/>
                <c:pt idx="0">
                  <c:v>2224.1108141254504</c:v>
                </c:pt>
                <c:pt idx="1">
                  <c:v>4448.2216282509007</c:v>
                </c:pt>
                <c:pt idx="2">
                  <c:v>6672.3324423763506</c:v>
                </c:pt>
                <c:pt idx="3">
                  <c:v>8896.4432565018014</c:v>
                </c:pt>
              </c:numCache>
            </c:numRef>
          </c:xVal>
          <c:yVal>
            <c:numRef>
              <c:f>'Understeer gradient'!$D$3:$D$6</c:f>
              <c:numCache>
                <c:formatCode>General</c:formatCode>
                <c:ptCount val="4"/>
                <c:pt idx="0">
                  <c:v>743.87610289239808</c:v>
                </c:pt>
                <c:pt idx="1">
                  <c:v>1166.1902642785387</c:v>
                </c:pt>
                <c:pt idx="2">
                  <c:v>1342.2508763247092</c:v>
                </c:pt>
                <c:pt idx="3">
                  <c:v>1200.397088599788</c:v>
                </c:pt>
              </c:numCache>
            </c:numRef>
          </c:yVal>
          <c:smooth val="1"/>
        </c:ser>
        <c:axId val="82536704"/>
        <c:axId val="82546688"/>
      </c:scatterChart>
      <c:valAx>
        <c:axId val="82536704"/>
        <c:scaling>
          <c:orientation val="minMax"/>
        </c:scaling>
        <c:axPos val="b"/>
        <c:numFmt formatCode="General" sourceLinked="1"/>
        <c:tickLblPos val="nextTo"/>
        <c:crossAx val="82546688"/>
        <c:crosses val="autoZero"/>
        <c:crossBetween val="midCat"/>
      </c:valAx>
      <c:valAx>
        <c:axId val="82546688"/>
        <c:scaling>
          <c:orientation val="minMax"/>
        </c:scaling>
        <c:axPos val="l"/>
        <c:majorGridlines/>
        <c:numFmt formatCode="General" sourceLinked="1"/>
        <c:tickLblPos val="nextTo"/>
        <c:crossAx val="825367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21301312410054726"/>
                  <c:y val="0.52402994707628758"/>
                </c:manualLayout>
              </c:layout>
              <c:numFmt formatCode="General" sourceLinked="0"/>
            </c:trendlineLbl>
          </c:trendline>
          <c:xVal>
            <c:numRef>
              <c:f>'Understeer gradient'!$B$3:$B$6</c:f>
              <c:numCache>
                <c:formatCode>General</c:formatCode>
                <c:ptCount val="4"/>
                <c:pt idx="0">
                  <c:v>2224.1108141254504</c:v>
                </c:pt>
                <c:pt idx="1">
                  <c:v>4448.2216282509007</c:v>
                </c:pt>
                <c:pt idx="2">
                  <c:v>6672.3324423763506</c:v>
                </c:pt>
                <c:pt idx="3">
                  <c:v>8896.4432565018014</c:v>
                </c:pt>
              </c:numCache>
            </c:numRef>
          </c:xVal>
          <c:yVal>
            <c:numRef>
              <c:f>'Understeer gradient'!$F$3:$F$6</c:f>
              <c:numCache>
                <c:formatCode>General</c:formatCode>
                <c:ptCount val="4"/>
                <c:pt idx="0">
                  <c:v>37.231615028460034</c:v>
                </c:pt>
                <c:pt idx="1">
                  <c:v>79.000416117735995</c:v>
                </c:pt>
                <c:pt idx="2">
                  <c:v>112.54000719474779</c:v>
                </c:pt>
                <c:pt idx="3">
                  <c:v>133.00182668470191</c:v>
                </c:pt>
              </c:numCache>
            </c:numRef>
          </c:yVal>
          <c:smooth val="1"/>
        </c:ser>
        <c:axId val="82554240"/>
        <c:axId val="82572416"/>
      </c:scatterChart>
      <c:valAx>
        <c:axId val="82554240"/>
        <c:scaling>
          <c:orientation val="minMax"/>
        </c:scaling>
        <c:axPos val="b"/>
        <c:numFmt formatCode="General" sourceLinked="1"/>
        <c:tickLblPos val="nextTo"/>
        <c:crossAx val="82572416"/>
        <c:crosses val="autoZero"/>
        <c:crossBetween val="midCat"/>
      </c:valAx>
      <c:valAx>
        <c:axId val="82572416"/>
        <c:scaling>
          <c:orientation val="minMax"/>
        </c:scaling>
        <c:axPos val="l"/>
        <c:majorGridlines/>
        <c:numFmt formatCode="General" sourceLinked="1"/>
        <c:tickLblPos val="nextTo"/>
        <c:crossAx val="8255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438947678296097"/>
                  <c:y val="0.48717454621969736"/>
                </c:manualLayout>
              </c:layout>
              <c:numFmt formatCode="General" sourceLinked="0"/>
            </c:trendlineLbl>
          </c:trendline>
          <c:xVal>
            <c:numRef>
              <c:f>'Understeer gradient'!$B$3:$B$6</c:f>
              <c:numCache>
                <c:formatCode>General</c:formatCode>
                <c:ptCount val="4"/>
                <c:pt idx="0">
                  <c:v>2224.1108141254504</c:v>
                </c:pt>
                <c:pt idx="1">
                  <c:v>4448.2216282509007</c:v>
                </c:pt>
                <c:pt idx="2">
                  <c:v>6672.3324423763506</c:v>
                </c:pt>
                <c:pt idx="3">
                  <c:v>8896.4432565018014</c:v>
                </c:pt>
              </c:numCache>
            </c:numRef>
          </c:xVal>
          <c:yVal>
            <c:numRef>
              <c:f>'Understeer gradient'!$H$3:$H$6</c:f>
              <c:numCache>
                <c:formatCode>General</c:formatCode>
                <c:ptCount val="4"/>
                <c:pt idx="0">
                  <c:v>12.568432417736405</c:v>
                </c:pt>
                <c:pt idx="1">
                  <c:v>47.616326484455506</c:v>
                </c:pt>
                <c:pt idx="2">
                  <c:v>77.634135948175469</c:v>
                </c:pt>
                <c:pt idx="3">
                  <c:v>102.17444088464029</c:v>
                </c:pt>
              </c:numCache>
            </c:numRef>
          </c:yVal>
          <c:smooth val="1"/>
        </c:ser>
        <c:axId val="82601088"/>
        <c:axId val="82602624"/>
      </c:scatterChart>
      <c:valAx>
        <c:axId val="82601088"/>
        <c:scaling>
          <c:orientation val="minMax"/>
        </c:scaling>
        <c:axPos val="b"/>
        <c:numFmt formatCode="General" sourceLinked="1"/>
        <c:tickLblPos val="nextTo"/>
        <c:crossAx val="82602624"/>
        <c:crosses val="autoZero"/>
        <c:crossBetween val="midCat"/>
      </c:valAx>
      <c:valAx>
        <c:axId val="82602624"/>
        <c:scaling>
          <c:orientation val="minMax"/>
        </c:scaling>
        <c:axPos val="l"/>
        <c:majorGridlines/>
        <c:numFmt formatCode="General" sourceLinked="1"/>
        <c:tickLblPos val="nextTo"/>
        <c:crossAx val="8260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'Understeer gradient'!$S$4:$S$10</c:f>
              <c:numCache>
                <c:formatCode>General</c:formatCode>
                <c:ptCount val="7"/>
                <c:pt idx="0">
                  <c:v>10.301062766299411</c:v>
                </c:pt>
                <c:pt idx="1">
                  <c:v>-3.6665508531142484E-2</c:v>
                </c:pt>
                <c:pt idx="2">
                  <c:v>30.760046900885285</c:v>
                </c:pt>
                <c:pt idx="3">
                  <c:v>16.39033644240822</c:v>
                </c:pt>
                <c:pt idx="4">
                  <c:v>8.4869258259656739</c:v>
                </c:pt>
                <c:pt idx="5">
                  <c:v>4.5820467536693137</c:v>
                </c:pt>
                <c:pt idx="6">
                  <c:v>29.51624681930322</c:v>
                </c:pt>
              </c:numCache>
            </c:numRef>
          </c:val>
        </c:ser>
        <c:axId val="83668992"/>
        <c:axId val="83761792"/>
      </c:barChart>
      <c:catAx>
        <c:axId val="83668992"/>
        <c:scaling>
          <c:orientation val="minMax"/>
        </c:scaling>
        <c:axPos val="l"/>
        <c:tickLblPos val="nextTo"/>
        <c:crossAx val="83761792"/>
        <c:crosses val="autoZero"/>
        <c:auto val="1"/>
        <c:lblAlgn val="ctr"/>
        <c:lblOffset val="100"/>
      </c:catAx>
      <c:valAx>
        <c:axId val="83761792"/>
        <c:scaling>
          <c:orientation val="minMax"/>
        </c:scaling>
        <c:axPos val="b"/>
        <c:majorGridlines/>
        <c:numFmt formatCode="General" sourceLinked="1"/>
        <c:tickLblPos val="nextTo"/>
        <c:crossAx val="8366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104775</xdr:rowOff>
    </xdr:from>
    <xdr:to>
      <xdr:col>4</xdr:col>
      <xdr:colOff>504824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15</xdr:row>
      <xdr:rowOff>104776</xdr:rowOff>
    </xdr:from>
    <xdr:to>
      <xdr:col>9</xdr:col>
      <xdr:colOff>819150</xdr:colOff>
      <xdr:row>27</xdr:row>
      <xdr:rowOff>142876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29</xdr:row>
      <xdr:rowOff>85725</xdr:rowOff>
    </xdr:from>
    <xdr:to>
      <xdr:col>7</xdr:col>
      <xdr:colOff>666750</xdr:colOff>
      <xdr:row>41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1238250</xdr:colOff>
      <xdr:row>14</xdr:row>
      <xdr:rowOff>54428</xdr:rowOff>
    </xdr:from>
    <xdr:to>
      <xdr:col>17</xdr:col>
      <xdr:colOff>1347107</xdr:colOff>
      <xdr:row>28</xdr:row>
      <xdr:rowOff>136071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opLeftCell="D1" zoomScale="80" zoomScaleNormal="80" workbookViewId="0">
      <selection activeCell="I27" sqref="I27"/>
    </sheetView>
  </sheetViews>
  <sheetFormatPr defaultRowHeight="15"/>
  <cols>
    <col min="1" max="1" width="27.85546875" style="1" bestFit="1" customWidth="1"/>
    <col min="2" max="2" width="9.140625" style="1"/>
    <col min="3" max="3" width="9.28515625" style="1" bestFit="1" customWidth="1"/>
    <col min="4" max="4" width="9.140625" style="1"/>
    <col min="5" max="5" width="50.85546875" style="1" bestFit="1" customWidth="1"/>
    <col min="6" max="6" width="9.140625" style="1"/>
    <col min="7" max="7" width="9.5703125" style="1" bestFit="1" customWidth="1"/>
    <col min="8" max="8" width="9.140625" style="1"/>
    <col min="9" max="9" width="42.85546875" style="1" bestFit="1" customWidth="1"/>
    <col min="10" max="10" width="13.7109375" style="1" bestFit="1" customWidth="1"/>
    <col min="11" max="12" width="9.140625" style="1"/>
    <col min="13" max="13" width="42.85546875" style="1" bestFit="1" customWidth="1"/>
    <col min="14" max="16384" width="9.140625" style="1"/>
  </cols>
  <sheetData>
    <row r="1" spans="1:15">
      <c r="A1" s="8" t="s">
        <v>0</v>
      </c>
      <c r="B1" s="9" t="s">
        <v>1</v>
      </c>
      <c r="C1" s="10" t="s">
        <v>2</v>
      </c>
      <c r="E1" s="11" t="s">
        <v>0</v>
      </c>
      <c r="F1" s="12" t="s">
        <v>1</v>
      </c>
      <c r="G1" s="13" t="s">
        <v>2</v>
      </c>
      <c r="I1" s="14" t="s">
        <v>57</v>
      </c>
      <c r="K1" s="5"/>
    </row>
    <row r="2" spans="1:15">
      <c r="A2" s="2" t="s">
        <v>3</v>
      </c>
      <c r="B2" s="3" t="s">
        <v>13</v>
      </c>
      <c r="C2" s="5">
        <v>2750</v>
      </c>
      <c r="E2" s="1" t="s">
        <v>32</v>
      </c>
      <c r="F2" s="1" t="s">
        <v>33</v>
      </c>
      <c r="G2" s="5">
        <f>C2*C13/C14</f>
        <v>1025.0862068965516</v>
      </c>
      <c r="I2" s="14" t="s">
        <v>58</v>
      </c>
      <c r="K2" s="5"/>
      <c r="M2" s="14" t="s">
        <v>59</v>
      </c>
      <c r="O2" s="5"/>
    </row>
    <row r="3" spans="1:15">
      <c r="A3" s="2" t="s">
        <v>4</v>
      </c>
      <c r="B3" s="3" t="s">
        <v>14</v>
      </c>
      <c r="C3" s="5">
        <v>60</v>
      </c>
      <c r="E3" s="1" t="s">
        <v>34</v>
      </c>
      <c r="F3" s="1" t="s">
        <v>33</v>
      </c>
      <c r="G3" s="5">
        <f>G2*C3*0.01</f>
        <v>615.05172413793105</v>
      </c>
      <c r="I3" s="1" t="s">
        <v>17</v>
      </c>
      <c r="J3" s="1" t="s">
        <v>9</v>
      </c>
      <c r="K3" s="5">
        <v>0.64</v>
      </c>
      <c r="M3" s="1" t="s">
        <v>17</v>
      </c>
      <c r="N3" s="1" t="s">
        <v>9</v>
      </c>
      <c r="O3" s="5">
        <v>0.75</v>
      </c>
    </row>
    <row r="4" spans="1:15">
      <c r="A4" s="2" t="s">
        <v>18</v>
      </c>
      <c r="B4" s="3" t="s">
        <v>13</v>
      </c>
      <c r="C4" s="5">
        <f>C2*0.01*C3</f>
        <v>1650</v>
      </c>
      <c r="E4" s="1" t="s">
        <v>35</v>
      </c>
      <c r="F4" s="1" t="s">
        <v>33</v>
      </c>
      <c r="G4" s="5">
        <f>G3+0.05*G2</f>
        <v>666.30603448275861</v>
      </c>
      <c r="I4" s="1" t="s">
        <v>62</v>
      </c>
      <c r="J4" s="1" t="s">
        <v>6</v>
      </c>
      <c r="K4" s="5">
        <v>8.9</v>
      </c>
      <c r="M4" s="1" t="s">
        <v>62</v>
      </c>
      <c r="N4" s="1" t="s">
        <v>6</v>
      </c>
      <c r="O4" s="5">
        <v>8.51</v>
      </c>
    </row>
    <row r="5" spans="1:15">
      <c r="A5" s="2" t="s">
        <v>19</v>
      </c>
      <c r="B5" s="3" t="s">
        <v>13</v>
      </c>
      <c r="C5" s="5">
        <f>C2-C4</f>
        <v>1100</v>
      </c>
      <c r="G5" s="5"/>
      <c r="I5" s="1" t="s">
        <v>63</v>
      </c>
      <c r="J5" s="1" t="s">
        <v>6</v>
      </c>
      <c r="K5" s="5">
        <v>32</v>
      </c>
      <c r="M5" s="1" t="s">
        <v>63</v>
      </c>
      <c r="N5" s="1" t="s">
        <v>6</v>
      </c>
      <c r="O5" s="5">
        <v>32.28</v>
      </c>
    </row>
    <row r="6" spans="1:15">
      <c r="A6" s="2" t="s">
        <v>22</v>
      </c>
      <c r="B6" s="3" t="s">
        <v>13</v>
      </c>
      <c r="C6" s="5">
        <v>187</v>
      </c>
      <c r="E6" s="1" t="s">
        <v>36</v>
      </c>
      <c r="F6" s="1" t="s">
        <v>33</v>
      </c>
      <c r="G6" s="5">
        <f>C6*C16/C14</f>
        <v>39.560172413793097</v>
      </c>
      <c r="I6" s="1" t="s">
        <v>64</v>
      </c>
      <c r="J6" s="1" t="s">
        <v>6</v>
      </c>
      <c r="K6" s="5">
        <v>10.7</v>
      </c>
      <c r="M6" s="1" t="s">
        <v>64</v>
      </c>
      <c r="N6" s="1" t="s">
        <v>6</v>
      </c>
      <c r="O6" s="5">
        <v>8.59</v>
      </c>
    </row>
    <row r="7" spans="1:15">
      <c r="A7" s="2" t="s">
        <v>23</v>
      </c>
      <c r="B7" s="3" t="s">
        <v>13</v>
      </c>
      <c r="C7" s="5">
        <v>121</v>
      </c>
      <c r="E7" s="1" t="s">
        <v>37</v>
      </c>
      <c r="F7" s="1" t="s">
        <v>33</v>
      </c>
      <c r="G7" s="5">
        <f>C10*(C24/C12)*C19/C14</f>
        <v>12.536396551724138</v>
      </c>
      <c r="I7" s="6" t="s">
        <v>60</v>
      </c>
      <c r="J7" s="6" t="s">
        <v>69</v>
      </c>
      <c r="K7" s="7">
        <v>23</v>
      </c>
      <c r="M7" s="6" t="s">
        <v>60</v>
      </c>
      <c r="N7" s="6" t="s">
        <v>69</v>
      </c>
      <c r="O7" s="7">
        <v>13.75</v>
      </c>
    </row>
    <row r="8" spans="1:15">
      <c r="A8" s="2" t="s">
        <v>20</v>
      </c>
      <c r="B8" s="3" t="s">
        <v>13</v>
      </c>
      <c r="C8" s="5">
        <f>C4-C6</f>
        <v>1463</v>
      </c>
      <c r="E8" s="1" t="s">
        <v>38</v>
      </c>
      <c r="F8" s="1" t="s">
        <v>33</v>
      </c>
      <c r="G8" s="5">
        <f>G4-G6-G7</f>
        <v>614.20946551724137</v>
      </c>
      <c r="I8" s="1" t="s">
        <v>61</v>
      </c>
      <c r="J8" s="1" t="s">
        <v>69</v>
      </c>
      <c r="K8" s="5">
        <v>0</v>
      </c>
      <c r="M8" s="1" t="s">
        <v>61</v>
      </c>
      <c r="N8" s="1" t="s">
        <v>69</v>
      </c>
      <c r="O8" s="5">
        <v>0</v>
      </c>
    </row>
    <row r="9" spans="1:15">
      <c r="A9" s="3" t="s">
        <v>21</v>
      </c>
      <c r="B9" s="3" t="s">
        <v>13</v>
      </c>
      <c r="C9" s="5">
        <f>C5-C7</f>
        <v>979</v>
      </c>
      <c r="G9" s="5"/>
      <c r="I9" s="1" t="s">
        <v>60</v>
      </c>
      <c r="J9" s="1" t="s">
        <v>6</v>
      </c>
      <c r="K9" s="5">
        <f>K7*0.0393701</f>
        <v>0.90551229999999994</v>
      </c>
      <c r="M9" s="1" t="s">
        <v>60</v>
      </c>
      <c r="N9" s="1" t="s">
        <v>6</v>
      </c>
      <c r="O9" s="5">
        <f>O7*0.0393701</f>
        <v>0.541338875</v>
      </c>
    </row>
    <row r="10" spans="1:15">
      <c r="A10" s="3" t="s">
        <v>39</v>
      </c>
      <c r="B10" s="3" t="s">
        <v>13</v>
      </c>
      <c r="C10" s="5">
        <f>C8+C9</f>
        <v>2442</v>
      </c>
      <c r="E10" s="6" t="s">
        <v>74</v>
      </c>
      <c r="F10" s="6" t="s">
        <v>40</v>
      </c>
      <c r="G10" s="7">
        <v>3.8</v>
      </c>
      <c r="I10" s="1" t="s">
        <v>61</v>
      </c>
      <c r="J10" s="1" t="s">
        <v>6</v>
      </c>
      <c r="K10" s="5">
        <f>K8*0.0393701</f>
        <v>0</v>
      </c>
      <c r="M10" s="1" t="s">
        <v>61</v>
      </c>
      <c r="N10" s="1" t="s">
        <v>6</v>
      </c>
      <c r="O10" s="5">
        <f>O8*0.0393701</f>
        <v>0</v>
      </c>
    </row>
    <row r="11" spans="1:15">
      <c r="A11" s="3"/>
      <c r="B11" s="3"/>
      <c r="C11" s="5"/>
      <c r="G11" s="5"/>
      <c r="K11" s="5"/>
      <c r="O11" s="5"/>
    </row>
    <row r="12" spans="1:15">
      <c r="A12" s="3" t="s">
        <v>5</v>
      </c>
      <c r="B12" s="3" t="s">
        <v>6</v>
      </c>
      <c r="C12" s="5">
        <v>98.42</v>
      </c>
      <c r="E12" s="1" t="s">
        <v>41</v>
      </c>
      <c r="F12" s="1" t="s">
        <v>42</v>
      </c>
      <c r="G12" s="5">
        <f>C10*C26/12</f>
        <v>4505.9620833333329</v>
      </c>
      <c r="I12" s="1" t="s">
        <v>65</v>
      </c>
      <c r="J12" s="1" t="s">
        <v>12</v>
      </c>
      <c r="K12" s="5">
        <f>500000*(K9^4-K10^4)/((0.4422*K4^2*K5)+(0.2264*K6^3))</f>
        <v>240.42366625104253</v>
      </c>
      <c r="M12" s="1" t="s">
        <v>65</v>
      </c>
      <c r="N12" s="1" t="s">
        <v>12</v>
      </c>
      <c r="O12" s="5">
        <f>500000*(O9^4-O10^4)/((0.4422*O4^2*O5)+(0.2264*O6^3))</f>
        <v>36.473825332853551</v>
      </c>
    </row>
    <row r="13" spans="1:15">
      <c r="A13" s="3" t="s">
        <v>7</v>
      </c>
      <c r="B13" s="3" t="s">
        <v>6</v>
      </c>
      <c r="C13" s="5">
        <v>21.62</v>
      </c>
      <c r="E13" s="1" t="s">
        <v>43</v>
      </c>
      <c r="F13" s="1" t="s">
        <v>42</v>
      </c>
      <c r="G13" s="5">
        <f>C10*C26*G10*(PI()/180)/12</f>
        <v>298.84672243192114</v>
      </c>
      <c r="I13" s="1" t="s">
        <v>66</v>
      </c>
      <c r="J13" s="1" t="s">
        <v>12</v>
      </c>
      <c r="K13" s="5">
        <f>K12*K3^2</f>
        <v>98.477533696427031</v>
      </c>
      <c r="M13" s="1" t="s">
        <v>66</v>
      </c>
      <c r="N13" s="1" t="s">
        <v>12</v>
      </c>
      <c r="O13" s="5">
        <f>O12*O3^2</f>
        <v>20.516526749730122</v>
      </c>
    </row>
    <row r="14" spans="1:15">
      <c r="A14" s="4" t="s">
        <v>8</v>
      </c>
      <c r="B14" s="3" t="s">
        <v>6</v>
      </c>
      <c r="C14" s="5">
        <v>58</v>
      </c>
      <c r="E14" s="1" t="s">
        <v>44</v>
      </c>
      <c r="F14" s="1" t="s">
        <v>42</v>
      </c>
      <c r="G14" s="5">
        <f>G12+G13</f>
        <v>4804.808805765254</v>
      </c>
      <c r="I14" s="1" t="s">
        <v>67</v>
      </c>
      <c r="J14" s="1" t="s">
        <v>12</v>
      </c>
      <c r="K14" s="5">
        <f>K13*2</f>
        <v>196.95506739285406</v>
      </c>
      <c r="M14" s="1" t="s">
        <v>67</v>
      </c>
      <c r="N14" s="1" t="s">
        <v>12</v>
      </c>
      <c r="O14" s="5">
        <f>O13*2</f>
        <v>41.033053499460244</v>
      </c>
    </row>
    <row r="15" spans="1:15">
      <c r="A15" s="3" t="s">
        <v>7</v>
      </c>
      <c r="B15" s="3" t="s">
        <v>6</v>
      </c>
      <c r="C15" s="5">
        <f>C13</f>
        <v>21.62</v>
      </c>
      <c r="E15" s="1" t="s">
        <v>45</v>
      </c>
      <c r="F15" s="1" t="s">
        <v>46</v>
      </c>
      <c r="G15" s="5">
        <f>G14/G10</f>
        <v>1264.4233699382248</v>
      </c>
      <c r="I15" s="41" t="s">
        <v>68</v>
      </c>
      <c r="J15" s="41" t="s">
        <v>46</v>
      </c>
      <c r="K15" s="42">
        <f>K14*C14^2/(2*12*180/PI())</f>
        <v>481.82493569638325</v>
      </c>
      <c r="M15" s="41" t="s">
        <v>68</v>
      </c>
      <c r="N15" s="41" t="s">
        <v>46</v>
      </c>
      <c r="O15" s="42">
        <f>O14*C14^2/(2*12*180/PI())</f>
        <v>100.38202431404417</v>
      </c>
    </row>
    <row r="16" spans="1:15">
      <c r="A16" s="3" t="s">
        <v>10</v>
      </c>
      <c r="B16" s="3" t="s">
        <v>6</v>
      </c>
      <c r="C16" s="5">
        <v>12.27</v>
      </c>
      <c r="G16" s="5"/>
    </row>
    <row r="17" spans="1:11">
      <c r="A17" s="3" t="s">
        <v>11</v>
      </c>
      <c r="B17" s="3" t="s">
        <v>6</v>
      </c>
      <c r="C17" s="5">
        <f>C16</f>
        <v>12.27</v>
      </c>
      <c r="E17" s="1" t="s">
        <v>47</v>
      </c>
      <c r="F17" s="1" t="s">
        <v>46</v>
      </c>
      <c r="G17" s="5">
        <f>G8*C14/(12*G10)</f>
        <v>781.23133771929827</v>
      </c>
    </row>
    <row r="18" spans="1:11">
      <c r="A18" s="3"/>
      <c r="B18" s="3"/>
      <c r="C18" s="5"/>
      <c r="E18" s="1" t="s">
        <v>48</v>
      </c>
      <c r="F18" s="1" t="s">
        <v>46</v>
      </c>
      <c r="G18" s="5">
        <f>G15-G17</f>
        <v>483.19203221892656</v>
      </c>
      <c r="I18" s="6" t="s">
        <v>55</v>
      </c>
      <c r="J18" s="6" t="s">
        <v>14</v>
      </c>
      <c r="K18" s="7">
        <f>K15*100/G26</f>
        <v>46.674679105728757</v>
      </c>
    </row>
    <row r="19" spans="1:11">
      <c r="A19" s="3" t="s">
        <v>24</v>
      </c>
      <c r="B19" s="3" t="s">
        <v>6</v>
      </c>
      <c r="C19" s="5">
        <v>0.497</v>
      </c>
      <c r="G19" s="5"/>
      <c r="I19" s="6" t="s">
        <v>56</v>
      </c>
      <c r="J19" s="6" t="s">
        <v>14</v>
      </c>
      <c r="K19" s="7">
        <f>O15*100/G27</f>
        <v>17.649630772414888</v>
      </c>
    </row>
    <row r="20" spans="1:11">
      <c r="A20" s="3" t="s">
        <v>25</v>
      </c>
      <c r="B20" s="3" t="s">
        <v>6</v>
      </c>
      <c r="C20" s="5">
        <v>0.89600000000000002</v>
      </c>
      <c r="E20" s="1" t="s">
        <v>49</v>
      </c>
      <c r="F20" s="1" t="s">
        <v>46</v>
      </c>
      <c r="G20" s="5">
        <f>(C32*C14^2)/(2*12*180/PI())</f>
        <v>551.96219399451093</v>
      </c>
    </row>
    <row r="21" spans="1:11">
      <c r="A21" s="3" t="s">
        <v>26</v>
      </c>
      <c r="B21" s="3" t="s">
        <v>6</v>
      </c>
      <c r="C21" s="5">
        <f>C5*C12/C2</f>
        <v>39.368000000000002</v>
      </c>
      <c r="E21" s="1" t="s">
        <v>50</v>
      </c>
      <c r="F21" s="1" t="s">
        <v>46</v>
      </c>
      <c r="G21" s="5">
        <f>(C33*C14^2)/(2*12*180/PI())</f>
        <v>469.70300829671402</v>
      </c>
    </row>
    <row r="22" spans="1:11">
      <c r="A22" s="3" t="s">
        <v>27</v>
      </c>
      <c r="B22" s="3" t="s">
        <v>6</v>
      </c>
      <c r="C22" s="5">
        <f>C12-C21</f>
        <v>59.052</v>
      </c>
      <c r="G22" s="5"/>
    </row>
    <row r="23" spans="1:11">
      <c r="A23" s="3" t="s">
        <v>28</v>
      </c>
      <c r="B23" s="3" t="s">
        <v>6</v>
      </c>
      <c r="C23" s="5">
        <f>C12-C24</f>
        <v>39.456666666666671</v>
      </c>
      <c r="E23" s="1" t="s">
        <v>51</v>
      </c>
      <c r="F23" s="1" t="s">
        <v>46</v>
      </c>
      <c r="G23" s="5">
        <f>C34*C14^2/(2*12*180/PI())</f>
        <v>3212.0835931957577</v>
      </c>
    </row>
    <row r="24" spans="1:11">
      <c r="A24" s="3" t="s">
        <v>29</v>
      </c>
      <c r="B24" s="3" t="s">
        <v>6</v>
      </c>
      <c r="C24" s="5">
        <f>(C2*C22-C6*C12)/(C8+C9)</f>
        <v>58.963333333333331</v>
      </c>
      <c r="E24" s="1" t="s">
        <v>52</v>
      </c>
      <c r="F24" s="1" t="s">
        <v>46</v>
      </c>
      <c r="G24" s="5">
        <f>C35*C14^2/(2*12*180/PI())</f>
        <v>3212.0835931957577</v>
      </c>
    </row>
    <row r="25" spans="1:11">
      <c r="A25" s="3" t="s">
        <v>30</v>
      </c>
      <c r="B25" s="3" t="s">
        <v>6</v>
      </c>
      <c r="C25" s="5">
        <f>(C2*C15-C6*C16-C7*C17)/(C8+C9)</f>
        <v>22.799279279279279</v>
      </c>
      <c r="G25" s="5"/>
    </row>
    <row r="26" spans="1:11">
      <c r="A26" s="3" t="s">
        <v>31</v>
      </c>
      <c r="B26" s="3" t="s">
        <v>6</v>
      </c>
      <c r="C26" s="5">
        <f>C25-(C19+((C20-C19)*C23/(C23+C24)))</f>
        <v>22.142319819819818</v>
      </c>
      <c r="E26" s="41" t="s">
        <v>53</v>
      </c>
      <c r="F26" s="41" t="s">
        <v>46</v>
      </c>
      <c r="G26" s="42">
        <f>G23*G17/(G23-G17)</f>
        <v>1032.3047633706067</v>
      </c>
    </row>
    <row r="27" spans="1:11">
      <c r="C27" s="5"/>
      <c r="E27" s="41" t="s">
        <v>54</v>
      </c>
      <c r="F27" s="41" t="s">
        <v>46</v>
      </c>
      <c r="G27" s="42">
        <f>G24*G18/(G24-G18)</f>
        <v>568.74857955065045</v>
      </c>
    </row>
    <row r="28" spans="1:11">
      <c r="A28" s="1" t="s">
        <v>72</v>
      </c>
      <c r="B28" s="1" t="s">
        <v>9</v>
      </c>
      <c r="C28" s="5">
        <v>0.95</v>
      </c>
      <c r="G28" s="5"/>
    </row>
    <row r="29" spans="1:11">
      <c r="A29" s="1" t="s">
        <v>73</v>
      </c>
      <c r="B29" s="1" t="s">
        <v>9</v>
      </c>
      <c r="C29" s="5">
        <v>0.8</v>
      </c>
      <c r="E29" s="1" t="s">
        <v>55</v>
      </c>
      <c r="F29" s="1" t="s">
        <v>46</v>
      </c>
      <c r="G29" s="5">
        <f>G26-G20</f>
        <v>480.34256937609575</v>
      </c>
    </row>
    <row r="30" spans="1:11">
      <c r="A30" s="1" t="s">
        <v>70</v>
      </c>
      <c r="B30" s="1" t="s">
        <v>12</v>
      </c>
      <c r="C30" s="5">
        <v>250</v>
      </c>
      <c r="E30" s="1" t="s">
        <v>56</v>
      </c>
      <c r="F30" s="1" t="s">
        <v>46</v>
      </c>
      <c r="G30" s="5">
        <f>G27-G21</f>
        <v>99.04557125393643</v>
      </c>
    </row>
    <row r="31" spans="1:11">
      <c r="A31" s="1" t="s">
        <v>71</v>
      </c>
      <c r="B31" s="1" t="s">
        <v>12</v>
      </c>
      <c r="C31" s="5">
        <v>300</v>
      </c>
      <c r="G31" s="5"/>
    </row>
    <row r="32" spans="1:11">
      <c r="A32" s="1" t="s">
        <v>75</v>
      </c>
      <c r="B32" s="1" t="s">
        <v>12</v>
      </c>
      <c r="C32" s="1">
        <f>C30*C28^2</f>
        <v>225.625</v>
      </c>
    </row>
    <row r="33" spans="1:3">
      <c r="A33" s="1" t="s">
        <v>76</v>
      </c>
      <c r="B33" s="1" t="s">
        <v>12</v>
      </c>
      <c r="C33" s="1">
        <f>C31*C29^2</f>
        <v>192.00000000000003</v>
      </c>
    </row>
    <row r="34" spans="1:3">
      <c r="A34" s="1" t="s">
        <v>77</v>
      </c>
      <c r="B34" s="1" t="s">
        <v>12</v>
      </c>
      <c r="C34" s="1">
        <v>1313</v>
      </c>
    </row>
    <row r="35" spans="1:3">
      <c r="A35" s="1" t="s">
        <v>78</v>
      </c>
      <c r="B35" s="1" t="s">
        <v>12</v>
      </c>
      <c r="C35" s="1">
        <v>1313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tabSelected="1" topLeftCell="E1" zoomScale="80" zoomScaleNormal="80" workbookViewId="0">
      <selection activeCell="N20" sqref="N20"/>
    </sheetView>
  </sheetViews>
  <sheetFormatPr defaultRowHeight="15"/>
  <cols>
    <col min="1" max="1" width="8.140625" customWidth="1"/>
    <col min="2" max="2" width="12" bestFit="1" customWidth="1"/>
    <col min="3" max="3" width="12.85546875" customWidth="1"/>
    <col min="4" max="4" width="14.7109375" customWidth="1"/>
    <col min="5" max="5" width="11" customWidth="1"/>
    <col min="6" max="6" width="10.28515625" customWidth="1"/>
    <col min="7" max="7" width="11.42578125" customWidth="1"/>
    <col min="8" max="8" width="14.28515625" customWidth="1"/>
    <col min="9" max="9" width="10.5703125" customWidth="1"/>
    <col min="10" max="10" width="16.42578125" bestFit="1" customWidth="1"/>
    <col min="11" max="11" width="8.5703125" customWidth="1"/>
    <col min="12" max="12" width="11" customWidth="1"/>
    <col min="13" max="13" width="9" customWidth="1"/>
    <col min="14" max="14" width="14.140625" bestFit="1" customWidth="1"/>
    <col min="15" max="15" width="35.42578125" bestFit="1" customWidth="1"/>
    <col min="16" max="16" width="14.5703125" customWidth="1"/>
    <col min="17" max="17" width="16.85546875" customWidth="1"/>
    <col min="18" max="18" width="20.5703125" customWidth="1"/>
    <col min="19" max="19" width="14.140625" bestFit="1" customWidth="1"/>
  </cols>
  <sheetData>
    <row r="1" spans="1:19">
      <c r="A1" s="25" t="s">
        <v>79</v>
      </c>
      <c r="B1" s="26"/>
      <c r="C1" s="25" t="s">
        <v>81</v>
      </c>
      <c r="D1" s="26"/>
      <c r="E1" s="25" t="s">
        <v>82</v>
      </c>
      <c r="F1" s="26"/>
      <c r="G1" s="25" t="s">
        <v>83</v>
      </c>
      <c r="H1" s="26"/>
      <c r="J1" s="17" t="s">
        <v>102</v>
      </c>
      <c r="K1" s="17" t="s">
        <v>1</v>
      </c>
      <c r="L1" s="17" t="s">
        <v>15</v>
      </c>
      <c r="M1" s="17" t="s">
        <v>16</v>
      </c>
      <c r="O1" s="30" t="s">
        <v>95</v>
      </c>
      <c r="P1" s="30"/>
      <c r="Q1" s="30"/>
      <c r="R1" s="30"/>
      <c r="S1" s="30"/>
    </row>
    <row r="2" spans="1:19">
      <c r="A2" s="24" t="s">
        <v>13</v>
      </c>
      <c r="B2" s="32" t="s">
        <v>80</v>
      </c>
      <c r="C2" s="24" t="s">
        <v>84</v>
      </c>
      <c r="D2" s="32" t="s">
        <v>85</v>
      </c>
      <c r="E2" s="24" t="s">
        <v>84</v>
      </c>
      <c r="F2" s="32" t="s">
        <v>85</v>
      </c>
      <c r="G2" s="24" t="s">
        <v>46</v>
      </c>
      <c r="H2" s="32" t="s">
        <v>86</v>
      </c>
      <c r="J2" s="22" t="s">
        <v>103</v>
      </c>
      <c r="K2" s="23" t="s">
        <v>40</v>
      </c>
      <c r="L2" s="17">
        <v>3.88</v>
      </c>
      <c r="M2" s="17">
        <v>3.1</v>
      </c>
      <c r="O2" s="33"/>
      <c r="P2" s="38" t="s">
        <v>96</v>
      </c>
      <c r="Q2" s="38"/>
      <c r="R2" s="39" t="s">
        <v>97</v>
      </c>
      <c r="S2" s="40" t="s">
        <v>98</v>
      </c>
    </row>
    <row r="3" spans="1:19">
      <c r="A3" s="18">
        <v>500</v>
      </c>
      <c r="B3" s="16">
        <f>A3*4.4482216282509</f>
        <v>2224.1108141254504</v>
      </c>
      <c r="C3" s="18">
        <v>167.23</v>
      </c>
      <c r="D3" s="16">
        <f>C3*4.4482216282509</f>
        <v>743.87610289239808</v>
      </c>
      <c r="E3" s="18">
        <v>8.3699999999999992</v>
      </c>
      <c r="F3" s="16">
        <f>E3*4.4482216282509</f>
        <v>37.231615028460034</v>
      </c>
      <c r="G3" s="18">
        <v>9.27</v>
      </c>
      <c r="H3" s="16">
        <f>G3*4.4482216282509*0.3048</f>
        <v>12.568432417736405</v>
      </c>
      <c r="J3" s="17" t="s">
        <v>104</v>
      </c>
      <c r="K3" s="17" t="s">
        <v>40</v>
      </c>
      <c r="L3" s="17">
        <v>4.55</v>
      </c>
      <c r="M3" s="17">
        <v>2.2599999999999998</v>
      </c>
      <c r="O3" s="19" t="s">
        <v>87</v>
      </c>
      <c r="P3" s="21" t="s">
        <v>15</v>
      </c>
      <c r="Q3" s="21" t="s">
        <v>16</v>
      </c>
      <c r="R3" s="21" t="s">
        <v>100</v>
      </c>
      <c r="S3" s="20"/>
    </row>
    <row r="4" spans="1:19">
      <c r="A4" s="18">
        <v>1000</v>
      </c>
      <c r="B4" s="16">
        <f t="shared" ref="B4:B6" si="0">A4*4.4482216282509</f>
        <v>4448.2216282509007</v>
      </c>
      <c r="C4" s="18">
        <v>262.17</v>
      </c>
      <c r="D4" s="16">
        <f t="shared" ref="D4:D6" si="1">C4*4.4482216282509</f>
        <v>1166.1902642785387</v>
      </c>
      <c r="E4" s="18">
        <v>17.760000000000002</v>
      </c>
      <c r="F4" s="16">
        <f t="shared" ref="F4:F6" si="2">E4*4.4482216282509</f>
        <v>79.000416117735995</v>
      </c>
      <c r="G4" s="18">
        <v>35.119999999999997</v>
      </c>
      <c r="H4" s="16">
        <f t="shared" ref="H4:H6" si="3">G4*4.4482216282509*0.3048</f>
        <v>47.616326484455506</v>
      </c>
      <c r="J4" s="17" t="s">
        <v>105</v>
      </c>
      <c r="K4" s="17" t="s">
        <v>107</v>
      </c>
      <c r="L4" s="17">
        <v>3753</v>
      </c>
      <c r="M4" s="17">
        <v>2375</v>
      </c>
      <c r="O4" s="18" t="s">
        <v>88</v>
      </c>
      <c r="P4" s="15">
        <f>C12/E12</f>
        <v>0.6019263795375831</v>
      </c>
      <c r="Q4" s="15">
        <f>C13/E13</f>
        <v>0.41740502290507353</v>
      </c>
      <c r="R4" s="15">
        <f t="shared" ref="R4:R10" si="4">P4-Q4</f>
        <v>0.18452135663250957</v>
      </c>
      <c r="S4" s="16">
        <f>(R4/$R$11)*100</f>
        <v>10.301062766299411</v>
      </c>
    </row>
    <row r="5" spans="1:19">
      <c r="A5" s="18">
        <v>1500</v>
      </c>
      <c r="B5" s="16">
        <f t="shared" si="0"/>
        <v>6672.3324423763506</v>
      </c>
      <c r="C5" s="18">
        <v>301.75</v>
      </c>
      <c r="D5" s="16">
        <f t="shared" si="1"/>
        <v>1342.2508763247092</v>
      </c>
      <c r="E5" s="18">
        <v>25.3</v>
      </c>
      <c r="F5" s="16">
        <f t="shared" si="2"/>
        <v>112.54000719474779</v>
      </c>
      <c r="G5" s="18">
        <v>57.26</v>
      </c>
      <c r="H5" s="16">
        <f t="shared" si="3"/>
        <v>77.634135948175469</v>
      </c>
      <c r="J5" s="17" t="s">
        <v>106</v>
      </c>
      <c r="K5" s="17" t="s">
        <v>108</v>
      </c>
      <c r="L5" s="17">
        <v>139.80000000000001</v>
      </c>
      <c r="M5" s="17">
        <v>50.8</v>
      </c>
      <c r="O5" s="18" t="s">
        <v>89</v>
      </c>
      <c r="P5" s="15">
        <f>L5+M5/('Roll gradient'!C12*0.0254*E12)</f>
        <v>139.81634890452042</v>
      </c>
      <c r="Q5" s="15">
        <f>L5+M5/('Roll gradient'!C12*0.0254*E13)</f>
        <v>139.81700568814841</v>
      </c>
      <c r="R5" s="15">
        <f t="shared" si="4"/>
        <v>-6.5678362798848866E-4</v>
      </c>
      <c r="S5" s="16">
        <f t="shared" ref="S5:S10" si="5">(R5/$R$11)*100</f>
        <v>-3.6665508531142484E-2</v>
      </c>
    </row>
    <row r="6" spans="1:19">
      <c r="A6" s="19">
        <v>2000</v>
      </c>
      <c r="B6" s="20">
        <f t="shared" si="0"/>
        <v>8896.4432565018014</v>
      </c>
      <c r="C6" s="19">
        <v>269.86</v>
      </c>
      <c r="D6" s="20">
        <f t="shared" si="1"/>
        <v>1200.397088599788</v>
      </c>
      <c r="E6" s="19">
        <v>29.9</v>
      </c>
      <c r="F6" s="20">
        <f t="shared" si="2"/>
        <v>133.00182668470191</v>
      </c>
      <c r="G6" s="19">
        <v>75.36</v>
      </c>
      <c r="H6" s="20">
        <f t="shared" si="3"/>
        <v>102.17444088464029</v>
      </c>
      <c r="O6" s="18" t="s">
        <v>90</v>
      </c>
      <c r="P6" s="15">
        <f>0.065*'Roll gradient'!G10</f>
        <v>0.247</v>
      </c>
      <c r="Q6" s="15">
        <f>-0.08*'Roll gradient'!G10</f>
        <v>-0.30399999999999999</v>
      </c>
      <c r="R6" s="15">
        <f t="shared" si="4"/>
        <v>0.55099999999999993</v>
      </c>
      <c r="S6" s="16">
        <f t="shared" si="5"/>
        <v>30.760046900885285</v>
      </c>
    </row>
    <row r="7" spans="1:19">
      <c r="O7" s="18" t="s">
        <v>91</v>
      </c>
      <c r="P7" s="15">
        <f>0.9*'Roll gradient'!G10*G12/E12</f>
        <v>0.32683845814100027</v>
      </c>
      <c r="Q7" s="15">
        <f>0.5*'Roll gradient'!G10*G13/B13</f>
        <v>3.3240876548658399E-2</v>
      </c>
      <c r="R7" s="15">
        <f t="shared" si="4"/>
        <v>0.29359758159234184</v>
      </c>
      <c r="S7" s="16">
        <f t="shared" si="5"/>
        <v>16.39033644240822</v>
      </c>
    </row>
    <row r="8" spans="1:19">
      <c r="O8" s="18" t="s">
        <v>92</v>
      </c>
      <c r="P8" s="15">
        <f>0.05*L4/1000</f>
        <v>0.18765000000000001</v>
      </c>
      <c r="Q8" s="15">
        <f>0.015*M4/1000</f>
        <v>3.5624999999999997E-2</v>
      </c>
      <c r="R8" s="15">
        <f t="shared" si="4"/>
        <v>0.15202500000000002</v>
      </c>
      <c r="S8" s="16">
        <f t="shared" si="5"/>
        <v>8.4869258259656739</v>
      </c>
    </row>
    <row r="9" spans="1:19">
      <c r="A9" s="30" t="s">
        <v>101</v>
      </c>
      <c r="B9" s="30"/>
      <c r="C9" s="30"/>
      <c r="D9" s="28"/>
      <c r="E9" s="28"/>
      <c r="F9" s="28"/>
      <c r="G9" s="28"/>
      <c r="H9" s="28"/>
      <c r="O9" s="18" t="s">
        <v>93</v>
      </c>
      <c r="P9" s="15">
        <f>0.3*L4*G12/(1000*E12)</f>
        <v>0.10759866082483982</v>
      </c>
      <c r="Q9" s="15">
        <f>0.15*M4*G13/(1000*E13)</f>
        <v>2.5521160442383329E-2</v>
      </c>
      <c r="R9" s="15">
        <f t="shared" si="4"/>
        <v>8.2077500382456495E-2</v>
      </c>
      <c r="S9" s="16">
        <f t="shared" si="5"/>
        <v>4.5820467536693137</v>
      </c>
    </row>
    <row r="10" spans="1:19">
      <c r="A10" s="25" t="s">
        <v>79</v>
      </c>
      <c r="B10" s="27"/>
      <c r="C10" s="29"/>
      <c r="D10" s="25" t="s">
        <v>81</v>
      </c>
      <c r="E10" s="26"/>
      <c r="F10" s="25" t="s">
        <v>82</v>
      </c>
      <c r="G10" s="26"/>
      <c r="H10" s="27" t="s">
        <v>83</v>
      </c>
      <c r="I10" s="26"/>
      <c r="O10" s="18" t="s">
        <v>94</v>
      </c>
      <c r="P10" s="15">
        <f>0.4*L5/100</f>
        <v>0.55920000000000014</v>
      </c>
      <c r="Q10" s="15">
        <f>0.06*M5/100</f>
        <v>3.0479999999999997E-2</v>
      </c>
      <c r="R10" s="15">
        <f t="shared" si="4"/>
        <v>0.52872000000000019</v>
      </c>
      <c r="S10" s="16">
        <f t="shared" si="5"/>
        <v>29.51624681930322</v>
      </c>
    </row>
    <row r="11" spans="1:19">
      <c r="A11" s="24" t="s">
        <v>13</v>
      </c>
      <c r="B11" s="31" t="s">
        <v>80</v>
      </c>
      <c r="C11" s="20" t="s">
        <v>107</v>
      </c>
      <c r="D11" s="24" t="s">
        <v>84</v>
      </c>
      <c r="E11" s="32" t="s">
        <v>85</v>
      </c>
      <c r="F11" s="24" t="s">
        <v>84</v>
      </c>
      <c r="G11" s="32" t="s">
        <v>85</v>
      </c>
      <c r="H11" s="31" t="s">
        <v>46</v>
      </c>
      <c r="I11" s="32" t="s">
        <v>86</v>
      </c>
      <c r="O11" s="34" t="s">
        <v>99</v>
      </c>
      <c r="P11" s="35"/>
      <c r="Q11" s="35"/>
      <c r="R11" s="37">
        <f>R4+R5+R6+R7+R8+R9+R10</f>
        <v>1.7912846549793198</v>
      </c>
      <c r="S11" s="36">
        <f>S4+S5+S6+S7+S8+S9+S10</f>
        <v>99.999999999999986</v>
      </c>
    </row>
    <row r="12" spans="1:19">
      <c r="A12" s="18">
        <v>1650</v>
      </c>
      <c r="B12" s="15">
        <f>A12*4.4482216282509</f>
        <v>7339.5656866139852</v>
      </c>
      <c r="C12" s="29">
        <f>B12/9.81</f>
        <v>748.17183349785773</v>
      </c>
      <c r="D12" s="18">
        <f>E12/4.4482216282509</f>
        <v>279.42905373851022</v>
      </c>
      <c r="E12" s="16">
        <f xml:space="preserve"> -0.00003*B12^2 + 0.3866*B12 + 21.563</f>
        <v>1242.9623604013243</v>
      </c>
      <c r="F12" s="18">
        <f>G12/4.4482216282509</f>
        <v>26.704140667746607</v>
      </c>
      <c r="G12" s="16">
        <f xml:space="preserve"> -0.00000000007*B12^3 + 0.0000001*B12^2 + 0.0203*B12 - 7.9178</f>
        <v>118.78593608212489</v>
      </c>
      <c r="H12" s="33">
        <f>I12/(4.4482216282509*0.3048)</f>
        <v>64.074978038756228</v>
      </c>
      <c r="I12" s="16">
        <f xml:space="preserve"> -0.0000005*B12^2 + 0.0193*B12 - 27.845</f>
        <v>86.874005517589225</v>
      </c>
    </row>
    <row r="13" spans="1:19">
      <c r="A13" s="19">
        <v>1100</v>
      </c>
      <c r="B13" s="21">
        <f>A13*4.4482216282509</f>
        <v>4893.0437910759902</v>
      </c>
      <c r="C13" s="20">
        <f>B13/9.81</f>
        <v>498.78122233190521</v>
      </c>
      <c r="D13" s="19">
        <f>E13/4.4482216282509</f>
        <v>268.63711012039482</v>
      </c>
      <c r="E13" s="20">
        <f xml:space="preserve"> -0.00003*B13^2 + 0.3866*B13 + 21.563</f>
        <v>1194.9574033883591</v>
      </c>
      <c r="F13" s="19">
        <f>G13/4.4482216282509</f>
        <v>19.24471800185486</v>
      </c>
      <c r="G13" s="20">
        <f xml:space="preserve"> -0.00000000007*B13^3 + 0.0000001*B13^2 + 0.0203*B13 - 7.9178</f>
        <v>85.604770845440243</v>
      </c>
      <c r="H13" s="19">
        <f>I13/(4.4482216282509*0.3048)</f>
        <v>40.285501681685169</v>
      </c>
      <c r="I13" s="20">
        <f xml:space="preserve"> -0.0000005*B13^2 + 0.0193*B13 - 27.845</f>
        <v>54.619806397072963</v>
      </c>
    </row>
  </sheetData>
  <mergeCells count="11">
    <mergeCell ref="O1:S1"/>
    <mergeCell ref="P2:Q2"/>
    <mergeCell ref="A10:B10"/>
    <mergeCell ref="D10:E10"/>
    <mergeCell ref="F10:G10"/>
    <mergeCell ref="H10:I10"/>
    <mergeCell ref="A9:H9"/>
    <mergeCell ref="A1:B1"/>
    <mergeCell ref="C1:D1"/>
    <mergeCell ref="E1:F1"/>
    <mergeCell ref="G1:H1"/>
  </mergeCells>
  <pageMargins left="0.7" right="0.7" top="0.75" bottom="0.75" header="0.3" footer="0.3"/>
  <pageSetup orientation="portrait" r:id="rId1"/>
  <ignoredErrors>
    <ignoredError sqref="E12:E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 gradient</vt:lpstr>
      <vt:lpstr>Understeer gradient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jain</dc:creator>
  <cp:lastModifiedBy>shashwat jain</cp:lastModifiedBy>
  <dcterms:created xsi:type="dcterms:W3CDTF">2017-10-03T12:39:04Z</dcterms:created>
  <dcterms:modified xsi:type="dcterms:W3CDTF">2017-11-12T10:53:14Z</dcterms:modified>
</cp:coreProperties>
</file>