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roups\tgerc\FieldData\2023 data\Living_Carbon_2023\LiCOR\"/>
    </mc:Choice>
  </mc:AlternateContent>
  <xr:revisionPtr revIDLastSave="0" documentId="8_{C926F36A-8203-4542-8B79-596076BED4BA}" xr6:coauthVersionLast="36" xr6:coauthVersionMax="36" xr10:uidLastSave="{00000000-0000-0000-0000-000000000000}"/>
  <bookViews>
    <workbookView xWindow="0" yWindow="0" windowWidth="19320" windowHeight="10575"/>
  </bookViews>
  <sheets>
    <sheet name="ch-metab-8-16_" sheetId="1" r:id="rId1"/>
  </sheets>
  <calcPr calcId="0"/>
</workbook>
</file>

<file path=xl/calcChain.xml><?xml version="1.0" encoding="utf-8"?>
<calcChain xmlns="http://schemas.openxmlformats.org/spreadsheetml/2006/main">
  <c r="M13" i="1" l="1"/>
  <c r="O13" i="1" s="1"/>
  <c r="AP13" i="1"/>
  <c r="F13" i="1" s="1"/>
  <c r="AR13" i="1"/>
  <c r="AS13" i="1"/>
  <c r="AT13" i="1"/>
  <c r="AY13" i="1"/>
  <c r="AZ13" i="1" s="1"/>
  <c r="BC13" i="1" s="1"/>
  <c r="BB13" i="1"/>
  <c r="M15" i="1"/>
  <c r="O15" i="1" s="1"/>
  <c r="AP15" i="1"/>
  <c r="F15" i="1" s="1"/>
  <c r="AR15" i="1"/>
  <c r="AS15" i="1"/>
  <c r="AT15" i="1"/>
  <c r="AY15" i="1"/>
  <c r="AZ15" i="1" s="1"/>
  <c r="BC15" i="1" s="1"/>
  <c r="BB15" i="1"/>
  <c r="M16" i="1"/>
  <c r="O16" i="1"/>
  <c r="AP16" i="1"/>
  <c r="AQ16" i="1" s="1"/>
  <c r="AR16" i="1"/>
  <c r="AS16" i="1"/>
  <c r="AT16" i="1"/>
  <c r="AY16" i="1"/>
  <c r="AZ16" i="1" s="1"/>
  <c r="BC16" i="1" s="1"/>
  <c r="BB16" i="1"/>
  <c r="M18" i="1"/>
  <c r="O18" i="1" s="1"/>
  <c r="AP18" i="1"/>
  <c r="F18" i="1" s="1"/>
  <c r="AQ18" i="1"/>
  <c r="I18" i="1" s="1"/>
  <c r="AR18" i="1"/>
  <c r="AS18" i="1"/>
  <c r="AT18" i="1"/>
  <c r="AU18" i="1" s="1"/>
  <c r="K18" i="1" s="1"/>
  <c r="AV18" i="1" s="1"/>
  <c r="AY18" i="1"/>
  <c r="AZ18" i="1" s="1"/>
  <c r="BC18" i="1" s="1"/>
  <c r="BB18" i="1"/>
  <c r="M20" i="1"/>
  <c r="O20" i="1"/>
  <c r="AP20" i="1"/>
  <c r="AQ20" i="1" s="1"/>
  <c r="AR20" i="1"/>
  <c r="AS20" i="1"/>
  <c r="AT20" i="1"/>
  <c r="AY20" i="1"/>
  <c r="AZ20" i="1" s="1"/>
  <c r="BC20" i="1" s="1"/>
  <c r="BB20" i="1"/>
  <c r="M24" i="1"/>
  <c r="O24" i="1" s="1"/>
  <c r="AP24" i="1"/>
  <c r="F24" i="1" s="1"/>
  <c r="AQ24" i="1"/>
  <c r="I24" i="1" s="1"/>
  <c r="AR24" i="1"/>
  <c r="AS24" i="1"/>
  <c r="AT24" i="1"/>
  <c r="AU24" i="1" s="1"/>
  <c r="K24" i="1" s="1"/>
  <c r="AV24" i="1" s="1"/>
  <c r="AY24" i="1"/>
  <c r="AZ24" i="1" s="1"/>
  <c r="BC24" i="1" s="1"/>
  <c r="BB24" i="1"/>
  <c r="M25" i="1"/>
  <c r="O25" i="1"/>
  <c r="AP25" i="1"/>
  <c r="AQ25" i="1" s="1"/>
  <c r="AR25" i="1"/>
  <c r="AS25" i="1"/>
  <c r="AT25" i="1"/>
  <c r="AY25" i="1"/>
  <c r="AZ25" i="1" s="1"/>
  <c r="BC25" i="1" s="1"/>
  <c r="BB25" i="1"/>
  <c r="M28" i="1"/>
  <c r="O28" i="1" s="1"/>
  <c r="AP28" i="1"/>
  <c r="F28" i="1" s="1"/>
  <c r="AQ28" i="1"/>
  <c r="I28" i="1" s="1"/>
  <c r="AR28" i="1"/>
  <c r="AS28" i="1"/>
  <c r="AT28" i="1"/>
  <c r="AU28" i="1" s="1"/>
  <c r="K28" i="1" s="1"/>
  <c r="AV28" i="1" s="1"/>
  <c r="AY28" i="1"/>
  <c r="AZ28" i="1" s="1"/>
  <c r="BC28" i="1" s="1"/>
  <c r="BB28" i="1"/>
  <c r="M30" i="1"/>
  <c r="O30" i="1"/>
  <c r="AP30" i="1"/>
  <c r="AQ30" i="1" s="1"/>
  <c r="AR30" i="1"/>
  <c r="AS30" i="1"/>
  <c r="AT30" i="1"/>
  <c r="AY30" i="1"/>
  <c r="AZ30" i="1" s="1"/>
  <c r="BC30" i="1" s="1"/>
  <c r="BB30" i="1"/>
  <c r="M32" i="1"/>
  <c r="O32" i="1" s="1"/>
  <c r="AP32" i="1"/>
  <c r="F32" i="1" s="1"/>
  <c r="AQ32" i="1"/>
  <c r="I32" i="1" s="1"/>
  <c r="AR32" i="1"/>
  <c r="AS32" i="1"/>
  <c r="AT32" i="1"/>
  <c r="AU32" i="1" s="1"/>
  <c r="K32" i="1" s="1"/>
  <c r="AV32" i="1" s="1"/>
  <c r="AY32" i="1"/>
  <c r="AZ32" i="1" s="1"/>
  <c r="BC32" i="1" s="1"/>
  <c r="BB32" i="1"/>
  <c r="M34" i="1"/>
  <c r="O34" i="1"/>
  <c r="AP34" i="1"/>
  <c r="AQ34" i="1" s="1"/>
  <c r="AR34" i="1"/>
  <c r="AS34" i="1"/>
  <c r="AT34" i="1"/>
  <c r="AY34" i="1"/>
  <c r="AZ34" i="1" s="1"/>
  <c r="BC34" i="1" s="1"/>
  <c r="BB34" i="1"/>
  <c r="M37" i="1"/>
  <c r="O37" i="1" s="1"/>
  <c r="AP37" i="1"/>
  <c r="F37" i="1" s="1"/>
  <c r="AQ37" i="1"/>
  <c r="I37" i="1" s="1"/>
  <c r="AR37" i="1"/>
  <c r="AS37" i="1"/>
  <c r="AT37" i="1"/>
  <c r="AU37" i="1" s="1"/>
  <c r="K37" i="1" s="1"/>
  <c r="AV37" i="1" s="1"/>
  <c r="AY37" i="1"/>
  <c r="AZ37" i="1" s="1"/>
  <c r="BC37" i="1" s="1"/>
  <c r="BB37" i="1"/>
  <c r="M38" i="1"/>
  <c r="O38" i="1"/>
  <c r="AP38" i="1"/>
  <c r="AQ38" i="1" s="1"/>
  <c r="AR38" i="1"/>
  <c r="AS38" i="1"/>
  <c r="AT38" i="1"/>
  <c r="AY38" i="1"/>
  <c r="AZ38" i="1" s="1"/>
  <c r="BC38" i="1" s="1"/>
  <c r="BB38" i="1"/>
  <c r="M40" i="1"/>
  <c r="O40" i="1" s="1"/>
  <c r="AP40" i="1"/>
  <c r="F40" i="1" s="1"/>
  <c r="AQ40" i="1"/>
  <c r="I40" i="1" s="1"/>
  <c r="AR40" i="1"/>
  <c r="AS40" i="1"/>
  <c r="AT40" i="1"/>
  <c r="AU40" i="1" s="1"/>
  <c r="K40" i="1" s="1"/>
  <c r="AV40" i="1" s="1"/>
  <c r="AY40" i="1"/>
  <c r="AZ40" i="1" s="1"/>
  <c r="BC40" i="1" s="1"/>
  <c r="BB40" i="1"/>
  <c r="M42" i="1"/>
  <c r="O42" i="1"/>
  <c r="AP42" i="1"/>
  <c r="AQ42" i="1" s="1"/>
  <c r="AR42" i="1"/>
  <c r="AS42" i="1"/>
  <c r="AT42" i="1"/>
  <c r="AY42" i="1"/>
  <c r="AZ42" i="1" s="1"/>
  <c r="BC42" i="1" s="1"/>
  <c r="BB42" i="1"/>
  <c r="F45" i="1"/>
  <c r="M45" i="1"/>
  <c r="O45" i="1" s="1"/>
  <c r="AP45" i="1"/>
  <c r="AQ45" i="1"/>
  <c r="AR45" i="1"/>
  <c r="AS45" i="1"/>
  <c r="AT45" i="1"/>
  <c r="AU45" i="1" s="1"/>
  <c r="K45" i="1" s="1"/>
  <c r="AV45" i="1" s="1"/>
  <c r="AY45" i="1"/>
  <c r="AZ45" i="1" s="1"/>
  <c r="BC45" i="1" s="1"/>
  <c r="BB45" i="1"/>
  <c r="M46" i="1"/>
  <c r="O46" i="1"/>
  <c r="AP46" i="1"/>
  <c r="AQ46" i="1" s="1"/>
  <c r="AR46" i="1"/>
  <c r="AS46" i="1"/>
  <c r="AT46" i="1"/>
  <c r="AY46" i="1"/>
  <c r="AZ46" i="1" s="1"/>
  <c r="BC46" i="1" s="1"/>
  <c r="BB46" i="1"/>
  <c r="M47" i="1"/>
  <c r="O47" i="1" s="1"/>
  <c r="AP47" i="1"/>
  <c r="F47" i="1" s="1"/>
  <c r="AQ47" i="1"/>
  <c r="AR47" i="1"/>
  <c r="AS47" i="1"/>
  <c r="AT47" i="1"/>
  <c r="AU47" i="1" s="1"/>
  <c r="K47" i="1" s="1"/>
  <c r="AV47" i="1" s="1"/>
  <c r="AY47" i="1"/>
  <c r="AZ47" i="1" s="1"/>
  <c r="BC47" i="1" s="1"/>
  <c r="BB47" i="1"/>
  <c r="M49" i="1"/>
  <c r="O49" i="1"/>
  <c r="AP49" i="1"/>
  <c r="AQ49" i="1" s="1"/>
  <c r="AR49" i="1"/>
  <c r="AS49" i="1"/>
  <c r="AT49" i="1"/>
  <c r="AY49" i="1"/>
  <c r="AZ49" i="1" s="1"/>
  <c r="BC49" i="1" s="1"/>
  <c r="BB49" i="1"/>
  <c r="M53" i="1"/>
  <c r="O53" i="1" s="1"/>
  <c r="AP53" i="1"/>
  <c r="F53" i="1" s="1"/>
  <c r="AQ53" i="1"/>
  <c r="AR53" i="1"/>
  <c r="AS53" i="1"/>
  <c r="AT53" i="1"/>
  <c r="AU53" i="1" s="1"/>
  <c r="K53" i="1" s="1"/>
  <c r="AV53" i="1" s="1"/>
  <c r="AY53" i="1"/>
  <c r="AZ53" i="1" s="1"/>
  <c r="BC53" i="1" s="1"/>
  <c r="BB53" i="1"/>
  <c r="AW37" i="1" l="1"/>
  <c r="AX37" i="1" s="1"/>
  <c r="BA37" i="1" s="1"/>
  <c r="G37" i="1" s="1"/>
  <c r="BD37" i="1" s="1"/>
  <c r="H37" i="1" s="1"/>
  <c r="J37" i="1"/>
  <c r="BH47" i="1"/>
  <c r="I34" i="1"/>
  <c r="AU34" i="1"/>
  <c r="K34" i="1" s="1"/>
  <c r="AV34" i="1" s="1"/>
  <c r="I25" i="1"/>
  <c r="AU25" i="1"/>
  <c r="K25" i="1" s="1"/>
  <c r="AV25" i="1" s="1"/>
  <c r="BH15" i="1"/>
  <c r="BH37" i="1"/>
  <c r="BH28" i="1"/>
  <c r="BH24" i="1"/>
  <c r="BH18" i="1"/>
  <c r="AW32" i="1"/>
  <c r="AX32" i="1" s="1"/>
  <c r="BA32" i="1" s="1"/>
  <c r="G32" i="1" s="1"/>
  <c r="BD32" i="1" s="1"/>
  <c r="H32" i="1" s="1"/>
  <c r="J32" i="1"/>
  <c r="BH53" i="1"/>
  <c r="I38" i="1"/>
  <c r="AU38" i="1"/>
  <c r="K38" i="1" s="1"/>
  <c r="AV38" i="1" s="1"/>
  <c r="I30" i="1"/>
  <c r="AU30" i="1"/>
  <c r="K30" i="1" s="1"/>
  <c r="AV30" i="1" s="1"/>
  <c r="I20" i="1"/>
  <c r="AU20" i="1"/>
  <c r="K20" i="1" s="1"/>
  <c r="AV20" i="1" s="1"/>
  <c r="I16" i="1"/>
  <c r="AU16" i="1"/>
  <c r="K16" i="1" s="1"/>
  <c r="AV16" i="1" s="1"/>
  <c r="BH40" i="1"/>
  <c r="BH32" i="1"/>
  <c r="BH45" i="1"/>
  <c r="J45" i="1"/>
  <c r="AW45" i="1"/>
  <c r="AX45" i="1" s="1"/>
  <c r="BA45" i="1" s="1"/>
  <c r="G45" i="1" s="1"/>
  <c r="BD45" i="1" s="1"/>
  <c r="H45" i="1" s="1"/>
  <c r="AU13" i="1"/>
  <c r="K13" i="1" s="1"/>
  <c r="AV13" i="1" s="1"/>
  <c r="AW53" i="1"/>
  <c r="AX53" i="1" s="1"/>
  <c r="BA53" i="1" s="1"/>
  <c r="G53" i="1" s="1"/>
  <c r="BD53" i="1" s="1"/>
  <c r="H53" i="1" s="1"/>
  <c r="J53" i="1"/>
  <c r="AW24" i="1"/>
  <c r="AX24" i="1" s="1"/>
  <c r="BA24" i="1" s="1"/>
  <c r="G24" i="1" s="1"/>
  <c r="BD24" i="1" s="1"/>
  <c r="H24" i="1" s="1"/>
  <c r="J24" i="1"/>
  <c r="J47" i="1"/>
  <c r="AW47" i="1"/>
  <c r="AX47" i="1" s="1"/>
  <c r="BA47" i="1" s="1"/>
  <c r="G47" i="1" s="1"/>
  <c r="BD47" i="1" s="1"/>
  <c r="H47" i="1" s="1"/>
  <c r="AW18" i="1"/>
  <c r="AX18" i="1" s="1"/>
  <c r="BA18" i="1" s="1"/>
  <c r="G18" i="1" s="1"/>
  <c r="BD18" i="1" s="1"/>
  <c r="H18" i="1" s="1"/>
  <c r="J18" i="1"/>
  <c r="BG18" i="1"/>
  <c r="BI18" i="1" s="1"/>
  <c r="AW28" i="1"/>
  <c r="AX28" i="1" s="1"/>
  <c r="BA28" i="1" s="1"/>
  <c r="G28" i="1" s="1"/>
  <c r="BD28" i="1" s="1"/>
  <c r="H28" i="1" s="1"/>
  <c r="J28" i="1"/>
  <c r="I49" i="1"/>
  <c r="AU49" i="1"/>
  <c r="K49" i="1" s="1"/>
  <c r="AV49" i="1" s="1"/>
  <c r="BG47" i="1"/>
  <c r="BI47" i="1" s="1"/>
  <c r="AU46" i="1"/>
  <c r="K46" i="1" s="1"/>
  <c r="AV46" i="1" s="1"/>
  <c r="I46" i="1"/>
  <c r="BG45" i="1"/>
  <c r="BI45" i="1" s="1"/>
  <c r="BH13" i="1"/>
  <c r="J40" i="1"/>
  <c r="AW40" i="1"/>
  <c r="AX40" i="1" s="1"/>
  <c r="BA40" i="1" s="1"/>
  <c r="G40" i="1" s="1"/>
  <c r="BD40" i="1" s="1"/>
  <c r="H40" i="1" s="1"/>
  <c r="I42" i="1"/>
  <c r="AU42" i="1"/>
  <c r="K42" i="1" s="1"/>
  <c r="AV42" i="1" s="1"/>
  <c r="F49" i="1"/>
  <c r="F46" i="1"/>
  <c r="F34" i="1"/>
  <c r="F30" i="1"/>
  <c r="F25" i="1"/>
  <c r="F20" i="1"/>
  <c r="F16" i="1"/>
  <c r="I53" i="1"/>
  <c r="I45" i="1"/>
  <c r="I47" i="1"/>
  <c r="F38" i="1"/>
  <c r="AQ15" i="1"/>
  <c r="F42" i="1"/>
  <c r="AQ13" i="1"/>
  <c r="BH30" i="1" l="1"/>
  <c r="J49" i="1"/>
  <c r="AW49" i="1"/>
  <c r="AX49" i="1" s="1"/>
  <c r="BA49" i="1" s="1"/>
  <c r="G49" i="1" s="1"/>
  <c r="BD49" i="1" s="1"/>
  <c r="H49" i="1" s="1"/>
  <c r="J30" i="1"/>
  <c r="AW30" i="1"/>
  <c r="AX30" i="1" s="1"/>
  <c r="BA30" i="1" s="1"/>
  <c r="G30" i="1" s="1"/>
  <c r="BD30" i="1" s="1"/>
  <c r="H30" i="1" s="1"/>
  <c r="J34" i="1"/>
  <c r="AW34" i="1"/>
  <c r="AX34" i="1" s="1"/>
  <c r="BA34" i="1" s="1"/>
  <c r="G34" i="1" s="1"/>
  <c r="BH42" i="1"/>
  <c r="I15" i="1"/>
  <c r="BH46" i="1"/>
  <c r="BE18" i="1"/>
  <c r="BF18" i="1"/>
  <c r="BF53" i="1"/>
  <c r="BE53" i="1"/>
  <c r="BG32" i="1"/>
  <c r="BI32" i="1" s="1"/>
  <c r="BH38" i="1"/>
  <c r="BH49" i="1"/>
  <c r="BG49" i="1"/>
  <c r="BI49" i="1" s="1"/>
  <c r="J13" i="1"/>
  <c r="AW13" i="1"/>
  <c r="AX13" i="1" s="1"/>
  <c r="BA13" i="1" s="1"/>
  <c r="G13" i="1" s="1"/>
  <c r="BD13" i="1" s="1"/>
  <c r="H13" i="1" s="1"/>
  <c r="J42" i="1"/>
  <c r="AW42" i="1"/>
  <c r="AX42" i="1" s="1"/>
  <c r="BA42" i="1" s="1"/>
  <c r="G42" i="1" s="1"/>
  <c r="BD42" i="1" s="1"/>
  <c r="H42" i="1" s="1"/>
  <c r="BG53" i="1"/>
  <c r="BI53" i="1" s="1"/>
  <c r="J38" i="1"/>
  <c r="AW38" i="1"/>
  <c r="AX38" i="1" s="1"/>
  <c r="BA38" i="1" s="1"/>
  <c r="G38" i="1" s="1"/>
  <c r="BD38" i="1" s="1"/>
  <c r="H38" i="1" s="1"/>
  <c r="BF47" i="1"/>
  <c r="BE47" i="1"/>
  <c r="J16" i="1"/>
  <c r="AW16" i="1"/>
  <c r="AX16" i="1" s="1"/>
  <c r="BA16" i="1" s="1"/>
  <c r="G16" i="1" s="1"/>
  <c r="BD16" i="1" s="1"/>
  <c r="H16" i="1" s="1"/>
  <c r="BG30" i="1"/>
  <c r="BI30" i="1" s="1"/>
  <c r="BF45" i="1"/>
  <c r="BE45" i="1"/>
  <c r="BH16" i="1"/>
  <c r="BI16" i="1"/>
  <c r="BG28" i="1"/>
  <c r="BI28" i="1" s="1"/>
  <c r="AU15" i="1"/>
  <c r="K15" i="1" s="1"/>
  <c r="AV15" i="1" s="1"/>
  <c r="BG16" i="1"/>
  <c r="BF40" i="1"/>
  <c r="BE40" i="1"/>
  <c r="BH34" i="1"/>
  <c r="BE32" i="1"/>
  <c r="BF32" i="1"/>
  <c r="BG13" i="1"/>
  <c r="BI13" i="1" s="1"/>
  <c r="I13" i="1"/>
  <c r="BH20" i="1"/>
  <c r="BG42" i="1"/>
  <c r="BI42" i="1" s="1"/>
  <c r="J46" i="1"/>
  <c r="AW46" i="1"/>
  <c r="AX46" i="1" s="1"/>
  <c r="BA46" i="1" s="1"/>
  <c r="G46" i="1" s="1"/>
  <c r="J20" i="1"/>
  <c r="AW20" i="1"/>
  <c r="AX20" i="1" s="1"/>
  <c r="BA20" i="1" s="1"/>
  <c r="G20" i="1" s="1"/>
  <c r="J25" i="1"/>
  <c r="AW25" i="1"/>
  <c r="AX25" i="1" s="1"/>
  <c r="BA25" i="1" s="1"/>
  <c r="G25" i="1" s="1"/>
  <c r="BE28" i="1"/>
  <c r="BF28" i="1"/>
  <c r="BG24" i="1"/>
  <c r="BI24" i="1" s="1"/>
  <c r="BG37" i="1"/>
  <c r="BI37" i="1" s="1"/>
  <c r="BH25" i="1"/>
  <c r="BG40" i="1"/>
  <c r="BI40" i="1" s="1"/>
  <c r="BE24" i="1"/>
  <c r="BF24" i="1"/>
  <c r="BE37" i="1"/>
  <c r="BF37" i="1"/>
  <c r="BF30" i="1" l="1"/>
  <c r="BE30" i="1"/>
  <c r="BD34" i="1"/>
  <c r="H34" i="1" s="1"/>
  <c r="BG34" i="1"/>
  <c r="BI34" i="1" s="1"/>
  <c r="BD25" i="1"/>
  <c r="H25" i="1" s="1"/>
  <c r="BG25" i="1"/>
  <c r="BI25" i="1" s="1"/>
  <c r="BF42" i="1"/>
  <c r="BE42" i="1"/>
  <c r="BF49" i="1"/>
  <c r="BE49" i="1"/>
  <c r="BG38" i="1"/>
  <c r="BI38" i="1" s="1"/>
  <c r="BE16" i="1"/>
  <c r="BF16" i="1"/>
  <c r="BF38" i="1"/>
  <c r="BE38" i="1"/>
  <c r="BD20" i="1"/>
  <c r="H20" i="1" s="1"/>
  <c r="BG20" i="1"/>
  <c r="BI20" i="1" s="1"/>
  <c r="BE13" i="1"/>
  <c r="BF13" i="1"/>
  <c r="BD46" i="1"/>
  <c r="H46" i="1" s="1"/>
  <c r="BG46" i="1"/>
  <c r="BI46" i="1" s="1"/>
  <c r="AW15" i="1"/>
  <c r="AX15" i="1" s="1"/>
  <c r="BA15" i="1" s="1"/>
  <c r="G15" i="1" s="1"/>
  <c r="BD15" i="1" s="1"/>
  <c r="H15" i="1" s="1"/>
  <c r="J15" i="1"/>
  <c r="BE15" i="1" l="1"/>
  <c r="BF15" i="1"/>
  <c r="BF46" i="1"/>
  <c r="BE46" i="1"/>
  <c r="BF34" i="1"/>
  <c r="BE34" i="1"/>
  <c r="BE25" i="1"/>
  <c r="BF25" i="1"/>
  <c r="BF20" i="1"/>
  <c r="BE20" i="1"/>
  <c r="BG15" i="1"/>
  <c r="BI15" i="1" s="1"/>
</calcChain>
</file>

<file path=xl/sharedStrings.xml><?xml version="1.0" encoding="utf-8"?>
<sst xmlns="http://schemas.openxmlformats.org/spreadsheetml/2006/main" count="217" uniqueCount="138">
  <si>
    <t>OPEN 6.3.4</t>
  </si>
  <si>
    <t>Wed Aug 16 2023 11:32:31</t>
  </si>
  <si>
    <t>Unit=</t>
  </si>
  <si>
    <t>PSC-1491</t>
  </si>
  <si>
    <t>LCF=</t>
  </si>
  <si>
    <t>LCF-0388</t>
  </si>
  <si>
    <t>LCFCals=</t>
  </si>
  <si>
    <t>LightSource=</t>
  </si>
  <si>
    <t>6400-40 Fluorometer</t>
  </si>
  <si>
    <t>A/D AvgTime=</t>
  </si>
  <si>
    <t>Config=</t>
  </si>
  <si>
    <t>/User/Configs/UserPrefs/FactoryDefault_6.3.xml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</si>
  <si>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</si>
  <si>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</si>
  <si>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</si>
  <si>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</si>
  <si>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</si>
  <si>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</si>
  <si>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</si>
  <si>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</si>
  <si>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</si>
  <si>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</si>
  <si>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</si>
  <si>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</si>
  <si>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</si>
  <si>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</si>
  <si>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</si>
  <si>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</si>
  <si>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</si>
  <si>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</si>
  <si>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</si>
  <si>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</si>
  <si>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</si>
  <si>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</si>
  <si>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</si>
  <si>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</si>
  <si>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</si>
  <si>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</si>
  <si>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</si>
  <si>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</si>
  <si>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</si>
  <si>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</si>
  <si>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</si>
  <si>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</si>
  <si>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</si>
  <si>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</si>
  <si>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</si>
  <si>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</si>
  <si>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</si>
  <si>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</si>
  <si>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</si>
  <si>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</si>
  <si>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</si>
  <si>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</si>
  <si>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</si>
  <si>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</si>
  <si>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</si>
  <si>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</si>
  <si>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</si>
  <si>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</si>
  <si>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</si>
  <si>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</si>
  <si>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</si>
  <si>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</si>
  <si>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</si>
  <si>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</si>
  <si>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</si>
  <si>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</si>
  <si>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</si>
  <si>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</si>
  <si>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</si>
  <si>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</si>
  <si>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</si>
  <si>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</si>
  <si>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</si>
  <si>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</si>
  <si>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11:32:33</t>
  </si>
  <si>
    <t xml:space="preserve">"11:36:12 LCF Lamp: ParIn -&gt; 1150 uml, with blue = 10 percent, actinic on"
</t>
  </si>
  <si>
    <t>11:38:46</t>
  </si>
  <si>
    <t>11:45:44</t>
  </si>
  <si>
    <t xml:space="preserve">"11:49:14 LCF Lamp: ParIn -&gt; 980 uml, with blue = 10 percent, actinic on"
</t>
  </si>
  <si>
    <t>11:51:35</t>
  </si>
  <si>
    <t xml:space="preserve">"11:54:36 LCF Lamp: ParIn -&gt; 1170 uml, with blue = 10 percent, actinic on"
</t>
  </si>
  <si>
    <t>11:57:16</t>
  </si>
  <si>
    <t xml:space="preserve">"11:58:32 Flow: Fixed -&gt; 500 umol/s"
</t>
  </si>
  <si>
    <t xml:space="preserve">"12:00:53 Flow: Fixed -&gt; 500 umol/s"
</t>
  </si>
  <si>
    <t xml:space="preserve">"12:01:07 LCF Lamp: ParIn -&gt; 1100 uml, with blue = 10 percent, actinic on"
</t>
  </si>
  <si>
    <t>12:04:19</t>
  </si>
  <si>
    <t>12:10:43</t>
  </si>
  <si>
    <t xml:space="preserve">"12:14:12 Flow: Fixed -&gt; 500 umol/s"
</t>
  </si>
  <si>
    <t xml:space="preserve">"12:14:19 LCF Lamp: ParIn -&gt; 1210 uml, with blue = 10 percent, actinic on"
</t>
  </si>
  <si>
    <t>12:16:15</t>
  </si>
  <si>
    <t xml:space="preserve">"12:19:59 Flow: Fixed -&gt; 500 umol/s"
</t>
  </si>
  <si>
    <t>12:19:59</t>
  </si>
  <si>
    <t xml:space="preserve">"12:20:15 LCF Lamp: ParIn -&gt; 1250 uml, with blue = 10 percent, actinic on"
</t>
  </si>
  <si>
    <t>12:22:57</t>
  </si>
  <si>
    <t xml:space="preserve">"12:25:21 LCF Lamp: ParIn -&gt; 1140 uml, with blue = 10 percent, actinic on"
</t>
  </si>
  <si>
    <t>12:28:35</t>
  </si>
  <si>
    <t xml:space="preserve">"12:30:58 LCF Lamp: ParIn -&gt; 1250 uml, with blue = 10 percent, actinic on"
</t>
  </si>
  <si>
    <t xml:space="preserve">"12:31:58 Flow: Fixed -&gt; 500 umol/s"
</t>
  </si>
  <si>
    <t>12:33:19</t>
  </si>
  <si>
    <t>12:43:51</t>
  </si>
  <si>
    <t xml:space="preserve">"12:47:03 Flow: Fixed -&gt; 500 umol/s"
</t>
  </si>
  <si>
    <t>12:49:08</t>
  </si>
  <si>
    <t xml:space="preserve">"12:52:22 LCF Lamp: ParIn -&gt; 1350 uml, with blue = 10 percent, actinic on"
</t>
  </si>
  <si>
    <t>12:53:37</t>
  </si>
  <si>
    <t xml:space="preserve">"12:56:24 LCF Lamp: ParIn -&gt; 1270 uml, with blue = 10 percent, actinic on"
</t>
  </si>
  <si>
    <t xml:space="preserve">"12:58:20 Flow: Fixed -&gt; 500 umol/s"
</t>
  </si>
  <si>
    <t>12:58:20</t>
  </si>
  <si>
    <t>13:00:41</t>
  </si>
  <si>
    <t>13:00:46</t>
  </si>
  <si>
    <t xml:space="preserve">"13:03:35 Flow: Fixed -&gt; 500 umol/s"
</t>
  </si>
  <si>
    <t>13:07:15</t>
  </si>
  <si>
    <t xml:space="preserve">"13:09:57 LCF Lamp: ParIn -&gt; 1180 uml, with blue = 10 percent, actinic on"
</t>
  </si>
  <si>
    <t xml:space="preserve">"13:11:22 Flow: Fixed -&gt; 500 umol/s"
</t>
  </si>
  <si>
    <t xml:space="preserve">"13:11:45 Flow: Fixed -&gt; 500 umol/s"
</t>
  </si>
  <si>
    <t>13:13:25</t>
  </si>
  <si>
    <t>ID</t>
  </si>
  <si>
    <t>LCOR-068</t>
  </si>
  <si>
    <t>LCOR-092</t>
  </si>
  <si>
    <t>LCOR-078</t>
  </si>
  <si>
    <t>LCOR-163</t>
  </si>
  <si>
    <t>LCOR-157</t>
  </si>
  <si>
    <t>LCOR-241</t>
  </si>
  <si>
    <t>LCOR-066</t>
  </si>
  <si>
    <t>LCOR-449</t>
  </si>
  <si>
    <t>LCOR-516</t>
  </si>
  <si>
    <t>LCOR-306</t>
  </si>
  <si>
    <t>N/A</t>
  </si>
  <si>
    <t>LCOR-080</t>
  </si>
  <si>
    <t>LCOR-518</t>
  </si>
  <si>
    <t>LCOR-514</t>
  </si>
  <si>
    <t>LCOR-106</t>
  </si>
  <si>
    <t>LCOR-090</t>
  </si>
  <si>
    <t>LCOR-212</t>
  </si>
  <si>
    <t>LCOR-084</t>
  </si>
  <si>
    <t>LCOR-086</t>
  </si>
  <si>
    <t>LCOR-083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</si>
</sst>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3"/>
  <sheetViews>
    <sheetView tabSelected="1" workbookViewId="0">
      <selection activeCell="Q8" sqref="Q8"/>
    </sheetView>
  </sheetViews>
  <sheetFormatPr defaultRowHeight="15" x14ac:dyDescent="0.25"/>
  <sheetData>
    <row r="1" spans="1:61" x14ac:dyDescent="0.25">
      <c r="A1" s="1" t="s">
        <v>0</v>
      </c>
    </row>
    <row r="2" spans="1:61" x14ac:dyDescent="0.25">
      <c r="A2" s="1" t="s">
        <v>1</v>
      </c>
    </row>
    <row r="3" spans="1:61" x14ac:dyDescent="0.25">
      <c r="A3" s="1" t="s">
        <v>2</v>
      </c>
      <c r="B3" s="1" t="s">
        <v>3</v>
      </c>
      <c r="C3" s="1"/>
    </row>
    <row r="4" spans="1:61" x14ac:dyDescent="0.25">
      <c r="A4" s="1" t="s">
        <v>4</v>
      </c>
      <c r="B4" s="1" t="s">
        <v>5</v>
      </c>
      <c r="C4" s="1"/>
    </row>
    <row r="5" spans="1:61" x14ac:dyDescent="0.25">
      <c r="A5" s="1" t="s">
        <v>6</v>
      </c>
      <c r="B5" s="1">
        <v>-2.6600000858306885</v>
      </c>
      <c r="C5" s="1"/>
      <c r="D5" s="1">
        <v>-2.2300000190734863</v>
      </c>
      <c r="E5" s="1">
        <v>-2923</v>
      </c>
    </row>
    <row r="6" spans="1:61" x14ac:dyDescent="0.25">
      <c r="A6" s="1" t="s">
        <v>7</v>
      </c>
      <c r="B6" s="1" t="s">
        <v>8</v>
      </c>
      <c r="C6" s="1"/>
      <c r="D6" s="1">
        <v>1</v>
      </c>
      <c r="E6" s="1">
        <v>0.15999999642372131</v>
      </c>
    </row>
    <row r="7" spans="1:61" x14ac:dyDescent="0.25">
      <c r="A7" s="1" t="s">
        <v>9</v>
      </c>
      <c r="B7" s="1">
        <v>4</v>
      </c>
      <c r="C7" s="1"/>
    </row>
    <row r="8" spans="1:61" x14ac:dyDescent="0.25">
      <c r="A8" s="1" t="s">
        <v>10</v>
      </c>
      <c r="B8" s="1" t="s">
        <v>11</v>
      </c>
      <c r="C8" s="1"/>
    </row>
    <row r="9" spans="1:61" x14ac:dyDescent="0.25">
      <c r="A9" s="1" t="s">
        <v>12</v>
      </c>
      <c r="B9" s="1" t="s">
        <v>13</v>
      </c>
      <c r="C9" s="1"/>
    </row>
    <row r="11" spans="1:61" x14ac:dyDescent="0.25">
      <c r="A11" s="1" t="s">
        <v>14</v>
      </c>
      <c r="B11" s="1" t="s">
        <v>15</v>
      </c>
      <c r="C11" s="1" t="s">
        <v>117</v>
      </c>
      <c r="D11" s="1" t="s">
        <v>16</v>
      </c>
      <c r="E11" s="1" t="s">
        <v>17</v>
      </c>
      <c r="F11" s="1" t="s">
        <v>18</v>
      </c>
      <c r="G11" s="1" t="s">
        <v>19</v>
      </c>
      <c r="H11" s="1" t="s">
        <v>20</v>
      </c>
      <c r="I11" s="1" t="s">
        <v>21</v>
      </c>
      <c r="J11" s="1" t="s">
        <v>22</v>
      </c>
      <c r="K11" s="1" t="s">
        <v>23</v>
      </c>
      <c r="L11" s="1" t="s">
        <v>24</v>
      </c>
      <c r="M11" s="1" t="s">
        <v>25</v>
      </c>
      <c r="N11" s="1" t="s">
        <v>26</v>
      </c>
      <c r="O11" s="1" t="s">
        <v>27</v>
      </c>
      <c r="P11" s="1" t="s">
        <v>28</v>
      </c>
      <c r="Q11" s="1" t="s">
        <v>29</v>
      </c>
      <c r="R11" s="1" t="s">
        <v>30</v>
      </c>
      <c r="S11" s="1" t="s">
        <v>31</v>
      </c>
      <c r="T11" s="1" t="s">
        <v>32</v>
      </c>
      <c r="U11" s="1" t="s">
        <v>33</v>
      </c>
      <c r="V11" s="1" t="s">
        <v>34</v>
      </c>
      <c r="W11" s="1" t="s">
        <v>35</v>
      </c>
      <c r="X11" s="1" t="s">
        <v>36</v>
      </c>
      <c r="Y11" s="1" t="s">
        <v>37</v>
      </c>
      <c r="Z11" s="1" t="s">
        <v>38</v>
      </c>
      <c r="AA11" s="1" t="s">
        <v>39</v>
      </c>
      <c r="AB11" s="1" t="s">
        <v>40</v>
      </c>
      <c r="AC11" s="1" t="s">
        <v>41</v>
      </c>
      <c r="AD11" s="1" t="s">
        <v>42</v>
      </c>
      <c r="AE11" s="1" t="s">
        <v>43</v>
      </c>
      <c r="AF11" s="1" t="s">
        <v>44</v>
      </c>
      <c r="AG11" s="1" t="s">
        <v>45</v>
      </c>
      <c r="AH11" s="1" t="s">
        <v>46</v>
      </c>
      <c r="AI11" s="1" t="s">
        <v>47</v>
      </c>
      <c r="AJ11" s="1" t="s">
        <v>48</v>
      </c>
      <c r="AK11" s="1" t="s">
        <v>49</v>
      </c>
      <c r="AL11" s="1" t="s">
        <v>50</v>
      </c>
      <c r="AM11" s="1" t="s">
        <v>51</v>
      </c>
      <c r="AN11" s="1" t="s">
        <v>52</v>
      </c>
      <c r="AO11" s="1" t="s">
        <v>53</v>
      </c>
      <c r="AP11" s="1" t="s">
        <v>54</v>
      </c>
      <c r="AQ11" s="1" t="s">
        <v>55</v>
      </c>
      <c r="AR11" s="1" t="s">
        <v>56</v>
      </c>
      <c r="AS11" s="1" t="s">
        <v>57</v>
      </c>
      <c r="AT11" s="1" t="s">
        <v>58</v>
      </c>
      <c r="AU11" s="1" t="s">
        <v>59</v>
      </c>
      <c r="AV11" s="1" t="s">
        <v>60</v>
      </c>
      <c r="AW11" s="1" t="s">
        <v>61</v>
      </c>
      <c r="AX11" s="1" t="s">
        <v>62</v>
      </c>
      <c r="AY11" s="1" t="s">
        <v>63</v>
      </c>
      <c r="AZ11" s="1" t="s">
        <v>64</v>
      </c>
      <c r="BA11" s="1" t="s">
        <v>65</v>
      </c>
      <c r="BB11" s="1" t="s">
        <v>66</v>
      </c>
      <c r="BC11" s="1" t="s">
        <v>67</v>
      </c>
      <c r="BD11" s="1" t="s">
        <v>68</v>
      </c>
      <c r="BE11" s="1" t="s">
        <v>69</v>
      </c>
      <c r="BF11" s="1" t="s">
        <v>70</v>
      </c>
      <c r="BG11" s="1" t="s">
        <v>71</v>
      </c>
      <c r="BH11" s="1" t="s">
        <v>72</v>
      </c>
      <c r="BI11" s="1" t="s">
        <v>73</v>
      </c>
    </row>
    <row r="12" spans="1:61" x14ac:dyDescent="0.25">
      <c r="A12" s="1" t="s">
        <v>74</v>
      </c>
      <c r="B12" s="1" t="s">
        <v>74</v>
      </c>
      <c r="C12" s="1"/>
      <c r="D12" s="1" t="s">
        <v>74</v>
      </c>
      <c r="E12" s="1" t="s">
        <v>74</v>
      </c>
      <c r="F12" s="1" t="s">
        <v>75</v>
      </c>
      <c r="G12" s="1" t="s">
        <v>75</v>
      </c>
      <c r="H12" s="1" t="s">
        <v>75</v>
      </c>
      <c r="I12" s="1" t="s">
        <v>75</v>
      </c>
      <c r="J12" s="1" t="s">
        <v>75</v>
      </c>
      <c r="K12" s="1" t="s">
        <v>75</v>
      </c>
      <c r="L12" s="1" t="s">
        <v>74</v>
      </c>
      <c r="M12" s="1" t="s">
        <v>75</v>
      </c>
      <c r="N12" s="1" t="s">
        <v>74</v>
      </c>
      <c r="O12" s="1" t="s">
        <v>75</v>
      </c>
      <c r="P12" s="1" t="s">
        <v>74</v>
      </c>
      <c r="Q12" s="1" t="s">
        <v>74</v>
      </c>
      <c r="R12" s="1" t="s">
        <v>74</v>
      </c>
      <c r="S12" s="1" t="s">
        <v>74</v>
      </c>
      <c r="T12" s="1" t="s">
        <v>74</v>
      </c>
      <c r="U12" s="1" t="s">
        <v>74</v>
      </c>
      <c r="V12" s="1" t="s">
        <v>74</v>
      </c>
      <c r="W12" s="1" t="s">
        <v>74</v>
      </c>
      <c r="X12" s="1" t="s">
        <v>74</v>
      </c>
      <c r="Y12" s="1" t="s">
        <v>74</v>
      </c>
      <c r="Z12" s="1" t="s">
        <v>74</v>
      </c>
      <c r="AA12" s="1" t="s">
        <v>74</v>
      </c>
      <c r="AB12" s="1" t="s">
        <v>74</v>
      </c>
      <c r="AC12" s="1" t="s">
        <v>74</v>
      </c>
      <c r="AD12" s="1" t="s">
        <v>74</v>
      </c>
      <c r="AE12" s="1" t="s">
        <v>74</v>
      </c>
      <c r="AF12" s="1" t="s">
        <v>74</v>
      </c>
      <c r="AG12" s="1" t="s">
        <v>74</v>
      </c>
      <c r="AH12" s="1" t="s">
        <v>74</v>
      </c>
      <c r="AI12" s="1" t="s">
        <v>74</v>
      </c>
      <c r="AJ12" s="1" t="s">
        <v>74</v>
      </c>
      <c r="AK12" s="1" t="s">
        <v>74</v>
      </c>
      <c r="AL12" s="1" t="s">
        <v>74</v>
      </c>
      <c r="AM12" s="1" t="s">
        <v>74</v>
      </c>
      <c r="AN12" s="1" t="s">
        <v>74</v>
      </c>
      <c r="AO12" s="1" t="s">
        <v>74</v>
      </c>
      <c r="AP12" s="1" t="s">
        <v>75</v>
      </c>
      <c r="AQ12" s="1" t="s">
        <v>75</v>
      </c>
      <c r="AR12" s="1" t="s">
        <v>75</v>
      </c>
      <c r="AS12" s="1" t="s">
        <v>75</v>
      </c>
      <c r="AT12" s="1" t="s">
        <v>75</v>
      </c>
      <c r="AU12" s="1" t="s">
        <v>75</v>
      </c>
      <c r="AV12" s="1" t="s">
        <v>75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s="1" t="s">
        <v>75</v>
      </c>
      <c r="BF12" s="1" t="s">
        <v>75</v>
      </c>
      <c r="BG12" s="1" t="s">
        <v>75</v>
      </c>
      <c r="BH12" s="1" t="s">
        <v>75</v>
      </c>
      <c r="BI12" s="1" t="s">
        <v>75</v>
      </c>
    </row>
    <row r="13" spans="1:61" x14ac:dyDescent="0.25">
      <c r="A13" s="1">
        <v>1</v>
      </c>
      <c r="B13" s="1" t="s">
        <v>76</v>
      </c>
      <c r="C13" s="1" t="s">
        <v>118</v>
      </c>
      <c r="D13" s="1">
        <v>23.499998380430043</v>
      </c>
      <c r="E13" s="1">
        <v>0</v>
      </c>
      <c r="F13">
        <f>(S13-T13*(1000-U13)/(1000-V13))*AP13</f>
        <v>-0.53708742992916236</v>
      </c>
      <c r="G13">
        <f>IF(BA13&lt;&gt;0,1/(1/BA13-1/O13),0)</f>
        <v>-1.3538391020996918E-2</v>
      </c>
      <c r="H13">
        <f>((BD13-AQ13/2)*T13-F13)/(BD13+AQ13/2)</f>
        <v>332.88161935168864</v>
      </c>
      <c r="I13">
        <f>AQ13*1000</f>
        <v>-0.31588030265739186</v>
      </c>
      <c r="J13">
        <f>(AV13-BB13)</f>
        <v>2.2458150532549039</v>
      </c>
      <c r="K13">
        <f>(Q13+AU13*E13)</f>
        <v>34.019954681396484</v>
      </c>
      <c r="L13" s="1">
        <v>6</v>
      </c>
      <c r="M13">
        <f>(L13*AJ13+AK13)</f>
        <v>1.4200000166893005</v>
      </c>
      <c r="N13" s="1">
        <v>1</v>
      </c>
      <c r="O13">
        <f>M13*(N13+1)*(N13+1)/(N13*N13+1)</f>
        <v>2.8400000333786011</v>
      </c>
      <c r="P13" s="1">
        <v>32.807815551757813</v>
      </c>
      <c r="Q13" s="1">
        <v>34.019954681396484</v>
      </c>
      <c r="R13" s="1">
        <v>32.826095581054688</v>
      </c>
      <c r="S13" s="1">
        <v>409.10488891601563</v>
      </c>
      <c r="T13" s="1">
        <v>409.9049072265625</v>
      </c>
      <c r="U13" s="1">
        <v>31.109622955322266</v>
      </c>
      <c r="V13" s="1">
        <v>30.742156982421875</v>
      </c>
      <c r="W13" s="1">
        <v>62.832302093505859</v>
      </c>
      <c r="X13" s="1">
        <v>62.090129852294922</v>
      </c>
      <c r="Y13" s="1">
        <v>499.914794921875</v>
      </c>
      <c r="Z13" s="1">
        <v>1058.5704345703125</v>
      </c>
      <c r="AA13" s="1">
        <v>920.53717041015625</v>
      </c>
      <c r="AB13" s="1">
        <v>100.94103240966797</v>
      </c>
      <c r="AC13" s="1">
        <v>-1.0548900365829468</v>
      </c>
      <c r="AD13" s="1">
        <v>1.4389499425888062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0.15999999642372131</v>
      </c>
      <c r="AO13" s="1">
        <v>111115</v>
      </c>
      <c r="AP13">
        <f>Y13*0.000001/(L13*0.0001)</f>
        <v>0.83319132486979164</v>
      </c>
      <c r="AQ13">
        <f>(V13-U13)/(1000-V13)*AP13</f>
        <v>-3.1588030265739187E-4</v>
      </c>
      <c r="AR13">
        <f>(Q13+273.15)</f>
        <v>307.16995468139646</v>
      </c>
      <c r="AS13">
        <f>(P13+273.15)</f>
        <v>305.95781555175779</v>
      </c>
      <c r="AT13">
        <f>(Z13*AL13+AA13*AM13)*AN13</f>
        <v>169.37126574550712</v>
      </c>
      <c r="AU13">
        <f>((AT13+0.00000010773*(AS13^4-AR13^4))-AQ13*44100)/(M13*0.92*2*29.3+0.00000043092*AR13^3)</f>
        <v>1.8895379231772436</v>
      </c>
      <c r="AV13">
        <f>0.61365*EXP(17.502*K13/(240.97+K13))</f>
        <v>5.3489601175606509</v>
      </c>
      <c r="AW13">
        <f>AV13*1000/AB13</f>
        <v>52.99093926295464</v>
      </c>
      <c r="AX13">
        <f>(AW13-V13)</f>
        <v>22.248782280532765</v>
      </c>
      <c r="AY13">
        <f>IF(E13,Q13,(P13+Q13)/2)</f>
        <v>33.413885116577148</v>
      </c>
      <c r="AZ13">
        <f>0.61365*EXP(17.502*AY13/(240.97+AY13))</f>
        <v>5.1707913179900462</v>
      </c>
      <c r="BA13">
        <f>IF(AX13&lt;&gt;0,(1000-(AW13+V13)/2)/AX13*AQ13,0)</f>
        <v>-1.3603238188455566E-2</v>
      </c>
      <c r="BB13">
        <f>V13*AB13/1000</f>
        <v>3.103145064305747</v>
      </c>
      <c r="BC13">
        <f>(AZ13-BB13)</f>
        <v>2.0676462536842992</v>
      </c>
      <c r="BD13">
        <f>1/(1.6/G13+1.37/O13)</f>
        <v>-8.4961738767233806E-3</v>
      </c>
      <c r="BE13">
        <f>H13*AB13*0.001</f>
        <v>33.601414327561557</v>
      </c>
      <c r="BF13">
        <f>H13/T13</f>
        <v>0.81209474071433463</v>
      </c>
      <c r="BG13">
        <f>(1-AQ13*AB13/AV13/G13)*100</f>
        <v>55.969473905786394</v>
      </c>
      <c r="BH13">
        <f>(T13-F13/(O13/1.35))</f>
        <v>410.16021286807046</v>
      </c>
      <c r="BI13">
        <f>F13*BG13/100/BH13</f>
        <v>-7.3289655972104742E-4</v>
      </c>
    </row>
    <row r="14" spans="1:61" x14ac:dyDescent="0.25">
      <c r="A14" s="1" t="s">
        <v>12</v>
      </c>
      <c r="B14" s="1" t="s">
        <v>77</v>
      </c>
      <c r="C14" s="1"/>
    </row>
    <row r="15" spans="1:61" x14ac:dyDescent="0.25">
      <c r="A15" s="1">
        <v>2</v>
      </c>
      <c r="B15" s="1" t="s">
        <v>78</v>
      </c>
      <c r="C15" s="1" t="s">
        <v>119</v>
      </c>
      <c r="D15" s="1">
        <v>396.49997267406434</v>
      </c>
      <c r="E15" s="1">
        <v>0</v>
      </c>
      <c r="F15">
        <f>(S15-T15*(1000-U15)/(1000-V15))*AP15</f>
        <v>2.2116585556039361</v>
      </c>
      <c r="G15">
        <f>IF(BA15&lt;&gt;0,1/(1/BA15-1/O15),0)</f>
        <v>1.1046208011134137E-2</v>
      </c>
      <c r="H15">
        <f>((BD15-AQ15/2)*T15-F15)/(BD15+AQ15/2)</f>
        <v>76.191857877599631</v>
      </c>
      <c r="I15">
        <f>AQ15*1000</f>
        <v>0.25155430537770263</v>
      </c>
      <c r="J15">
        <f>(AV15-BB15)</f>
        <v>2.2109614484024469</v>
      </c>
      <c r="K15">
        <f>(Q15+AU15*E15)</f>
        <v>33.972431182861328</v>
      </c>
      <c r="L15" s="1">
        <v>6</v>
      </c>
      <c r="M15">
        <f>(L15*AJ15+AK15)</f>
        <v>1.4200000166893005</v>
      </c>
      <c r="N15" s="1">
        <v>1</v>
      </c>
      <c r="O15">
        <f>M15*(N15+1)*(N15+1)/(N15*N15+1)</f>
        <v>2.8400000333786011</v>
      </c>
      <c r="P15" s="1">
        <v>33.187309265136719</v>
      </c>
      <c r="Q15" s="1">
        <v>33.972431182861328</v>
      </c>
      <c r="R15" s="1">
        <v>33.272853851318359</v>
      </c>
      <c r="S15" s="1">
        <v>409.20767211914063</v>
      </c>
      <c r="T15" s="1">
        <v>406.43069458007813</v>
      </c>
      <c r="U15" s="1">
        <v>30.654760360717773</v>
      </c>
      <c r="V15" s="1">
        <v>30.947315216064453</v>
      </c>
      <c r="W15" s="1">
        <v>60.607059478759766</v>
      </c>
      <c r="X15" s="1">
        <v>61.185466766357422</v>
      </c>
      <c r="Y15" s="1">
        <v>499.94598388671875</v>
      </c>
      <c r="Z15" s="1">
        <v>1151.231689453125</v>
      </c>
      <c r="AA15" s="1">
        <v>1294.6912841796875</v>
      </c>
      <c r="AB15" s="1">
        <v>100.94050598144531</v>
      </c>
      <c r="AC15" s="1">
        <v>-1.0548900365829468</v>
      </c>
      <c r="AD15" s="1">
        <v>1.4389499425888062</v>
      </c>
      <c r="AE15" s="1">
        <v>0</v>
      </c>
      <c r="AF15" s="1">
        <v>0</v>
      </c>
      <c r="AG15" s="1">
        <v>0</v>
      </c>
      <c r="AH15" s="1">
        <v>0</v>
      </c>
      <c r="AI15" s="1">
        <v>0.66666668653488159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0.15999999642372131</v>
      </c>
      <c r="AO15" s="1">
        <v>111115</v>
      </c>
      <c r="AP15">
        <f>Y15*0.000001/(L15*0.0001)</f>
        <v>0.83324330647786449</v>
      </c>
      <c r="AQ15">
        <f>(V15-U15)/(1000-V15)*AP15</f>
        <v>2.5155430537770264E-4</v>
      </c>
      <c r="AR15">
        <f>(Q15+273.15)</f>
        <v>307.12243118286131</v>
      </c>
      <c r="AS15">
        <f>(P15+273.15)</f>
        <v>306.3373092651367</v>
      </c>
      <c r="AT15">
        <f>(Z15*AL15+AA15*AM15)*AN15</f>
        <v>184.19706619537465</v>
      </c>
      <c r="AU15">
        <f>((AT15+0.00000010773*(AS15^4-AR15^4))-AQ15*44100)/(M15*0.92*2*29.3+0.00000043092*AR15^3)</f>
        <v>1.8344904683709629</v>
      </c>
      <c r="AV15">
        <f>0.61365*EXP(17.502*K15/(240.97+K15))</f>
        <v>5.3347991050792745</v>
      </c>
      <c r="AW15">
        <f>AV15*1000/AB15</f>
        <v>52.850924940478372</v>
      </c>
      <c r="AX15">
        <f>(AW15-V15)</f>
        <v>21.903609724413919</v>
      </c>
      <c r="AY15">
        <f>IF(E15,Q15,(P15+Q15)/2)</f>
        <v>33.579870223999023</v>
      </c>
      <c r="AZ15">
        <f>0.61365*EXP(17.502*AY15/(240.97+AY15))</f>
        <v>5.2190656625176013</v>
      </c>
      <c r="BA15">
        <f>IF(AX15&lt;&gt;0,(1000-(AW15+V15)/2)/AX15*AQ15,0)</f>
        <v>1.1003410139372588E-2</v>
      </c>
      <c r="BB15">
        <f>V15*AB15/1000</f>
        <v>3.1238376566768276</v>
      </c>
      <c r="BC15">
        <f>(AZ15-BB15)</f>
        <v>2.0952280058407737</v>
      </c>
      <c r="BD15">
        <f>1/(1.6/G15+1.37/O15)</f>
        <v>6.8809636951414144E-3</v>
      </c>
      <c r="BE15">
        <f>H15*AB15*0.001</f>
        <v>7.6908446858312765</v>
      </c>
      <c r="BF15">
        <f>H15/T15</f>
        <v>0.18746580633217336</v>
      </c>
      <c r="BG15">
        <f>(1-AQ15*AB15/AV15/G15)*100</f>
        <v>56.911046622317031</v>
      </c>
      <c r="BH15">
        <f>(T15-F15/(O15/1.35))</f>
        <v>405.37937802550988</v>
      </c>
      <c r="BI15">
        <f>F15*BG15/100/BH15</f>
        <v>3.1049384846286213E-3</v>
      </c>
    </row>
    <row r="16" spans="1:61" x14ac:dyDescent="0.25">
      <c r="A16" s="1">
        <v>3</v>
      </c>
      <c r="B16" s="1" t="s">
        <v>79</v>
      </c>
      <c r="C16" s="1" t="s">
        <v>120</v>
      </c>
      <c r="D16" s="1">
        <v>815.49994379747659</v>
      </c>
      <c r="E16" s="1">
        <v>0</v>
      </c>
      <c r="F16">
        <f>(S16-T16*(1000-U16)/(1000-V16))*AP16</f>
        <v>0.4566139538600984</v>
      </c>
      <c r="G16">
        <f>IF(BA16&lt;&gt;0,1/(1/BA16-1/O16),0)</f>
        <v>-7.4364543912704313E-3</v>
      </c>
      <c r="H16">
        <f>((BD16-AQ16/2)*T16-F16)/(BD16+AQ16/2)</f>
        <v>488.95314912734727</v>
      </c>
      <c r="I16">
        <f>AQ16*1000</f>
        <v>-0.19972102736103939</v>
      </c>
      <c r="J16">
        <f>(AV16-BB16)</f>
        <v>2.583140742956616</v>
      </c>
      <c r="K16">
        <f>(Q16+AU16*E16)</f>
        <v>35.446136474609375</v>
      </c>
      <c r="L16" s="1">
        <v>6</v>
      </c>
      <c r="M16">
        <f>(L16*AJ16+AK16)</f>
        <v>1.4200000166893005</v>
      </c>
      <c r="N16" s="1">
        <v>1</v>
      </c>
      <c r="O16">
        <f>M16*(N16+1)*(N16+1)/(N16*N16+1)</f>
        <v>2.8400000333786011</v>
      </c>
      <c r="P16" s="1">
        <v>33.987827301025391</v>
      </c>
      <c r="Q16" s="1">
        <v>35.446136474609375</v>
      </c>
      <c r="R16" s="1">
        <v>34.072952270507813</v>
      </c>
      <c r="S16" s="1">
        <v>410.6553955078125</v>
      </c>
      <c r="T16" s="1">
        <v>410.20571899414063</v>
      </c>
      <c r="U16" s="1">
        <v>31.998989105224609</v>
      </c>
      <c r="V16" s="1">
        <v>31.766910552978516</v>
      </c>
      <c r="W16" s="1">
        <v>60.488410949707031</v>
      </c>
      <c r="X16" s="1">
        <v>60.049705505371094</v>
      </c>
      <c r="Y16" s="1">
        <v>499.9423828125</v>
      </c>
      <c r="Z16" s="1">
        <v>1149.069580078125</v>
      </c>
      <c r="AA16" s="1">
        <v>721.490966796875</v>
      </c>
      <c r="AB16" s="1">
        <v>100.93156433105469</v>
      </c>
      <c r="AC16" s="1">
        <v>-1.0548900365829468</v>
      </c>
      <c r="AD16" s="1">
        <v>1.4389499425888062</v>
      </c>
      <c r="AE16" s="1">
        <v>0</v>
      </c>
      <c r="AF16" s="1">
        <v>0</v>
      </c>
      <c r="AG16" s="1">
        <v>0</v>
      </c>
      <c r="AH16" s="1">
        <v>0</v>
      </c>
      <c r="AI16" s="1">
        <v>0.66666668653488159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0.15999999642372131</v>
      </c>
      <c r="AO16" s="1">
        <v>111115</v>
      </c>
      <c r="AP16">
        <f>Y16*0.000001/(L16*0.0001)</f>
        <v>0.8332373046874999</v>
      </c>
      <c r="AQ16">
        <f>(V16-U16)/(1000-V16)*AP16</f>
        <v>-1.9972102736103939E-4</v>
      </c>
      <c r="AR16">
        <f>(Q16+273.15)</f>
        <v>308.59613647460935</v>
      </c>
      <c r="AS16">
        <f>(P16+273.15)</f>
        <v>307.13782730102537</v>
      </c>
      <c r="AT16">
        <f>(Z16*AL16+AA16*AM16)*AN16</f>
        <v>183.85112870310695</v>
      </c>
      <c r="AU16">
        <f>((AT16+0.00000010773*(AS16^4-AR16^4))-AQ16*44100)/(M16*0.92*2*29.3+0.00000043092*AR16^3)</f>
        <v>1.9538606538269809</v>
      </c>
      <c r="AV16">
        <f>0.61365*EXP(17.502*K16/(240.97+K16))</f>
        <v>5.7894247190334269</v>
      </c>
      <c r="AW16">
        <f>AV16*1000/AB16</f>
        <v>57.359902795563166</v>
      </c>
      <c r="AX16">
        <f>(AW16-V16)</f>
        <v>25.59299224258465</v>
      </c>
      <c r="AY16">
        <f>IF(E16,Q16,(P16+Q16)/2)</f>
        <v>34.716981887817383</v>
      </c>
      <c r="AZ16">
        <f>0.61365*EXP(17.502*AY16/(240.97+AY16))</f>
        <v>5.5604473000275645</v>
      </c>
      <c r="BA16">
        <f>IF(AX16&lt;&gt;0,(1000-(AW16+V16)/2)/AX16*AQ16,0)</f>
        <v>-7.4559776437487452E-3</v>
      </c>
      <c r="BB16">
        <f>V16*AB16/1000</f>
        <v>3.2062839760768109</v>
      </c>
      <c r="BC16">
        <f>(AZ16-BB16)</f>
        <v>2.3541633239507536</v>
      </c>
      <c r="BD16">
        <f>1/(1.6/G16+1.37/O16)</f>
        <v>-4.6582280436147016E-3</v>
      </c>
      <c r="BE16">
        <f>H16*AB16*0.001</f>
        <v>49.350806226018626</v>
      </c>
      <c r="BF16">
        <f>H16/T16</f>
        <v>1.1919705808254015</v>
      </c>
      <c r="BG16">
        <f>(1-AQ16*AB16/AV16/G16)*100</f>
        <v>53.178053326336226</v>
      </c>
      <c r="BH16">
        <f>(T16-F16/(O16/1.35))</f>
        <v>409.98866658904689</v>
      </c>
      <c r="BI16">
        <f>F16*BG16/100/BH16</f>
        <v>5.9225640040095316E-4</v>
      </c>
    </row>
    <row r="17" spans="1:61" x14ac:dyDescent="0.25">
      <c r="A17" s="1" t="s">
        <v>12</v>
      </c>
      <c r="B17" s="1" t="s">
        <v>80</v>
      </c>
      <c r="C17" s="1"/>
    </row>
    <row r="18" spans="1:61" x14ac:dyDescent="0.25">
      <c r="A18" s="1">
        <v>4</v>
      </c>
      <c r="B18" s="1" t="s">
        <v>81</v>
      </c>
      <c r="C18" s="1" t="s">
        <v>121</v>
      </c>
      <c r="D18" s="1">
        <v>1166.9999195728451</v>
      </c>
      <c r="E18" s="1">
        <v>0</v>
      </c>
      <c r="F18">
        <f>(S18-T18*(1000-U18)/(1000-V18))*AP18</f>
        <v>3.0847289107279865</v>
      </c>
      <c r="G18">
        <f>IF(BA18&lt;&gt;0,1/(1/BA18-1/O18),0)</f>
        <v>2.8265018557340389E-2</v>
      </c>
      <c r="H18">
        <f>((BD18-AQ18/2)*T18-F18)/(BD18+AQ18/2)</f>
        <v>218.95454498017259</v>
      </c>
      <c r="I18">
        <f>AQ18*1000</f>
        <v>0.57090977609309745</v>
      </c>
      <c r="J18">
        <f>(AV18-BB18)</f>
        <v>1.9703682130413562</v>
      </c>
      <c r="K18">
        <f>(Q18+AU18*E18)</f>
        <v>33.922588348388672</v>
      </c>
      <c r="L18" s="1">
        <v>6</v>
      </c>
      <c r="M18">
        <f>(L18*AJ18+AK18)</f>
        <v>1.4200000166893005</v>
      </c>
      <c r="N18" s="1">
        <v>1</v>
      </c>
      <c r="O18">
        <f>M18*(N18+1)*(N18+1)/(N18*N18+1)</f>
        <v>2.8400000333786011</v>
      </c>
      <c r="P18" s="1">
        <v>34.399246215820313</v>
      </c>
      <c r="Q18" s="1">
        <v>33.922588348388672</v>
      </c>
      <c r="R18" s="1">
        <v>34.555099487304688</v>
      </c>
      <c r="S18" s="1">
        <v>409.2115478515625</v>
      </c>
      <c r="T18" s="1">
        <v>405.23211669921875</v>
      </c>
      <c r="U18" s="1">
        <v>32.527114868164063</v>
      </c>
      <c r="V18" s="1">
        <v>33.189491271972656</v>
      </c>
      <c r="W18" s="1">
        <v>60.089134216308594</v>
      </c>
      <c r="X18" s="1">
        <v>61.312778472900391</v>
      </c>
      <c r="Y18" s="1">
        <v>499.98300170898438</v>
      </c>
      <c r="Z18" s="1">
        <v>978.7337646484375</v>
      </c>
      <c r="AA18" s="1">
        <v>1259.421630859375</v>
      </c>
      <c r="AB18" s="1">
        <v>100.92392730712891</v>
      </c>
      <c r="AC18" s="1">
        <v>-1.0548900365829468</v>
      </c>
      <c r="AD18" s="1">
        <v>1.4389499425888062</v>
      </c>
      <c r="AE18" s="1">
        <v>0</v>
      </c>
      <c r="AF18" s="1">
        <v>0</v>
      </c>
      <c r="AG18" s="1">
        <v>0</v>
      </c>
      <c r="AH18" s="1">
        <v>0</v>
      </c>
      <c r="AI18" s="1">
        <v>0.66666668653488159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0.15999999642372131</v>
      </c>
      <c r="AO18" s="1">
        <v>111115</v>
      </c>
      <c r="AP18">
        <f>Y18*0.000001/(L18*0.0001)</f>
        <v>0.83330500284830722</v>
      </c>
      <c r="AQ18">
        <f>(V18-U18)/(1000-V18)*AP18</f>
        <v>5.7090977609309743E-4</v>
      </c>
      <c r="AR18">
        <f>(Q18+273.15)</f>
        <v>307.07258834838865</v>
      </c>
      <c r="AS18">
        <f>(P18+273.15)</f>
        <v>307.54924621582029</v>
      </c>
      <c r="AT18">
        <f>(Z18*AL18+AA18*AM18)*AN18</f>
        <v>156.5973988435253</v>
      </c>
      <c r="AU18">
        <f>((AT18+0.00000010773*(AS18^4-AR18^4))-AQ18*44100)/(M18*0.92*2*29.3+0.00000043092*AR18^3)</f>
        <v>1.5430524098387799</v>
      </c>
      <c r="AV18">
        <f>0.61365*EXP(17.502*K18/(240.97+K18))</f>
        <v>5.3199820175345138</v>
      </c>
      <c r="AW18">
        <f>AV18*1000/AB18</f>
        <v>52.712792292999971</v>
      </c>
      <c r="AX18">
        <f>(AW18-V18)</f>
        <v>19.523301021027315</v>
      </c>
      <c r="AY18">
        <f>IF(E18,Q18,(P18+Q18)/2)</f>
        <v>34.160917282104492</v>
      </c>
      <c r="AZ18">
        <f>0.61365*EXP(17.502*AY18/(240.97+AY18))</f>
        <v>5.3911564885158469</v>
      </c>
      <c r="BA18">
        <f>IF(AX18&lt;&gt;0,(1000-(AW18+V18)/2)/AX18*AQ18,0)</f>
        <v>2.7986483882343191E-2</v>
      </c>
      <c r="BB18">
        <f>V18*AB18/1000</f>
        <v>3.3496138044931576</v>
      </c>
      <c r="BC18">
        <f>(AZ18-BB18)</f>
        <v>2.0415426840226893</v>
      </c>
      <c r="BD18">
        <f>1/(1.6/G18+1.37/O18)</f>
        <v>1.7516365573409531E-2</v>
      </c>
      <c r="BE18">
        <f>H18*AB18*0.001</f>
        <v>22.097752581144427</v>
      </c>
      <c r="BF18">
        <f>H18/T18</f>
        <v>0.5403188344587464</v>
      </c>
      <c r="BG18">
        <f>(1-AQ18*AB18/AV18/G18)*100</f>
        <v>61.68205738628604</v>
      </c>
      <c r="BH18">
        <f>(T18-F18/(O18/1.35))</f>
        <v>403.76578431170515</v>
      </c>
      <c r="BI18">
        <f>F18*BG18/100/BH18</f>
        <v>4.7124455088985431E-3</v>
      </c>
    </row>
    <row r="19" spans="1:61" x14ac:dyDescent="0.25">
      <c r="A19" s="1" t="s">
        <v>12</v>
      </c>
      <c r="B19" s="1" t="s">
        <v>82</v>
      </c>
      <c r="C19" s="1"/>
    </row>
    <row r="20" spans="1:61" x14ac:dyDescent="0.25">
      <c r="A20" s="1">
        <v>5</v>
      </c>
      <c r="B20" s="1" t="s">
        <v>83</v>
      </c>
      <c r="C20" s="1" t="s">
        <v>122</v>
      </c>
      <c r="D20" s="1">
        <v>1507.9998960718513</v>
      </c>
      <c r="E20" s="1">
        <v>0</v>
      </c>
      <c r="F20">
        <f>(S20-T20*(1000-U20)/(1000-V20))*AP20</f>
        <v>3.2439677224273669</v>
      </c>
      <c r="G20">
        <f>IF(BA20&lt;&gt;0,1/(1/BA20-1/O20),0)</f>
        <v>1.1851859295818947E-2</v>
      </c>
      <c r="H20">
        <f>((BD20-AQ20/2)*T20-F20)/(BD20+AQ20/2)</f>
        <v>-39.994871858912077</v>
      </c>
      <c r="I20">
        <f>AQ20*1000</f>
        <v>0.23262424999464953</v>
      </c>
      <c r="J20">
        <f>(AV20-BB20)</f>
        <v>1.8970013095218481</v>
      </c>
      <c r="K20">
        <f>(Q20+AU20*E20)</f>
        <v>34.91302490234375</v>
      </c>
      <c r="L20" s="1">
        <v>6</v>
      </c>
      <c r="M20">
        <f>(L20*AJ20+AK20)</f>
        <v>1.4200000166893005</v>
      </c>
      <c r="N20" s="1">
        <v>1</v>
      </c>
      <c r="O20">
        <f>M20*(N20+1)*(N20+1)/(N20*N20+1)</f>
        <v>2.8400000333786011</v>
      </c>
      <c r="P20" s="1">
        <v>34.680885314941406</v>
      </c>
      <c r="Q20" s="1">
        <v>34.91302490234375</v>
      </c>
      <c r="R20" s="1">
        <v>34.821731567382813</v>
      </c>
      <c r="S20" s="1">
        <v>409.26858520507813</v>
      </c>
      <c r="T20" s="1">
        <v>405.26132202148438</v>
      </c>
      <c r="U20" s="1">
        <v>36.633609771728516</v>
      </c>
      <c r="V20" s="1">
        <v>36.902549743652344</v>
      </c>
      <c r="W20" s="1">
        <v>66.622238159179688</v>
      </c>
      <c r="X20" s="1">
        <v>67.111328125</v>
      </c>
      <c r="Y20" s="1">
        <v>499.82861328125</v>
      </c>
      <c r="Z20" s="1">
        <v>1169.9249267578125</v>
      </c>
      <c r="AA20" s="1">
        <v>504.06021118164063</v>
      </c>
      <c r="AB20" s="1">
        <v>100.92045593261719</v>
      </c>
      <c r="AC20" s="1">
        <v>-1.0548900365829468</v>
      </c>
      <c r="AD20" s="1">
        <v>1.4389499425888062</v>
      </c>
      <c r="AE20" s="1">
        <v>0</v>
      </c>
      <c r="AF20" s="1">
        <v>0</v>
      </c>
      <c r="AG20" s="1">
        <v>0</v>
      </c>
      <c r="AH20" s="1">
        <v>0</v>
      </c>
      <c r="AI20" s="1">
        <v>0.3333333432674408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0.15999999642372131</v>
      </c>
      <c r="AO20" s="1">
        <v>111115</v>
      </c>
      <c r="AP20">
        <f>Y20*0.000001/(L20*0.0001)</f>
        <v>0.83304768880208324</v>
      </c>
      <c r="AQ20">
        <f>(V20-U20)/(1000-V20)*AP20</f>
        <v>2.3262424999464953E-4</v>
      </c>
      <c r="AR20">
        <f>(Q20+273.15)</f>
        <v>308.06302490234373</v>
      </c>
      <c r="AS20">
        <f>(P20+273.15)</f>
        <v>307.83088531494138</v>
      </c>
      <c r="AT20">
        <f>(Z20*AL20+AA20*AM20)*AN20</f>
        <v>187.18798409727242</v>
      </c>
      <c r="AU20">
        <f>((AT20+0.00000010773*(AS20^4-AR20^4))-AQ20*44100)/(M20*0.92*2*29.3+0.00000043092*AR20^3)</f>
        <v>1.951780779007769</v>
      </c>
      <c r="AV20">
        <f>0.61365*EXP(17.502*K20/(240.97+K20))</f>
        <v>5.6212234547273283</v>
      </c>
      <c r="AW20">
        <f>AV20*1000/AB20</f>
        <v>55.699544782878512</v>
      </c>
      <c r="AX20">
        <f>(AW20-V20)</f>
        <v>18.796995039226168</v>
      </c>
      <c r="AY20">
        <f>IF(E20,Q20,(P20+Q20)/2)</f>
        <v>34.796955108642578</v>
      </c>
      <c r="AZ20">
        <f>0.61365*EXP(17.502*AY20/(240.97+AY20))</f>
        <v>5.5851708148340373</v>
      </c>
      <c r="BA20">
        <f>IF(AX20&lt;&gt;0,(1000-(AW20+V20)/2)/AX20*AQ20,0)</f>
        <v>1.1802604785397594E-2</v>
      </c>
      <c r="BB20">
        <f>V20*AB20/1000</f>
        <v>3.7242221452054802</v>
      </c>
      <c r="BC20">
        <f>(AZ20-BB20)</f>
        <v>1.8609486696285571</v>
      </c>
      <c r="BD20">
        <f>1/(1.6/G20+1.37/O20)</f>
        <v>7.3810374445207683E-3</v>
      </c>
      <c r="BE20">
        <f>H20*AB20*0.001</f>
        <v>-4.036300702968008</v>
      </c>
      <c r="BF20">
        <f>H20/T20</f>
        <v>-9.8689091915837468E-2</v>
      </c>
      <c r="BG20">
        <f>(1-AQ20*AB20/AV20/G20)*100</f>
        <v>64.761545463295647</v>
      </c>
      <c r="BH20">
        <f>(T20-F20/(O20/1.35))</f>
        <v>403.7192951292991</v>
      </c>
      <c r="BI20">
        <f>F20*BG20/100/BH20</f>
        <v>5.2037236186633067E-3</v>
      </c>
    </row>
    <row r="21" spans="1:61" x14ac:dyDescent="0.25">
      <c r="A21" s="1" t="s">
        <v>12</v>
      </c>
      <c r="B21" s="1" t="s">
        <v>84</v>
      </c>
      <c r="C21" s="1"/>
    </row>
    <row r="22" spans="1:61" x14ac:dyDescent="0.25">
      <c r="A22" s="1" t="s">
        <v>12</v>
      </c>
      <c r="B22" s="1" t="s">
        <v>85</v>
      </c>
      <c r="C22" s="1"/>
    </row>
    <row r="23" spans="1:61" x14ac:dyDescent="0.25">
      <c r="A23" s="1" t="s">
        <v>12</v>
      </c>
      <c r="B23" s="1" t="s">
        <v>86</v>
      </c>
      <c r="C23" s="1"/>
    </row>
    <row r="24" spans="1:61" x14ac:dyDescent="0.25">
      <c r="A24" s="1">
        <v>6</v>
      </c>
      <c r="B24" s="1" t="s">
        <v>87</v>
      </c>
      <c r="C24" s="1" t="s">
        <v>123</v>
      </c>
      <c r="D24" s="1">
        <v>1922.0002610608935</v>
      </c>
      <c r="E24" s="1">
        <v>0</v>
      </c>
      <c r="F24">
        <f>(S24-T24*(1000-U24)/(1000-V24))*AP24</f>
        <v>2.4464461927504852</v>
      </c>
      <c r="G24">
        <f>IF(BA24&lt;&gt;0,1/(1/BA24-1/O24),0)</f>
        <v>1.9263603900832281E-3</v>
      </c>
      <c r="H24">
        <f>((BD24-AQ24/2)*T24-F24)/(BD24+AQ24/2)</f>
        <v>-1606.489409275719</v>
      </c>
      <c r="I24">
        <f>AQ24*1000</f>
        <v>3.9836285754045249E-2</v>
      </c>
      <c r="J24">
        <f>(AV24-BB24)</f>
        <v>1.9890857534317945</v>
      </c>
      <c r="K24">
        <f>(Q24+AU24*E24)</f>
        <v>35.424915313720703</v>
      </c>
      <c r="L24" s="1">
        <v>6</v>
      </c>
      <c r="M24">
        <f>(L24*AJ24+AK24)</f>
        <v>1.4200000166893005</v>
      </c>
      <c r="N24" s="1">
        <v>1</v>
      </c>
      <c r="O24">
        <f>M24*(N24+1)*(N24+1)/(N24*N24+1)</f>
        <v>2.8400000333786011</v>
      </c>
      <c r="P24" s="1">
        <v>35.045345306396484</v>
      </c>
      <c r="Q24" s="1">
        <v>35.424915313720703</v>
      </c>
      <c r="R24" s="1">
        <v>35.213157653808594</v>
      </c>
      <c r="S24" s="1">
        <v>409.76150512695313</v>
      </c>
      <c r="T24" s="1">
        <v>406.805908203125</v>
      </c>
      <c r="U24" s="1">
        <v>37.547874450683594</v>
      </c>
      <c r="V24" s="1">
        <v>37.593887329101563</v>
      </c>
      <c r="W24" s="1">
        <v>66.91162109375</v>
      </c>
      <c r="X24" s="1">
        <v>66.993614196777344</v>
      </c>
      <c r="Y24" s="1">
        <v>499.92984008789063</v>
      </c>
      <c r="Z24" s="1">
        <v>1101.27392578125</v>
      </c>
      <c r="AA24" s="1">
        <v>1404.5299072265625</v>
      </c>
      <c r="AB24" s="1">
        <v>100.90898132324219</v>
      </c>
      <c r="AC24" s="1">
        <v>-1.7403087615966797</v>
      </c>
      <c r="AD24" s="1">
        <v>1.9000097513198853</v>
      </c>
      <c r="AE24" s="1">
        <v>0.24056306481361389</v>
      </c>
      <c r="AF24" s="1">
        <v>8.4369778633117676E-2</v>
      </c>
      <c r="AG24" s="1">
        <v>0.20444025099277496</v>
      </c>
      <c r="AH24" s="1">
        <v>8.1191122531890869E-2</v>
      </c>
      <c r="AI24" s="1">
        <v>0.66666668653488159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0.15999999642372131</v>
      </c>
      <c r="AO24" s="1">
        <v>111115</v>
      </c>
      <c r="AP24">
        <f>Y24*0.000001/(L24*0.0001)</f>
        <v>0.83321640014648424</v>
      </c>
      <c r="AQ24">
        <f>(V24-U24)/(1000-V24)*AP24</f>
        <v>3.9836285754045246E-5</v>
      </c>
      <c r="AR24">
        <f>(Q24+273.15)</f>
        <v>308.57491531372068</v>
      </c>
      <c r="AS24">
        <f>(P24+273.15)</f>
        <v>308.19534530639646</v>
      </c>
      <c r="AT24">
        <f>(Z24*AL24+AA24*AM24)*AN24</f>
        <v>176.20382418653753</v>
      </c>
      <c r="AU24">
        <f>((AT24+0.00000010773*(AS24^4-AR24^4))-AQ24*44100)/(M24*0.92*2*29.3+0.00000043092*AR24^3)</f>
        <v>1.9015579299545196</v>
      </c>
      <c r="AV24">
        <f>0.61365*EXP(17.502*K24/(240.97+K24))</f>
        <v>5.7826466277921753</v>
      </c>
      <c r="AW24">
        <f>AV24*1000/AB24</f>
        <v>57.305569355304435</v>
      </c>
      <c r="AX24">
        <f>(AW24-V24)</f>
        <v>19.711682026202872</v>
      </c>
      <c r="AY24">
        <f>IF(E24,Q24,(P24+Q24)/2)</f>
        <v>35.235130310058594</v>
      </c>
      <c r="AZ24">
        <f>0.61365*EXP(17.502*AY24/(240.97+AY24))</f>
        <v>5.7223347700101383</v>
      </c>
      <c r="BA24">
        <f>IF(AX24&lt;&gt;0,(1000-(AW24+V24)/2)/AX24*AQ24,0)</f>
        <v>1.9250546334103537E-3</v>
      </c>
      <c r="BB24">
        <f>V24*AB24/1000</f>
        <v>3.7935608743603808</v>
      </c>
      <c r="BC24">
        <f>(AZ24-BB24)</f>
        <v>1.9287738956497575</v>
      </c>
      <c r="BD24">
        <f>1/(1.6/G24+1.37/O24)</f>
        <v>1.2032763918621548E-3</v>
      </c>
      <c r="BE24">
        <f>H24*AB24*0.001</f>
        <v>-162.10920979658991</v>
      </c>
      <c r="BF24">
        <f>H24/T24</f>
        <v>-3.9490316558371417</v>
      </c>
      <c r="BG24">
        <f>(1-AQ24*AB24/AV24/G24)*100</f>
        <v>63.913524488493536</v>
      </c>
      <c r="BH24">
        <f>(T24-F24/(O24/1.35))</f>
        <v>405.64298485052063</v>
      </c>
      <c r="BI24">
        <f>F24*BG24/100/BH24</f>
        <v>3.8546456980578358E-3</v>
      </c>
    </row>
    <row r="25" spans="1:61" x14ac:dyDescent="0.25">
      <c r="A25" s="1">
        <v>7</v>
      </c>
      <c r="B25" s="1" t="s">
        <v>88</v>
      </c>
      <c r="C25" s="1" t="s">
        <v>124</v>
      </c>
      <c r="D25" s="1">
        <v>2307.0002345275134</v>
      </c>
      <c r="E25" s="1">
        <v>0</v>
      </c>
      <c r="F25">
        <f>(S25-T25*(1000-U25)/(1000-V25))*AP25</f>
        <v>1.5957098277289858</v>
      </c>
      <c r="G25">
        <f>IF(BA25&lt;&gt;0,1/(1/BA25-1/O25),0)</f>
        <v>1.387260643228249E-2</v>
      </c>
      <c r="H25">
        <f>((BD25-AQ25/2)*T25-F25)/(BD25+AQ25/2)</f>
        <v>211.90594737674417</v>
      </c>
      <c r="I25">
        <f>AQ25*1000</f>
        <v>0.30043898779815981</v>
      </c>
      <c r="J25">
        <f>(AV25-BB25)</f>
        <v>2.0908467342454395</v>
      </c>
      <c r="K25">
        <f>(Q25+AU25*E25)</f>
        <v>35.712867736816406</v>
      </c>
      <c r="L25" s="1">
        <v>6</v>
      </c>
      <c r="M25">
        <f>(L25*AJ25+AK25)</f>
        <v>1.4200000166893005</v>
      </c>
      <c r="N25" s="1">
        <v>1</v>
      </c>
      <c r="O25">
        <f>M25*(N25+1)*(N25+1)/(N25*N25+1)</f>
        <v>2.8400000333786011</v>
      </c>
      <c r="P25" s="1">
        <v>35.294952392578125</v>
      </c>
      <c r="Q25" s="1">
        <v>35.712867736816406</v>
      </c>
      <c r="R25" s="1">
        <v>35.362152099609375</v>
      </c>
      <c r="S25" s="1">
        <v>409.5556640625</v>
      </c>
      <c r="T25" s="1">
        <v>407.49359130859375</v>
      </c>
      <c r="U25" s="1">
        <v>37.157459259033203</v>
      </c>
      <c r="V25" s="1">
        <v>37.5045166015625</v>
      </c>
      <c r="W25" s="1">
        <v>65.304939270019531</v>
      </c>
      <c r="X25" s="1">
        <v>65.914901733398438</v>
      </c>
      <c r="Y25" s="1">
        <v>499.9251708984375</v>
      </c>
      <c r="Z25" s="1">
        <v>1098.9190673828125</v>
      </c>
      <c r="AA25" s="1">
        <v>1369.7823486328125</v>
      </c>
      <c r="AB25" s="1">
        <v>100.90419769287109</v>
      </c>
      <c r="AC25" s="1">
        <v>-1.7403087615966797</v>
      </c>
      <c r="AD25" s="1">
        <v>1.9000097513198853</v>
      </c>
      <c r="AE25" s="1">
        <v>0.24056306481361389</v>
      </c>
      <c r="AF25" s="1">
        <v>8.4369778633117676E-2</v>
      </c>
      <c r="AG25" s="1">
        <v>0.20444025099277496</v>
      </c>
      <c r="AH25" s="1">
        <v>8.1191122531890869E-2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0.15999999642372131</v>
      </c>
      <c r="AO25" s="1">
        <v>111115</v>
      </c>
      <c r="AP25">
        <f>Y25*0.000001/(L25*0.0001)</f>
        <v>0.83320861816406233</v>
      </c>
      <c r="AQ25">
        <f>(V25-U25)/(1000-V25)*AP25</f>
        <v>3.0043898779815982E-4</v>
      </c>
      <c r="AR25">
        <f>(Q25+273.15)</f>
        <v>308.86286773681638</v>
      </c>
      <c r="AS25">
        <f>(P25+273.15)</f>
        <v>308.4449523925781</v>
      </c>
      <c r="AT25">
        <f>(Z25*AL25+AA25*AM25)*AN25</f>
        <v>175.82704685120916</v>
      </c>
      <c r="AU25">
        <f>((AT25+0.00000010773*(AS25^4-AR25^4))-AQ25*44100)/(M25*0.92*2*29.3+0.00000043092*AR25^3)</f>
        <v>1.7622302451030281</v>
      </c>
      <c r="AV25">
        <f>0.61365*EXP(17.502*K25/(240.97+K25))</f>
        <v>5.8752098917850679</v>
      </c>
      <c r="AW25">
        <f>AV25*1000/AB25</f>
        <v>58.225624167468638</v>
      </c>
      <c r="AX25">
        <f>(AW25-V25)</f>
        <v>20.721107565906138</v>
      </c>
      <c r="AY25">
        <f>IF(E25,Q25,(P25+Q25)/2)</f>
        <v>35.503910064697266</v>
      </c>
      <c r="AZ25">
        <f>0.61365*EXP(17.502*AY25/(240.97+AY25))</f>
        <v>5.8079127387924405</v>
      </c>
      <c r="BA25">
        <f>IF(AX25&lt;&gt;0,(1000-(AW25+V25)/2)/AX25*AQ25,0)</f>
        <v>1.3805172025245404E-2</v>
      </c>
      <c r="BB25">
        <f>V25*AB25/1000</f>
        <v>3.7843631575396284</v>
      </c>
      <c r="BC25">
        <f>(AZ25-BB25)</f>
        <v>2.0235495812528121</v>
      </c>
      <c r="BD25">
        <f>1/(1.6/G25+1.37/O25)</f>
        <v>8.6342658411491958E-3</v>
      </c>
      <c r="BE25">
        <f>H25*AB25*0.001</f>
        <v>21.382199606398132</v>
      </c>
      <c r="BF25">
        <f>H25/T25</f>
        <v>0.52002277310974543</v>
      </c>
      <c r="BG25">
        <f>(1-AQ25*AB25/AV25/G25)*100</f>
        <v>62.805042064137773</v>
      </c>
      <c r="BH25">
        <f>(T25-F25/(O25/1.35))</f>
        <v>406.73506727967981</v>
      </c>
      <c r="BI25">
        <f>F25*BG25/100/BH25</f>
        <v>2.4639779285065802E-3</v>
      </c>
    </row>
    <row r="26" spans="1:61" x14ac:dyDescent="0.25">
      <c r="A26" s="1" t="s">
        <v>12</v>
      </c>
      <c r="B26" s="1" t="s">
        <v>89</v>
      </c>
      <c r="C26" s="1"/>
    </row>
    <row r="27" spans="1:61" x14ac:dyDescent="0.25">
      <c r="A27" s="1" t="s">
        <v>12</v>
      </c>
      <c r="B27" s="1" t="s">
        <v>90</v>
      </c>
      <c r="C27" s="1"/>
    </row>
    <row r="28" spans="1:61" x14ac:dyDescent="0.25">
      <c r="A28" s="1">
        <v>8</v>
      </c>
      <c r="B28" s="1" t="s">
        <v>91</v>
      </c>
      <c r="C28" s="1" t="s">
        <v>125</v>
      </c>
      <c r="D28" s="1">
        <v>2639.0002667121589</v>
      </c>
      <c r="E28" s="1">
        <v>0</v>
      </c>
      <c r="F28">
        <f>(S28-T28*(1000-U28)/(1000-V28))*AP28</f>
        <v>1.3050925052640356</v>
      </c>
      <c r="G28">
        <f>IF(BA28&lt;&gt;0,1/(1/BA28-1/O28),0)</f>
        <v>9.606599075557571E-3</v>
      </c>
      <c r="H28">
        <f>((BD28-AQ28/2)*T28-F28)/(BD28+AQ28/2)</f>
        <v>177.37129250622669</v>
      </c>
      <c r="I28">
        <f>AQ28*1000</f>
        <v>0.26892160739933468</v>
      </c>
      <c r="J28">
        <f>(AV28-BB28)</f>
        <v>2.6947992837913977</v>
      </c>
      <c r="K28">
        <f>(Q28+AU28*E28)</f>
        <v>36.996444702148438</v>
      </c>
      <c r="L28" s="1">
        <v>6</v>
      </c>
      <c r="M28">
        <f>(L28*AJ28+AK28)</f>
        <v>1.4200000166893005</v>
      </c>
      <c r="N28" s="1">
        <v>1</v>
      </c>
      <c r="O28">
        <f>M28*(N28+1)*(N28+1)/(N28*N28+1)</f>
        <v>2.8400000333786011</v>
      </c>
      <c r="P28" s="1">
        <v>35.956085205078125</v>
      </c>
      <c r="Q28" s="1">
        <v>36.996444702148438</v>
      </c>
      <c r="R28" s="1">
        <v>36.105255126953125</v>
      </c>
      <c r="S28" s="1">
        <v>410.22406005859375</v>
      </c>
      <c r="T28" s="1">
        <v>408.52587890625</v>
      </c>
      <c r="U28" s="1">
        <v>35.456459045410156</v>
      </c>
      <c r="V28" s="1">
        <v>35.767665863037109</v>
      </c>
      <c r="W28" s="1">
        <v>60.080955505371094</v>
      </c>
      <c r="X28" s="1">
        <v>60.608295440673828</v>
      </c>
      <c r="Y28" s="1">
        <v>499.93038940429688</v>
      </c>
      <c r="Z28" s="1">
        <v>1209.059326171875</v>
      </c>
      <c r="AA28" s="1">
        <v>1002.9489135742188</v>
      </c>
      <c r="AB28" s="1">
        <v>100.89716339111328</v>
      </c>
      <c r="AC28" s="1">
        <v>-1.7403087615966797</v>
      </c>
      <c r="AD28" s="1">
        <v>1.9000097513198853</v>
      </c>
      <c r="AE28" s="1">
        <v>0.24056306481361389</v>
      </c>
      <c r="AF28" s="1">
        <v>8.4369778633117676E-2</v>
      </c>
      <c r="AG28" s="1">
        <v>0.20444025099277496</v>
      </c>
      <c r="AH28" s="1">
        <v>8.1191122531890869E-2</v>
      </c>
      <c r="AI28" s="1">
        <v>0.66666668653488159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0.15999999642372131</v>
      </c>
      <c r="AO28" s="1">
        <v>111115</v>
      </c>
      <c r="AP28">
        <f>Y28*0.000001/(L28*0.0001)</f>
        <v>0.83321731567382806</v>
      </c>
      <c r="AQ28">
        <f>(V28-U28)/(1000-V28)*AP28</f>
        <v>2.689216073993347E-4</v>
      </c>
      <c r="AR28">
        <f>(Q28+273.15)</f>
        <v>310.14644470214841</v>
      </c>
      <c r="AS28">
        <f>(P28+273.15)</f>
        <v>309.1060852050781</v>
      </c>
      <c r="AT28">
        <f>(Z28*AL28+AA28*AM28)*AN28</f>
        <v>193.4494878635669</v>
      </c>
      <c r="AU28">
        <f>((AT28+0.00000010773*(AS28^4-AR28^4))-AQ28*44100)/(M28*0.92*2*29.3+0.00000043092*AR28^3)</f>
        <v>1.8821287352725931</v>
      </c>
      <c r="AV28">
        <f>0.61365*EXP(17.502*K28/(240.97+K28))</f>
        <v>6.3036553104929975</v>
      </c>
      <c r="AW28">
        <f>AV28*1000/AB28</f>
        <v>62.476040937422468</v>
      </c>
      <c r="AX28">
        <f>(AW28-V28)</f>
        <v>26.708375074385359</v>
      </c>
      <c r="AY28">
        <f>IF(E28,Q28,(P28+Q28)/2)</f>
        <v>36.476264953613281</v>
      </c>
      <c r="AZ28">
        <f>0.61365*EXP(17.502*AY28/(240.97+AY28))</f>
        <v>6.1268632296909509</v>
      </c>
      <c r="BA28">
        <f>IF(AX28&lt;&gt;0,(1000-(AW28+V28)/2)/AX28*AQ28,0)</f>
        <v>9.5742132912365174E-3</v>
      </c>
      <c r="BB28">
        <f>V28*AB28/1000</f>
        <v>3.6088560267015999</v>
      </c>
      <c r="BC28">
        <f>(AZ28-BB28)</f>
        <v>2.518007202989351</v>
      </c>
      <c r="BD28">
        <f>1/(1.6/G28+1.37/O28)</f>
        <v>5.9867845642598049E-3</v>
      </c>
      <c r="BE28">
        <f>H28*AB28*0.001</f>
        <v>17.896260280893703</v>
      </c>
      <c r="BF28">
        <f>H28/T28</f>
        <v>0.43417394506586571</v>
      </c>
      <c r="BG28">
        <f>(1-AQ28*AB28/AV28/G28)*100</f>
        <v>55.193344146634615</v>
      </c>
      <c r="BH28">
        <f>(T28-F28/(O28/1.35))</f>
        <v>407.90550043392636</v>
      </c>
      <c r="BI28">
        <f>F28*BG28/100/BH28</f>
        <v>1.7659094988815792E-3</v>
      </c>
    </row>
    <row r="29" spans="1:61" x14ac:dyDescent="0.25">
      <c r="A29" s="1" t="s">
        <v>12</v>
      </c>
      <c r="B29" s="1" t="s">
        <v>92</v>
      </c>
      <c r="C29" s="1"/>
    </row>
    <row r="30" spans="1:61" x14ac:dyDescent="0.25">
      <c r="A30" s="1">
        <v>9</v>
      </c>
      <c r="B30" s="1" t="s">
        <v>93</v>
      </c>
      <c r="C30" s="1" t="s">
        <v>128</v>
      </c>
      <c r="D30" s="1">
        <v>2862.5002712262794</v>
      </c>
      <c r="E30" s="1">
        <v>0</v>
      </c>
      <c r="F30">
        <f>(S30-T30*(1000-U30)/(1000-V30))*AP30</f>
        <v>-0.19480478717893285</v>
      </c>
      <c r="G30">
        <f>IF(BA30&lt;&gt;0,1/(1/BA30-1/O30),0)</f>
        <v>5.3798704509696541E-4</v>
      </c>
      <c r="H30">
        <f>((BD30-AQ30/2)*T30-F30)/(BD30+AQ30/2)</f>
        <v>962.66484114367313</v>
      </c>
      <c r="I30">
        <f>AQ30*1000</f>
        <v>1.3042277035264204E-2</v>
      </c>
      <c r="J30">
        <f>(AV30-BB30)</f>
        <v>2.3336588360740298</v>
      </c>
      <c r="K30">
        <f>(Q30+AU30*E30)</f>
        <v>35.551284790039063</v>
      </c>
      <c r="L30" s="1">
        <v>6</v>
      </c>
      <c r="M30">
        <f>(L30*AJ30+AK30)</f>
        <v>1.4200000166893005</v>
      </c>
      <c r="N30" s="1">
        <v>1</v>
      </c>
      <c r="O30">
        <f>M30*(N30+1)*(N30+1)/(N30*N30+1)</f>
        <v>2.8400000333786011</v>
      </c>
      <c r="P30" s="1">
        <v>36.255489349365234</v>
      </c>
      <c r="Q30" s="1">
        <v>35.551284790039063</v>
      </c>
      <c r="R30" s="1">
        <v>36.395729064941406</v>
      </c>
      <c r="S30" s="1">
        <v>409.60723876953125</v>
      </c>
      <c r="T30" s="1">
        <v>409.83465576171875</v>
      </c>
      <c r="U30" s="1">
        <v>34.568077087402344</v>
      </c>
      <c r="V30" s="1">
        <v>34.58319091796875</v>
      </c>
      <c r="W30" s="1">
        <v>57.621780395507813</v>
      </c>
      <c r="X30" s="1">
        <v>57.646976470947266</v>
      </c>
      <c r="Y30" s="1">
        <v>499.8560791015625</v>
      </c>
      <c r="Z30" s="1">
        <v>1208.50341796875</v>
      </c>
      <c r="AA30" s="1">
        <v>1463.7669677734375</v>
      </c>
      <c r="AB30" s="1">
        <v>100.90024566650391</v>
      </c>
      <c r="AC30" s="1">
        <v>-0.38354912400245667</v>
      </c>
      <c r="AD30" s="1">
        <v>1.9516280889511108</v>
      </c>
      <c r="AE30" s="1">
        <v>0.18765915930271149</v>
      </c>
      <c r="AF30" s="1">
        <v>6.4659468829631805E-2</v>
      </c>
      <c r="AG30" s="1">
        <v>0.18102365732192993</v>
      </c>
      <c r="AH30" s="1">
        <v>5.3708445280790329E-2</v>
      </c>
      <c r="AI30" s="1">
        <v>0.66666668653488159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0.15999999642372131</v>
      </c>
      <c r="AO30" s="1">
        <v>111115</v>
      </c>
      <c r="AP30">
        <f>Y30*0.000001/(L30*0.0001)</f>
        <v>0.83309346516927063</v>
      </c>
      <c r="AQ30">
        <f>(V30-U30)/(1000-V30)*AP30</f>
        <v>1.3042277035264205E-5</v>
      </c>
      <c r="AR30">
        <f>(Q30+273.15)</f>
        <v>308.70128479003904</v>
      </c>
      <c r="AS30">
        <f>(P30+273.15)</f>
        <v>309.40548934936521</v>
      </c>
      <c r="AT30">
        <f>(Z30*AL30+AA30*AM30)*AN30</f>
        <v>193.36054255305498</v>
      </c>
      <c r="AU30">
        <f>((AT30+0.00000010773*(AS30^4-AR30^4))-AQ30*44100)/(M30*0.92*2*29.3+0.00000043092*AR30^3)</f>
        <v>2.2608849479242266</v>
      </c>
      <c r="AV30">
        <f>0.61365*EXP(17.502*K30/(240.97+K30))</f>
        <v>5.8231112956286832</v>
      </c>
      <c r="AW30">
        <f>AV30*1000/AB30</f>
        <v>57.711567074626018</v>
      </c>
      <c r="AX30">
        <f>(AW30-V30)</f>
        <v>23.128376156657268</v>
      </c>
      <c r="AY30">
        <f>IF(E30,Q30,(P30+Q30)/2)</f>
        <v>35.903387069702148</v>
      </c>
      <c r="AZ30">
        <f>0.61365*EXP(17.502*AY30/(240.97+AY30))</f>
        <v>5.937158167230252</v>
      </c>
      <c r="BA30">
        <f>IF(AX30&lt;&gt;0,(1000-(AW30+V30)/2)/AX30*AQ30,0)</f>
        <v>5.3788515240670357E-4</v>
      </c>
      <c r="BB30">
        <f>V30*AB30/1000</f>
        <v>3.4894524595546534</v>
      </c>
      <c r="BC30">
        <f>(AZ30-BB30)</f>
        <v>2.4477057076755986</v>
      </c>
      <c r="BD30">
        <f>1/(1.6/G30+1.37/O30)</f>
        <v>3.361873731909631E-4</v>
      </c>
      <c r="BE30">
        <f>H30*AB30*0.001</f>
        <v>97.133118965902568</v>
      </c>
      <c r="BF30">
        <f>H30/T30</f>
        <v>2.3489102925043372</v>
      </c>
      <c r="BG30">
        <f>(1-AQ30*AB30/AV30/G30)*100</f>
        <v>57.993283476964208</v>
      </c>
      <c r="BH30">
        <f>(T30-F30/(O30/1.35))</f>
        <v>409.92725662777531</v>
      </c>
      <c r="BI30">
        <f>F30*BG30/100/BH30</f>
        <v>-2.7559448811660361E-4</v>
      </c>
    </row>
    <row r="31" spans="1:61" x14ac:dyDescent="0.25">
      <c r="A31" s="1" t="s">
        <v>12</v>
      </c>
      <c r="B31" s="1" t="s">
        <v>94</v>
      </c>
      <c r="C31" s="1"/>
    </row>
    <row r="32" spans="1:61" x14ac:dyDescent="0.25">
      <c r="A32" s="1">
        <v>10</v>
      </c>
      <c r="B32" s="1" t="s">
        <v>95</v>
      </c>
      <c r="C32" s="1" t="s">
        <v>126</v>
      </c>
      <c r="D32" s="1">
        <v>3040.500262956135</v>
      </c>
      <c r="E32" s="1">
        <v>0</v>
      </c>
      <c r="F32">
        <f>(S32-T32*(1000-U32)/(1000-V32))*AP32</f>
        <v>0.25209160754722948</v>
      </c>
      <c r="G32">
        <f>IF(BA32&lt;&gt;0,1/(1/BA32-1/O32),0)</f>
        <v>1.4248402241085185E-2</v>
      </c>
      <c r="H32">
        <f>((BD32-AQ32/2)*T32-F32)/(BD32+AQ32/2)</f>
        <v>361.12053715843535</v>
      </c>
      <c r="I32">
        <f>AQ32*1000</f>
        <v>0.42328484977246633</v>
      </c>
      <c r="J32">
        <f>(AV32-BB32)</f>
        <v>2.8635389402950797</v>
      </c>
      <c r="K32">
        <f>(Q32+AU32*E32)</f>
        <v>37.335189819335938</v>
      </c>
      <c r="L32" s="1">
        <v>6</v>
      </c>
      <c r="M32">
        <f>(L32*AJ32+AK32)</f>
        <v>1.4200000166893005</v>
      </c>
      <c r="N32" s="1">
        <v>1</v>
      </c>
      <c r="O32">
        <f>M32*(N32+1)*(N32+1)/(N32*N32+1)</f>
        <v>2.8400000333786011</v>
      </c>
      <c r="P32" s="1">
        <v>36.648094177246094</v>
      </c>
      <c r="Q32" s="1">
        <v>37.335189819335938</v>
      </c>
      <c r="R32" s="1">
        <v>36.812545776367188</v>
      </c>
      <c r="S32" s="1">
        <v>408.41531372070313</v>
      </c>
      <c r="T32" s="1">
        <v>407.90554809570313</v>
      </c>
      <c r="U32" s="1">
        <v>34.768966674804688</v>
      </c>
      <c r="V32" s="1">
        <v>35.259059906005859</v>
      </c>
      <c r="W32" s="1">
        <v>56.722484588623047</v>
      </c>
      <c r="X32" s="1">
        <v>57.522029876708984</v>
      </c>
      <c r="Y32" s="1">
        <v>499.93780517578125</v>
      </c>
      <c r="Z32" s="1">
        <v>1249.830322265625</v>
      </c>
      <c r="AA32" s="1">
        <v>984.3260498046875</v>
      </c>
      <c r="AB32" s="1">
        <v>100.89920806884766</v>
      </c>
      <c r="AC32" s="1">
        <v>-0.38354912400245667</v>
      </c>
      <c r="AD32" s="1">
        <v>1.9516280889511108</v>
      </c>
      <c r="AE32" s="1">
        <v>0.18765915930271149</v>
      </c>
      <c r="AF32" s="1">
        <v>6.4659468829631805E-2</v>
      </c>
      <c r="AG32" s="1">
        <v>0.18102365732192993</v>
      </c>
      <c r="AH32" s="1">
        <v>5.3708445280790329E-2</v>
      </c>
      <c r="AI32" s="1">
        <v>0.66666668653488159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0.15999999642372131</v>
      </c>
      <c r="AO32" s="1">
        <v>111115</v>
      </c>
      <c r="AP32">
        <f>Y32*0.000001/(L32*0.0001)</f>
        <v>0.83322967529296854</v>
      </c>
      <c r="AQ32">
        <f>(V32-U32)/(1000-V32)*AP32</f>
        <v>4.2328484977246632E-4</v>
      </c>
      <c r="AR32">
        <f>(Q32+273.15)</f>
        <v>310.48518981933591</v>
      </c>
      <c r="AS32">
        <f>(P32+273.15)</f>
        <v>309.79809417724607</v>
      </c>
      <c r="AT32">
        <f>(Z32*AL32+AA32*AM32)*AN32</f>
        <v>199.97284709275846</v>
      </c>
      <c r="AU32">
        <f>((AT32+0.00000010773*(AS32^4-AR32^4))-AQ32*44100)/(M32*0.92*2*29.3+0.00000043092*AR32^3)</f>
        <v>1.92808914158294</v>
      </c>
      <c r="AV32">
        <f>0.61365*EXP(17.502*K32/(240.97+K32))</f>
        <v>6.4211501620631291</v>
      </c>
      <c r="AW32">
        <f>AV32*1000/AB32</f>
        <v>63.639252328736966</v>
      </c>
      <c r="AX32">
        <f>(AW32-V32)</f>
        <v>28.380192422731106</v>
      </c>
      <c r="AY32">
        <f>IF(E32,Q32,(P32+Q32)/2)</f>
        <v>36.991641998291016</v>
      </c>
      <c r="AZ32">
        <f>0.61365*EXP(17.502*AY32/(240.97+AY32))</f>
        <v>6.3020029882209103</v>
      </c>
      <c r="BA32">
        <f>IF(AX32&lt;&gt;0,(1000-(AW32+V32)/2)/AX32*AQ32,0)</f>
        <v>1.4177274246797721E-2</v>
      </c>
      <c r="BB32">
        <f>V32*AB32/1000</f>
        <v>3.5576112217680493</v>
      </c>
      <c r="BC32">
        <f>(AZ32-BB32)</f>
        <v>2.744391766452861</v>
      </c>
      <c r="BD32">
        <f>1/(1.6/G32+1.37/O32)</f>
        <v>8.8671594752310519E-3</v>
      </c>
      <c r="BE32">
        <f>H32*AB32*0.001</f>
        <v>36.436776216683</v>
      </c>
      <c r="BF32">
        <f>H32/T32</f>
        <v>0.88530430351908074</v>
      </c>
      <c r="BG32">
        <f>(1-AQ32*AB32/AV32/G32)*100</f>
        <v>53.31885619756649</v>
      </c>
      <c r="BH32">
        <f>(T32-F32/(O32/1.35))</f>
        <v>407.78571581887604</v>
      </c>
      <c r="BI32">
        <f>F32*BG32/100/BH32</f>
        <v>3.2961517900235169E-4</v>
      </c>
    </row>
    <row r="33" spans="1:61" x14ac:dyDescent="0.25">
      <c r="A33" s="1" t="s">
        <v>12</v>
      </c>
      <c r="B33" s="1" t="s">
        <v>96</v>
      </c>
      <c r="C33" s="1"/>
    </row>
    <row r="34" spans="1:61" x14ac:dyDescent="0.25">
      <c r="A34" s="1">
        <v>11</v>
      </c>
      <c r="B34" s="1" t="s">
        <v>97</v>
      </c>
      <c r="C34" s="1" t="s">
        <v>127</v>
      </c>
      <c r="D34" s="1">
        <v>3378.5002396618947</v>
      </c>
      <c r="E34" s="1">
        <v>0</v>
      </c>
      <c r="F34">
        <f>(S34-T34*(1000-U34)/(1000-V34))*AP34</f>
        <v>2.4749834511949409</v>
      </c>
      <c r="G34">
        <f>IF(BA34&lt;&gt;0,1/(1/BA34-1/O34),0)</f>
        <v>1.7197712730937259E-2</v>
      </c>
      <c r="H34">
        <f>((BD34-AQ34/2)*T34-F34)/(BD34+AQ34/2)</f>
        <v>162.0425063358897</v>
      </c>
      <c r="I34">
        <f>AQ34*1000</f>
        <v>0.51049236572360779</v>
      </c>
      <c r="J34">
        <f>(AV34-BB34)</f>
        <v>2.8588828897831342</v>
      </c>
      <c r="K34">
        <f>(Q34+AU34*E34)</f>
        <v>37.823135375976563</v>
      </c>
      <c r="L34" s="1">
        <v>6</v>
      </c>
      <c r="M34">
        <f>(L34*AJ34+AK34)</f>
        <v>1.4200000166893005</v>
      </c>
      <c r="N34" s="1">
        <v>1</v>
      </c>
      <c r="O34">
        <f>M34*(N34+1)*(N34+1)/(N34*N34+1)</f>
        <v>2.8400000333786011</v>
      </c>
      <c r="P34" s="1">
        <v>37.436222076416016</v>
      </c>
      <c r="Q34" s="1">
        <v>37.823135375976563</v>
      </c>
      <c r="R34" s="1">
        <v>37.648422241210938</v>
      </c>
      <c r="S34" s="1">
        <v>410.30325317382813</v>
      </c>
      <c r="T34" s="1">
        <v>407.08316040039063</v>
      </c>
      <c r="U34" s="1">
        <v>36.426799774169922</v>
      </c>
      <c r="V34" s="1">
        <v>37.016849517822266</v>
      </c>
      <c r="W34" s="1">
        <v>56.923793792724609</v>
      </c>
      <c r="X34" s="1">
        <v>57.845859527587891</v>
      </c>
      <c r="Y34" s="1">
        <v>499.88552856445313</v>
      </c>
      <c r="Z34" s="1">
        <v>1138.647705078125</v>
      </c>
      <c r="AA34" s="1">
        <v>1229.8583984375</v>
      </c>
      <c r="AB34" s="1">
        <v>100.89601135253906</v>
      </c>
      <c r="AC34" s="1">
        <v>-0.38354912400245667</v>
      </c>
      <c r="AD34" s="1">
        <v>1.9516280889511108</v>
      </c>
      <c r="AE34" s="1">
        <v>0.18765915930271149</v>
      </c>
      <c r="AF34" s="1">
        <v>6.4659468829631805E-2</v>
      </c>
      <c r="AG34" s="1">
        <v>0.18102365732192993</v>
      </c>
      <c r="AH34" s="1">
        <v>5.3708445280790329E-2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0.15999999642372131</v>
      </c>
      <c r="AO34" s="1">
        <v>111115</v>
      </c>
      <c r="AP34">
        <f>Y34*0.000001/(L34*0.0001)</f>
        <v>0.83314254760742179</v>
      </c>
      <c r="AQ34">
        <f>(V34-U34)/(1000-V34)*AP34</f>
        <v>5.1049236572360773E-4</v>
      </c>
      <c r="AR34">
        <f>(Q34+273.15)</f>
        <v>310.97313537597654</v>
      </c>
      <c r="AS34">
        <f>(P34+273.15)</f>
        <v>310.58622207641599</v>
      </c>
      <c r="AT34">
        <f>(Z34*AL34+AA34*AM34)*AN34</f>
        <v>182.18362874037848</v>
      </c>
      <c r="AU34">
        <f>((AT34+0.00000010773*(AS34^4-AR34^4))-AQ34*44100)/(M34*0.92*2*29.3+0.00000043092*AR34^3)</f>
        <v>1.7278479080884805</v>
      </c>
      <c r="AV34">
        <f>0.61365*EXP(17.502*K34/(240.97+K34))</f>
        <v>6.5937353589685594</v>
      </c>
      <c r="AW34">
        <f>AV34*1000/AB34</f>
        <v>65.351794095501944</v>
      </c>
      <c r="AX34">
        <f>(AW34-V34)</f>
        <v>28.334944577679678</v>
      </c>
      <c r="AY34">
        <f>IF(E34,Q34,(P34+Q34)/2)</f>
        <v>37.629678726196289</v>
      </c>
      <c r="AZ34">
        <f>0.61365*EXP(17.502*AY34/(240.97+AY34))</f>
        <v>6.5248345789993598</v>
      </c>
      <c r="BA34">
        <f>IF(AX34&lt;&gt;0,(1000-(AW34+V34)/2)/AX34*AQ34,0)</f>
        <v>1.70941982564566E-2</v>
      </c>
      <c r="BB34">
        <f>V34*AB34/1000</f>
        <v>3.7348524691854252</v>
      </c>
      <c r="BC34">
        <f>(AZ34-BB34)</f>
        <v>2.7899821098139346</v>
      </c>
      <c r="BD34">
        <f>1/(1.6/G34+1.37/O34)</f>
        <v>1.0693126065964302E-2</v>
      </c>
      <c r="BE34">
        <f>H34*AB34*0.001</f>
        <v>16.34944255885981</v>
      </c>
      <c r="BF34">
        <f>H34/T34</f>
        <v>0.39805750298418435</v>
      </c>
      <c r="BG34">
        <f>(1-AQ34*AB34/AV34/G34)*100</f>
        <v>54.578544504457092</v>
      </c>
      <c r="BH34">
        <f>(T34-F34/(O34/1.35))</f>
        <v>405.90667180185415</v>
      </c>
      <c r="BI34">
        <f>F34*BG34/100/BH34</f>
        <v>3.3278830781273412E-3</v>
      </c>
    </row>
    <row r="35" spans="1:61" x14ac:dyDescent="0.25">
      <c r="A35" s="1" t="s">
        <v>12</v>
      </c>
      <c r="B35" s="1" t="s">
        <v>98</v>
      </c>
      <c r="C35" s="1"/>
    </row>
    <row r="36" spans="1:61" x14ac:dyDescent="0.25">
      <c r="A36" s="1" t="s">
        <v>12</v>
      </c>
      <c r="B36" s="1" t="s">
        <v>99</v>
      </c>
      <c r="C36" s="1"/>
    </row>
    <row r="37" spans="1:61" x14ac:dyDescent="0.25">
      <c r="A37" s="1">
        <v>12</v>
      </c>
      <c r="B37" s="1" t="s">
        <v>100</v>
      </c>
      <c r="C37" s="1" t="s">
        <v>129</v>
      </c>
      <c r="D37" s="1">
        <v>3662.0002696756274</v>
      </c>
      <c r="E37" s="1">
        <v>0</v>
      </c>
      <c r="F37">
        <f>(S37-T37*(1000-U37)/(1000-V37))*AP37</f>
        <v>0.30995226010796739</v>
      </c>
      <c r="G37">
        <f>IF(BA37&lt;&gt;0,1/(1/BA37-1/O37),0)</f>
        <v>4.1950888981858439E-3</v>
      </c>
      <c r="H37">
        <f>((BD37-AQ37/2)*T37-F37)/(BD37+AQ37/2)</f>
        <v>273.59836528732791</v>
      </c>
      <c r="I37">
        <f>AQ37*1000</f>
        <v>0.13708571032355127</v>
      </c>
      <c r="J37">
        <f>(AV37-BB37)</f>
        <v>3.1289732978515672</v>
      </c>
      <c r="K37">
        <f>(Q37+AU37*E37)</f>
        <v>38.517292022705078</v>
      </c>
      <c r="L37" s="1">
        <v>6</v>
      </c>
      <c r="M37">
        <f>(L37*AJ37+AK37)</f>
        <v>1.4200000166893005</v>
      </c>
      <c r="N37" s="1">
        <v>1</v>
      </c>
      <c r="O37">
        <f>M37*(N37+1)*(N37+1)/(N37*N37+1)</f>
        <v>2.8400000333786011</v>
      </c>
      <c r="P37" s="1">
        <v>37.383827209472656</v>
      </c>
      <c r="Q37" s="1">
        <v>38.517292022705078</v>
      </c>
      <c r="R37" s="1">
        <v>37.642169952392578</v>
      </c>
      <c r="S37" s="1">
        <v>410.29208374023438</v>
      </c>
      <c r="T37" s="1">
        <v>409.85263061523438</v>
      </c>
      <c r="U37" s="1">
        <v>36.684616088867188</v>
      </c>
      <c r="V37" s="1">
        <v>36.843090057373047</v>
      </c>
      <c r="W37" s="1">
        <v>57.488735198974609</v>
      </c>
      <c r="X37" s="1">
        <v>57.737083435058594</v>
      </c>
      <c r="Y37" s="1">
        <v>499.89932250976563</v>
      </c>
      <c r="Z37" s="1">
        <v>1249.81201171875</v>
      </c>
      <c r="AA37" s="1">
        <v>991.37823486328125</v>
      </c>
      <c r="AB37" s="1">
        <v>100.89312744140625</v>
      </c>
      <c r="AC37" s="1">
        <v>-0.55228537321090698</v>
      </c>
      <c r="AD37" s="1">
        <v>1.9669053554534912</v>
      </c>
      <c r="AE37" s="1">
        <v>7.9724587500095367E-2</v>
      </c>
      <c r="AF37" s="1">
        <v>3.5181071609258652E-2</v>
      </c>
      <c r="AG37" s="1">
        <v>0.15042689442634583</v>
      </c>
      <c r="AH37" s="1">
        <v>6.4063072204589844E-2</v>
      </c>
      <c r="AI37" s="1">
        <v>0.66666668653488159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0.15999999642372131</v>
      </c>
      <c r="AO37" s="1">
        <v>111115</v>
      </c>
      <c r="AP37">
        <f>Y37*0.000001/(L37*0.0001)</f>
        <v>0.83316553751627587</v>
      </c>
      <c r="AQ37">
        <f>(V37-U37)/(1000-V37)*AP37</f>
        <v>1.3708571032355126E-4</v>
      </c>
      <c r="AR37">
        <f>(Q37+273.15)</f>
        <v>311.66729202270506</v>
      </c>
      <c r="AS37">
        <f>(P37+273.15)</f>
        <v>310.53382720947263</v>
      </c>
      <c r="AT37">
        <f>(Z37*AL37+AA37*AM37)*AN37</f>
        <v>199.96991740532394</v>
      </c>
      <c r="AU37">
        <f>((AT37+0.00000010773*(AS37^4-AR37^4))-AQ37*44100)/(M37*0.92*2*29.3+0.00000043092*AR37^3)</f>
        <v>2.0001819889412333</v>
      </c>
      <c r="AV37">
        <f>0.61365*EXP(17.502*K37/(240.97+K37))</f>
        <v>6.8461878783453134</v>
      </c>
      <c r="AW37">
        <f>AV37*1000/AB37</f>
        <v>67.855839658863204</v>
      </c>
      <c r="AX37">
        <f>(AW37-V37)</f>
        <v>31.012749601490157</v>
      </c>
      <c r="AY37">
        <f>IF(E37,Q37,(P37+Q37)/2)</f>
        <v>37.950559616088867</v>
      </c>
      <c r="AZ37">
        <f>0.61365*EXP(17.502*AY37/(240.97+AY37))</f>
        <v>6.6394624089496572</v>
      </c>
      <c r="BA37">
        <f>IF(AX37&lt;&gt;0,(1000-(AW37+V37)/2)/AX37*AQ37,0)</f>
        <v>4.1889012879456596E-3</v>
      </c>
      <c r="BB37">
        <f>V37*AB37/1000</f>
        <v>3.7172145804937462</v>
      </c>
      <c r="BC37">
        <f>(AZ37-BB37)</f>
        <v>2.922247828455911</v>
      </c>
      <c r="BD37">
        <f>1/(1.6/G37+1.37/O37)</f>
        <v>2.6186185208340162E-3</v>
      </c>
      <c r="BE37">
        <f>H37*AB37*0.001</f>
        <v>27.604194736694794</v>
      </c>
      <c r="BF37">
        <f>H37/T37</f>
        <v>0.66755302967465735</v>
      </c>
      <c r="BG37">
        <f>(1-AQ37*AB37/AV37/G37)*100</f>
        <v>51.842515953787036</v>
      </c>
      <c r="BH37">
        <f>(T37-F37/(O37/1.35))</f>
        <v>409.70529415529501</v>
      </c>
      <c r="BI37">
        <f>F37*BG37/100/BH37</f>
        <v>3.9220154630144842E-4</v>
      </c>
    </row>
    <row r="38" spans="1:61" x14ac:dyDescent="0.25">
      <c r="A38" s="1">
        <v>13</v>
      </c>
      <c r="B38" s="1" t="s">
        <v>101</v>
      </c>
      <c r="C38" s="1" t="s">
        <v>130</v>
      </c>
      <c r="D38" s="1">
        <v>4295.5002260161564</v>
      </c>
      <c r="E38" s="1">
        <v>0</v>
      </c>
      <c r="F38">
        <f>(S38-T38*(1000-U38)/(1000-V38))*AP38</f>
        <v>-0.68326490821457542</v>
      </c>
      <c r="G38">
        <f>IF(BA38&lt;&gt;0,1/(1/BA38-1/O38),0)</f>
        <v>-4.3209063071939563E-3</v>
      </c>
      <c r="H38">
        <f>((BD38-AQ38/2)*T38-F38)/(BD38+AQ38/2)</f>
        <v>144.36683534373262</v>
      </c>
      <c r="I38">
        <f>AQ38*1000</f>
        <v>-0.1313090488999259</v>
      </c>
      <c r="J38">
        <f>(AV38-BB38)</f>
        <v>2.8949584364567293</v>
      </c>
      <c r="K38">
        <f>(Q38+AU38*E38)</f>
        <v>38.712215423583984</v>
      </c>
      <c r="L38" s="1">
        <v>6</v>
      </c>
      <c r="M38">
        <f>(L38*AJ38+AK38)</f>
        <v>1.4200000166893005</v>
      </c>
      <c r="N38" s="1">
        <v>1</v>
      </c>
      <c r="O38">
        <f>M38*(N38+1)*(N38+1)/(N38*N38+1)</f>
        <v>2.8400000333786011</v>
      </c>
      <c r="P38" s="1">
        <v>37.304794311523438</v>
      </c>
      <c r="Q38" s="1">
        <v>38.712215423583984</v>
      </c>
      <c r="R38" s="1">
        <v>37.521167755126953</v>
      </c>
      <c r="S38" s="1">
        <v>409.63290405273438</v>
      </c>
      <c r="T38" s="1">
        <v>410.51766967773438</v>
      </c>
      <c r="U38" s="1">
        <v>40.036872863769531</v>
      </c>
      <c r="V38" s="1">
        <v>39.88555908203125</v>
      </c>
      <c r="W38" s="1">
        <v>63.003746032714844</v>
      </c>
      <c r="X38" s="1">
        <v>62.765636444091797</v>
      </c>
      <c r="Y38" s="1">
        <v>499.90838623046875</v>
      </c>
      <c r="Z38" s="1">
        <v>1250.9285888671875</v>
      </c>
      <c r="AA38" s="1">
        <v>1309.2540283203125</v>
      </c>
      <c r="AB38" s="1">
        <v>100.87886810302734</v>
      </c>
      <c r="AC38" s="1">
        <v>-0.55228537321090698</v>
      </c>
      <c r="AD38" s="1">
        <v>1.9669053554534912</v>
      </c>
      <c r="AE38" s="1">
        <v>7.9724587500095367E-2</v>
      </c>
      <c r="AF38" s="1">
        <v>3.5181071609258652E-2</v>
      </c>
      <c r="AG38" s="1">
        <v>0.15042689442634583</v>
      </c>
      <c r="AH38" s="1">
        <v>6.4063072204589844E-2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0.15999999642372131</v>
      </c>
      <c r="AO38" s="1">
        <v>111115</v>
      </c>
      <c r="AP38">
        <f>Y38*0.000001/(L38*0.0001)</f>
        <v>0.83318064371744771</v>
      </c>
      <c r="AQ38">
        <f>(V38-U38)/(1000-V38)*AP38</f>
        <v>-1.3130904889992588E-4</v>
      </c>
      <c r="AR38">
        <f>(Q38+273.15)</f>
        <v>311.86221542358396</v>
      </c>
      <c r="AS38">
        <f>(P38+273.15)</f>
        <v>310.45479431152341</v>
      </c>
      <c r="AT38">
        <f>(Z38*AL38+AA38*AM38)*AN38</f>
        <v>200.14856974508075</v>
      </c>
      <c r="AU38">
        <f>((AT38+0.00000010773*(AS38^4-AR38^4))-AQ38*44100)/(M38*0.92*2*29.3+0.00000043092*AR38^3)</f>
        <v>2.093917846018492</v>
      </c>
      <c r="AV38">
        <f>0.61365*EXP(17.502*K38/(240.97+K38))</f>
        <v>6.9185684903084645</v>
      </c>
      <c r="AW38">
        <f>AV38*1000/AB38</f>
        <v>68.582931394933453</v>
      </c>
      <c r="AX38">
        <f>(AW38-V38)</f>
        <v>28.697372312902203</v>
      </c>
      <c r="AY38">
        <f>IF(E38,Q38,(P38+Q38)/2)</f>
        <v>38.008504867553711</v>
      </c>
      <c r="AZ38">
        <f>0.61365*EXP(17.502*AY38/(240.97+AY38))</f>
        <v>6.660347304782813</v>
      </c>
      <c r="BA38">
        <f>IF(AX38&lt;&gt;0,(1000-(AW38+V38)/2)/AX38*AQ38,0)</f>
        <v>-4.3274903494917288E-3</v>
      </c>
      <c r="BB38">
        <f>V38*AB38/1000</f>
        <v>4.0236100538517352</v>
      </c>
      <c r="BC38">
        <f>(AZ38-BB38)</f>
        <v>2.6367372509310778</v>
      </c>
      <c r="BD38">
        <f>1/(1.6/G38+1.37/O38)</f>
        <v>-2.7040891617617193E-3</v>
      </c>
      <c r="BE38">
        <f>H38*AB38*0.001</f>
        <v>14.563562941091869</v>
      </c>
      <c r="BF38">
        <f>H38/T38</f>
        <v>0.35167021058329556</v>
      </c>
      <c r="BG38">
        <f>(1-AQ38*AB38/AV38/G38)*100</f>
        <v>55.689794685431558</v>
      </c>
      <c r="BH38">
        <f>(T38-F38/(O38/1.35))</f>
        <v>410.8424610915543</v>
      </c>
      <c r="BI38">
        <f>F38*BG38/100/BH38</f>
        <v>-9.261672309413627E-4</v>
      </c>
    </row>
    <row r="39" spans="1:61" x14ac:dyDescent="0.25">
      <c r="A39" s="1" t="s">
        <v>12</v>
      </c>
      <c r="B39" s="1" t="s">
        <v>102</v>
      </c>
      <c r="C39" s="1"/>
    </row>
    <row r="40" spans="1:61" x14ac:dyDescent="0.25">
      <c r="A40" s="1">
        <v>14</v>
      </c>
      <c r="B40" s="1" t="s">
        <v>103</v>
      </c>
      <c r="C40" s="1" t="s">
        <v>131</v>
      </c>
      <c r="D40" s="1">
        <v>4612.0002665743232</v>
      </c>
      <c r="E40" s="1">
        <v>0</v>
      </c>
      <c r="F40">
        <f>(S40-T40*(1000-U40)/(1000-V40))*AP40</f>
        <v>0.32396374189796112</v>
      </c>
      <c r="G40">
        <f>IF(BA40&lt;&gt;0,1/(1/BA40-1/O40),0)</f>
        <v>2.0883560255833453E-3</v>
      </c>
      <c r="H40">
        <f>((BD40-AQ40/2)*T40-F40)/(BD40+AQ40/2)</f>
        <v>147.00564820595369</v>
      </c>
      <c r="I40">
        <f>AQ40*1000</f>
        <v>6.6609398063089159E-2</v>
      </c>
      <c r="J40">
        <f>(AV40-BB40)</f>
        <v>3.0445033512587591</v>
      </c>
      <c r="K40">
        <f>(Q40+AU40*E40)</f>
        <v>38.960567474365234</v>
      </c>
      <c r="L40" s="1">
        <v>6</v>
      </c>
      <c r="M40">
        <f>(L40*AJ40+AK40)</f>
        <v>1.4200000166893005</v>
      </c>
      <c r="N40" s="1">
        <v>1</v>
      </c>
      <c r="O40">
        <f>M40*(N40+1)*(N40+1)/(N40*N40+1)</f>
        <v>2.8400000333786011</v>
      </c>
      <c r="P40" s="1">
        <v>37.663150787353516</v>
      </c>
      <c r="Q40" s="1">
        <v>38.960567474365234</v>
      </c>
      <c r="R40" s="1">
        <v>37.876781463623047</v>
      </c>
      <c r="S40" s="1">
        <v>410.00027465820313</v>
      </c>
      <c r="T40" s="1">
        <v>409.57870483398438</v>
      </c>
      <c r="U40" s="1">
        <v>39.252918243408203</v>
      </c>
      <c r="V40" s="1">
        <v>39.329719543457031</v>
      </c>
      <c r="W40" s="1">
        <v>60.573265075683594</v>
      </c>
      <c r="X40" s="1">
        <v>60.691783905029297</v>
      </c>
      <c r="Y40" s="1">
        <v>499.91082763671875</v>
      </c>
      <c r="Z40" s="1">
        <v>1250.2271728515625</v>
      </c>
      <c r="AA40" s="1">
        <v>1067.10595703125</v>
      </c>
      <c r="AB40" s="1">
        <v>100.8714599609375</v>
      </c>
      <c r="AC40" s="1">
        <v>-0.72056233882904053</v>
      </c>
      <c r="AD40" s="1">
        <v>1.9932858943939209</v>
      </c>
      <c r="AE40" s="1">
        <v>7.9431146383285522E-2</v>
      </c>
      <c r="AF40" s="1">
        <v>0.10708519071340561</v>
      </c>
      <c r="AG40" s="1">
        <v>4.5212652534246445E-2</v>
      </c>
      <c r="AH40" s="1">
        <v>0.1081620380282402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0.15999999642372131</v>
      </c>
      <c r="AO40" s="1">
        <v>111115</v>
      </c>
      <c r="AP40">
        <f>Y40*0.000001/(L40*0.0001)</f>
        <v>0.83318471272786443</v>
      </c>
      <c r="AQ40">
        <f>(V40-U40)/(1000-V40)*AP40</f>
        <v>6.6609398063089163E-5</v>
      </c>
      <c r="AR40">
        <f>(Q40+273.15)</f>
        <v>312.11056747436521</v>
      </c>
      <c r="AS40">
        <f>(P40+273.15)</f>
        <v>310.81315078735349</v>
      </c>
      <c r="AT40">
        <f>(Z40*AL40+AA40*AM40)*AN40</f>
        <v>200.03634318508921</v>
      </c>
      <c r="AU40">
        <f>((AT40+0.00000010773*(AS40^4-AR40^4))-AQ40*44100)/(M40*0.92*2*29.3+0.00000043092*AR40^3)</f>
        <v>2.0099632860999308</v>
      </c>
      <c r="AV40">
        <f>0.61365*EXP(17.502*K40/(240.97+K40))</f>
        <v>7.0117495814614861</v>
      </c>
      <c r="AW40">
        <f>AV40*1000/AB40</f>
        <v>69.511728928844562</v>
      </c>
      <c r="AX40">
        <f>(AW40-V40)</f>
        <v>30.182009385387531</v>
      </c>
      <c r="AY40">
        <f>IF(E40,Q40,(P40+Q40)/2)</f>
        <v>38.311859130859375</v>
      </c>
      <c r="AZ40">
        <f>0.61365*EXP(17.502*AY40/(240.97+AY40))</f>
        <v>6.7706166307228575</v>
      </c>
      <c r="BA40">
        <f>IF(AX40&lt;&gt;0,(1000-(AW40+V40)/2)/AX40*AQ40,0)</f>
        <v>2.0868215093079721E-3</v>
      </c>
      <c r="BB40">
        <f>V40*AB40/1000</f>
        <v>3.9672462302027269</v>
      </c>
      <c r="BC40">
        <f>(AZ40-BB40)</f>
        <v>2.8033704005201305</v>
      </c>
      <c r="BD40">
        <f>1/(1.6/G40+1.37/O40)</f>
        <v>1.3044012232634379E-3</v>
      </c>
      <c r="BE40">
        <f>H40*AB40*0.001</f>
        <v>14.828674357038521</v>
      </c>
      <c r="BF40">
        <f>H40/T40</f>
        <v>0.35891916857723322</v>
      </c>
      <c r="BG40">
        <f>(1-AQ40*AB40/AV40/G40)*100</f>
        <v>54.114773619083302</v>
      </c>
      <c r="BH40">
        <f>(T40-F40/(O40/1.35))</f>
        <v>409.42470798665266</v>
      </c>
      <c r="BI40">
        <f>F40*BG40/100/BH40</f>
        <v>4.2819166043517873E-4</v>
      </c>
    </row>
    <row r="41" spans="1:61" x14ac:dyDescent="0.25">
      <c r="A41" s="1" t="s">
        <v>12</v>
      </c>
      <c r="B41" s="1" t="s">
        <v>104</v>
      </c>
      <c r="C41" s="1"/>
    </row>
    <row r="42" spans="1:61" x14ac:dyDescent="0.25">
      <c r="A42" s="1">
        <v>15</v>
      </c>
      <c r="B42" s="1" t="s">
        <v>105</v>
      </c>
      <c r="C42" s="1" t="s">
        <v>132</v>
      </c>
      <c r="D42" s="1">
        <v>4881.5002480009571</v>
      </c>
      <c r="E42" s="1">
        <v>0</v>
      </c>
      <c r="F42">
        <f>(S42-T42*(1000-U42)/(1000-V42))*AP42</f>
        <v>-9.0250452056940822E-2</v>
      </c>
      <c r="G42">
        <f>IF(BA42&lt;&gt;0,1/(1/BA42-1/O42),0)</f>
        <v>3.3946463171449304E-4</v>
      </c>
      <c r="H42">
        <f>((BD42-AQ42/2)*T42-F42)/(BD42+AQ42/2)</f>
        <v>802.5753445467135</v>
      </c>
      <c r="I42">
        <f>AQ42*1000</f>
        <v>1.1502987415409152E-2</v>
      </c>
      <c r="J42">
        <f>(AV42-BB42)</f>
        <v>3.2302573940329085</v>
      </c>
      <c r="K42">
        <f>(Q42+AU42*E42)</f>
        <v>39.36767578125</v>
      </c>
      <c r="L42" s="1">
        <v>6</v>
      </c>
      <c r="M42">
        <f>(L42*AJ42+AK42)</f>
        <v>1.4200000166893005</v>
      </c>
      <c r="N42" s="1">
        <v>1</v>
      </c>
      <c r="O42">
        <f>M42*(N42+1)*(N42+1)/(N42*N42+1)</f>
        <v>2.8400000333786011</v>
      </c>
      <c r="P42" s="1">
        <v>38.019092559814453</v>
      </c>
      <c r="Q42" s="1">
        <v>39.36767578125</v>
      </c>
      <c r="R42" s="1">
        <v>38.236038208007813</v>
      </c>
      <c r="S42" s="1">
        <v>409.9266357421875</v>
      </c>
      <c r="T42" s="1">
        <v>410.029296875</v>
      </c>
      <c r="U42" s="1">
        <v>39.013736724853516</v>
      </c>
      <c r="V42" s="1">
        <v>39.027004241943359</v>
      </c>
      <c r="W42" s="1">
        <v>59.050945281982422</v>
      </c>
      <c r="X42" s="1">
        <v>59.071025848388672</v>
      </c>
      <c r="Y42" s="1">
        <v>499.90032958984375</v>
      </c>
      <c r="Z42" s="1">
        <v>1348.7388916015625</v>
      </c>
      <c r="AA42" s="1">
        <v>1258.6136474609375</v>
      </c>
      <c r="AB42" s="1">
        <v>100.86844635009766</v>
      </c>
      <c r="AC42" s="1">
        <v>-0.72056233882904053</v>
      </c>
      <c r="AD42" s="1">
        <v>1.9932858943939209</v>
      </c>
      <c r="AE42" s="1">
        <v>7.9431146383285522E-2</v>
      </c>
      <c r="AF42" s="1">
        <v>0.10708519071340561</v>
      </c>
      <c r="AG42" s="1">
        <v>4.5212652534246445E-2</v>
      </c>
      <c r="AH42" s="1">
        <v>0.1081620380282402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0.15999999642372131</v>
      </c>
      <c r="AO42" s="1">
        <v>111115</v>
      </c>
      <c r="AP42">
        <f>Y42*0.000001/(L42*0.0001)</f>
        <v>0.83316721598307286</v>
      </c>
      <c r="AQ42">
        <f>(V42-U42)/(1000-V42)*AP42</f>
        <v>1.1502987415409153E-5</v>
      </c>
      <c r="AR42">
        <f>(Q42+273.15)</f>
        <v>312.51767578124998</v>
      </c>
      <c r="AS42">
        <f>(P42+273.15)</f>
        <v>311.16909255981443</v>
      </c>
      <c r="AT42">
        <f>(Z42*AL42+AA42*AM42)*AN42</f>
        <v>215.79821783278385</v>
      </c>
      <c r="AU42">
        <f>((AT42+0.00000010773*(AS42^4-AR42^4))-AQ42*44100)/(M42*0.92*2*29.3+0.00000043092*AR42^3)</f>
        <v>2.2034588766274328</v>
      </c>
      <c r="AV42">
        <f>0.61365*EXP(17.502*K42/(240.97+K42))</f>
        <v>7.1668506776164058</v>
      </c>
      <c r="AW42">
        <f>AV42*1000/AB42</f>
        <v>71.051462939574336</v>
      </c>
      <c r="AX42">
        <f>(AW42-V42)</f>
        <v>32.024458697630976</v>
      </c>
      <c r="AY42">
        <f>IF(E42,Q42,(P42+Q42)/2)</f>
        <v>38.693384170532227</v>
      </c>
      <c r="AZ42">
        <f>0.61365*EXP(17.502*AY42/(240.97+AY42))</f>
        <v>6.911547066417878</v>
      </c>
      <c r="BA42">
        <f>IF(AX42&lt;&gt;0,(1000-(AW42+V42)/2)/AX42*AQ42,0)</f>
        <v>3.394240604249462E-4</v>
      </c>
      <c r="BB42">
        <f>V42*AB42/1000</f>
        <v>3.9365932835834974</v>
      </c>
      <c r="BC42">
        <f>(AZ42-BB42)</f>
        <v>2.9749537828343806</v>
      </c>
      <c r="BD42">
        <f>1/(1.6/G42+1.37/O42)</f>
        <v>2.1214368246936065E-4</v>
      </c>
      <c r="BE42">
        <f>H42*AB42*0.001</f>
        <v>80.954528083321321</v>
      </c>
      <c r="BF42">
        <f>H42/T42</f>
        <v>1.9573609755777612</v>
      </c>
      <c r="BG42">
        <f>(1-AQ42*AB42/AV42/G42)*100</f>
        <v>52.308268777111124</v>
      </c>
      <c r="BH42">
        <f>(T42-F42/(O42/1.35))</f>
        <v>410.07219761755101</v>
      </c>
      <c r="BI42">
        <f>F42*BG42/100/BH42</f>
        <v>-1.151222865358232E-4</v>
      </c>
    </row>
    <row r="43" spans="1:61" x14ac:dyDescent="0.25">
      <c r="A43" s="1" t="s">
        <v>12</v>
      </c>
      <c r="B43" s="1" t="s">
        <v>106</v>
      </c>
      <c r="C43" s="1"/>
    </row>
    <row r="44" spans="1:61" x14ac:dyDescent="0.25">
      <c r="A44" s="1" t="s">
        <v>12</v>
      </c>
      <c r="B44" s="1" t="s">
        <v>107</v>
      </c>
      <c r="C44" s="1"/>
    </row>
    <row r="45" spans="1:61" x14ac:dyDescent="0.25">
      <c r="A45" s="1">
        <v>16</v>
      </c>
      <c r="B45" s="1" t="s">
        <v>108</v>
      </c>
      <c r="C45" s="1" t="s">
        <v>133</v>
      </c>
      <c r="D45" s="1">
        <v>5162.5002737762406</v>
      </c>
      <c r="E45" s="1">
        <v>0</v>
      </c>
      <c r="F45">
        <f>(S45-T45*(1000-U45)/(1000-V45))*AP45</f>
        <v>1.1856541338120365E-2</v>
      </c>
      <c r="G45">
        <f>IF(BA45&lt;&gt;0,1/(1/BA45-1/O45),0)</f>
        <v>-4.7614782365791683E-4</v>
      </c>
      <c r="H45">
        <f>((BD45-AQ45/2)*T45-F45)/(BD45+AQ45/2)</f>
        <v>426.09847537946246</v>
      </c>
      <c r="I45">
        <f>AQ45*1000</f>
        <v>-1.6183811405823995E-2</v>
      </c>
      <c r="J45">
        <f>(AV45-BB45)</f>
        <v>3.2400073303260122</v>
      </c>
      <c r="K45">
        <f>(Q45+AU45*E45)</f>
        <v>39.29815673828125</v>
      </c>
      <c r="L45" s="1">
        <v>6</v>
      </c>
      <c r="M45">
        <f>(L45*AJ45+AK45)</f>
        <v>1.4200000166893005</v>
      </c>
      <c r="N45" s="1">
        <v>1</v>
      </c>
      <c r="O45">
        <f>M45*(N45+1)*(N45+1)/(N45*N45+1)</f>
        <v>2.8400000333786011</v>
      </c>
      <c r="P45" s="1">
        <v>38.297821044921875</v>
      </c>
      <c r="Q45" s="1">
        <v>39.29815673828125</v>
      </c>
      <c r="R45" s="1">
        <v>38.498050689697266</v>
      </c>
      <c r="S45" s="1">
        <v>408.97210693359375</v>
      </c>
      <c r="T45" s="1">
        <v>408.9658203125</v>
      </c>
      <c r="U45" s="1">
        <v>38.687160491943359</v>
      </c>
      <c r="V45" s="1">
        <v>38.668487548828125</v>
      </c>
      <c r="W45" s="1">
        <v>57.675628662109375</v>
      </c>
      <c r="X45" s="1">
        <v>57.647789001464844</v>
      </c>
      <c r="Y45" s="1">
        <v>499.91073608398438</v>
      </c>
      <c r="Z45" s="1">
        <v>1267.4716796875</v>
      </c>
      <c r="AA45" s="1">
        <v>1130.188720703125</v>
      </c>
      <c r="AB45" s="1">
        <v>100.86117553710938</v>
      </c>
      <c r="AC45" s="1">
        <v>-0.31068378686904907</v>
      </c>
      <c r="AD45" s="1">
        <v>2.0492737293243408</v>
      </c>
      <c r="AE45" s="1">
        <v>7.7812023460865021E-2</v>
      </c>
      <c r="AF45" s="1">
        <v>1.1210293509066105E-2</v>
      </c>
      <c r="AG45" s="1">
        <v>1.6216212883591652E-2</v>
      </c>
      <c r="AH45" s="1">
        <v>9.939802810549736E-3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0.15999999642372131</v>
      </c>
      <c r="AO45" s="1">
        <v>111115</v>
      </c>
      <c r="AP45">
        <f>Y45*0.000001/(L45*0.0001)</f>
        <v>0.83318456013997388</v>
      </c>
      <c r="AQ45">
        <f>(V45-U45)/(1000-V45)*AP45</f>
        <v>-1.6183811405823994E-5</v>
      </c>
      <c r="AR45">
        <f>(Q45+273.15)</f>
        <v>312.44815673828123</v>
      </c>
      <c r="AS45">
        <f>(P45+273.15)</f>
        <v>311.44782104492185</v>
      </c>
      <c r="AT45">
        <f>(Z45*AL45+AA45*AM45)*AN45</f>
        <v>202.79546421716805</v>
      </c>
      <c r="AU45">
        <f>((AT45+0.00000010773*(AS45^4-AR45^4))-AQ45*44100)/(M45*0.92*2*29.3+0.00000043092*AR45^3)</f>
        <v>2.1229154974630662</v>
      </c>
      <c r="AV45">
        <f>0.61365*EXP(17.502*K45/(240.97+K45))</f>
        <v>7.1401564407428939</v>
      </c>
      <c r="AW45">
        <f>AV45*1000/AB45</f>
        <v>70.791921695537354</v>
      </c>
      <c r="AX45">
        <f>(AW45-V45)</f>
        <v>32.123434146709229</v>
      </c>
      <c r="AY45">
        <f>IF(E45,Q45,(P45+Q45)/2)</f>
        <v>38.797988891601563</v>
      </c>
      <c r="AZ45">
        <f>0.61365*EXP(17.502*AY45/(240.97+AY45))</f>
        <v>6.9506283263587685</v>
      </c>
      <c r="BA45">
        <f>IF(AX45&lt;&gt;0,(1000-(AW45+V45)/2)/AX45*AQ45,0)</f>
        <v>-4.7622766688484912E-4</v>
      </c>
      <c r="BB45">
        <f>V45*AB45/1000</f>
        <v>3.9001491104168817</v>
      </c>
      <c r="BC45">
        <f>(AZ45-BB45)</f>
        <v>3.0504792159418868</v>
      </c>
      <c r="BD45">
        <f>1/(1.6/G45+1.37/O45)</f>
        <v>-2.9763511735817004E-4</v>
      </c>
      <c r="BE45">
        <f>H45*AB45*0.001</f>
        <v>42.976793121342645</v>
      </c>
      <c r="BF45">
        <f>H45/T45</f>
        <v>1.0418926331150877</v>
      </c>
      <c r="BG45">
        <f>(1-AQ45*AB45/AV45/G45)*100</f>
        <v>51.987391289794481</v>
      </c>
      <c r="BH45">
        <f>(T45-F45/(O45/1.35))</f>
        <v>408.96018428059216</v>
      </c>
      <c r="BI45">
        <f>F45*BG45/100/BH45</f>
        <v>1.5072143391484154E-5</v>
      </c>
    </row>
    <row r="46" spans="1:61" x14ac:dyDescent="0.25">
      <c r="A46" s="1">
        <v>17</v>
      </c>
      <c r="B46" s="1" t="s">
        <v>109</v>
      </c>
      <c r="C46" s="1" t="s">
        <v>134</v>
      </c>
      <c r="D46" s="1">
        <v>5304.5002655060962</v>
      </c>
      <c r="E46" s="1">
        <v>0</v>
      </c>
      <c r="F46">
        <f>(S46-T46*(1000-U46)/(1000-V46))*AP46</f>
        <v>0.48353758896080673</v>
      </c>
      <c r="G46">
        <f>IF(BA46&lt;&gt;0,1/(1/BA46-1/O46),0)</f>
        <v>6.8471397050401716E-3</v>
      </c>
      <c r="H46">
        <f>((BD46-AQ46/2)*T46-F46)/(BD46+AQ46/2)</f>
        <v>277.33872972640199</v>
      </c>
      <c r="I46">
        <f>AQ46*1000</f>
        <v>0.23185599774827881</v>
      </c>
      <c r="J46">
        <f>(AV46-BB46)</f>
        <v>3.2294785007140465</v>
      </c>
      <c r="K46">
        <f>(Q46+AU46*E46)</f>
        <v>39.792098999023438</v>
      </c>
      <c r="L46" s="1">
        <v>6</v>
      </c>
      <c r="M46">
        <f>(L46*AJ46+AK46)</f>
        <v>1.4200000166893005</v>
      </c>
      <c r="N46" s="1">
        <v>1</v>
      </c>
      <c r="O46">
        <f>M46*(N46+1)*(N46+1)/(N46*N46+1)</f>
        <v>2.8400000333786011</v>
      </c>
      <c r="P46" s="1">
        <v>38.723861694335938</v>
      </c>
      <c r="Q46" s="1">
        <v>39.792098999023438</v>
      </c>
      <c r="R46" s="1">
        <v>38.929233551025391</v>
      </c>
      <c r="S46" s="1">
        <v>409.8927001953125</v>
      </c>
      <c r="T46" s="1">
        <v>409.19851684570313</v>
      </c>
      <c r="U46" s="1">
        <v>40.405517578125</v>
      </c>
      <c r="V46" s="1">
        <v>40.672462463378906</v>
      </c>
      <c r="W46" s="1">
        <v>58.866893768310547</v>
      </c>
      <c r="X46" s="1">
        <v>59.255809783935547</v>
      </c>
      <c r="Y46" s="1">
        <v>499.93655395507813</v>
      </c>
      <c r="Z46" s="1">
        <v>1269.2091064453125</v>
      </c>
      <c r="AA46" s="1">
        <v>1122.6248779296875</v>
      </c>
      <c r="AB46" s="1">
        <v>100.86009979248047</v>
      </c>
      <c r="AC46" s="1">
        <v>-0.31068378686904907</v>
      </c>
      <c r="AD46" s="1">
        <v>2.0492737293243408</v>
      </c>
      <c r="AE46" s="1">
        <v>7.7812023460865021E-2</v>
      </c>
      <c r="AF46" s="1">
        <v>1.1210293509066105E-2</v>
      </c>
      <c r="AG46" s="1">
        <v>1.6216212883591652E-2</v>
      </c>
      <c r="AH46" s="1">
        <v>9.939802810549736E-3</v>
      </c>
      <c r="AI46" s="1">
        <v>0.66666668653488159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0.15999999642372131</v>
      </c>
      <c r="AO46" s="1">
        <v>111115</v>
      </c>
      <c r="AP46">
        <f>Y46*0.000001/(L46*0.0001)</f>
        <v>0.83322758992513002</v>
      </c>
      <c r="AQ46">
        <f>(V46-U46)/(1000-V46)*AP46</f>
        <v>2.3185599774827882E-4</v>
      </c>
      <c r="AR46">
        <f>(Q46+273.15)</f>
        <v>312.94209899902341</v>
      </c>
      <c r="AS46">
        <f>(P46+273.15)</f>
        <v>311.87386169433591</v>
      </c>
      <c r="AT46">
        <f>(Z46*AL46+AA46*AM46)*AN46</f>
        <v>203.07345249220452</v>
      </c>
      <c r="AU46">
        <f>((AT46+0.00000010773*(AS46^4-AR46^4))-AQ46*44100)/(M46*0.92*2*29.3+0.00000043092*AR46^3)</f>
        <v>1.9920883027378482</v>
      </c>
      <c r="AV46">
        <f>0.61365*EXP(17.502*K46/(240.97+K46))</f>
        <v>7.3317071235763587</v>
      </c>
      <c r="AW46">
        <f>AV46*1000/AB46</f>
        <v>72.691848795126489</v>
      </c>
      <c r="AX46">
        <f>(AW46-V46)</f>
        <v>32.019386331747583</v>
      </c>
      <c r="AY46">
        <f>IF(E46,Q46,(P46+Q46)/2)</f>
        <v>39.257980346679688</v>
      </c>
      <c r="AZ46">
        <f>0.61365*EXP(17.502*AY46/(240.97+AY46))</f>
        <v>7.1247686715500507</v>
      </c>
      <c r="BA46">
        <f>IF(AX46&lt;&gt;0,(1000-(AW46+V46)/2)/AX46*AQ46,0)</f>
        <v>6.8306711982008819E-3</v>
      </c>
      <c r="BB46">
        <f>V46*AB46/1000</f>
        <v>4.1022286228623122</v>
      </c>
      <c r="BC46">
        <f>(AZ46-BB46)</f>
        <v>3.0225400486877385</v>
      </c>
      <c r="BD46">
        <f>1/(1.6/G46+1.37/O46)</f>
        <v>4.2706460431259424E-3</v>
      </c>
      <c r="BE46">
        <f>H46*AB46*0.001</f>
        <v>27.972411956524674</v>
      </c>
      <c r="BF46">
        <f>H46/T46</f>
        <v>0.67776083809946552</v>
      </c>
      <c r="BG46">
        <f>(1-AQ46*AB46/AV46/G46)*100</f>
        <v>53.417431497757462</v>
      </c>
      <c r="BH46">
        <f>(T46-F46/(O46/1.35))</f>
        <v>408.96866623393373</v>
      </c>
      <c r="BI46">
        <f>F46*BG46/100/BH46</f>
        <v>6.3157249362791248E-4</v>
      </c>
    </row>
    <row r="47" spans="1:61" x14ac:dyDescent="0.25">
      <c r="A47" s="1">
        <v>18</v>
      </c>
      <c r="B47" s="1" t="s">
        <v>110</v>
      </c>
      <c r="C47" s="1" t="s">
        <v>135</v>
      </c>
      <c r="D47" s="1">
        <v>5309.5002651615068</v>
      </c>
      <c r="E47" s="1">
        <v>0</v>
      </c>
      <c r="F47">
        <f>(S47-T47*(1000-U47)/(1000-V47))*AP47</f>
        <v>0.55297777081967714</v>
      </c>
      <c r="G47">
        <f>IF(BA47&lt;&gt;0,1/(1/BA47-1/O47),0)</f>
        <v>5.1124748254849613E-3</v>
      </c>
      <c r="H47">
        <f>((BD47-AQ47/2)*T47-F47)/(BD47+AQ47/2)</f>
        <v>219.03047978165111</v>
      </c>
      <c r="I47">
        <f>AQ47*1000</f>
        <v>0.17405853414857245</v>
      </c>
      <c r="J47">
        <f>(AV47-BB47)</f>
        <v>3.2450493140340484</v>
      </c>
      <c r="K47">
        <f>(Q47+AU47*E47)</f>
        <v>39.812183380126953</v>
      </c>
      <c r="L47" s="1">
        <v>6</v>
      </c>
      <c r="M47">
        <f>(L47*AJ47+AK47)</f>
        <v>1.4200000166893005</v>
      </c>
      <c r="N47" s="1">
        <v>1</v>
      </c>
      <c r="O47">
        <f>M47*(N47+1)*(N47+1)/(N47*N47+1)</f>
        <v>2.8400000333786011</v>
      </c>
      <c r="P47" s="1">
        <v>38.738574981689453</v>
      </c>
      <c r="Q47" s="1">
        <v>39.812183380126953</v>
      </c>
      <c r="R47" s="1">
        <v>38.946739196777344</v>
      </c>
      <c r="S47" s="1">
        <v>410.25204467773438</v>
      </c>
      <c r="T47" s="1">
        <v>409.502685546875</v>
      </c>
      <c r="U47" s="1">
        <v>40.395854949951172</v>
      </c>
      <c r="V47" s="1">
        <v>40.5963134765625</v>
      </c>
      <c r="W47" s="1">
        <v>58.806037902832031</v>
      </c>
      <c r="X47" s="1">
        <v>59.097854614257813</v>
      </c>
      <c r="Y47" s="1">
        <v>499.83126831054688</v>
      </c>
      <c r="Z47" s="1">
        <v>1269.4859619140625</v>
      </c>
      <c r="AA47" s="1">
        <v>1122.961669921875</v>
      </c>
      <c r="AB47" s="1">
        <v>100.85989379882813</v>
      </c>
      <c r="AC47" s="1">
        <v>-0.31068378686904907</v>
      </c>
      <c r="AD47" s="1">
        <v>2.0492737293243408</v>
      </c>
      <c r="AE47" s="1">
        <v>7.7812023460865021E-2</v>
      </c>
      <c r="AF47" s="1">
        <v>1.1210293509066105E-2</v>
      </c>
      <c r="AG47" s="1">
        <v>1.6216212883591652E-2</v>
      </c>
      <c r="AH47" s="1">
        <v>9.939802810549736E-3</v>
      </c>
      <c r="AI47" s="1">
        <v>0.66666668653488159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0.15999999642372131</v>
      </c>
      <c r="AO47" s="1">
        <v>111115</v>
      </c>
      <c r="AP47">
        <f>Y47*0.000001/(L47*0.0001)</f>
        <v>0.83305211385091127</v>
      </c>
      <c r="AQ47">
        <f>(V47-U47)/(1000-V47)*AP47</f>
        <v>1.7405853414857245E-4</v>
      </c>
      <c r="AR47">
        <f>(Q47+273.15)</f>
        <v>312.96218338012693</v>
      </c>
      <c r="AS47">
        <f>(P47+273.15)</f>
        <v>311.88857498168943</v>
      </c>
      <c r="AT47">
        <f>(Z47*AL47+AA47*AM47)*AN47</f>
        <v>203.11774936621441</v>
      </c>
      <c r="AU47">
        <f>((AT47+0.00000010773*(AS47^4-AR47^4))-AQ47*44100)/(M47*0.92*2*29.3+0.00000043092*AR47^3)</f>
        <v>2.0201080845886916</v>
      </c>
      <c r="AV47">
        <f>0.61365*EXP(17.502*K47/(240.97+K47))</f>
        <v>7.3395891799040776</v>
      </c>
      <c r="AW47">
        <f>AV47*1000/AB47</f>
        <v>72.770145827670447</v>
      </c>
      <c r="AX47">
        <f>(AW47-V47)</f>
        <v>32.173832351107947</v>
      </c>
      <c r="AY47">
        <f>IF(E47,Q47,(P47+Q47)/2)</f>
        <v>39.275379180908203</v>
      </c>
      <c r="AZ47">
        <f>0.61365*EXP(17.502*AY47/(240.97+AY47))</f>
        <v>7.1314289828893207</v>
      </c>
      <c r="BA47">
        <f>IF(AX47&lt;&gt;0,(1000-(AW47+V47)/2)/AX47*AQ47,0)</f>
        <v>5.103288053866669E-3</v>
      </c>
      <c r="BB47">
        <f>V47*AB47/1000</f>
        <v>4.0945398658700292</v>
      </c>
      <c r="BC47">
        <f>(AZ47-BB47)</f>
        <v>3.0368891170192915</v>
      </c>
      <c r="BD47">
        <f>1/(1.6/G47+1.37/O47)</f>
        <v>3.1903791374113906E-3</v>
      </c>
      <c r="BE47">
        <f>H47*AB47*0.001</f>
        <v>22.091390929483705</v>
      </c>
      <c r="BF47">
        <f>H47/T47</f>
        <v>0.53486945876592817</v>
      </c>
      <c r="BG47">
        <f>(1-AQ47*AB47/AV47/G47)*100</f>
        <v>53.214541060282329</v>
      </c>
      <c r="BH47">
        <f>(T47-F47/(O47/1.35))</f>
        <v>409.23982639834236</v>
      </c>
      <c r="BI47">
        <f>F47*BG47/100/BH47</f>
        <v>7.1905167563198564E-4</v>
      </c>
    </row>
    <row r="48" spans="1:61" x14ac:dyDescent="0.25">
      <c r="A48" s="1" t="s">
        <v>12</v>
      </c>
      <c r="B48" s="1" t="s">
        <v>111</v>
      </c>
      <c r="C48" s="1"/>
    </row>
    <row r="49" spans="1:61" x14ac:dyDescent="0.25">
      <c r="A49" s="1">
        <v>19</v>
      </c>
      <c r="B49" s="1" t="s">
        <v>112</v>
      </c>
      <c r="C49" s="1" t="s">
        <v>136</v>
      </c>
      <c r="D49" s="1">
        <v>5698.5002600615844</v>
      </c>
      <c r="E49" s="1">
        <v>0</v>
      </c>
      <c r="F49">
        <f>(S49-T49*(1000-U49)/(1000-V49))*AP49</f>
        <v>-0.26205170709385683</v>
      </c>
      <c r="G49">
        <f>IF(BA49&lt;&gt;0,1/(1/BA49-1/O49),0)</f>
        <v>-3.5066849156757146E-2</v>
      </c>
      <c r="H49">
        <f>((BD49-AQ49/2)*T49-F49)/(BD49+AQ49/2)</f>
        <v>382.02129885114437</v>
      </c>
      <c r="I49">
        <f>AQ49*1000</f>
        <v>-0.94879445349619151</v>
      </c>
      <c r="J49">
        <f>(AV49-BB49)</f>
        <v>2.526502765667364</v>
      </c>
      <c r="K49">
        <f>(Q49+AU49*E49)</f>
        <v>40.397560119628906</v>
      </c>
      <c r="L49" s="1">
        <v>6</v>
      </c>
      <c r="M49">
        <f>(L49*AJ49+AK49)</f>
        <v>1.4200000166893005</v>
      </c>
      <c r="N49" s="1">
        <v>1</v>
      </c>
      <c r="O49">
        <f>M49*(N49+1)*(N49+1)/(N49*N49+1)</f>
        <v>2.8400000333786011</v>
      </c>
      <c r="P49" s="1">
        <v>39.060298919677734</v>
      </c>
      <c r="Q49" s="1">
        <v>40.397560119628906</v>
      </c>
      <c r="R49" s="1">
        <v>39.234718322753906</v>
      </c>
      <c r="S49" s="1">
        <v>410.04934692382813</v>
      </c>
      <c r="T49" s="1">
        <v>410.83172607421875</v>
      </c>
      <c r="U49" s="1">
        <v>51.114852905273438</v>
      </c>
      <c r="V49" s="1">
        <v>50.033039093017578</v>
      </c>
      <c r="W49" s="1">
        <v>73.128463745117188</v>
      </c>
      <c r="X49" s="1">
        <v>71.580741882324219</v>
      </c>
      <c r="Y49" s="1">
        <v>499.89566040039063</v>
      </c>
      <c r="Z49" s="1">
        <v>1269.283203125</v>
      </c>
      <c r="AA49" s="1">
        <v>1306.881103515625</v>
      </c>
      <c r="AB49" s="1">
        <v>100.85467529296875</v>
      </c>
      <c r="AC49" s="1">
        <v>-0.51813924312591553</v>
      </c>
      <c r="AD49" s="1">
        <v>2.1008687019348145</v>
      </c>
      <c r="AE49" s="1">
        <v>0.1056034043431282</v>
      </c>
      <c r="AF49" s="1">
        <v>2.8007736429572105E-2</v>
      </c>
      <c r="AG49" s="1">
        <v>2.1983865648508072E-2</v>
      </c>
      <c r="AH49" s="1">
        <v>1.4217820949852467E-2</v>
      </c>
      <c r="AI49" s="1">
        <v>0.66666668653488159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0.15999999642372131</v>
      </c>
      <c r="AO49" s="1">
        <v>111115</v>
      </c>
      <c r="AP49">
        <f>Y49*0.000001/(L49*0.0001)</f>
        <v>0.83315943400065096</v>
      </c>
      <c r="AQ49">
        <f>(V49-U49)/(1000-V49)*AP49</f>
        <v>-9.4879445349619154E-4</v>
      </c>
      <c r="AR49">
        <f>(Q49+273.15)</f>
        <v>313.54756011962888</v>
      </c>
      <c r="AS49">
        <f>(P49+273.15)</f>
        <v>312.21029891967771</v>
      </c>
      <c r="AT49">
        <f>(Z49*AL49+AA49*AM49)*AN49</f>
        <v>203.08530796068953</v>
      </c>
      <c r="AU49">
        <f>((AT49+0.00000010773*(AS49^4-AR49^4))-AQ49*44100)/(M49*0.92*2*29.3+0.00000043092*AR49^3)</f>
        <v>2.5298453152588198</v>
      </c>
      <c r="AV49">
        <f>0.61365*EXP(17.502*K49/(240.97+K49))</f>
        <v>7.5725686773140639</v>
      </c>
      <c r="AW49">
        <f>AV49*1000/AB49</f>
        <v>75.083962695004558</v>
      </c>
      <c r="AX49">
        <f>(AW49-V49)</f>
        <v>25.05092360198698</v>
      </c>
      <c r="AY49">
        <f>IF(E49,Q49,(P49+Q49)/2)</f>
        <v>39.72892951965332</v>
      </c>
      <c r="AZ49">
        <f>0.61365*EXP(17.502*AY49/(240.97+AY49))</f>
        <v>7.3069642594581747</v>
      </c>
      <c r="BA49">
        <f>IF(AX49&lt;&gt;0,(1000-(AW49+V49)/2)/AX49*AQ49,0)</f>
        <v>-3.5505249585223643E-2</v>
      </c>
      <c r="BB49">
        <f>V49*AB49/1000</f>
        <v>5.0460659116466999</v>
      </c>
      <c r="BC49">
        <f>(AZ49-BB49)</f>
        <v>2.2608983478114748</v>
      </c>
      <c r="BD49">
        <f>1/(1.6/G49+1.37/O49)</f>
        <v>-2.2150972576559708E-2</v>
      </c>
      <c r="BE49">
        <f>H49*AB49*0.001</f>
        <v>38.528634050630338</v>
      </c>
      <c r="BF49">
        <f>H49/T49</f>
        <v>0.9298729251063983</v>
      </c>
      <c r="BG49">
        <f>(1-AQ49*AB49/AV49/G49)*100</f>
        <v>63.96469462528043</v>
      </c>
      <c r="BH49">
        <f>(T49-F49/(O49/1.35))</f>
        <v>410.95629290535214</v>
      </c>
      <c r="BI49">
        <f>F49*BG49/100/BH49</f>
        <v>-4.078793221972263E-4</v>
      </c>
    </row>
    <row r="50" spans="1:61" x14ac:dyDescent="0.25">
      <c r="A50" s="1" t="s">
        <v>12</v>
      </c>
      <c r="B50" s="1" t="s">
        <v>113</v>
      </c>
      <c r="C50" s="1"/>
    </row>
    <row r="51" spans="1:61" x14ac:dyDescent="0.25">
      <c r="A51" s="1" t="s">
        <v>12</v>
      </c>
      <c r="B51" s="1" t="s">
        <v>114</v>
      </c>
      <c r="C51" s="1"/>
    </row>
    <row r="52" spans="1:61" x14ac:dyDescent="0.25">
      <c r="A52" s="1" t="s">
        <v>12</v>
      </c>
      <c r="B52" s="1" t="s">
        <v>115</v>
      </c>
      <c r="C52" s="1"/>
    </row>
    <row r="53" spans="1:61" x14ac:dyDescent="0.25">
      <c r="A53" s="1">
        <v>20</v>
      </c>
      <c r="B53" s="1" t="s">
        <v>116</v>
      </c>
      <c r="C53" s="1" t="s">
        <v>137</v>
      </c>
      <c r="D53" s="1">
        <v>6068.0002683661878</v>
      </c>
      <c r="E53" s="1">
        <v>0</v>
      </c>
      <c r="F53">
        <f>(S53-T53*(1000-U53)/(1000-V53))*AP53</f>
        <v>0.23982957733030233</v>
      </c>
      <c r="G53">
        <f>IF(BA53&lt;&gt;0,1/(1/BA53-1/O53),0)</f>
        <v>-8.0281472578044966E-2</v>
      </c>
      <c r="H53">
        <f>((BD53-AQ53/2)*T53-F53)/(BD53+AQ53/2)</f>
        <v>398.35100610348917</v>
      </c>
      <c r="I53">
        <f>AQ53*1000</f>
        <v>-2.1886595573982528</v>
      </c>
      <c r="J53">
        <f>(AV53-BB53)</f>
        <v>2.5066233714090771</v>
      </c>
      <c r="K53">
        <f>(Q53+AU53*E53)</f>
        <v>40.156085968017578</v>
      </c>
      <c r="L53" s="1">
        <v>6</v>
      </c>
      <c r="M53">
        <f>(L53*AJ53+AK53)</f>
        <v>1.4200000166893005</v>
      </c>
      <c r="N53" s="1">
        <v>1</v>
      </c>
      <c r="O53">
        <f>M53*(N53+1)*(N53+1)/(N53*N53+1)</f>
        <v>2.8400000333786011</v>
      </c>
      <c r="P53" s="1">
        <v>39.267684936523438</v>
      </c>
      <c r="Q53" s="1">
        <v>40.156085968017578</v>
      </c>
      <c r="R53" s="1">
        <v>39.509246826171875</v>
      </c>
      <c r="S53" s="1">
        <v>410.11795043945313</v>
      </c>
      <c r="T53" s="1">
        <v>410.90957641601563</v>
      </c>
      <c r="U53" s="1">
        <v>51.773628234863281</v>
      </c>
      <c r="V53" s="1">
        <v>49.275985717773438</v>
      </c>
      <c r="W53" s="1">
        <v>73.240554809570313</v>
      </c>
      <c r="X53" s="1">
        <v>69.707313537597656</v>
      </c>
      <c r="Y53" s="1">
        <v>499.86605834960938</v>
      </c>
      <c r="Z53" s="1">
        <v>1178.5174560546875</v>
      </c>
      <c r="AA53" s="1">
        <v>1213.71240234375</v>
      </c>
      <c r="AB53" s="1">
        <v>100.84169006347656</v>
      </c>
      <c r="AC53" s="1">
        <v>-0.11338460445404053</v>
      </c>
      <c r="AD53" s="1">
        <v>2.3129324913024902</v>
      </c>
      <c r="AE53" s="1">
        <v>0.19222483038902283</v>
      </c>
      <c r="AF53" s="1">
        <v>4.3100282549858093E-2</v>
      </c>
      <c r="AG53" s="1">
        <v>2.9300479218363762E-2</v>
      </c>
      <c r="AH53" s="1">
        <v>3.2161541283130646E-2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0.15999999642372131</v>
      </c>
      <c r="AO53" s="1">
        <v>111115</v>
      </c>
      <c r="AP53">
        <f>Y53*0.000001/(L53*0.0001)</f>
        <v>0.83311009724934892</v>
      </c>
      <c r="AQ53">
        <f>(V53-U53)/(1000-V53)*AP53</f>
        <v>-2.1886595573982529E-3</v>
      </c>
      <c r="AR53">
        <f>(Q53+273.15)</f>
        <v>313.30608596801756</v>
      </c>
      <c r="AS53">
        <f>(P53+273.15)</f>
        <v>312.41768493652341</v>
      </c>
      <c r="AT53">
        <f>(Z53*AL53+AA53*AM53)*AN53</f>
        <v>188.56278875404314</v>
      </c>
      <c r="AU53">
        <f>((AT53+0.00000010773*(AS53^4-AR53^4))-AQ53*44100)/(M53*0.92*2*29.3+0.00000043092*AR53^3)</f>
        <v>3.0438255082747148</v>
      </c>
      <c r="AV53">
        <f>0.61365*EXP(17.502*K53/(240.97+K53))</f>
        <v>7.4756970507330838</v>
      </c>
      <c r="AW53">
        <f>AV53*1000/AB53</f>
        <v>74.133000409130148</v>
      </c>
      <c r="AX53">
        <f>(AW53-V53)</f>
        <v>24.85701469135671</v>
      </c>
      <c r="AY53">
        <f>IF(E53,Q53,(P53+Q53)/2)</f>
        <v>39.711885452270508</v>
      </c>
      <c r="AZ53">
        <f>0.61365*EXP(17.502*AY53/(240.97+AY53))</f>
        <v>7.3003006791119773</v>
      </c>
      <c r="BA53">
        <f>IF(AX53&lt;&gt;0,(1000-(AW53+V53)/2)/AX53*AQ53,0)</f>
        <v>-8.261689725896959E-2</v>
      </c>
      <c r="BB53">
        <f>V53*AB53/1000</f>
        <v>4.9690736793240067</v>
      </c>
      <c r="BC53">
        <f>(AZ53-BB53)</f>
        <v>2.3312269997879707</v>
      </c>
      <c r="BD53">
        <f>1/(1.6/G53+1.37/O53)</f>
        <v>-5.1420532813681641E-2</v>
      </c>
      <c r="BE53">
        <f>H53*AB53*0.001</f>
        <v>40.170388693962117</v>
      </c>
      <c r="BF53">
        <f>H53/T53</f>
        <v>0.96943714375784751</v>
      </c>
      <c r="BG53">
        <f>(1-AQ53*AB53/AV53/G53)*100</f>
        <v>63.225116537187674</v>
      </c>
      <c r="BH53">
        <f>(T53-F53/(O53/1.35))</f>
        <v>410.79557292108933</v>
      </c>
      <c r="BI53">
        <f>F53*BG53/100/BH53</f>
        <v>3.6911919152267917E-4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ch-metab-8-16_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Chaney Michael</dc:creator>
  <cp:lastModifiedBy>Hart, Chaney Michael</cp:lastModifiedBy>
  <dcterms:created xsi:type="dcterms:W3CDTF">2023-08-18T22:32:05Z</dcterms:created>
  <dcterms:modified xsi:type="dcterms:W3CDTF">2023-08-18T22:32:05Z</dcterms:modified>
</cp:coreProperties>
</file>