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8_{BA22102B-1497-4D5D-A90D-8975628EB3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20" i="1" l="1"/>
  <c r="CE20" i="1"/>
  <c r="CC20" i="1"/>
  <c r="CD20" i="1" s="1"/>
  <c r="BM20" i="1" s="1"/>
  <c r="BZ20" i="1"/>
  <c r="BY20" i="1"/>
  <c r="BQ20" i="1"/>
  <c r="BK20" i="1"/>
  <c r="BO20" i="1" s="1"/>
  <c r="BE20" i="1"/>
  <c r="BR20" i="1" s="1"/>
  <c r="BU20" i="1" s="1"/>
  <c r="AZ20" i="1"/>
  <c r="AX20" i="1"/>
  <c r="AK20" i="1" s="1"/>
  <c r="N20" i="1" s="1"/>
  <c r="M20" i="1" s="1"/>
  <c r="AQ20" i="1"/>
  <c r="AL20" i="1"/>
  <c r="AD20" i="1"/>
  <c r="AB20" i="1" s="1"/>
  <c r="AC20" i="1"/>
  <c r="U20" i="1"/>
  <c r="S20" i="1"/>
  <c r="P20" i="1"/>
  <c r="CF19" i="1"/>
  <c r="CE19" i="1"/>
  <c r="CC19" i="1"/>
  <c r="CD19" i="1" s="1"/>
  <c r="BM19" i="1" s="1"/>
  <c r="BO19" i="1" s="1"/>
  <c r="BZ19" i="1"/>
  <c r="BY19" i="1"/>
  <c r="BR19" i="1"/>
  <c r="BU19" i="1" s="1"/>
  <c r="BQ19" i="1"/>
  <c r="BK19" i="1"/>
  <c r="BE19" i="1"/>
  <c r="AZ19" i="1"/>
  <c r="AX19" i="1"/>
  <c r="AK19" i="1" s="1"/>
  <c r="N19" i="1" s="1"/>
  <c r="M19" i="1" s="1"/>
  <c r="AQ19" i="1"/>
  <c r="AL19" i="1"/>
  <c r="AD19" i="1"/>
  <c r="AC19" i="1"/>
  <c r="AB19" i="1" s="1"/>
  <c r="X19" i="1"/>
  <c r="U19" i="1"/>
  <c r="P19" i="1"/>
  <c r="CF18" i="1"/>
  <c r="CE18" i="1"/>
  <c r="CD18" i="1"/>
  <c r="BM18" i="1" s="1"/>
  <c r="BO18" i="1" s="1"/>
  <c r="CC18" i="1"/>
  <c r="BZ18" i="1"/>
  <c r="BY18" i="1"/>
  <c r="BR18" i="1"/>
  <c r="BU18" i="1" s="1"/>
  <c r="BQ18" i="1"/>
  <c r="BK18" i="1"/>
  <c r="BE18" i="1"/>
  <c r="AZ18" i="1"/>
  <c r="AX18" i="1" s="1"/>
  <c r="AQ18" i="1"/>
  <c r="AL18" i="1"/>
  <c r="AD18" i="1"/>
  <c r="AC18" i="1"/>
  <c r="AB18" i="1"/>
  <c r="X18" i="1"/>
  <c r="U18" i="1"/>
  <c r="CF17" i="1"/>
  <c r="CE17" i="1"/>
  <c r="CC17" i="1"/>
  <c r="X17" i="1" s="1"/>
  <c r="BZ17" i="1"/>
  <c r="BY17" i="1"/>
  <c r="BQ17" i="1"/>
  <c r="BK17" i="1"/>
  <c r="BE17" i="1"/>
  <c r="BR17" i="1" s="1"/>
  <c r="BU17" i="1" s="1"/>
  <c r="AZ17" i="1"/>
  <c r="AX17" i="1" s="1"/>
  <c r="AQ17" i="1"/>
  <c r="AL17" i="1"/>
  <c r="AD17" i="1"/>
  <c r="AC17" i="1"/>
  <c r="AB17" i="1"/>
  <c r="U17" i="1"/>
  <c r="BW20" i="1" l="1"/>
  <c r="CA20" i="1" s="1"/>
  <c r="CB20" i="1" s="1"/>
  <c r="BV20" i="1"/>
  <c r="BX20" i="1"/>
  <c r="P18" i="1"/>
  <c r="AY18" i="1"/>
  <c r="AJ18" i="1"/>
  <c r="O18" i="1" s="1"/>
  <c r="BN18" i="1" s="1"/>
  <c r="BP18" i="1" s="1"/>
  <c r="AK18" i="1"/>
  <c r="N18" i="1" s="1"/>
  <c r="M18" i="1" s="1"/>
  <c r="S18" i="1"/>
  <c r="AF19" i="1"/>
  <c r="BX19" i="1"/>
  <c r="BW19" i="1"/>
  <c r="CA19" i="1" s="1"/>
  <c r="CB19" i="1" s="1"/>
  <c r="BV19" i="1"/>
  <c r="BO17" i="1"/>
  <c r="S17" i="1"/>
  <c r="AY17" i="1"/>
  <c r="AJ17" i="1"/>
  <c r="O17" i="1" s="1"/>
  <c r="BN17" i="1" s="1"/>
  <c r="P17" i="1"/>
  <c r="AK17" i="1"/>
  <c r="N17" i="1" s="1"/>
  <c r="M17" i="1" s="1"/>
  <c r="BX18" i="1"/>
  <c r="BV18" i="1"/>
  <c r="BW18" i="1"/>
  <c r="CA18" i="1" s="1"/>
  <c r="CB18" i="1" s="1"/>
  <c r="AF20" i="1"/>
  <c r="BV17" i="1"/>
  <c r="BX17" i="1"/>
  <c r="BW17" i="1"/>
  <c r="CA17" i="1" s="1"/>
  <c r="CB17" i="1" s="1"/>
  <c r="CD17" i="1"/>
  <c r="BM17" i="1" s="1"/>
  <c r="Y19" i="1"/>
  <c r="Z19" i="1" s="1"/>
  <c r="AG19" i="1" s="1"/>
  <c r="AY19" i="1"/>
  <c r="S19" i="1"/>
  <c r="AY20" i="1"/>
  <c r="X20" i="1"/>
  <c r="AJ19" i="1"/>
  <c r="O19" i="1" s="1"/>
  <c r="BN19" i="1" s="1"/>
  <c r="BP19" i="1" s="1"/>
  <c r="AJ20" i="1"/>
  <c r="O20" i="1" s="1"/>
  <c r="BN20" i="1" s="1"/>
  <c r="BP20" i="1" s="1"/>
  <c r="AH19" i="1" l="1"/>
  <c r="AI19" i="1" s="1"/>
  <c r="AA19" i="1"/>
  <c r="AE19" i="1" s="1"/>
  <c r="Y20" i="1"/>
  <c r="Z20" i="1" s="1"/>
  <c r="AF17" i="1"/>
  <c r="BP17" i="1"/>
  <c r="AF18" i="1"/>
  <c r="Y18" i="1"/>
  <c r="Z18" i="1" s="1"/>
  <c r="Y17" i="1"/>
  <c r="Z17" i="1" s="1"/>
  <c r="V17" i="1" s="1"/>
  <c r="T17" i="1" s="1"/>
  <c r="W17" i="1" s="1"/>
  <c r="Q17" i="1" s="1"/>
  <c r="R17" i="1" s="1"/>
  <c r="V19" i="1"/>
  <c r="T19" i="1" s="1"/>
  <c r="W19" i="1" s="1"/>
  <c r="Q19" i="1" s="1"/>
  <c r="R19" i="1" s="1"/>
  <c r="AA20" i="1" l="1"/>
  <c r="AE20" i="1" s="1"/>
  <c r="AH20" i="1"/>
  <c r="V20" i="1"/>
  <c r="T20" i="1" s="1"/>
  <c r="W20" i="1" s="1"/>
  <c r="Q20" i="1" s="1"/>
  <c r="R20" i="1" s="1"/>
  <c r="AG20" i="1"/>
  <c r="AG18" i="1"/>
  <c r="AH18" i="1"/>
  <c r="AI18" i="1" s="1"/>
  <c r="AA18" i="1"/>
  <c r="AE18" i="1" s="1"/>
  <c r="AH17" i="1"/>
  <c r="AI17" i="1" s="1"/>
  <c r="AG17" i="1"/>
  <c r="AA17" i="1"/>
  <c r="AE17" i="1" s="1"/>
  <c r="V18" i="1"/>
  <c r="T18" i="1" s="1"/>
  <c r="W18" i="1" s="1"/>
  <c r="Q18" i="1" s="1"/>
  <c r="R18" i="1" s="1"/>
  <c r="AI20" i="1" l="1"/>
</calcChain>
</file>

<file path=xl/sharedStrings.xml><?xml version="1.0" encoding="utf-8"?>
<sst xmlns="http://schemas.openxmlformats.org/spreadsheetml/2006/main" count="630" uniqueCount="328">
  <si>
    <t>File opened</t>
  </si>
  <si>
    <t>2023-08-29 11:14:51</t>
  </si>
  <si>
    <t>Console s/n</t>
  </si>
  <si>
    <t>68C-022458</t>
  </si>
  <si>
    <t>Console ver</t>
  </si>
  <si>
    <t>Bluestem v.2.1.08</t>
  </si>
  <si>
    <t>Scripts ver</t>
  </si>
  <si>
    <t>2022.05  2.1.08, Aug 2022</t>
  </si>
  <si>
    <t>Head s/n</t>
  </si>
  <si>
    <t>68H-422448</t>
  </si>
  <si>
    <t>Head ver</t>
  </si>
  <si>
    <t>1.4.22</t>
  </si>
  <si>
    <t>Head cal</t>
  </si>
  <si>
    <t>{"oxygen": "21", "co2azero": "0.969042", "co2aspan1": "0.997776", "co2aspan2": "-0.0122067", "co2aspan2a": "0.309777", "co2aspan2b": "0.307917", "co2aspanconc1": "2499", "co2aspanconc2": "292", "co2bzero": "0.949436", "co2bspan1": "0.998745", "co2bspan2": "-0.0117233", "co2bspan2a": "0.309871", "co2bspan2b": "0.308357", "co2bspanconc1": "2499", "co2bspanconc2": "292", "h2oazero": "1.12554", "h2oaspan1": "1.0119", "h2oaspan2": "0", "h2oaspan2a": "0.070478", "h2oaspan2b": "0.0713164", "h2oaspanconc1": "12.04", "h2oaspanconc2": "0", "h2obzero": "1.13076", "h2obspan1": "1.01489", "h2obspan2": "0", "h2obspan2a": "0.0706723", "h2obspan2b": "0.0717244", "h2obspanconc1": "12.04", "h2obspanconc2": "0", "tazero": "0.0224037", "tbzero": "0.441185", "flowmeterzero": "2.51205", "flowazero": "0.331", "flowbzero": "0.289", "chamberpressurezero": "2.56904", "ssa_ref": "37596.3", "ssb_ref": "37460.5"}</t>
  </si>
  <si>
    <t>CO2 rangematch</t>
  </si>
  <si>
    <t>Tue Aug 29 09:42</t>
  </si>
  <si>
    <t>H2O rangematch</t>
  </si>
  <si>
    <t>Tue Aug 29 09:46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</si>
  <si>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</si>
  <si>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</si>
  <si>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</si>
  <si>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</si>
  <si>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</si>
  <si>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</si>
  <si>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</si>
  <si>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</si>
  <si>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</si>
  <si>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11:14:51</t>
  </si>
  <si>
    <t>Stability Definition:	ΔCO2 (Meas2): Slp&lt;1 Std&lt;0.1 Per=20	ΔH2O (Meas2): Slp&lt;1 Std&lt;0.1 Per=20	A (GasEx): Slp&lt;1 Std&lt;0.1 Per=20	gsw (GasEx): Slp&lt;1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</si>
  <si>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</si>
  <si>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</si>
  <si>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</si>
  <si>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</si>
  <si>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</si>
  <si>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</si>
  <si>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</si>
  <si>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</si>
  <si>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</si>
  <si>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</si>
  <si>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</si>
  <si>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</si>
  <si>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</si>
  <si>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</si>
  <si>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</si>
  <si>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</si>
  <si>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</si>
  <si>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</si>
  <si>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</si>
  <si>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</si>
  <si>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</si>
  <si>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</si>
  <si>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</si>
  <si>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</si>
  <si>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</si>
  <si>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</si>
  <si>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</si>
  <si>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</si>
  <si>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</si>
  <si>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</si>
  <si>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</si>
  <si>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</si>
  <si>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</si>
  <si>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</si>
  <si>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</si>
  <si>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</si>
  <si>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</si>
  <si>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</si>
  <si>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</si>
  <si>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</si>
  <si>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</si>
  <si>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</si>
  <si>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</si>
  <si>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</si>
  <si>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</si>
  <si>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</si>
  <si>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</si>
  <si>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</si>
  <si>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</si>
  <si>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</si>
  <si>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</si>
  <si>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2.6092 194.707 363.628 592.539 858.419 1028.01 1234.17 1356.82</t>
  </si>
  <si>
    <t>Fs_true</t>
  </si>
  <si>
    <t>-0.548831 218.034 387.776 593.205 805.241 1001.56 1201.19 1400.81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</si>
  <si>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</si>
  <si>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</si>
  <si>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</si>
  <si>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</si>
  <si>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</si>
  <si>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</si>
  <si>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</si>
  <si>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</si>
  <si>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</si>
  <si>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</si>
  <si>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</si>
  <si>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</si>
  <si>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</si>
  <si>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</si>
  <si>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</si>
  <si>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</si>
  <si>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</si>
  <si>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</si>
  <si>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</si>
  <si>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</si>
  <si>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</si>
  <si>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</si>
  <si>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Group name</t>
  </si>
  <si>
    <t>Control v transgenic</t>
  </si>
  <si>
    <t>Genotype</t>
  </si>
  <si>
    <t>Leaf number</t>
  </si>
  <si>
    <t>Plant age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</si>
  <si>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</si>
  <si>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</si>
  <si>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</si>
  <si>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</si>
  <si>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</si>
  <si>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</si>
  <si>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</si>
  <si>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</si>
  <si>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</si>
  <si>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</si>
  <si>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</si>
  <si>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</si>
  <si>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</si>
  <si>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</si>
  <si>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</si>
  <si>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</si>
  <si>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</si>
  <si>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</si>
  <si>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</si>
  <si>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</si>
  <si>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</si>
  <si>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</si>
  <si>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</si>
  <si>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</si>
  <si>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</si>
  <si>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</si>
  <si>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</si>
  <si>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</si>
  <si>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</si>
  <si>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</si>
  <si>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</si>
  <si>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</si>
  <si>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</si>
  <si>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</si>
  <si>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</si>
  <si>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</si>
  <si>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</si>
  <si>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</si>
  <si>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</si>
  <si>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</si>
  <si>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</si>
  <si>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</si>
  <si>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</si>
  <si>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</si>
  <si>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</si>
  <si>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</si>
  <si>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</si>
  <si>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</si>
  <si>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</si>
  <si>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</si>
  <si>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</si>
  <si>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</si>
  <si>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</si>
  <si>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</si>
  <si>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</si>
  <si>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</si>
  <si>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</si>
  <si>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</si>
  <si>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</si>
  <si>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</si>
  <si>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</si>
  <si>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</si>
  <si>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</si>
  <si>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</si>
  <si>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</si>
  <si>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</si>
  <si>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</si>
  <si>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</si>
  <si>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</si>
  <si>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</si>
  <si>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</si>
  <si>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</si>
  <si>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</si>
  <si>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</si>
  <si>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</si>
  <si>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</si>
  <si>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</si>
  <si>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</si>
  <si>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</si>
  <si>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</si>
  <si>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</si>
  <si>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</si>
  <si>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</si>
  <si>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</si>
  <si>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</si>
  <si>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</si>
  <si>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</si>
  <si>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</si>
  <si>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</si>
  <si>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</si>
  <si>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</si>
  <si>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</si>
  <si>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</si>
  <si>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</si>
  <si>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</si>
  <si>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</si>
  <si>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</si>
  <si>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</si>
  <si>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</si>
  <si>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</si>
  <si>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</si>
  <si>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</si>
  <si>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</si>
  <si>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</si>
  <si>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</si>
  <si>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</si>
  <si>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</si>
  <si>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</si>
  <si>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</si>
  <si>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</si>
  <si>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</si>
  <si>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</si>
  <si>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</si>
  <si>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</si>
  <si>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</si>
  <si>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</si>
  <si>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</si>
  <si>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</si>
  <si>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</si>
  <si>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</si>
  <si>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</si>
  <si>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</si>
  <si>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</si>
  <si>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</si>
  <si>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</si>
  <si>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</si>
  <si>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</si>
  <si>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</si>
  <si>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</si>
  <si>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</si>
  <si>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</si>
  <si>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</si>
  <si>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</si>
  <si>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</si>
  <si>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</si>
  <si>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</si>
  <si>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</si>
  <si>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</si>
  <si>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</si>
  <si>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</si>
  <si>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</si>
  <si>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</si>
  <si>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</si>
  <si>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</si>
  <si>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</si>
  <si>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</si>
  <si>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</si>
  <si>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</si>
  <si>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</si>
  <si>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</si>
  <si>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</si>
  <si>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</si>
  <si>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</si>
  <si>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</si>
  <si>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</si>
  <si>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</si>
  <si>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</si>
  <si>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</si>
  <si>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</si>
  <si>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</si>
  <si>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</si>
  <si>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</si>
  <si>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</si>
  <si>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</si>
  <si>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</si>
  <si>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</si>
  <si>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</si>
  <si>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</si>
  <si>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</si>
  <si>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</si>
  <si>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</si>
  <si>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weeks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</si>
  <si>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</si>
  <si>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</si>
  <si>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</si>
  <si>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</si>
  <si>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</si>
  <si>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</si>
  <si>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</si>
  <si>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</si>
  <si>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</si>
  <si>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</si>
  <si>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</si>
  <si>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</si>
  <si>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</si>
  <si>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</si>
  <si>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</si>
  <si>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</si>
  <si>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</si>
  <si>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</si>
  <si>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</si>
  <si>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</si>
  <si>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</si>
  <si>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</si>
  <si>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</si>
  <si>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20230829 11:17:34</t>
  </si>
  <si>
    <t>11:17:34</t>
  </si>
  <si>
    <t>Control</t>
  </si>
  <si>
    <t>RECT-1115-20230829-11_17_37</t>
  </si>
  <si>
    <t>-</t>
  </si>
  <si>
    <t>0: Broadleaf</t>
  </si>
  <si>
    <t>11:17:59</t>
  </si>
  <si>
    <t>20230829 11:20:16</t>
  </si>
  <si>
    <t>11:20:16</t>
  </si>
  <si>
    <t>RECT-1116-20230829-11_20_18</t>
  </si>
  <si>
    <t>11:20:38</t>
  </si>
  <si>
    <t>20230829 11:24:14</t>
  </si>
  <si>
    <t>11:24:14</t>
  </si>
  <si>
    <t>RECT-1117-20230829-11_24_16</t>
  </si>
  <si>
    <t>11:24:37</t>
  </si>
  <si>
    <t>20230829 11:26:46</t>
  </si>
  <si>
    <t>11:26:46</t>
  </si>
  <si>
    <t>RECT-1118-20230829-11_26_48</t>
  </si>
  <si>
    <t>11:27:16</t>
  </si>
  <si>
    <t>LCOR-412</t>
  </si>
  <si>
    <t>LCOR-232</t>
  </si>
  <si>
    <t>LCOR-503</t>
  </si>
  <si>
    <t>LCOR-322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</si>
</sst>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C20"/>
  <sheetViews>
    <sheetView tabSelected="1" workbookViewId="0">
      <selection activeCell="I20" sqref="I20"/>
    </sheetView>
  </sheetViews>
  <sheetFormatPr defaultRowHeight="14.4" x14ac:dyDescent="0.3"/>
  <sheetData>
    <row r="2" spans="1:185" x14ac:dyDescent="0.3">
      <c r="A2" t="s">
        <v>29</v>
      </c>
      <c r="B2" t="s">
        <v>30</v>
      </c>
      <c r="C2" t="s">
        <v>31</v>
      </c>
    </row>
    <row r="3" spans="1:185" x14ac:dyDescent="0.3">
      <c r="B3">
        <v>4</v>
      </c>
      <c r="C3">
        <v>21</v>
      </c>
    </row>
    <row r="4" spans="1:185" x14ac:dyDescent="0.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185" x14ac:dyDescent="0.3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5" x14ac:dyDescent="0.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185" x14ac:dyDescent="0.3">
      <c r="B7">
        <v>0</v>
      </c>
      <c r="C7">
        <v>1</v>
      </c>
      <c r="D7">
        <v>0</v>
      </c>
      <c r="E7">
        <v>0</v>
      </c>
    </row>
    <row r="8" spans="1:185" x14ac:dyDescent="0.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185" x14ac:dyDescent="0.3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85" x14ac:dyDescent="0.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185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85" x14ac:dyDescent="0.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185" x14ac:dyDescent="0.3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185" x14ac:dyDescent="0.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</row>
    <row r="15" spans="1:185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132</v>
      </c>
      <c r="AI15" t="s">
        <v>133</v>
      </c>
      <c r="AJ15" t="s">
        <v>134</v>
      </c>
      <c r="AK15" t="s">
        <v>135</v>
      </c>
      <c r="AL15" t="s">
        <v>136</v>
      </c>
      <c r="AM15" t="s">
        <v>137</v>
      </c>
      <c r="AN15" t="s">
        <v>138</v>
      </c>
      <c r="AO15" t="s">
        <v>139</v>
      </c>
      <c r="AP15" t="s">
        <v>140</v>
      </c>
      <c r="AQ15" t="s">
        <v>141</v>
      </c>
      <c r="AR15" t="s">
        <v>142</v>
      </c>
      <c r="AS15" t="s">
        <v>143</v>
      </c>
      <c r="AT15" t="s">
        <v>144</v>
      </c>
      <c r="AU15" t="s">
        <v>145</v>
      </c>
      <c r="AV15" t="s">
        <v>88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172</v>
      </c>
      <c r="BX15" t="s">
        <v>173</v>
      </c>
      <c r="BY15" t="s">
        <v>174</v>
      </c>
      <c r="BZ15" t="s">
        <v>175</v>
      </c>
      <c r="CA15" t="s">
        <v>176</v>
      </c>
      <c r="CB15" t="s">
        <v>177</v>
      </c>
      <c r="CC15" t="s">
        <v>178</v>
      </c>
      <c r="CD15" t="s">
        <v>179</v>
      </c>
      <c r="CE15" t="s">
        <v>180</v>
      </c>
      <c r="CF15" t="s">
        <v>181</v>
      </c>
      <c r="CG15" t="s">
        <v>182</v>
      </c>
      <c r="CH15" t="s">
        <v>183</v>
      </c>
      <c r="CI15" t="s">
        <v>184</v>
      </c>
      <c r="CJ15" t="s">
        <v>185</v>
      </c>
      <c r="CK15" t="s">
        <v>186</v>
      </c>
      <c r="CL15" t="s">
        <v>110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100</v>
      </c>
      <c r="EB15" t="s">
        <v>103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</row>
    <row r="16" spans="1:185" x14ac:dyDescent="0.3">
      <c r="B16" t="s">
        <v>280</v>
      </c>
      <c r="C16" t="s">
        <v>280</v>
      </c>
      <c r="F16" t="s">
        <v>280</v>
      </c>
      <c r="K16" t="s">
        <v>281</v>
      </c>
      <c r="L16" t="s">
        <v>280</v>
      </c>
      <c r="M16" t="s">
        <v>282</v>
      </c>
      <c r="N16" t="s">
        <v>283</v>
      </c>
      <c r="O16" t="s">
        <v>284</v>
      </c>
      <c r="P16" t="s">
        <v>285</v>
      </c>
      <c r="Q16" t="s">
        <v>285</v>
      </c>
      <c r="R16" t="s">
        <v>194</v>
      </c>
      <c r="S16" t="s">
        <v>194</v>
      </c>
      <c r="T16" t="s">
        <v>282</v>
      </c>
      <c r="U16" t="s">
        <v>282</v>
      </c>
      <c r="V16" t="s">
        <v>282</v>
      </c>
      <c r="W16" t="s">
        <v>282</v>
      </c>
      <c r="X16" t="s">
        <v>286</v>
      </c>
      <c r="Y16" t="s">
        <v>287</v>
      </c>
      <c r="Z16" t="s">
        <v>287</v>
      </c>
      <c r="AA16" t="s">
        <v>288</v>
      </c>
      <c r="AB16" t="s">
        <v>289</v>
      </c>
      <c r="AC16" t="s">
        <v>288</v>
      </c>
      <c r="AD16" t="s">
        <v>288</v>
      </c>
      <c r="AE16" t="s">
        <v>288</v>
      </c>
      <c r="AF16" t="s">
        <v>286</v>
      </c>
      <c r="AG16" t="s">
        <v>286</v>
      </c>
      <c r="AH16" t="s">
        <v>286</v>
      </c>
      <c r="AI16" t="s">
        <v>286</v>
      </c>
      <c r="AJ16" t="s">
        <v>284</v>
      </c>
      <c r="AK16" t="s">
        <v>283</v>
      </c>
      <c r="AL16" t="s">
        <v>284</v>
      </c>
      <c r="AM16" t="s">
        <v>285</v>
      </c>
      <c r="AN16" t="s">
        <v>285</v>
      </c>
      <c r="AO16" t="s">
        <v>290</v>
      </c>
      <c r="AP16" t="s">
        <v>291</v>
      </c>
      <c r="AQ16" t="s">
        <v>283</v>
      </c>
      <c r="AR16" t="s">
        <v>292</v>
      </c>
      <c r="AS16" t="s">
        <v>292</v>
      </c>
      <c r="AT16" t="s">
        <v>293</v>
      </c>
      <c r="AU16" t="s">
        <v>291</v>
      </c>
      <c r="AV16" t="s">
        <v>294</v>
      </c>
      <c r="AW16" t="s">
        <v>289</v>
      </c>
      <c r="AY16" t="s">
        <v>289</v>
      </c>
      <c r="AZ16" t="s">
        <v>294</v>
      </c>
      <c r="BF16" t="s">
        <v>284</v>
      </c>
      <c r="BM16" t="s">
        <v>284</v>
      </c>
      <c r="BN16" t="s">
        <v>284</v>
      </c>
      <c r="BO16" t="s">
        <v>284</v>
      </c>
      <c r="BP16" t="s">
        <v>295</v>
      </c>
      <c r="CC16" t="s">
        <v>284</v>
      </c>
      <c r="CD16" t="s">
        <v>284</v>
      </c>
      <c r="CF16" t="s">
        <v>296</v>
      </c>
      <c r="CG16" t="s">
        <v>297</v>
      </c>
      <c r="CJ16" t="s">
        <v>282</v>
      </c>
      <c r="CL16" t="s">
        <v>280</v>
      </c>
      <c r="CM16" t="s">
        <v>285</v>
      </c>
      <c r="CN16" t="s">
        <v>285</v>
      </c>
      <c r="CO16" t="s">
        <v>292</v>
      </c>
      <c r="CP16" t="s">
        <v>292</v>
      </c>
      <c r="CQ16" t="s">
        <v>285</v>
      </c>
      <c r="CR16" t="s">
        <v>292</v>
      </c>
      <c r="CS16" t="s">
        <v>294</v>
      </c>
      <c r="CT16" t="s">
        <v>288</v>
      </c>
      <c r="CU16" t="s">
        <v>288</v>
      </c>
      <c r="CV16" t="s">
        <v>287</v>
      </c>
      <c r="CW16" t="s">
        <v>287</v>
      </c>
      <c r="CX16" t="s">
        <v>287</v>
      </c>
      <c r="CY16" t="s">
        <v>287</v>
      </c>
      <c r="CZ16" t="s">
        <v>287</v>
      </c>
      <c r="DA16" t="s">
        <v>298</v>
      </c>
      <c r="DB16" t="s">
        <v>284</v>
      </c>
      <c r="DC16" t="s">
        <v>284</v>
      </c>
      <c r="DD16" t="s">
        <v>284</v>
      </c>
      <c r="DI16" t="s">
        <v>284</v>
      </c>
      <c r="DL16" t="s">
        <v>287</v>
      </c>
      <c r="DM16" t="s">
        <v>287</v>
      </c>
      <c r="DN16" t="s">
        <v>287</v>
      </c>
      <c r="DO16" t="s">
        <v>287</v>
      </c>
      <c r="DP16" t="s">
        <v>287</v>
      </c>
      <c r="DQ16" t="s">
        <v>284</v>
      </c>
      <c r="DR16" t="s">
        <v>284</v>
      </c>
      <c r="DS16" t="s">
        <v>284</v>
      </c>
      <c r="DT16" t="s">
        <v>280</v>
      </c>
      <c r="DW16" t="s">
        <v>299</v>
      </c>
      <c r="DX16" t="s">
        <v>299</v>
      </c>
      <c r="DZ16" t="s">
        <v>280</v>
      </c>
      <c r="EA16" t="s">
        <v>300</v>
      </c>
      <c r="EC16" t="s">
        <v>280</v>
      </c>
      <c r="ED16" t="s">
        <v>280</v>
      </c>
      <c r="EF16" t="s">
        <v>301</v>
      </c>
      <c r="EG16" t="s">
        <v>302</v>
      </c>
      <c r="EH16" t="s">
        <v>301</v>
      </c>
      <c r="EI16" t="s">
        <v>302</v>
      </c>
      <c r="EJ16" t="s">
        <v>301</v>
      </c>
      <c r="EK16" t="s">
        <v>302</v>
      </c>
      <c r="EL16" t="s">
        <v>289</v>
      </c>
      <c r="EM16" t="s">
        <v>289</v>
      </c>
      <c r="EN16" t="s">
        <v>289</v>
      </c>
      <c r="EO16" t="s">
        <v>289</v>
      </c>
      <c r="EP16" t="s">
        <v>301</v>
      </c>
      <c r="EQ16" t="s">
        <v>302</v>
      </c>
      <c r="ER16" t="s">
        <v>302</v>
      </c>
      <c r="EV16" t="s">
        <v>302</v>
      </c>
      <c r="EZ16" t="s">
        <v>285</v>
      </c>
      <c r="FA16" t="s">
        <v>285</v>
      </c>
      <c r="FB16" t="s">
        <v>292</v>
      </c>
      <c r="FC16" t="s">
        <v>292</v>
      </c>
      <c r="FD16" t="s">
        <v>303</v>
      </c>
      <c r="FE16" t="s">
        <v>303</v>
      </c>
      <c r="FF16" t="s">
        <v>304</v>
      </c>
      <c r="FG16" t="s">
        <v>304</v>
      </c>
      <c r="FH16" t="s">
        <v>304</v>
      </c>
      <c r="FI16" t="s">
        <v>304</v>
      </c>
      <c r="FJ16" t="s">
        <v>304</v>
      </c>
      <c r="FK16" t="s">
        <v>304</v>
      </c>
      <c r="FL16" t="s">
        <v>287</v>
      </c>
      <c r="FM16" t="s">
        <v>304</v>
      </c>
      <c r="FO16" t="s">
        <v>294</v>
      </c>
      <c r="FP16" t="s">
        <v>294</v>
      </c>
      <c r="FQ16" t="s">
        <v>287</v>
      </c>
      <c r="FR16" t="s">
        <v>287</v>
      </c>
      <c r="FS16" t="s">
        <v>287</v>
      </c>
      <c r="FT16" t="s">
        <v>287</v>
      </c>
      <c r="FU16" t="s">
        <v>287</v>
      </c>
      <c r="FV16" t="s">
        <v>289</v>
      </c>
      <c r="FW16" t="s">
        <v>289</v>
      </c>
      <c r="FX16" t="s">
        <v>289</v>
      </c>
      <c r="FY16" t="s">
        <v>287</v>
      </c>
      <c r="FZ16" t="s">
        <v>285</v>
      </c>
      <c r="GA16" t="s">
        <v>292</v>
      </c>
      <c r="GB16" t="s">
        <v>289</v>
      </c>
      <c r="GC16" t="s">
        <v>289</v>
      </c>
    </row>
    <row r="17" spans="1:185" x14ac:dyDescent="0.3">
      <c r="A17">
        <v>1</v>
      </c>
      <c r="B17">
        <v>1693333054.5999999</v>
      </c>
      <c r="C17">
        <v>0</v>
      </c>
      <c r="D17" t="s">
        <v>305</v>
      </c>
      <c r="E17" t="s">
        <v>306</v>
      </c>
      <c r="F17">
        <v>5</v>
      </c>
      <c r="H17" t="s">
        <v>307</v>
      </c>
      <c r="I17" t="s">
        <v>326</v>
      </c>
      <c r="L17">
        <v>1693333051.8499999</v>
      </c>
      <c r="M17">
        <f>(N17)/1000</f>
        <v>7.1251585557760219E-4</v>
      </c>
      <c r="N17">
        <f>IF(CK17, AQ17, AK17)</f>
        <v>0.71251585557760222</v>
      </c>
      <c r="O17">
        <f>IF(CK17, AL17, AJ17)</f>
        <v>-0.9722487921377776</v>
      </c>
      <c r="P17">
        <f>CM17 - IF(AX17&gt;1, O17*CG17*100/(AZ17*DA17), 0)</f>
        <v>410.76319999999998</v>
      </c>
      <c r="Q17">
        <f>((W17-M17/2)*P17-O17)/(W17+M17/2)</f>
        <v>430.14379531318735</v>
      </c>
      <c r="R17">
        <f>Q17*(CT17+CU17)/1000</f>
        <v>43.738565164516864</v>
      </c>
      <c r="S17">
        <f>(CM17 - IF(AX17&gt;1, O17*CG17*100/(AZ17*DA17), 0))*(CT17+CU17)/1000</f>
        <v>41.767876663905611</v>
      </c>
      <c r="T17">
        <f>2/((1/V17-1/U17)+SIGN(V17)*SQRT((1/V17-1/U17)*(1/V17-1/U17) + 4*CH17/((CH17+1)*(CH17+1))*(2*1/V17*1/U17-1/U17*1/U17)))</f>
        <v>5.6033453090598186E-2</v>
      </c>
      <c r="U17">
        <f>IF(LEFT(CI17,1)&lt;&gt;"0",IF(LEFT(CI17,1)="1",3,CJ17),$D$5+$E$5*(DA17*CT17/($K$5*1000))+$F$5*(DA17*CT17/($K$5*1000))*MAX(MIN(CG17,$J$5),$I$5)*MAX(MIN(CG17,$J$5),$I$5)+$G$5*MAX(MIN(CG17,$J$5),$I$5)*(DA17*CT17/($K$5*1000))+$H$5*(DA17*CT17/($K$5*1000))*(DA17*CT17/($K$5*1000)))</f>
        <v>2.958049718610873</v>
      </c>
      <c r="V17">
        <f>M17*(1000-(1000*0.61365*EXP(17.502*Z17/(240.97+Z17))/(CT17+CU17)+CO17)/2)/(1000*0.61365*EXP(17.502*Z17/(240.97+Z17))/(CT17+CU17)-CO17)</f>
        <v>5.5450395664082518E-2</v>
      </c>
      <c r="W17">
        <f>1/((CH17+1)/(T17/1.6)+1/(U17/1.37)) + CH17/((CH17+1)/(T17/1.6) + CH17/(U17/1.37))</f>
        <v>3.470837699534865E-2</v>
      </c>
      <c r="X17">
        <f>(CC17*CF17)</f>
        <v>3.9903511277246398E-5</v>
      </c>
      <c r="Y17">
        <f>(CV17+(X17+2*0.95*0.0000000567*(((CV17+$B$7)+273)^4-(CV17+273)^4)-44100*M17)/(1.84*29.3*U17+8*0.95*0.0000000567*(CV17+273)^3))</f>
        <v>25.687712940431119</v>
      </c>
      <c r="Z17">
        <f>($C$7*CW17+$D$7*CX17+$E$7*Y17)</f>
        <v>25.292290000000001</v>
      </c>
      <c r="AA17">
        <f>0.61365*EXP(17.502*Z17/(240.97+Z17))</f>
        <v>3.2355105605736321</v>
      </c>
      <c r="AB17">
        <f>(AC17/AD17*100)</f>
        <v>58.599468446561275</v>
      </c>
      <c r="AC17">
        <f>CO17*(CT17+CU17)/1000</f>
        <v>1.9623112662335624</v>
      </c>
      <c r="AD17">
        <f>0.61365*EXP(17.502*CV17/(240.97+CV17))</f>
        <v>3.3486844134483174</v>
      </c>
      <c r="AE17">
        <f>(AA17-CO17*(CT17+CU17)/1000)</f>
        <v>1.2731992943400696</v>
      </c>
      <c r="AF17">
        <f>(-M17*44100)</f>
        <v>-31.421949230972256</v>
      </c>
      <c r="AG17">
        <f>2*29.3*U17*0.92*(CV17-Z17)</f>
        <v>92.367558828110873</v>
      </c>
      <c r="AH17">
        <f>2*0.95*0.0000000567*(((CV17+$B$7)+273)^4-(Z17+273)^4)</f>
        <v>6.6437915999931967</v>
      </c>
      <c r="AI17">
        <f>X17+AH17+AF17+AG17</f>
        <v>67.589441100643086</v>
      </c>
      <c r="AJ17">
        <f>CS17*AX17*(CN17-CM17*(1000-AX17*CP17)/(1000-AX17*CO17))/(100*CG17)</f>
        <v>-0.9722487921377776</v>
      </c>
      <c r="AK17">
        <f>1000*CS17*AX17*(CO17-CP17)/(100*CG17*(1000-AX17*CO17))</f>
        <v>0.71251585557760222</v>
      </c>
      <c r="AL17">
        <f>(AM17 - AN17 - CT17*1000/(8.314*(CV17+273.15)) * AP17/CS17 * AO17) * CS17/(100*CG17) * (1000 - CP17)/1000</f>
        <v>-1.6733706565972239</v>
      </c>
      <c r="AM17">
        <v>417.86337230759102</v>
      </c>
      <c r="AN17">
        <v>419.53890303030289</v>
      </c>
      <c r="AO17">
        <v>6.4138016719249907E-3</v>
      </c>
      <c r="AP17">
        <v>67.245728369947955</v>
      </c>
      <c r="AQ17">
        <f>(AS17 - AR17 + CT17*1000/(8.314*(CV17+273.15)) * AU17/CS17 * AT17) * CS17/(100*CG17) * 1000/(1000 - AS17)</f>
        <v>0.60230084054708055</v>
      </c>
      <c r="AR17">
        <v>18.59614268077922</v>
      </c>
      <c r="AS17">
        <v>19.289560000000002</v>
      </c>
      <c r="AT17">
        <v>-1.9218857142854831E-2</v>
      </c>
      <c r="AU17">
        <v>78.55</v>
      </c>
      <c r="AV17">
        <v>4</v>
      </c>
      <c r="AW17">
        <v>1</v>
      </c>
      <c r="AX17">
        <f>IF(AV17*$H$13&gt;=AZ17,1,(AZ17/(AZ17-AV17*$H$13)))</f>
        <v>1</v>
      </c>
      <c r="AY17">
        <f>(AX17-1)*100</f>
        <v>0</v>
      </c>
      <c r="AZ17">
        <f>MAX(0,($B$13+$C$13*DA17)/(1+$D$13*DA17)*CT17/(CV17+273)*$E$13)</f>
        <v>53942.874034707485</v>
      </c>
      <c r="BA17" t="s">
        <v>308</v>
      </c>
      <c r="BB17">
        <v>8221.4699999999993</v>
      </c>
      <c r="BC17">
        <v>571.1</v>
      </c>
      <c r="BD17">
        <v>2376.0300000000002</v>
      </c>
      <c r="BE17">
        <f>1-BC17/BD17</f>
        <v>0.75964108197287072</v>
      </c>
      <c r="BF17">
        <v>-0.97224879213783444</v>
      </c>
      <c r="BG17" t="s">
        <v>309</v>
      </c>
      <c r="BH17" t="s">
        <v>309</v>
      </c>
      <c r="BI17">
        <v>0</v>
      </c>
      <c r="BJ17">
        <v>0</v>
      </c>
      <c r="BK17" t="e">
        <f>1-BI17/BJ17</f>
        <v>#DIV/0!</v>
      </c>
      <c r="BL17">
        <v>0.5</v>
      </c>
      <c r="BM17">
        <f>CD17</f>
        <v>2.1001848040655996E-4</v>
      </c>
      <c r="BN17">
        <f>O17</f>
        <v>-0.9722487921377776</v>
      </c>
      <c r="BO17" t="e">
        <f>BK17*BL17*BM17</f>
        <v>#DIV/0!</v>
      </c>
      <c r="BP17">
        <f>(BN17-BF17)/BM17</f>
        <v>2.7065912842893087E-10</v>
      </c>
      <c r="BQ17" t="e">
        <f>(BD17-BJ17)/BJ17</f>
        <v>#DIV/0!</v>
      </c>
      <c r="BR17" t="e">
        <f>BC17/(BE17+BC17/BJ17)</f>
        <v>#DIV/0!</v>
      </c>
      <c r="BS17" t="s">
        <v>309</v>
      </c>
      <c r="BT17">
        <v>0</v>
      </c>
      <c r="BU17" t="e">
        <f>IF(BT17&lt;&gt;0, BT17, BR17)</f>
        <v>#DIV/0!</v>
      </c>
      <c r="BV17" t="e">
        <f>1-BU17/BJ17</f>
        <v>#DIV/0!</v>
      </c>
      <c r="BW17" t="e">
        <f>(BJ17-BI17)/(BJ17-BU17)</f>
        <v>#DIV/0!</v>
      </c>
      <c r="BX17" t="e">
        <f>(BD17-BJ17)/(BD17-BU17)</f>
        <v>#DIV/0!</v>
      </c>
      <c r="BY17">
        <f>(BJ17-BI17)/(BJ17-BC17)</f>
        <v>0</v>
      </c>
      <c r="BZ17">
        <f>(BD17-BJ17)/(BD17-BC17)</f>
        <v>1.3164111627597745</v>
      </c>
      <c r="CA17" t="e">
        <f>(BW17*BU17/BI17)</f>
        <v>#DIV/0!</v>
      </c>
      <c r="CB17" t="e">
        <f>(1-CA17)</f>
        <v>#DIV/0!</v>
      </c>
      <c r="CC17">
        <f>$B$11*DB17+$C$11*DC17+$F$11*DD17*(1-DG17)</f>
        <v>5.0002199999999997E-3</v>
      </c>
      <c r="CD17">
        <f>CC17*CE17</f>
        <v>2.1001848040655996E-4</v>
      </c>
      <c r="CE17">
        <f>($B$11*$D$9+$C$11*$D$9+$F$11*((DQ17+DI17)/MAX(DQ17+DI17+DR17, 0.1)*$I$9+DR17/MAX(DQ17+DI17+DR17, 0.1)*$J$9))/($B$11+$C$11+$F$11)</f>
        <v>4.2001847999999994E-2</v>
      </c>
      <c r="CF17">
        <f>($B$11*$K$9+$C$11*$K$9+$F$11*((DQ17+DI17)/MAX(DQ17+DI17+DR17, 0.1)*$P$9+DR17/MAX(DQ17+DI17+DR17, 0.1)*$Q$9))/($B$11+$C$11+$F$11)</f>
        <v>7.9803511199999996E-3</v>
      </c>
      <c r="CG17">
        <v>6</v>
      </c>
      <c r="CH17">
        <v>0.5</v>
      </c>
      <c r="CI17" t="s">
        <v>310</v>
      </c>
      <c r="CJ17">
        <v>2</v>
      </c>
      <c r="CK17" t="b">
        <v>0</v>
      </c>
      <c r="CL17">
        <v>1693333051.8499999</v>
      </c>
      <c r="CM17">
        <v>410.76319999999998</v>
      </c>
      <c r="CN17">
        <v>410.08370000000002</v>
      </c>
      <c r="CO17">
        <v>19.298210000000001</v>
      </c>
      <c r="CP17">
        <v>18.599519999999998</v>
      </c>
      <c r="CQ17">
        <v>411.50619999999998</v>
      </c>
      <c r="CR17">
        <v>19.202210000000001</v>
      </c>
      <c r="CS17">
        <v>600.06489999999997</v>
      </c>
      <c r="CT17">
        <v>101.5836</v>
      </c>
      <c r="CU17">
        <v>9.998963000000001E-2</v>
      </c>
      <c r="CV17">
        <v>25.871490000000001</v>
      </c>
      <c r="CW17">
        <v>25.292290000000001</v>
      </c>
      <c r="CX17">
        <v>999.9</v>
      </c>
      <c r="CY17">
        <v>0</v>
      </c>
      <c r="CZ17">
        <v>0</v>
      </c>
      <c r="DA17">
        <v>10004.934999999999</v>
      </c>
      <c r="DB17">
        <v>0</v>
      </c>
      <c r="DC17">
        <v>626.54209999999989</v>
      </c>
      <c r="DD17">
        <v>5.0002199999999997E-3</v>
      </c>
      <c r="DE17">
        <v>0</v>
      </c>
      <c r="DF17">
        <v>0</v>
      </c>
      <c r="DG17">
        <v>0</v>
      </c>
      <c r="DH17">
        <v>568.30000000000007</v>
      </c>
      <c r="DI17">
        <v>5.0002199999999997E-3</v>
      </c>
      <c r="DJ17">
        <v>171.14</v>
      </c>
      <c r="DK17">
        <v>-0.78999999999999992</v>
      </c>
      <c r="DL17">
        <v>33.311999999999998</v>
      </c>
      <c r="DM17">
        <v>39.375</v>
      </c>
      <c r="DN17">
        <v>36.5</v>
      </c>
      <c r="DO17">
        <v>33.162400000000012</v>
      </c>
      <c r="DP17">
        <v>35.149799999999999</v>
      </c>
      <c r="DQ17">
        <v>0</v>
      </c>
      <c r="DR17">
        <v>0</v>
      </c>
      <c r="DS17">
        <v>0</v>
      </c>
      <c r="DT17">
        <v>307.39999985694891</v>
      </c>
      <c r="DU17">
        <v>0</v>
      </c>
      <c r="DV17">
        <v>571.1</v>
      </c>
      <c r="DW17">
        <v>-60.761538590412698</v>
      </c>
      <c r="DX17">
        <v>2.1846152250108779</v>
      </c>
      <c r="DY17">
        <v>168.30799999999999</v>
      </c>
      <c r="DZ17">
        <v>15</v>
      </c>
      <c r="EA17">
        <v>1693333079.0999999</v>
      </c>
      <c r="EB17" t="s">
        <v>311</v>
      </c>
      <c r="EC17">
        <v>1693333079.0999999</v>
      </c>
      <c r="ED17">
        <v>1693333072.5999999</v>
      </c>
      <c r="EE17">
        <v>38</v>
      </c>
      <c r="EF17">
        <v>-0.65</v>
      </c>
      <c r="EG17">
        <v>-2.9000000000000001E-2</v>
      </c>
      <c r="EH17">
        <v>-0.74299999999999999</v>
      </c>
      <c r="EI17">
        <v>9.6000000000000002E-2</v>
      </c>
      <c r="EJ17">
        <v>410</v>
      </c>
      <c r="EK17">
        <v>18</v>
      </c>
      <c r="EL17">
        <v>0.95</v>
      </c>
      <c r="EM17">
        <v>0.21</v>
      </c>
      <c r="EN17">
        <v>100</v>
      </c>
      <c r="EO17">
        <v>100</v>
      </c>
      <c r="EP17">
        <v>-0.74299999999999999</v>
      </c>
      <c r="EQ17">
        <v>9.6000000000000002E-2</v>
      </c>
      <c r="ER17">
        <v>-0.48272965034589688</v>
      </c>
      <c r="ES17">
        <v>-1.5763494849013591E-5</v>
      </c>
      <c r="ET17">
        <v>2.5737299311383258E-6</v>
      </c>
      <c r="EU17">
        <v>-5.4755643384777521E-10</v>
      </c>
      <c r="EV17">
        <v>0.12542499999999629</v>
      </c>
      <c r="EW17">
        <v>0</v>
      </c>
      <c r="EX17">
        <v>0</v>
      </c>
      <c r="EY17">
        <v>0</v>
      </c>
      <c r="EZ17">
        <v>21</v>
      </c>
      <c r="FA17">
        <v>1995</v>
      </c>
      <c r="FB17">
        <v>1</v>
      </c>
      <c r="FC17">
        <v>16</v>
      </c>
      <c r="FD17">
        <v>6.5</v>
      </c>
      <c r="FE17">
        <v>4.7</v>
      </c>
      <c r="FF17">
        <v>1.07666</v>
      </c>
      <c r="FG17">
        <v>2.6171899999999999</v>
      </c>
      <c r="FH17">
        <v>1.39771</v>
      </c>
      <c r="FI17">
        <v>2.2656200000000002</v>
      </c>
      <c r="FJ17">
        <v>1.3952599999999999</v>
      </c>
      <c r="FK17">
        <v>2.66235</v>
      </c>
      <c r="FL17">
        <v>35.0364</v>
      </c>
      <c r="FM17">
        <v>15.462899999999999</v>
      </c>
      <c r="FN17">
        <v>18</v>
      </c>
      <c r="FO17">
        <v>595.81700000000001</v>
      </c>
      <c r="FP17">
        <v>378.851</v>
      </c>
      <c r="FQ17">
        <v>25.622900000000001</v>
      </c>
      <c r="FR17">
        <v>27.599</v>
      </c>
      <c r="FS17">
        <v>29.9998</v>
      </c>
      <c r="FT17">
        <v>27.392700000000001</v>
      </c>
      <c r="FU17">
        <v>27.736899999999999</v>
      </c>
      <c r="FV17">
        <v>21.5627</v>
      </c>
      <c r="FW17">
        <v>2.17422</v>
      </c>
      <c r="FX17">
        <v>97.71</v>
      </c>
      <c r="FY17">
        <v>-999.9</v>
      </c>
      <c r="FZ17">
        <v>410</v>
      </c>
      <c r="GA17">
        <v>18.626899999999999</v>
      </c>
      <c r="GB17">
        <v>98.673900000000003</v>
      </c>
      <c r="GC17">
        <v>93.252600000000001</v>
      </c>
    </row>
    <row r="18" spans="1:185" x14ac:dyDescent="0.3">
      <c r="A18">
        <v>2</v>
      </c>
      <c r="B18">
        <v>1693333216.0999999</v>
      </c>
      <c r="C18">
        <v>161.5</v>
      </c>
      <c r="D18" t="s">
        <v>312</v>
      </c>
      <c r="E18" t="s">
        <v>313</v>
      </c>
      <c r="F18">
        <v>5</v>
      </c>
      <c r="H18" t="s">
        <v>307</v>
      </c>
      <c r="I18" t="s">
        <v>327</v>
      </c>
      <c r="L18">
        <v>1693333213.0999999</v>
      </c>
      <c r="M18">
        <f>(N18)/1000</f>
        <v>4.0059614691652227E-4</v>
      </c>
      <c r="N18">
        <f>IF(CK18, AQ18, AK18)</f>
        <v>0.40059614691652229</v>
      </c>
      <c r="O18">
        <f>IF(CK18, AL18, AJ18)</f>
        <v>-1.0694392676422606</v>
      </c>
      <c r="P18">
        <f>CM18 - IF(AX18&gt;1, O18*CG18*100/(AZ18*DA18), 0)</f>
        <v>410.86599999999999</v>
      </c>
      <c r="Q18">
        <f>((W18-M18/2)*P18-O18)/(W18+M18/2)</f>
        <v>458.45476735510653</v>
      </c>
      <c r="R18">
        <f>Q18*(CT18+CU18)/1000</f>
        <v>46.613408901241989</v>
      </c>
      <c r="S18">
        <f>(CM18 - IF(AX18&gt;1, O18*CG18*100/(AZ18*DA18), 0))*(CT18+CU18)/1000</f>
        <v>41.774818859683009</v>
      </c>
      <c r="T18">
        <f>2/((1/V18-1/U18)+SIGN(V18)*SQRT((1/V18-1/U18)*(1/V18-1/U18) + 4*CH18/((CH18+1)*(CH18+1))*(2*1/V18*1/U18-1/U18*1/U18)))</f>
        <v>3.0248240770019759E-2</v>
      </c>
      <c r="U18">
        <f>IF(LEFT(CI18,1)&lt;&gt;"0",IF(LEFT(CI18,1)="1",3,CJ18),$D$5+$E$5*(DA18*CT18/($K$5*1000))+$F$5*(DA18*CT18/($K$5*1000))*MAX(MIN(CG18,$J$5),$I$5)*MAX(MIN(CG18,$J$5),$I$5)+$G$5*MAX(MIN(CG18,$J$5),$I$5)*(DA18*CT18/($K$5*1000))+$H$5*(DA18*CT18/($K$5*1000))*(DA18*CT18/($K$5*1000)))</f>
        <v>2.9557444117264096</v>
      </c>
      <c r="V18">
        <f>M18*(1000-(1000*0.61365*EXP(17.502*Z18/(240.97+Z18))/(CT18+CU18)+CO18)/2)/(1000*0.61365*EXP(17.502*Z18/(240.97+Z18))/(CT18+CU18)-CO18)</f>
        <v>3.0077316730888485E-2</v>
      </c>
      <c r="W18">
        <f>1/((CH18+1)/(T18/1.6)+1/(U18/1.37)) + CH18/((CH18+1)/(T18/1.6) + CH18/(U18/1.37))</f>
        <v>1.8813599142901587E-2</v>
      </c>
      <c r="X18">
        <f>(CC18*CF18)</f>
        <v>3.9903511277246398E-5</v>
      </c>
      <c r="Y18">
        <f>(CV18+(X18+2*0.95*0.0000000567*(((CV18+$B$7)+273)^4-(CV18+273)^4)-44100*M18)/(1.84*29.3*U18+8*0.95*0.0000000567*(CV18+273)^3))</f>
        <v>25.807966811960682</v>
      </c>
      <c r="Z18">
        <f>($C$7*CW18+$D$7*CX18+$E$7*Y18)</f>
        <v>25.479863636363639</v>
      </c>
      <c r="AA18">
        <f>0.61365*EXP(17.502*Z18/(240.97+Z18))</f>
        <v>3.2717902598237347</v>
      </c>
      <c r="AB18">
        <f>(AC18/AD18*100)</f>
        <v>58.165463915311875</v>
      </c>
      <c r="AC18">
        <f>CO18*(CT18+CU18)/1000</f>
        <v>1.9523826920826839</v>
      </c>
      <c r="AD18">
        <f>0.61365*EXP(17.502*CV18/(240.97+CV18))</f>
        <v>3.3566012555583264</v>
      </c>
      <c r="AE18">
        <f>(AA18-CO18*(CT18+CU18)/1000)</f>
        <v>1.3194075677410508</v>
      </c>
      <c r="AF18">
        <f>(-M18*44100)</f>
        <v>-17.666290079018633</v>
      </c>
      <c r="AG18">
        <f>2*29.3*U18*0.92*(CV18-Z18)</f>
        <v>68.759565010834962</v>
      </c>
      <c r="AH18">
        <f>2*0.95*0.0000000567*(((CV18+$B$7)+273)^4-(Z18+273)^4)</f>
        <v>4.9552345126677624</v>
      </c>
      <c r="AI18">
        <f>X18+AH18+AF18+AG18</f>
        <v>56.048549347995369</v>
      </c>
      <c r="AJ18">
        <f>CS18*AX18*(CN18-CM18*(1000-AX18*CP18)/(1000-AX18*CO18))/(100*CG18)</f>
        <v>-1.0694392676422606</v>
      </c>
      <c r="AK18">
        <f>1000*CS18*AX18*(CO18-CP18)/(100*CG18*(1000-AX18*CO18))</f>
        <v>0.40059614691652229</v>
      </c>
      <c r="AL18">
        <f>(AM18 - AN18 - CT18*1000/(8.314*(CV18+273.15)) * AP18/CS18 * AO18) * CS18/(100*CG18) * (1000 - CP18)/1000</f>
        <v>-0.8622139392552981</v>
      </c>
      <c r="AM18">
        <v>417.81495494519407</v>
      </c>
      <c r="AN18">
        <v>418.6676242424241</v>
      </c>
      <c r="AO18">
        <v>5.6890526934919809E-3</v>
      </c>
      <c r="AP18">
        <v>67.238770788228834</v>
      </c>
      <c r="AQ18">
        <f>(AS18 - AR18 + CT18*1000/(8.314*(CV18+273.15)) * AU18/CS18 * AT18) * CS18/(100*CG18) * 1000/(1000 - AS18)</f>
        <v>0.45846129151098192</v>
      </c>
      <c r="AR18">
        <v>18.810466298571431</v>
      </c>
      <c r="AS18">
        <v>19.209826666666661</v>
      </c>
      <c r="AT18">
        <v>9.4013333333368421E-3</v>
      </c>
      <c r="AU18">
        <v>78.55</v>
      </c>
      <c r="AV18">
        <v>37</v>
      </c>
      <c r="AW18">
        <v>6</v>
      </c>
      <c r="AX18">
        <f>IF(AV18*$H$13&gt;=AZ18,1,(AZ18/(AZ18-AV18*$H$13)))</f>
        <v>1</v>
      </c>
      <c r="AY18">
        <f>(AX18-1)*100</f>
        <v>0</v>
      </c>
      <c r="AZ18">
        <f>MAX(0,($B$13+$C$13*DA18)/(1+$D$13*DA18)*CT18/(CV18+273)*$E$13)</f>
        <v>53867.885120725528</v>
      </c>
      <c r="BA18" t="s">
        <v>314</v>
      </c>
      <c r="BB18">
        <v>8175.73</v>
      </c>
      <c r="BC18">
        <v>600.88</v>
      </c>
      <c r="BD18">
        <v>2461.5500000000002</v>
      </c>
      <c r="BE18">
        <f>1-BC18/BD18</f>
        <v>0.75589364424854266</v>
      </c>
      <c r="BF18">
        <v>-1.069439267642204</v>
      </c>
      <c r="BG18" t="s">
        <v>309</v>
      </c>
      <c r="BH18" t="s">
        <v>309</v>
      </c>
      <c r="BI18">
        <v>0</v>
      </c>
      <c r="BJ18">
        <v>0</v>
      </c>
      <c r="BK18" t="e">
        <f>1-BI18/BJ18</f>
        <v>#DIV/0!</v>
      </c>
      <c r="BL18">
        <v>0.5</v>
      </c>
      <c r="BM18">
        <f>CD18</f>
        <v>2.1001848040655996E-4</v>
      </c>
      <c r="BN18">
        <f>O18</f>
        <v>-1.0694392676422606</v>
      </c>
      <c r="BO18" t="e">
        <f>BK18*BL18*BM18</f>
        <v>#DIV/0!</v>
      </c>
      <c r="BP18">
        <f>(BN18-BF18)/BM18</f>
        <v>-2.6960186620850536E-10</v>
      </c>
      <c r="BQ18" t="e">
        <f>(BD18-BJ18)/BJ18</f>
        <v>#DIV/0!</v>
      </c>
      <c r="BR18" t="e">
        <f>BC18/(BE18+BC18/BJ18)</f>
        <v>#DIV/0!</v>
      </c>
      <c r="BS18" t="s">
        <v>309</v>
      </c>
      <c r="BT18">
        <v>0</v>
      </c>
      <c r="BU18" t="e">
        <f>IF(BT18&lt;&gt;0, BT18, BR18)</f>
        <v>#DIV/0!</v>
      </c>
      <c r="BV18" t="e">
        <f>1-BU18/BJ18</f>
        <v>#DIV/0!</v>
      </c>
      <c r="BW18" t="e">
        <f>(BJ18-BI18)/(BJ18-BU18)</f>
        <v>#DIV/0!</v>
      </c>
      <c r="BX18" t="e">
        <f>(BD18-BJ18)/(BD18-BU18)</f>
        <v>#DIV/0!</v>
      </c>
      <c r="BY18">
        <f>(BJ18-BI18)/(BJ18-BC18)</f>
        <v>0</v>
      </c>
      <c r="BZ18">
        <f>(BD18-BJ18)/(BD18-BC18)</f>
        <v>1.3229374365148039</v>
      </c>
      <c r="CA18" t="e">
        <f>(BW18*BU18/BI18)</f>
        <v>#DIV/0!</v>
      </c>
      <c r="CB18" t="e">
        <f>(1-CA18)</f>
        <v>#DIV/0!</v>
      </c>
      <c r="CC18">
        <f>$B$11*DB18+$C$11*DC18+$F$11*DD18*(1-DG18)</f>
        <v>5.0002199999999997E-3</v>
      </c>
      <c r="CD18">
        <f>CC18*CE18</f>
        <v>2.1001848040655996E-4</v>
      </c>
      <c r="CE18">
        <f>($B$11*$D$9+$C$11*$D$9+$F$11*((DQ18+DI18)/MAX(DQ18+DI18+DR18, 0.1)*$I$9+DR18/MAX(DQ18+DI18+DR18, 0.1)*$J$9))/($B$11+$C$11+$F$11)</f>
        <v>4.2001847999999994E-2</v>
      </c>
      <c r="CF18">
        <f>($B$11*$K$9+$C$11*$K$9+$F$11*((DQ18+DI18)/MAX(DQ18+DI18+DR18, 0.1)*$P$9+DR18/MAX(DQ18+DI18+DR18, 0.1)*$Q$9))/($B$11+$C$11+$F$11)</f>
        <v>7.9803511199999996E-3</v>
      </c>
      <c r="CG18">
        <v>6</v>
      </c>
      <c r="CH18">
        <v>0.5</v>
      </c>
      <c r="CI18" t="s">
        <v>310</v>
      </c>
      <c r="CJ18">
        <v>2</v>
      </c>
      <c r="CK18" t="b">
        <v>0</v>
      </c>
      <c r="CL18">
        <v>1693333213.0999999</v>
      </c>
      <c r="CM18">
        <v>410.86599999999999</v>
      </c>
      <c r="CN18">
        <v>409.96118181818179</v>
      </c>
      <c r="CO18">
        <v>19.20218181818182</v>
      </c>
      <c r="CP18">
        <v>18.809290909090912</v>
      </c>
      <c r="CQ18">
        <v>411.35700000000003</v>
      </c>
      <c r="CR18">
        <v>19.087181818181818</v>
      </c>
      <c r="CS18">
        <v>600.01972727272721</v>
      </c>
      <c r="CT18">
        <v>101.5753636363636</v>
      </c>
      <c r="CU18">
        <v>9.9680927272727274E-2</v>
      </c>
      <c r="CV18">
        <v>25.911363636363639</v>
      </c>
      <c r="CW18">
        <v>25.479863636363639</v>
      </c>
      <c r="CX18">
        <v>999.9</v>
      </c>
      <c r="CY18">
        <v>0</v>
      </c>
      <c r="CZ18">
        <v>0</v>
      </c>
      <c r="DA18">
        <v>9992.6690909090903</v>
      </c>
      <c r="DB18">
        <v>0</v>
      </c>
      <c r="DC18">
        <v>652.97736363636363</v>
      </c>
      <c r="DD18">
        <v>5.0002199999999997E-3</v>
      </c>
      <c r="DE18">
        <v>0</v>
      </c>
      <c r="DF18">
        <v>0</v>
      </c>
      <c r="DG18">
        <v>0</v>
      </c>
      <c r="DH18">
        <v>600.95454545454538</v>
      </c>
      <c r="DI18">
        <v>5.0002199999999997E-3</v>
      </c>
      <c r="DJ18">
        <v>120.8909090909091</v>
      </c>
      <c r="DK18">
        <v>-0.80909090909090897</v>
      </c>
      <c r="DL18">
        <v>33.811999999999998</v>
      </c>
      <c r="DM18">
        <v>39.75</v>
      </c>
      <c r="DN18">
        <v>36.380454545454548</v>
      </c>
      <c r="DO18">
        <v>36.908909090909098</v>
      </c>
      <c r="DP18">
        <v>36.061999999999998</v>
      </c>
      <c r="DQ18">
        <v>0</v>
      </c>
      <c r="DR18">
        <v>0</v>
      </c>
      <c r="DS18">
        <v>0</v>
      </c>
      <c r="DT18">
        <v>161.19999980926511</v>
      </c>
      <c r="DU18">
        <v>0</v>
      </c>
      <c r="DV18">
        <v>600.88</v>
      </c>
      <c r="DW18">
        <v>-3.1999998832353391</v>
      </c>
      <c r="DX18">
        <v>-13.923076804855249</v>
      </c>
      <c r="DY18">
        <v>121.136</v>
      </c>
      <c r="DZ18">
        <v>15</v>
      </c>
      <c r="EA18">
        <v>1693333238.0999999</v>
      </c>
      <c r="EB18" t="s">
        <v>315</v>
      </c>
      <c r="EC18">
        <v>1693333236.5999999</v>
      </c>
      <c r="ED18">
        <v>1693333238.0999999</v>
      </c>
      <c r="EE18">
        <v>39</v>
      </c>
      <c r="EF18">
        <v>0.253</v>
      </c>
      <c r="EG18">
        <v>1.9E-2</v>
      </c>
      <c r="EH18">
        <v>-0.49099999999999999</v>
      </c>
      <c r="EI18">
        <v>0.115</v>
      </c>
      <c r="EJ18">
        <v>410</v>
      </c>
      <c r="EK18">
        <v>19</v>
      </c>
      <c r="EL18">
        <v>0.66</v>
      </c>
      <c r="EM18">
        <v>0.25</v>
      </c>
      <c r="EN18">
        <v>100</v>
      </c>
      <c r="EO18">
        <v>100</v>
      </c>
      <c r="EP18">
        <v>-0.49099999999999999</v>
      </c>
      <c r="EQ18">
        <v>0.115</v>
      </c>
      <c r="ER18">
        <v>-1.1330972690505341</v>
      </c>
      <c r="ES18">
        <v>-1.5763494849013591E-5</v>
      </c>
      <c r="ET18">
        <v>2.5737299311383258E-6</v>
      </c>
      <c r="EU18">
        <v>-5.4755643384777521E-10</v>
      </c>
      <c r="EV18">
        <v>9.6045000000000158E-2</v>
      </c>
      <c r="EW18">
        <v>0</v>
      </c>
      <c r="EX18">
        <v>0</v>
      </c>
      <c r="EY18">
        <v>0</v>
      </c>
      <c r="EZ18">
        <v>21</v>
      </c>
      <c r="FA18">
        <v>1995</v>
      </c>
      <c r="FB18">
        <v>1</v>
      </c>
      <c r="FC18">
        <v>16</v>
      </c>
      <c r="FD18">
        <v>2.2999999999999998</v>
      </c>
      <c r="FE18">
        <v>2.4</v>
      </c>
      <c r="FF18">
        <v>1.07666</v>
      </c>
      <c r="FG18">
        <v>2.6293899999999999</v>
      </c>
      <c r="FH18">
        <v>1.39771</v>
      </c>
      <c r="FI18">
        <v>2.2644000000000002</v>
      </c>
      <c r="FJ18">
        <v>1.3952599999999999</v>
      </c>
      <c r="FK18">
        <v>2.3938000000000001</v>
      </c>
      <c r="FL18">
        <v>34.944400000000002</v>
      </c>
      <c r="FM18">
        <v>15.4192</v>
      </c>
      <c r="FN18">
        <v>18</v>
      </c>
      <c r="FO18">
        <v>559.32399999999996</v>
      </c>
      <c r="FP18">
        <v>378.04899999999998</v>
      </c>
      <c r="FQ18">
        <v>25.5444</v>
      </c>
      <c r="FR18">
        <v>27.482600000000001</v>
      </c>
      <c r="FS18">
        <v>30</v>
      </c>
      <c r="FT18">
        <v>27.310099999999998</v>
      </c>
      <c r="FU18">
        <v>27.6632</v>
      </c>
      <c r="FV18">
        <v>21.584</v>
      </c>
      <c r="FW18">
        <v>0</v>
      </c>
      <c r="FX18">
        <v>93.555400000000006</v>
      </c>
      <c r="FY18">
        <v>-999.9</v>
      </c>
      <c r="FZ18">
        <v>410</v>
      </c>
      <c r="GA18">
        <v>20.267900000000001</v>
      </c>
      <c r="GB18">
        <v>98.691000000000003</v>
      </c>
      <c r="GC18">
        <v>93.276600000000002</v>
      </c>
    </row>
    <row r="19" spans="1:185" x14ac:dyDescent="0.3">
      <c r="A19">
        <v>3</v>
      </c>
      <c r="B19">
        <v>1693333454.0999999</v>
      </c>
      <c r="C19">
        <v>399.5</v>
      </c>
      <c r="D19" t="s">
        <v>316</v>
      </c>
      <c r="E19" t="s">
        <v>317</v>
      </c>
      <c r="F19">
        <v>5</v>
      </c>
      <c r="H19" t="s">
        <v>307</v>
      </c>
      <c r="I19" t="s">
        <v>325</v>
      </c>
      <c r="L19">
        <v>1693333451.0999999</v>
      </c>
      <c r="M19">
        <f>(N19)/1000</f>
        <v>1.0694310422905962E-3</v>
      </c>
      <c r="N19">
        <f>IF(CK19, AQ19, AK19)</f>
        <v>1.0694310422905962</v>
      </c>
      <c r="O19">
        <f>IF(CK19, AL19, AJ19)</f>
        <v>-1.0347238188145054</v>
      </c>
      <c r="P19">
        <f>CM19 - IF(AX19&gt;1, O19*CG19*100/(AZ19*DA19), 0)</f>
        <v>410.62409090909102</v>
      </c>
      <c r="Q19">
        <f>((W19-M19/2)*P19-O19)/(W19+M19/2)</f>
        <v>422.11670581122667</v>
      </c>
      <c r="R19">
        <f>Q19*(CT19+CU19)/1000</f>
        <v>42.919624600492085</v>
      </c>
      <c r="S19">
        <f>(CM19 - IF(AX19&gt;1, O19*CG19*100/(AZ19*DA19), 0))*(CT19+CU19)/1000</f>
        <v>41.75108824434448</v>
      </c>
      <c r="T19">
        <f>2/((1/V19-1/U19)+SIGN(V19)*SQRT((1/V19-1/U19)*(1/V19-1/U19) + 4*CH19/((CH19+1)*(CH19+1))*(2*1/V19*1/U19-1/U19*1/U19)))</f>
        <v>8.3159265515625885E-2</v>
      </c>
      <c r="U19">
        <f>IF(LEFT(CI19,1)&lt;&gt;"0",IF(LEFT(CI19,1)="1",3,CJ19),$D$5+$E$5*(DA19*CT19/($K$5*1000))+$F$5*(DA19*CT19/($K$5*1000))*MAX(MIN(CG19,$J$5),$I$5)*MAX(MIN(CG19,$J$5),$I$5)+$G$5*MAX(MIN(CG19,$J$5),$I$5)*(DA19*CT19/($K$5*1000))+$H$5*(DA19*CT19/($K$5*1000))*(DA19*CT19/($K$5*1000)))</f>
        <v>2.9563140290121166</v>
      </c>
      <c r="V19">
        <f>M19*(1000-(1000*0.61365*EXP(17.502*Z19/(240.97+Z19))/(CT19+CU19)+CO19)/2)/(1000*0.61365*EXP(17.502*Z19/(240.97+Z19))/(CT19+CU19)-CO19)</f>
        <v>8.1881251931636145E-2</v>
      </c>
      <c r="W19">
        <f>1/((CH19+1)/(T19/1.6)+1/(U19/1.37)) + CH19/((CH19+1)/(T19/1.6) + CH19/(U19/1.37))</f>
        <v>5.1288970763974193E-2</v>
      </c>
      <c r="X19">
        <f>(CC19*CF19)</f>
        <v>3.9903511277246398E-5</v>
      </c>
      <c r="Y19">
        <f>(CV19+(X19+2*0.95*0.0000000567*(((CV19+$B$7)+273)^4-(CV19+273)^4)-44100*M19)/(1.84*29.3*U19+8*0.95*0.0000000567*(CV19+273)^3))</f>
        <v>25.707816491350087</v>
      </c>
      <c r="Z19">
        <f>($C$7*CW19+$D$7*CX19+$E$7*Y19)</f>
        <v>25.401818181818179</v>
      </c>
      <c r="AA19">
        <f>0.61365*EXP(17.502*Z19/(240.97+Z19))</f>
        <v>3.2566520927656226</v>
      </c>
      <c r="AB19">
        <f>(AC19/AD19*100)</f>
        <v>58.224377777527181</v>
      </c>
      <c r="AC19">
        <f>CO19*(CT19+CU19)/1000</f>
        <v>1.9627563376084449</v>
      </c>
      <c r="AD19">
        <f>0.61365*EXP(17.502*CV19/(240.97+CV19))</f>
        <v>3.3710215764057652</v>
      </c>
      <c r="AE19">
        <f>(AA19-CO19*(CT19+CU19)/1000)</f>
        <v>1.2938957551571777</v>
      </c>
      <c r="AF19">
        <f>(-M19*44100)</f>
        <v>-47.161908965015293</v>
      </c>
      <c r="AG19">
        <f>2*29.3*U19*0.92*(CV19-Z19)</f>
        <v>92.753831058959136</v>
      </c>
      <c r="AH19">
        <f>2*0.95*0.0000000567*(((CV19+$B$7)+273)^4-(Z19+273)^4)</f>
        <v>6.6829340347338277</v>
      </c>
      <c r="AI19">
        <f>X19+AH19+AF19+AG19</f>
        <v>52.274896032188948</v>
      </c>
      <c r="AJ19">
        <f>CS19*AX19*(CN19-CM19*(1000-AX19*CP19)/(1000-AX19*CO19))/(100*CG19)</f>
        <v>-1.0347238188145054</v>
      </c>
      <c r="AK19">
        <f>1000*CS19*AX19*(CO19-CP19)/(100*CG19*(1000-AX19*CO19))</f>
        <v>1.0694310422905962</v>
      </c>
      <c r="AL19">
        <f>(AM19 - AN19 - CT19*1000/(8.314*(CV19+273.15)) * AP19/CS19 * AO19) * CS19/(100*CG19) * (1000 - CP19)/1000</f>
        <v>-1.0902069686212701</v>
      </c>
      <c r="AM19">
        <v>417.61615284447703</v>
      </c>
      <c r="AN19">
        <v>418.85550909090921</v>
      </c>
      <c r="AO19">
        <v>-2.8176374356404479E-2</v>
      </c>
      <c r="AP19">
        <v>67.240801185079661</v>
      </c>
      <c r="AQ19">
        <f>(AS19 - AR19 + CT19*1000/(8.314*(CV19+273.15)) * AU19/CS19 * AT19) * CS19/(100*CG19) * 1000/(1000 - AS19)</f>
        <v>1.0312224993846564</v>
      </c>
      <c r="AR19">
        <v>18.257663098398272</v>
      </c>
      <c r="AS19">
        <v>19.308929696969699</v>
      </c>
      <c r="AT19">
        <v>-7.4870995670935081E-3</v>
      </c>
      <c r="AU19">
        <v>78.55</v>
      </c>
      <c r="AV19">
        <v>0</v>
      </c>
      <c r="AW19">
        <v>0</v>
      </c>
      <c r="AX19">
        <f>IF(AV19*$H$13&gt;=AZ19,1,(AZ19/(AZ19-AV19*$H$13)))</f>
        <v>1</v>
      </c>
      <c r="AY19">
        <f>(AX19-1)*100</f>
        <v>0</v>
      </c>
      <c r="AZ19">
        <f>MAX(0,($B$13+$C$13*DA19)/(1+$D$13*DA19)*CT19/(CV19+273)*$E$13)</f>
        <v>53871.572204486438</v>
      </c>
      <c r="BA19" t="s">
        <v>318</v>
      </c>
      <c r="BB19">
        <v>8204.7800000000007</v>
      </c>
      <c r="BC19">
        <v>460.7923076923077</v>
      </c>
      <c r="BD19">
        <v>1994.71</v>
      </c>
      <c r="BE19">
        <f>1-BC19/BD19</f>
        <v>0.76899283219500192</v>
      </c>
      <c r="BF19">
        <v>-1.034723818814449</v>
      </c>
      <c r="BG19" t="s">
        <v>309</v>
      </c>
      <c r="BH19" t="s">
        <v>309</v>
      </c>
      <c r="BI19">
        <v>0</v>
      </c>
      <c r="BJ19">
        <v>0</v>
      </c>
      <c r="BK19" t="e">
        <f>1-BI19/BJ19</f>
        <v>#DIV/0!</v>
      </c>
      <c r="BL19">
        <v>0.5</v>
      </c>
      <c r="BM19">
        <f>CD19</f>
        <v>2.1001848040655996E-4</v>
      </c>
      <c r="BN19">
        <f>O19</f>
        <v>-1.0347238188145054</v>
      </c>
      <c r="BO19" t="e">
        <f>BK19*BL19*BM19</f>
        <v>#DIV/0!</v>
      </c>
      <c r="BP19">
        <f>(BN19-BF19)/BM19</f>
        <v>-2.6854460398807984E-10</v>
      </c>
      <c r="BQ19" t="e">
        <f>(BD19-BJ19)/BJ19</f>
        <v>#DIV/0!</v>
      </c>
      <c r="BR19" t="e">
        <f>BC19/(BE19+BC19/BJ19)</f>
        <v>#DIV/0!</v>
      </c>
      <c r="BS19" t="s">
        <v>309</v>
      </c>
      <c r="BT19">
        <v>0</v>
      </c>
      <c r="BU19" t="e">
        <f>IF(BT19&lt;&gt;0, BT19, BR19)</f>
        <v>#DIV/0!</v>
      </c>
      <c r="BV19" t="e">
        <f>1-BU19/BJ19</f>
        <v>#DIV/0!</v>
      </c>
      <c r="BW19" t="e">
        <f>(BJ19-BI19)/(BJ19-BU19)</f>
        <v>#DIV/0!</v>
      </c>
      <c r="BX19" t="e">
        <f>(BD19-BJ19)/(BD19-BU19)</f>
        <v>#DIV/0!</v>
      </c>
      <c r="BY19">
        <f>(BJ19-BI19)/(BJ19-BC19)</f>
        <v>0</v>
      </c>
      <c r="BZ19">
        <f>(BD19-BJ19)/(BD19-BC19)</f>
        <v>1.3004022380099625</v>
      </c>
      <c r="CA19" t="e">
        <f>(BW19*BU19/BI19)</f>
        <v>#DIV/0!</v>
      </c>
      <c r="CB19" t="e">
        <f>(1-CA19)</f>
        <v>#DIV/0!</v>
      </c>
      <c r="CC19">
        <f>$B$11*DB19+$C$11*DC19+$F$11*DD19*(1-DG19)</f>
        <v>5.0002199999999997E-3</v>
      </c>
      <c r="CD19">
        <f>CC19*CE19</f>
        <v>2.1001848040655996E-4</v>
      </c>
      <c r="CE19">
        <f>($B$11*$D$9+$C$11*$D$9+$F$11*((DQ19+DI19)/MAX(DQ19+DI19+DR19, 0.1)*$I$9+DR19/MAX(DQ19+DI19+DR19, 0.1)*$J$9))/($B$11+$C$11+$F$11)</f>
        <v>4.2001847999999994E-2</v>
      </c>
      <c r="CF19">
        <f>($B$11*$K$9+$C$11*$K$9+$F$11*((DQ19+DI19)/MAX(DQ19+DI19+DR19, 0.1)*$P$9+DR19/MAX(DQ19+DI19+DR19, 0.1)*$Q$9))/($B$11+$C$11+$F$11)</f>
        <v>7.9803511199999996E-3</v>
      </c>
      <c r="CG19">
        <v>6</v>
      </c>
      <c r="CH19">
        <v>0.5</v>
      </c>
      <c r="CI19" t="s">
        <v>310</v>
      </c>
      <c r="CJ19">
        <v>2</v>
      </c>
      <c r="CK19" t="b">
        <v>0</v>
      </c>
      <c r="CL19">
        <v>1693333451.0999999</v>
      </c>
      <c r="CM19">
        <v>410.62409090909102</v>
      </c>
      <c r="CN19">
        <v>410.02854545454539</v>
      </c>
      <c r="CO19">
        <v>19.303809090909091</v>
      </c>
      <c r="CP19">
        <v>18.255099999999999</v>
      </c>
      <c r="CQ19">
        <v>411.30209090909102</v>
      </c>
      <c r="CR19">
        <v>19.207809090909091</v>
      </c>
      <c r="CS19">
        <v>600.04454545454541</v>
      </c>
      <c r="CT19">
        <v>101.577</v>
      </c>
      <c r="CU19">
        <v>0.10015233636363639</v>
      </c>
      <c r="CV19">
        <v>25.983781818181821</v>
      </c>
      <c r="CW19">
        <v>25.401818181818179</v>
      </c>
      <c r="CX19">
        <v>999.9</v>
      </c>
      <c r="CY19">
        <v>0</v>
      </c>
      <c r="CZ19">
        <v>0</v>
      </c>
      <c r="DA19">
        <v>9995.7381818181821</v>
      </c>
      <c r="DB19">
        <v>0</v>
      </c>
      <c r="DC19">
        <v>745.18363636363642</v>
      </c>
      <c r="DD19">
        <v>5.0002199999999997E-3</v>
      </c>
      <c r="DE19">
        <v>0</v>
      </c>
      <c r="DF19">
        <v>0</v>
      </c>
      <c r="DG19">
        <v>0</v>
      </c>
      <c r="DH19">
        <v>463.13636363636363</v>
      </c>
      <c r="DI19">
        <v>5.0002199999999997E-3</v>
      </c>
      <c r="DJ19">
        <v>276.44545454545448</v>
      </c>
      <c r="DK19">
        <v>-0.80909090909090908</v>
      </c>
      <c r="DL19">
        <v>33.936999999999998</v>
      </c>
      <c r="DM19">
        <v>39.811999999999998</v>
      </c>
      <c r="DN19">
        <v>37.125</v>
      </c>
      <c r="DO19">
        <v>33.272545454545451</v>
      </c>
      <c r="DP19">
        <v>35.533818181818177</v>
      </c>
      <c r="DQ19">
        <v>0</v>
      </c>
      <c r="DR19">
        <v>0</v>
      </c>
      <c r="DS19">
        <v>0</v>
      </c>
      <c r="DT19">
        <v>237.19999980926511</v>
      </c>
      <c r="DU19">
        <v>0</v>
      </c>
      <c r="DV19">
        <v>460.7923076923077</v>
      </c>
      <c r="DW19">
        <v>24.19145321851094</v>
      </c>
      <c r="DX19">
        <v>-64.588034385081258</v>
      </c>
      <c r="DY19">
        <v>282.3692307692308</v>
      </c>
      <c r="DZ19">
        <v>15</v>
      </c>
      <c r="EA19">
        <v>1693333477.0999999</v>
      </c>
      <c r="EB19" t="s">
        <v>319</v>
      </c>
      <c r="EC19">
        <v>1693333471.0999999</v>
      </c>
      <c r="ED19">
        <v>1693333477.0999999</v>
      </c>
      <c r="EE19">
        <v>40</v>
      </c>
      <c r="EF19">
        <v>-0.187</v>
      </c>
      <c r="EG19">
        <v>-0.02</v>
      </c>
      <c r="EH19">
        <v>-0.67800000000000005</v>
      </c>
      <c r="EI19">
        <v>9.6000000000000002E-2</v>
      </c>
      <c r="EJ19">
        <v>410</v>
      </c>
      <c r="EK19">
        <v>18</v>
      </c>
      <c r="EL19">
        <v>1.77</v>
      </c>
      <c r="EM19">
        <v>0.1</v>
      </c>
      <c r="EN19">
        <v>100</v>
      </c>
      <c r="EO19">
        <v>100</v>
      </c>
      <c r="EP19">
        <v>-0.67800000000000005</v>
      </c>
      <c r="EQ19">
        <v>9.6000000000000002E-2</v>
      </c>
      <c r="ER19">
        <v>-0.88050324687751091</v>
      </c>
      <c r="ES19">
        <v>-1.5763494849013591E-5</v>
      </c>
      <c r="ET19">
        <v>2.5737299311383258E-6</v>
      </c>
      <c r="EU19">
        <v>-5.4755643384777521E-10</v>
      </c>
      <c r="EV19">
        <v>0.1154800000000016</v>
      </c>
      <c r="EW19">
        <v>0</v>
      </c>
      <c r="EX19">
        <v>0</v>
      </c>
      <c r="EY19">
        <v>0</v>
      </c>
      <c r="EZ19">
        <v>21</v>
      </c>
      <c r="FA19">
        <v>1995</v>
      </c>
      <c r="FB19">
        <v>1</v>
      </c>
      <c r="FC19">
        <v>16</v>
      </c>
      <c r="FD19">
        <v>3.6</v>
      </c>
      <c r="FE19">
        <v>3.6</v>
      </c>
      <c r="FF19">
        <v>1.07666</v>
      </c>
      <c r="FG19">
        <v>2.6281699999999999</v>
      </c>
      <c r="FH19">
        <v>1.39771</v>
      </c>
      <c r="FI19">
        <v>2.2656200000000002</v>
      </c>
      <c r="FJ19">
        <v>1.3952599999999999</v>
      </c>
      <c r="FK19">
        <v>2.3864700000000001</v>
      </c>
      <c r="FL19">
        <v>35.013399999999997</v>
      </c>
      <c r="FM19">
        <v>15.3841</v>
      </c>
      <c r="FN19">
        <v>18</v>
      </c>
      <c r="FO19">
        <v>603.66899999999998</v>
      </c>
      <c r="FP19">
        <v>377.88900000000001</v>
      </c>
      <c r="FQ19">
        <v>25.728999999999999</v>
      </c>
      <c r="FR19">
        <v>27.398800000000001</v>
      </c>
      <c r="FS19">
        <v>29.9999</v>
      </c>
      <c r="FT19">
        <v>27.225999999999999</v>
      </c>
      <c r="FU19">
        <v>27.575800000000001</v>
      </c>
      <c r="FV19">
        <v>21.589400000000001</v>
      </c>
      <c r="FW19">
        <v>3.0773999999999999</v>
      </c>
      <c r="FX19">
        <v>97.552999999999997</v>
      </c>
      <c r="FY19">
        <v>-999.9</v>
      </c>
      <c r="FZ19">
        <v>410</v>
      </c>
      <c r="GA19">
        <v>18.435600000000001</v>
      </c>
      <c r="GB19">
        <v>98.692099999999996</v>
      </c>
      <c r="GC19">
        <v>93.273700000000005</v>
      </c>
    </row>
    <row r="20" spans="1:185" x14ac:dyDescent="0.3">
      <c r="A20">
        <v>4</v>
      </c>
      <c r="B20">
        <v>1693333606.0999999</v>
      </c>
      <c r="C20">
        <v>551.5</v>
      </c>
      <c r="D20" t="s">
        <v>320</v>
      </c>
      <c r="E20" t="s">
        <v>321</v>
      </c>
      <c r="F20">
        <v>5</v>
      </c>
      <c r="H20" t="s">
        <v>307</v>
      </c>
      <c r="I20" t="s">
        <v>324</v>
      </c>
      <c r="L20">
        <v>1693333603.0999999</v>
      </c>
      <c r="M20">
        <f>(N20)/1000</f>
        <v>4.8985261780635657E-4</v>
      </c>
      <c r="N20">
        <f>IF(CK20, AQ20, AK20)</f>
        <v>0.48985261780635658</v>
      </c>
      <c r="O20">
        <f>IF(CK20, AL20, AJ20)</f>
        <v>-1.33323995200163</v>
      </c>
      <c r="P20">
        <f>CM20 - IF(AX20&gt;1, O20*CG20*100/(AZ20*DA20), 0)</f>
        <v>411.14545454545453</v>
      </c>
      <c r="Q20">
        <f>((W20-M20/2)*P20-O20)/(W20+M20/2)</f>
        <v>460.0968468570432</v>
      </c>
      <c r="R20">
        <f>Q20*(CT20+CU20)/1000</f>
        <v>46.786525758063917</v>
      </c>
      <c r="S20">
        <f>(CM20 - IF(AX20&gt;1, O20*CG20*100/(AZ20*DA20), 0))*(CT20+CU20)/1000</f>
        <v>41.808735553840137</v>
      </c>
      <c r="T20">
        <f>2/((1/V20-1/U20)+SIGN(V20)*SQRT((1/V20-1/U20)*(1/V20-1/U20) + 4*CH20/((CH20+1)*(CH20+1))*(2*1/V20*1/U20-1/U20*1/U20)))</f>
        <v>3.6819528381831099E-2</v>
      </c>
      <c r="U20">
        <f>IF(LEFT(CI20,1)&lt;&gt;"0",IF(LEFT(CI20,1)="1",3,CJ20),$D$5+$E$5*(DA20*CT20/($K$5*1000))+$F$5*(DA20*CT20/($K$5*1000))*MAX(MIN(CG20,$J$5),$I$5)*MAX(MIN(CG20,$J$5),$I$5)+$G$5*MAX(MIN(CG20,$J$5),$I$5)*(DA20*CT20/($K$5*1000))+$H$5*(DA20*CT20/($K$5*1000))*(DA20*CT20/($K$5*1000)))</f>
        <v>2.9571109606211952</v>
      </c>
      <c r="V20">
        <f>M20*(1000-(1000*0.61365*EXP(17.502*Z20/(240.97+Z20))/(CT20+CU20)+CO20)/2)/(1000*0.61365*EXP(17.502*Z20/(240.97+Z20))/(CT20+CU20)-CO20)</f>
        <v>3.6566723724701128E-2</v>
      </c>
      <c r="W20">
        <f>1/((CH20+1)/(T20/1.6)+1/(U20/1.37)) + CH20/((CH20+1)/(T20/1.6) + CH20/(U20/1.37))</f>
        <v>2.2876770977843998E-2</v>
      </c>
      <c r="X20">
        <f>(CC20*CF20)</f>
        <v>3.9903511277246398E-5</v>
      </c>
      <c r="Y20">
        <f>(CV20+(X20+2*0.95*0.0000000567*(((CV20+$B$7)+273)^4-(CV20+273)^4)-44100*M20)/(1.84*29.3*U20+8*0.95*0.0000000567*(CV20+273)^3))</f>
        <v>25.993555865870643</v>
      </c>
      <c r="Z20">
        <f>($C$7*CW20+$D$7*CX20+$E$7*Y20)</f>
        <v>25.636645454545459</v>
      </c>
      <c r="AA20">
        <f>0.61365*EXP(17.502*Z20/(240.97+Z20))</f>
        <v>3.3023865046065928</v>
      </c>
      <c r="AB20">
        <f>(AC20/AD20*100)</f>
        <v>58.13260796507339</v>
      </c>
      <c r="AC20">
        <f>CO20*(CT20+CU20)/1000</f>
        <v>1.97550666583167</v>
      </c>
      <c r="AD20">
        <f>0.61365*EXP(17.502*CV20/(240.97+CV20))</f>
        <v>3.3982763460716794</v>
      </c>
      <c r="AE20">
        <f>(AA20-CO20*(CT20+CU20)/1000)</f>
        <v>1.3268798387749228</v>
      </c>
      <c r="AF20">
        <f>(-M20*44100)</f>
        <v>-21.602500445260326</v>
      </c>
      <c r="AG20">
        <f>2*29.3*U20*0.92*(CV20-Z20)</f>
        <v>77.045158239589398</v>
      </c>
      <c r="AH20">
        <f>2*0.95*0.0000000567*(((CV20+$B$7)+273)^4-(Z20+273)^4)</f>
        <v>5.5599680488468488</v>
      </c>
      <c r="AI20">
        <f>X20+AH20+AF20+AG20</f>
        <v>61.0026657466872</v>
      </c>
      <c r="AJ20">
        <f>CS20*AX20*(CN20-CM20*(1000-AX20*CP20)/(1000-AX20*CO20))/(100*CG20)</f>
        <v>-1.33323995200163</v>
      </c>
      <c r="AK20">
        <f>1000*CS20*AX20*(CO20-CP20)/(100*CG20*(1000-AX20*CO20))</f>
        <v>0.48985261780635658</v>
      </c>
      <c r="AL20">
        <f>(AM20 - AN20 - CT20*1000/(8.314*(CV20+273.15)) * AP20/CS20 * AO20) * CS20/(100*CG20) * (1000 - CP20)/1000</f>
        <v>-1.5181062985071085</v>
      </c>
      <c r="AM20">
        <v>417.93490939397878</v>
      </c>
      <c r="AN20">
        <v>419.35270303030279</v>
      </c>
      <c r="AO20">
        <v>2.832490869736725E-2</v>
      </c>
      <c r="AP20">
        <v>67.240790525692788</v>
      </c>
      <c r="AQ20">
        <f>(AS20 - AR20 + CT20*1000/(8.314*(CV20+273.15)) * AU20/CS20 * AT20) * CS20/(100*CG20) * 1000/(1000 - AS20)</f>
        <v>0.52325779800653427</v>
      </c>
      <c r="AR20">
        <v>18.946741590216451</v>
      </c>
      <c r="AS20">
        <v>19.427276363636359</v>
      </c>
      <c r="AT20">
        <v>6.0892813852831528E-3</v>
      </c>
      <c r="AU20">
        <v>78.55</v>
      </c>
      <c r="AV20">
        <v>6</v>
      </c>
      <c r="AW20">
        <v>1</v>
      </c>
      <c r="AX20">
        <f>IF(AV20*$H$13&gt;=AZ20,1,(AZ20/(AZ20-AV20*$H$13)))</f>
        <v>1</v>
      </c>
      <c r="AY20">
        <f>(AX20-1)*100</f>
        <v>0</v>
      </c>
      <c r="AZ20">
        <f>MAX(0,($B$13+$C$13*DA20)/(1+$D$13*DA20)*CT20/(CV20+273)*$E$13)</f>
        <v>53870.658783656079</v>
      </c>
      <c r="BA20" t="s">
        <v>322</v>
      </c>
      <c r="BB20">
        <v>8169.4</v>
      </c>
      <c r="BC20">
        <v>547.78</v>
      </c>
      <c r="BD20">
        <v>1710.04</v>
      </c>
      <c r="BE20">
        <f>1-BC20/BD20</f>
        <v>0.67966831185235432</v>
      </c>
      <c r="BF20">
        <v>-1.333239952001573</v>
      </c>
      <c r="BG20" t="s">
        <v>309</v>
      </c>
      <c r="BH20" t="s">
        <v>309</v>
      </c>
      <c r="BI20">
        <v>0</v>
      </c>
      <c r="BJ20">
        <v>0</v>
      </c>
      <c r="BK20" t="e">
        <f>1-BI20/BJ20</f>
        <v>#DIV/0!</v>
      </c>
      <c r="BL20">
        <v>0.5</v>
      </c>
      <c r="BM20">
        <f>CD20</f>
        <v>2.1001848040655996E-4</v>
      </c>
      <c r="BN20">
        <f>O20</f>
        <v>-1.33323995200163</v>
      </c>
      <c r="BO20" t="e">
        <f>BK20*BL20*BM20</f>
        <v>#DIV/0!</v>
      </c>
      <c r="BP20">
        <f>(BN20-BF20)/BM20</f>
        <v>-2.7171639064935639E-10</v>
      </c>
      <c r="BQ20" t="e">
        <f>(BD20-BJ20)/BJ20</f>
        <v>#DIV/0!</v>
      </c>
      <c r="BR20" t="e">
        <f>BC20/(BE20+BC20/BJ20)</f>
        <v>#DIV/0!</v>
      </c>
      <c r="BS20" t="s">
        <v>309</v>
      </c>
      <c r="BT20">
        <v>0</v>
      </c>
      <c r="BU20" t="e">
        <f>IF(BT20&lt;&gt;0, BT20, BR20)</f>
        <v>#DIV/0!</v>
      </c>
      <c r="BV20" t="e">
        <f>1-BU20/BJ20</f>
        <v>#DIV/0!</v>
      </c>
      <c r="BW20" t="e">
        <f>(BJ20-BI20)/(BJ20-BU20)</f>
        <v>#DIV/0!</v>
      </c>
      <c r="BX20" t="e">
        <f>(BD20-BJ20)/(BD20-BU20)</f>
        <v>#DIV/0!</v>
      </c>
      <c r="BY20">
        <f>(BJ20-BI20)/(BJ20-BC20)</f>
        <v>0</v>
      </c>
      <c r="BZ20">
        <f>(BD20-BJ20)/(BD20-BC20)</f>
        <v>1.4713059040145922</v>
      </c>
      <c r="CA20" t="e">
        <f>(BW20*BU20/BI20)</f>
        <v>#DIV/0!</v>
      </c>
      <c r="CB20" t="e">
        <f>(1-CA20)</f>
        <v>#DIV/0!</v>
      </c>
      <c r="CC20">
        <f>$B$11*DB20+$C$11*DC20+$F$11*DD20*(1-DG20)</f>
        <v>5.0002199999999997E-3</v>
      </c>
      <c r="CD20">
        <f>CC20*CE20</f>
        <v>2.1001848040655996E-4</v>
      </c>
      <c r="CE20">
        <f>($B$11*$D$9+$C$11*$D$9+$F$11*((DQ20+DI20)/MAX(DQ20+DI20+DR20, 0.1)*$I$9+DR20/MAX(DQ20+DI20+DR20, 0.1)*$J$9))/($B$11+$C$11+$F$11)</f>
        <v>4.2001847999999994E-2</v>
      </c>
      <c r="CF20">
        <f>($B$11*$K$9+$C$11*$K$9+$F$11*((DQ20+DI20)/MAX(DQ20+DI20+DR20, 0.1)*$P$9+DR20/MAX(DQ20+DI20+DR20, 0.1)*$Q$9))/($B$11+$C$11+$F$11)</f>
        <v>7.9803511199999996E-3</v>
      </c>
      <c r="CG20">
        <v>6</v>
      </c>
      <c r="CH20">
        <v>0.5</v>
      </c>
      <c r="CI20" t="s">
        <v>310</v>
      </c>
      <c r="CJ20">
        <v>2</v>
      </c>
      <c r="CK20" t="b">
        <v>0</v>
      </c>
      <c r="CL20">
        <v>1693333603.0999999</v>
      </c>
      <c r="CM20">
        <v>411.14545454545453</v>
      </c>
      <c r="CN20">
        <v>410.01363636363641</v>
      </c>
      <c r="CO20">
        <v>19.427054545454549</v>
      </c>
      <c r="CP20">
        <v>18.946727272727269</v>
      </c>
      <c r="CQ20">
        <v>411.82345454545452</v>
      </c>
      <c r="CR20">
        <v>19.318054545454551</v>
      </c>
      <c r="CS20">
        <v>600.01118181818174</v>
      </c>
      <c r="CT20">
        <v>101.5884545454545</v>
      </c>
      <c r="CU20">
        <v>9.9974918181818181E-2</v>
      </c>
      <c r="CV20">
        <v>26.119918181818178</v>
      </c>
      <c r="CW20">
        <v>25.636645454545459</v>
      </c>
      <c r="CX20">
        <v>999.9</v>
      </c>
      <c r="CY20">
        <v>0</v>
      </c>
      <c r="CZ20">
        <v>0</v>
      </c>
      <c r="DA20">
        <v>9999.130909090909</v>
      </c>
      <c r="DB20">
        <v>0</v>
      </c>
      <c r="DC20">
        <v>847.95654545454533</v>
      </c>
      <c r="DD20">
        <v>5.0002199999999997E-3</v>
      </c>
      <c r="DE20">
        <v>0</v>
      </c>
      <c r="DF20">
        <v>0</v>
      </c>
      <c r="DG20">
        <v>0</v>
      </c>
      <c r="DH20">
        <v>549.18181818181813</v>
      </c>
      <c r="DI20">
        <v>5.0002199999999997E-3</v>
      </c>
      <c r="DJ20">
        <v>184.3818181818182</v>
      </c>
      <c r="DK20">
        <v>1.8181818181818181E-2</v>
      </c>
      <c r="DL20">
        <v>34.186999999999998</v>
      </c>
      <c r="DM20">
        <v>40.050727272727272</v>
      </c>
      <c r="DN20">
        <v>37.125</v>
      </c>
      <c r="DO20">
        <v>35.545454545454547</v>
      </c>
      <c r="DP20">
        <v>36.130636363636363</v>
      </c>
      <c r="DQ20">
        <v>0</v>
      </c>
      <c r="DR20">
        <v>0</v>
      </c>
      <c r="DS20">
        <v>0</v>
      </c>
      <c r="DT20">
        <v>151.39999985694891</v>
      </c>
      <c r="DU20">
        <v>0</v>
      </c>
      <c r="DV20">
        <v>547.78</v>
      </c>
      <c r="DW20">
        <v>26.876923337584682</v>
      </c>
      <c r="DX20">
        <v>-34.238461781277103</v>
      </c>
      <c r="DY20">
        <v>182.416</v>
      </c>
      <c r="DZ20">
        <v>15</v>
      </c>
      <c r="EA20">
        <v>1693333636.5999999</v>
      </c>
      <c r="EB20" t="s">
        <v>323</v>
      </c>
      <c r="EC20">
        <v>1693333636.5999999</v>
      </c>
      <c r="ED20">
        <v>1693333624.0999999</v>
      </c>
      <c r="EE20">
        <v>41</v>
      </c>
      <c r="EF20">
        <v>1E-3</v>
      </c>
      <c r="EG20">
        <v>1.2999999999999999E-2</v>
      </c>
      <c r="EH20">
        <v>-0.67800000000000005</v>
      </c>
      <c r="EI20">
        <v>0.109</v>
      </c>
      <c r="EJ20">
        <v>410</v>
      </c>
      <c r="EK20">
        <v>19</v>
      </c>
      <c r="EL20">
        <v>0.89</v>
      </c>
      <c r="EM20">
        <v>0.26</v>
      </c>
      <c r="EN20">
        <v>100</v>
      </c>
      <c r="EO20">
        <v>100</v>
      </c>
      <c r="EP20">
        <v>-0.67800000000000005</v>
      </c>
      <c r="EQ20">
        <v>0.109</v>
      </c>
      <c r="ER20">
        <v>-1.067282437622713</v>
      </c>
      <c r="ES20">
        <v>-1.5763494849013591E-5</v>
      </c>
      <c r="ET20">
        <v>2.5737299311383258E-6</v>
      </c>
      <c r="EU20">
        <v>-5.4755643384777521E-10</v>
      </c>
      <c r="EV20">
        <v>9.5755000000004031E-2</v>
      </c>
      <c r="EW20">
        <v>0</v>
      </c>
      <c r="EX20">
        <v>0</v>
      </c>
      <c r="EY20">
        <v>0</v>
      </c>
      <c r="EZ20">
        <v>21</v>
      </c>
      <c r="FA20">
        <v>1995</v>
      </c>
      <c r="FB20">
        <v>1</v>
      </c>
      <c r="FC20">
        <v>16</v>
      </c>
      <c r="FD20">
        <v>2.2000000000000002</v>
      </c>
      <c r="FE20">
        <v>2.1</v>
      </c>
      <c r="FF20">
        <v>1.0778799999999999</v>
      </c>
      <c r="FG20">
        <v>2.6232899999999999</v>
      </c>
      <c r="FH20">
        <v>1.39771</v>
      </c>
      <c r="FI20">
        <v>2.2644000000000002</v>
      </c>
      <c r="FJ20">
        <v>1.3952599999999999</v>
      </c>
      <c r="FK20">
        <v>2.63794</v>
      </c>
      <c r="FL20">
        <v>34.967399999999998</v>
      </c>
      <c r="FM20">
        <v>15.375400000000001</v>
      </c>
      <c r="FN20">
        <v>18</v>
      </c>
      <c r="FO20">
        <v>593.09100000000001</v>
      </c>
      <c r="FP20">
        <v>377.92899999999997</v>
      </c>
      <c r="FQ20">
        <v>25.6783</v>
      </c>
      <c r="FR20">
        <v>27.359300000000001</v>
      </c>
      <c r="FS20">
        <v>30.000399999999999</v>
      </c>
      <c r="FT20">
        <v>27.189499999999999</v>
      </c>
      <c r="FU20">
        <v>27.546700000000001</v>
      </c>
      <c r="FV20">
        <v>21.604199999999999</v>
      </c>
      <c r="FW20">
        <v>0</v>
      </c>
      <c r="FX20">
        <v>93.768500000000003</v>
      </c>
      <c r="FY20">
        <v>-999.9</v>
      </c>
      <c r="FZ20">
        <v>410</v>
      </c>
      <c r="GA20">
        <v>19.380700000000001</v>
      </c>
      <c r="GB20">
        <v>98.694500000000005</v>
      </c>
      <c r="GC20">
        <v>93.283799999999999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Victoria Conrad</cp:lastModifiedBy>
  <dcterms:created xsi:type="dcterms:W3CDTF">2023-08-29T18:30:28Z</dcterms:created>
  <dcterms:modified xsi:type="dcterms:W3CDTF">2023-09-05T00:58:13Z</dcterms:modified>
</cp:coreProperties>
</file>