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<sst xmlns="http://schemas.openxmlformats.org/spreadsheetml/2006/main" count="830" uniqueCount="372">
  <si>
    <t>File opened</t>
  </si>
  <si>
    <t>2023-08-29 09:33:58</t>
  </si>
  <si>
    <t>Console s/n</t>
  </si>
  <si>
    <t>68C-022458</t>
  </si>
  <si>
    <t>Console ver</t>
  </si>
  <si>
    <t>Bluestem v.2.1.08</t>
  </si>
  <si>
    <t>Scripts ver</t>
  </si>
  <si>
    <t>2022.05  2.1.08, Aug 2022</t>
  </si>
  <si>
    <t>Head s/n</t>
  </si>
  <si>
    <t>68H-422448</t>
  </si>
  <si>
    <t>Head ver</t>
  </si>
  <si>
    <t>1.4.22</t>
  </si>
  <si>
    <t>Head cal</t>
  </si>
  <si>
    <t>{"oxygen": "21", "co2azero": "0.969042", "co2aspan1": "0.997776", "co2aspan2": "-0.0122067", "co2aspan2a": "0.309777", "co2aspan2b": "0.307917", "co2aspanconc1": "2499", "co2aspanconc2": "292", "co2bzero": "0.949436", "co2bspan1": "0.998745", "co2bspan2": "-0.0117233", "co2bspan2a": "0.309871", "co2bspan2b": "0.308357", "co2bspanconc1": "2499", "co2bspanconc2": "292", "h2oazero": "1.12554", "h2oaspan1": "1.0119", "h2oaspan2": "0", "h2oaspan2a": "0.070478", "h2oaspan2b": "0.0713164", "h2oaspanconc1": "12.04", "h2oaspanconc2": "0", "h2obzero": "1.13076", "h2obspan1": "1.01489", "h2obspan2": "0", "h2obspan2a": "0.0706723", "h2obspan2b": "0.0717244", "h2obspanconc1": "12.04", "h2obspanconc2": "0", "tazero": "0.0224037", "tbzero": "0.441185", "flowmeterzero": "2.51205", "flowazero": "0.331", "flowbzero": "0.289", "chamberpressurezero": "2.56904", "ssa_ref": "37596.3", "ssb_ref": "37460.5"}</t>
  </si>
  <si>
    <t>CO2 rangematch</t>
  </si>
  <si>
    <t>Fri Aug 25 08:34</t>
  </si>
  <si>
    <t>H2O rangematch</t>
  </si>
  <si>
    <t>Fri Aug 25 08:39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</si>
  <si>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</si>
  <si>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</si>
  <si>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</si>
  <si>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</si>
  <si>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</si>
  <si>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</si>
  <si>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</si>
  <si>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</si>
  <si>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</si>
  <si>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09:33:58</t>
  </si>
  <si>
    <t>Stability Definition:	ΔCO2 (Meas2): Slp&lt;1 Std&lt;0.1 Per=20	ΔH2O (Meas2): Slp&lt;1 Std&lt;0.1 Per=20	A (GasEx): Slp&lt;1 Std&lt;0.1 Per=20	gsw (GasEx): Slp&lt;1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</si>
  <si>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</si>
  <si>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</si>
  <si>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</si>
  <si>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</si>
  <si>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</si>
  <si>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</si>
  <si>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</si>
  <si>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</si>
  <si>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</si>
  <si>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</si>
  <si>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</si>
  <si>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</si>
  <si>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</si>
  <si>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</si>
  <si>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</si>
  <si>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</si>
  <si>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</si>
  <si>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</si>
  <si>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</si>
  <si>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</si>
  <si>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</si>
  <si>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</si>
  <si>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</si>
  <si>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</si>
  <si>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</si>
  <si>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</si>
  <si>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</si>
  <si>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</si>
  <si>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</si>
  <si>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</si>
  <si>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</si>
  <si>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</si>
  <si>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</si>
  <si>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</si>
  <si>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</si>
  <si>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</si>
  <si>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</si>
  <si>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</si>
  <si>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</si>
  <si>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</si>
  <si>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</si>
  <si>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</si>
  <si>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</si>
  <si>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</si>
  <si>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</si>
  <si>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</si>
  <si>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</si>
  <si>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</si>
  <si>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</si>
  <si>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</si>
  <si>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</si>
  <si>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2.6092 194.707 363.628 592.539 858.419 1028.01 1234.17 1356.82</t>
  </si>
  <si>
    <t>Fs_true</t>
  </si>
  <si>
    <t>-0.548831 218.034 387.776 593.205 805.241 1001.56 1201.19 1400.81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</si>
  <si>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</si>
  <si>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</si>
  <si>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</si>
  <si>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</si>
  <si>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</si>
  <si>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</si>
  <si>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</si>
  <si>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</si>
  <si>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</si>
  <si>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</si>
  <si>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</si>
  <si>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</si>
  <si>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</si>
  <si>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</si>
  <si>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</si>
  <si>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</si>
  <si>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</si>
  <si>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</si>
  <si>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</si>
  <si>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</si>
  <si>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</si>
  <si>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</si>
  <si>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Group name</t>
  </si>
  <si>
    <t>Control v transgenic</t>
  </si>
  <si>
    <t>Genotype</t>
  </si>
  <si>
    <t>Leaf number</t>
  </si>
  <si>
    <t>Plant age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</si>
  <si>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</si>
  <si>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</si>
  <si>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</si>
  <si>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</si>
  <si>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</si>
  <si>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</si>
  <si>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</si>
  <si>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</si>
  <si>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</si>
  <si>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</si>
  <si>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</si>
  <si>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</si>
  <si>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</si>
  <si>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</si>
  <si>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</si>
  <si>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</si>
  <si>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</si>
  <si>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</si>
  <si>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</si>
  <si>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</si>
  <si>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</si>
  <si>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</si>
  <si>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</si>
  <si>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</si>
  <si>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</si>
  <si>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</si>
  <si>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</si>
  <si>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</si>
  <si>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</si>
  <si>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</si>
  <si>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</si>
  <si>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</si>
  <si>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</si>
  <si>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</si>
  <si>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</si>
  <si>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</si>
  <si>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</si>
  <si>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</si>
  <si>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</si>
  <si>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</si>
  <si>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</si>
  <si>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</si>
  <si>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</si>
  <si>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</si>
  <si>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</si>
  <si>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</si>
  <si>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</si>
  <si>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</si>
  <si>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</si>
  <si>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</si>
  <si>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</si>
  <si>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</si>
  <si>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</si>
  <si>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</si>
  <si>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</si>
  <si>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</si>
  <si>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</si>
  <si>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</si>
  <si>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</si>
  <si>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</si>
  <si>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</si>
  <si>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</si>
  <si>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</si>
  <si>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</si>
  <si>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</si>
  <si>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</si>
  <si>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</si>
  <si>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</si>
  <si>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</si>
  <si>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</si>
  <si>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</si>
  <si>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</si>
  <si>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</si>
  <si>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</si>
  <si>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</si>
  <si>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</si>
  <si>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</si>
  <si>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</si>
  <si>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</si>
  <si>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</si>
  <si>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</si>
  <si>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</si>
  <si>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</si>
  <si>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</si>
  <si>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</si>
  <si>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</si>
  <si>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</si>
  <si>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</si>
  <si>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</si>
  <si>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</si>
  <si>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</si>
  <si>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</si>
  <si>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</si>
  <si>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</si>
  <si>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</si>
  <si>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</si>
  <si>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</si>
  <si>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</si>
  <si>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</si>
  <si>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</si>
  <si>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</si>
  <si>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</si>
  <si>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</si>
  <si>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</si>
  <si>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</si>
  <si>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</si>
  <si>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</si>
  <si>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</si>
  <si>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</si>
  <si>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</si>
  <si>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</si>
  <si>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</si>
  <si>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</si>
  <si>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</si>
  <si>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</si>
  <si>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</si>
  <si>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</si>
  <si>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</si>
  <si>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</si>
  <si>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</si>
  <si>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</si>
  <si>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</si>
  <si>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</si>
  <si>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</si>
  <si>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</si>
  <si>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</si>
  <si>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</si>
  <si>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</si>
  <si>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</si>
  <si>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</si>
  <si>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</si>
  <si>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</si>
  <si>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</si>
  <si>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</si>
  <si>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</si>
  <si>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</si>
  <si>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</si>
  <si>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</si>
  <si>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</si>
  <si>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</si>
  <si>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</si>
  <si>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</si>
  <si>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</si>
  <si>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</si>
  <si>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</si>
  <si>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</si>
  <si>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</si>
  <si>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</si>
  <si>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</si>
  <si>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</si>
  <si>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</si>
  <si>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</si>
  <si>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</si>
  <si>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</si>
  <si>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</si>
  <si>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</si>
  <si>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</si>
  <si>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</si>
  <si>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</si>
  <si>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</si>
  <si>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</si>
  <si>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</si>
  <si>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</si>
  <si>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</si>
  <si>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</si>
  <si>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</si>
  <si>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</si>
  <si>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</si>
  <si>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</si>
  <si>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</si>
  <si>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</si>
  <si>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weeks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</si>
  <si>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</si>
  <si>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</si>
  <si>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</si>
  <si>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</si>
  <si>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</si>
  <si>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</si>
  <si>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</si>
  <si>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</si>
  <si>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</si>
  <si>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</si>
  <si>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</si>
  <si>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</si>
  <si>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</si>
  <si>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</si>
  <si>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</si>
  <si>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</si>
  <si>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</si>
  <si>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</si>
  <si>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</si>
  <si>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</si>
  <si>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</si>
  <si>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</si>
  <si>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</si>
  <si>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20230829 09:52:52</t>
  </si>
  <si>
    <t>09:52:52</t>
  </si>
  <si>
    <t>Control</t>
  </si>
  <si>
    <t>RECT-1072-20230829-09_52_55</t>
  </si>
  <si>
    <t>-</t>
  </si>
  <si>
    <t>0: Broadleaf</t>
  </si>
  <si>
    <t>09:53:20</t>
  </si>
  <si>
    <t>20230829 09:56:08</t>
  </si>
  <si>
    <t>09:56:08</t>
  </si>
  <si>
    <t>RECT-1073-20230829-09_56_11</t>
  </si>
  <si>
    <t>09:56:45</t>
  </si>
  <si>
    <t>20230829 10:00:15</t>
  </si>
  <si>
    <t>10:00:15</t>
  </si>
  <si>
    <t>RECT-1074-20230829-10_00_17</t>
  </si>
  <si>
    <t>10:00:40</t>
  </si>
  <si>
    <t>20230829 10:02:57</t>
  </si>
  <si>
    <t>10:02:57</t>
  </si>
  <si>
    <t>RECT-1075-20230829-10_02_59</t>
  </si>
  <si>
    <t>10:03:19</t>
  </si>
  <si>
    <t>20230829 10:05:11</t>
  </si>
  <si>
    <t>10:05:11</t>
  </si>
  <si>
    <t>RECT-1076-20230829-10_05_13</t>
  </si>
  <si>
    <t>10:05:31</t>
  </si>
  <si>
    <t>20230829 10:07:20</t>
  </si>
  <si>
    <t>10:07:20</t>
  </si>
  <si>
    <t>RECT-1077-20230829-10_07_22</t>
  </si>
  <si>
    <t>10:07:51</t>
  </si>
  <si>
    <t>20230829 10:11:21</t>
  </si>
  <si>
    <t>10:11:21</t>
  </si>
  <si>
    <t>RECT-1078-20230829-10_11_23</t>
  </si>
  <si>
    <t>10:11:42</t>
  </si>
  <si>
    <t>20230829 10:13:34</t>
  </si>
  <si>
    <t>10:13:34</t>
  </si>
  <si>
    <t>RECT-1079-20230829-10_13_36</t>
  </si>
  <si>
    <t>10:13:57</t>
  </si>
  <si>
    <t>20230829 10:15:43</t>
  </si>
  <si>
    <t>10:15:43</t>
  </si>
  <si>
    <t>RECT-1080-20230829-10_15_45</t>
  </si>
  <si>
    <t>10:16:12</t>
  </si>
  <si>
    <t>20230829 10:18:06</t>
  </si>
  <si>
    <t>10:18:06</t>
  </si>
  <si>
    <t>RECT-1081-20230829-10_18_09</t>
  </si>
  <si>
    <t>10:18:30</t>
  </si>
  <si>
    <t>20230829 10:21:19</t>
  </si>
  <si>
    <t>10:21:19</t>
  </si>
  <si>
    <t>RECT-1082-20230829-10_21_22</t>
  </si>
  <si>
    <t>10:22:00</t>
  </si>
  <si>
    <t>20230829 10:24:17</t>
  </si>
  <si>
    <t>10:24:17</t>
  </si>
  <si>
    <t>RECT-1083-20230829-10_24_20</t>
  </si>
  <si>
    <t>10:24:43</t>
  </si>
  <si>
    <t>20230829 10:27:06</t>
  </si>
  <si>
    <t>10:27:06</t>
  </si>
  <si>
    <t>RECT-1084-20230829-10_27_08</t>
  </si>
  <si>
    <t>10:27:38</t>
  </si>
  <si>
    <t>20230829 10:29:54</t>
  </si>
  <si>
    <t>10:29:54</t>
  </si>
  <si>
    <t>RECT-1085-20230829-10_29_56</t>
  </si>
  <si>
    <t>10:30:34</t>
  </si>
  <si>
    <t>20230829 10:32:15</t>
  </si>
  <si>
    <t>10:32:15</t>
  </si>
  <si>
    <t>RECT-1086-20230829-10_32_18</t>
  </si>
  <si>
    <t>10:32:41</t>
  </si>
  <si>
    <t>20230829 10:34:43</t>
  </si>
  <si>
    <t>10:34:43</t>
  </si>
  <si>
    <t>RECT-1087-20230829-10_34_45</t>
  </si>
  <si>
    <t>10:35:01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</si>
</sst>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C32"/>
  <sheetViews>
    <sheetView tabSelected="1" workbookViewId="0"/>
  </sheetViews>
  <sheetFormatPr defaultRowHeight="15"/>
  <sheetData>
    <row r="2" spans="1:185">
      <c r="A2" t="s">
        <v>29</v>
      </c>
      <c r="B2" t="s">
        <v>30</v>
      </c>
      <c r="C2" t="s">
        <v>31</v>
      </c>
    </row>
    <row r="3" spans="1:185">
      <c r="B3">
        <v>4</v>
      </c>
      <c r="C3">
        <v>21</v>
      </c>
    </row>
    <row r="4" spans="1:185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185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185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185">
      <c r="B7">
        <v>0</v>
      </c>
      <c r="C7">
        <v>1</v>
      </c>
      <c r="D7">
        <v>0</v>
      </c>
      <c r="E7">
        <v>0</v>
      </c>
    </row>
    <row r="8" spans="1:185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185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5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185">
      <c r="B11">
        <v>0</v>
      </c>
      <c r="C11">
        <v>0</v>
      </c>
      <c r="D11">
        <v>0</v>
      </c>
      <c r="E11">
        <v>0</v>
      </c>
      <c r="F11">
        <v>1</v>
      </c>
    </row>
    <row r="12" spans="1:185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185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185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</row>
    <row r="15" spans="1:185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132</v>
      </c>
      <c r="AI15" t="s">
        <v>133</v>
      </c>
      <c r="AJ15" t="s">
        <v>134</v>
      </c>
      <c r="AK15" t="s">
        <v>135</v>
      </c>
      <c r="AL15" t="s">
        <v>136</v>
      </c>
      <c r="AM15" t="s">
        <v>137</v>
      </c>
      <c r="AN15" t="s">
        <v>138</v>
      </c>
      <c r="AO15" t="s">
        <v>139</v>
      </c>
      <c r="AP15" t="s">
        <v>140</v>
      </c>
      <c r="AQ15" t="s">
        <v>141</v>
      </c>
      <c r="AR15" t="s">
        <v>142</v>
      </c>
      <c r="AS15" t="s">
        <v>143</v>
      </c>
      <c r="AT15" t="s">
        <v>144</v>
      </c>
      <c r="AU15" t="s">
        <v>145</v>
      </c>
      <c r="AV15" t="s">
        <v>88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172</v>
      </c>
      <c r="BX15" t="s">
        <v>173</v>
      </c>
      <c r="BY15" t="s">
        <v>174</v>
      </c>
      <c r="BZ15" t="s">
        <v>175</v>
      </c>
      <c r="CA15" t="s">
        <v>176</v>
      </c>
      <c r="CB15" t="s">
        <v>177</v>
      </c>
      <c r="CC15" t="s">
        <v>178</v>
      </c>
      <c r="CD15" t="s">
        <v>179</v>
      </c>
      <c r="CE15" t="s">
        <v>180</v>
      </c>
      <c r="CF15" t="s">
        <v>181</v>
      </c>
      <c r="CG15" t="s">
        <v>182</v>
      </c>
      <c r="CH15" t="s">
        <v>183</v>
      </c>
      <c r="CI15" t="s">
        <v>184</v>
      </c>
      <c r="CJ15" t="s">
        <v>185</v>
      </c>
      <c r="CK15" t="s">
        <v>186</v>
      </c>
      <c r="CL15" t="s">
        <v>110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100</v>
      </c>
      <c r="EB15" t="s">
        <v>103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</row>
    <row r="16" spans="1:185">
      <c r="B16" t="s">
        <v>280</v>
      </c>
      <c r="C16" t="s">
        <v>280</v>
      </c>
      <c r="F16" t="s">
        <v>280</v>
      </c>
      <c r="K16" t="s">
        <v>281</v>
      </c>
      <c r="L16" t="s">
        <v>280</v>
      </c>
      <c r="M16" t="s">
        <v>282</v>
      </c>
      <c r="N16" t="s">
        <v>283</v>
      </c>
      <c r="O16" t="s">
        <v>284</v>
      </c>
      <c r="P16" t="s">
        <v>285</v>
      </c>
      <c r="Q16" t="s">
        <v>285</v>
      </c>
      <c r="R16" t="s">
        <v>194</v>
      </c>
      <c r="S16" t="s">
        <v>194</v>
      </c>
      <c r="T16" t="s">
        <v>282</v>
      </c>
      <c r="U16" t="s">
        <v>282</v>
      </c>
      <c r="V16" t="s">
        <v>282</v>
      </c>
      <c r="W16" t="s">
        <v>282</v>
      </c>
      <c r="X16" t="s">
        <v>286</v>
      </c>
      <c r="Y16" t="s">
        <v>287</v>
      </c>
      <c r="Z16" t="s">
        <v>287</v>
      </c>
      <c r="AA16" t="s">
        <v>288</v>
      </c>
      <c r="AB16" t="s">
        <v>289</v>
      </c>
      <c r="AC16" t="s">
        <v>288</v>
      </c>
      <c r="AD16" t="s">
        <v>288</v>
      </c>
      <c r="AE16" t="s">
        <v>288</v>
      </c>
      <c r="AF16" t="s">
        <v>286</v>
      </c>
      <c r="AG16" t="s">
        <v>286</v>
      </c>
      <c r="AH16" t="s">
        <v>286</v>
      </c>
      <c r="AI16" t="s">
        <v>286</v>
      </c>
      <c r="AJ16" t="s">
        <v>284</v>
      </c>
      <c r="AK16" t="s">
        <v>283</v>
      </c>
      <c r="AL16" t="s">
        <v>284</v>
      </c>
      <c r="AM16" t="s">
        <v>285</v>
      </c>
      <c r="AN16" t="s">
        <v>285</v>
      </c>
      <c r="AO16" t="s">
        <v>290</v>
      </c>
      <c r="AP16" t="s">
        <v>291</v>
      </c>
      <c r="AQ16" t="s">
        <v>283</v>
      </c>
      <c r="AR16" t="s">
        <v>292</v>
      </c>
      <c r="AS16" t="s">
        <v>292</v>
      </c>
      <c r="AT16" t="s">
        <v>293</v>
      </c>
      <c r="AU16" t="s">
        <v>291</v>
      </c>
      <c r="AV16" t="s">
        <v>294</v>
      </c>
      <c r="AW16" t="s">
        <v>289</v>
      </c>
      <c r="AY16" t="s">
        <v>289</v>
      </c>
      <c r="AZ16" t="s">
        <v>294</v>
      </c>
      <c r="BF16" t="s">
        <v>284</v>
      </c>
      <c r="BM16" t="s">
        <v>284</v>
      </c>
      <c r="BN16" t="s">
        <v>284</v>
      </c>
      <c r="BO16" t="s">
        <v>284</v>
      </c>
      <c r="BP16" t="s">
        <v>295</v>
      </c>
      <c r="CC16" t="s">
        <v>284</v>
      </c>
      <c r="CD16" t="s">
        <v>284</v>
      </c>
      <c r="CF16" t="s">
        <v>296</v>
      </c>
      <c r="CG16" t="s">
        <v>297</v>
      </c>
      <c r="CJ16" t="s">
        <v>282</v>
      </c>
      <c r="CL16" t="s">
        <v>280</v>
      </c>
      <c r="CM16" t="s">
        <v>285</v>
      </c>
      <c r="CN16" t="s">
        <v>285</v>
      </c>
      <c r="CO16" t="s">
        <v>292</v>
      </c>
      <c r="CP16" t="s">
        <v>292</v>
      </c>
      <c r="CQ16" t="s">
        <v>285</v>
      </c>
      <c r="CR16" t="s">
        <v>292</v>
      </c>
      <c r="CS16" t="s">
        <v>294</v>
      </c>
      <c r="CT16" t="s">
        <v>288</v>
      </c>
      <c r="CU16" t="s">
        <v>288</v>
      </c>
      <c r="CV16" t="s">
        <v>287</v>
      </c>
      <c r="CW16" t="s">
        <v>287</v>
      </c>
      <c r="CX16" t="s">
        <v>287</v>
      </c>
      <c r="CY16" t="s">
        <v>287</v>
      </c>
      <c r="CZ16" t="s">
        <v>287</v>
      </c>
      <c r="DA16" t="s">
        <v>298</v>
      </c>
      <c r="DB16" t="s">
        <v>284</v>
      </c>
      <c r="DC16" t="s">
        <v>284</v>
      </c>
      <c r="DD16" t="s">
        <v>284</v>
      </c>
      <c r="DI16" t="s">
        <v>284</v>
      </c>
      <c r="DL16" t="s">
        <v>287</v>
      </c>
      <c r="DM16" t="s">
        <v>287</v>
      </c>
      <c r="DN16" t="s">
        <v>287</v>
      </c>
      <c r="DO16" t="s">
        <v>287</v>
      </c>
      <c r="DP16" t="s">
        <v>287</v>
      </c>
      <c r="DQ16" t="s">
        <v>284</v>
      </c>
      <c r="DR16" t="s">
        <v>284</v>
      </c>
      <c r="DS16" t="s">
        <v>284</v>
      </c>
      <c r="DT16" t="s">
        <v>280</v>
      </c>
      <c r="DW16" t="s">
        <v>299</v>
      </c>
      <c r="DX16" t="s">
        <v>299</v>
      </c>
      <c r="DZ16" t="s">
        <v>280</v>
      </c>
      <c r="EA16" t="s">
        <v>300</v>
      </c>
      <c r="EC16" t="s">
        <v>280</v>
      </c>
      <c r="ED16" t="s">
        <v>280</v>
      </c>
      <c r="EF16" t="s">
        <v>301</v>
      </c>
      <c r="EG16" t="s">
        <v>302</v>
      </c>
      <c r="EH16" t="s">
        <v>301</v>
      </c>
      <c r="EI16" t="s">
        <v>302</v>
      </c>
      <c r="EJ16" t="s">
        <v>301</v>
      </c>
      <c r="EK16" t="s">
        <v>302</v>
      </c>
      <c r="EL16" t="s">
        <v>289</v>
      </c>
      <c r="EM16" t="s">
        <v>289</v>
      </c>
      <c r="EN16" t="s">
        <v>289</v>
      </c>
      <c r="EO16" t="s">
        <v>289</v>
      </c>
      <c r="EP16" t="s">
        <v>301</v>
      </c>
      <c r="EQ16" t="s">
        <v>302</v>
      </c>
      <c r="ER16" t="s">
        <v>302</v>
      </c>
      <c r="EV16" t="s">
        <v>302</v>
      </c>
      <c r="EZ16" t="s">
        <v>285</v>
      </c>
      <c r="FA16" t="s">
        <v>285</v>
      </c>
      <c r="FB16" t="s">
        <v>292</v>
      </c>
      <c r="FC16" t="s">
        <v>292</v>
      </c>
      <c r="FD16" t="s">
        <v>303</v>
      </c>
      <c r="FE16" t="s">
        <v>303</v>
      </c>
      <c r="FF16" t="s">
        <v>304</v>
      </c>
      <c r="FG16" t="s">
        <v>304</v>
      </c>
      <c r="FH16" t="s">
        <v>304</v>
      </c>
      <c r="FI16" t="s">
        <v>304</v>
      </c>
      <c r="FJ16" t="s">
        <v>304</v>
      </c>
      <c r="FK16" t="s">
        <v>304</v>
      </c>
      <c r="FL16" t="s">
        <v>287</v>
      </c>
      <c r="FM16" t="s">
        <v>304</v>
      </c>
      <c r="FO16" t="s">
        <v>294</v>
      </c>
      <c r="FP16" t="s">
        <v>294</v>
      </c>
      <c r="FQ16" t="s">
        <v>287</v>
      </c>
      <c r="FR16" t="s">
        <v>287</v>
      </c>
      <c r="FS16" t="s">
        <v>287</v>
      </c>
      <c r="FT16" t="s">
        <v>287</v>
      </c>
      <c r="FU16" t="s">
        <v>287</v>
      </c>
      <c r="FV16" t="s">
        <v>289</v>
      </c>
      <c r="FW16" t="s">
        <v>289</v>
      </c>
      <c r="FX16" t="s">
        <v>289</v>
      </c>
      <c r="FY16" t="s">
        <v>287</v>
      </c>
      <c r="FZ16" t="s">
        <v>285</v>
      </c>
      <c r="GA16" t="s">
        <v>292</v>
      </c>
      <c r="GB16" t="s">
        <v>289</v>
      </c>
      <c r="GC16" t="s">
        <v>289</v>
      </c>
    </row>
    <row r="17" spans="1:185">
      <c r="A17">
        <v>1</v>
      </c>
      <c r="B17">
        <v>1693327972.5</v>
      </c>
      <c r="C17">
        <v>0</v>
      </c>
      <c r="D17" t="s">
        <v>305</v>
      </c>
      <c r="E17" t="s">
        <v>306</v>
      </c>
      <c r="F17">
        <v>5</v>
      </c>
      <c r="H17" t="s">
        <v>307</v>
      </c>
      <c r="L17">
        <v>1693327964.75</v>
      </c>
      <c r="M17">
        <f>(N17)/1000</f>
        <v>0</v>
      </c>
      <c r="N17">
        <f>IF(CK17, AQ17, AK17)</f>
        <v>0</v>
      </c>
      <c r="O17">
        <f>IF(CK17, AL17, AJ17)</f>
        <v>0</v>
      </c>
      <c r="P17">
        <f>CM17 - IF(AX17&gt;1, O17*CG17*100.0/(AZ17*DA17), 0)</f>
        <v>0</v>
      </c>
      <c r="Q17">
        <f>((W17-M17/2)*P17-O17)/(W17+M17/2)</f>
        <v>0</v>
      </c>
      <c r="R17">
        <f>Q17*(CT17+CU17)/1000.0</f>
        <v>0</v>
      </c>
      <c r="S17">
        <f>(CM17 - IF(AX17&gt;1, O17*CG17*100.0/(AZ17*DA17), 0))*(CT17+CU17)/1000.0</f>
        <v>0</v>
      </c>
      <c r="T17">
        <f>2.0/((1/V17-1/U17)+SIGN(V17)*SQRT((1/V17-1/U17)*(1/V17-1/U17) + 4*CH17/((CH17+1)*(CH17+1))*(2*1/V17*1/U17-1/U17*1/U17)))</f>
        <v>0</v>
      </c>
      <c r="U17">
        <f>IF(LEFT(CI17,1)&lt;&gt;"0",IF(LEFT(CI17,1)="1",3.0,CJ17),$D$5+$E$5*(DA17*CT17/($K$5*1000))+$F$5*(DA17*CT17/($K$5*1000))*MAX(MIN(CG17,$J$5),$I$5)*MAX(MIN(CG17,$J$5),$I$5)+$G$5*MAX(MIN(CG17,$J$5),$I$5)*(DA17*CT17/($K$5*1000))+$H$5*(DA17*CT17/($K$5*1000))*(DA17*CT17/($K$5*1000)))</f>
        <v>0</v>
      </c>
      <c r="V17">
        <f>M17*(1000-(1000*0.61365*exp(17.502*Z17/(240.97+Z17))/(CT17+CU17)+CO17)/2)/(1000*0.61365*exp(17.502*Z17/(240.97+Z17))/(CT17+CU17)-CO17)</f>
        <v>0</v>
      </c>
      <c r="W17">
        <f>1/((CH17+1)/(T17/1.6)+1/(U17/1.37)) + CH17/((CH17+1)/(T17/1.6) + CH17/(U17/1.37))</f>
        <v>0</v>
      </c>
      <c r="X17">
        <f>(CC17*CF17)</f>
        <v>0</v>
      </c>
      <c r="Y17">
        <f>(CV17+(X17+2*0.95*5.67E-8*(((CV17+$B$7)+273)^4-(CV17+273)^4)-44100*M17)/(1.84*29.3*U17+8*0.95*5.67E-8*(CV17+273)^3))</f>
        <v>0</v>
      </c>
      <c r="Z17">
        <f>($C$7*CW17+$D$7*CX17+$E$7*Y17)</f>
        <v>0</v>
      </c>
      <c r="AA17">
        <f>0.61365*exp(17.502*Z17/(240.97+Z17))</f>
        <v>0</v>
      </c>
      <c r="AB17">
        <f>(AC17/AD17*100)</f>
        <v>0</v>
      </c>
      <c r="AC17">
        <f>CO17*(CT17+CU17)/1000</f>
        <v>0</v>
      </c>
      <c r="AD17">
        <f>0.61365*exp(17.502*CV17/(240.97+CV17))</f>
        <v>0</v>
      </c>
      <c r="AE17">
        <f>(AA17-CO17*(CT17+CU17)/1000)</f>
        <v>0</v>
      </c>
      <c r="AF17">
        <f>(-M17*44100)</f>
        <v>0</v>
      </c>
      <c r="AG17">
        <f>2*29.3*U17*0.92*(CV17-Z17)</f>
        <v>0</v>
      </c>
      <c r="AH17">
        <f>2*0.95*5.67E-8*(((CV17+$B$7)+273)^4-(Z17+273)^4)</f>
        <v>0</v>
      </c>
      <c r="AI17">
        <f>X17+AH17+AF17+AG17</f>
        <v>0</v>
      </c>
      <c r="AJ17">
        <f>CS17*AX17*(CN17-CM17*(1000-AX17*CP17)/(1000-AX17*CO17))/(100*CG17)</f>
        <v>0</v>
      </c>
      <c r="AK17">
        <f>1000*CS17*AX17*(CO17-CP17)/(100*CG17*(1000-AX17*CO17))</f>
        <v>0</v>
      </c>
      <c r="AL17">
        <f>(AM17 - AN17 - CT17*1E3/(8.314*(CV17+273.15)) * AP17/CS17 * AO17) * CS17/(100*CG17) * (1000 - CP17)/1000</f>
        <v>0</v>
      </c>
      <c r="AM17">
        <v>413.462141825309</v>
      </c>
      <c r="AN17">
        <v>414.9183515151515</v>
      </c>
      <c r="AO17">
        <v>-0.01316248431322986</v>
      </c>
      <c r="AP17">
        <v>67.25978969160076</v>
      </c>
      <c r="AQ17">
        <f>(AS17 - AR17 + CT17*1E3/(8.314*(CV17+273.15)) * AU17/CS17 * AT17) * CS17/(100*CG17) * 1000/(1000 - AS17)</f>
        <v>0</v>
      </c>
      <c r="AR17">
        <v>9.855328214958131</v>
      </c>
      <c r="AS17">
        <v>13.26467757575757</v>
      </c>
      <c r="AT17">
        <v>3.423825293765682E-07</v>
      </c>
      <c r="AU17">
        <v>78.45519559958677</v>
      </c>
      <c r="AV17">
        <v>16</v>
      </c>
      <c r="AW17">
        <v>3</v>
      </c>
      <c r="AX17">
        <f>IF(AV17*$H$13&gt;=AZ17,1.0,(AZ17/(AZ17-AV17*$H$13)))</f>
        <v>0</v>
      </c>
      <c r="AY17">
        <f>(AX17-1)*100</f>
        <v>0</v>
      </c>
      <c r="AZ17">
        <f>MAX(0,($B$13+$C$13*DA17)/(1+$D$13*DA17)*CT17/(CV17+273)*$E$13)</f>
        <v>0</v>
      </c>
      <c r="BA17" t="s">
        <v>308</v>
      </c>
      <c r="BB17">
        <v>8137.72</v>
      </c>
      <c r="BC17">
        <v>552.3679999999999</v>
      </c>
      <c r="BD17">
        <v>3024.52</v>
      </c>
      <c r="BE17">
        <f>1-BC17/BD17</f>
        <v>0</v>
      </c>
      <c r="BF17">
        <v>-1.923397113335609</v>
      </c>
      <c r="BG17" t="s">
        <v>309</v>
      </c>
      <c r="BH17" t="s">
        <v>309</v>
      </c>
      <c r="BI17">
        <v>0</v>
      </c>
      <c r="BJ17">
        <v>0</v>
      </c>
      <c r="BK17">
        <f>1-BI17/BJ17</f>
        <v>0</v>
      </c>
      <c r="BL17">
        <v>0.5</v>
      </c>
      <c r="BM17">
        <f>CD17</f>
        <v>0</v>
      </c>
      <c r="BN17">
        <f>O17</f>
        <v>0</v>
      </c>
      <c r="BO17">
        <f>BK17*BL17*BM17</f>
        <v>0</v>
      </c>
      <c r="BP17">
        <f>(BN17-BF17)/BM17</f>
        <v>0</v>
      </c>
      <c r="BQ17">
        <f>(BD17-BJ17)/BJ17</f>
        <v>0</v>
      </c>
      <c r="BR17">
        <f>BC17/(BE17+BC17/BJ17)</f>
        <v>0</v>
      </c>
      <c r="BS17" t="s">
        <v>309</v>
      </c>
      <c r="BT17">
        <v>0</v>
      </c>
      <c r="BU17">
        <f>IF(BT17&lt;&gt;0, BT17, BR17)</f>
        <v>0</v>
      </c>
      <c r="BV17">
        <f>1-BU17/BJ17</f>
        <v>0</v>
      </c>
      <c r="BW17">
        <f>(BJ17-BI17)/(BJ17-BU17)</f>
        <v>0</v>
      </c>
      <c r="BX17">
        <f>(BD17-BJ17)/(BD17-BU17)</f>
        <v>0</v>
      </c>
      <c r="BY17">
        <f>(BJ17-BI17)/(BJ17-BC17)</f>
        <v>0</v>
      </c>
      <c r="BZ17">
        <f>(BD17-BJ17)/(BD17-BC17)</f>
        <v>0</v>
      </c>
      <c r="CA17">
        <f>(BW17*BU17/BI17)</f>
        <v>0</v>
      </c>
      <c r="CB17">
        <f>(1-CA17)</f>
        <v>0</v>
      </c>
      <c r="CC17">
        <f>$B$11*DB17+$C$11*DC17+$F$11*DD17*(1-DG17)</f>
        <v>0</v>
      </c>
      <c r="CD17">
        <f>CC17*CE17</f>
        <v>0</v>
      </c>
      <c r="CE17">
        <f>($B$11*$D$9+$C$11*$D$9+$F$11*((DQ17+DI17)/MAX(DQ17+DI17+DR17, 0.1)*$I$9+DR17/MAX(DQ17+DI17+DR17, 0.1)*$J$9))/($B$11+$C$11+$F$11)</f>
        <v>0</v>
      </c>
      <c r="CF17">
        <f>($B$11*$K$9+$C$11*$K$9+$F$11*((DQ17+DI17)/MAX(DQ17+DI17+DR17, 0.1)*$P$9+DR17/MAX(DQ17+DI17+DR17, 0.1)*$Q$9))/($B$11+$C$11+$F$11)</f>
        <v>0</v>
      </c>
      <c r="CG17">
        <v>6</v>
      </c>
      <c r="CH17">
        <v>0.5</v>
      </c>
      <c r="CI17" t="s">
        <v>310</v>
      </c>
      <c r="CJ17">
        <v>2</v>
      </c>
      <c r="CK17" t="b">
        <v>0</v>
      </c>
      <c r="CL17">
        <v>1693327964.75</v>
      </c>
      <c r="CM17">
        <v>409.9038</v>
      </c>
      <c r="CN17">
        <v>409.3682666666666</v>
      </c>
      <c r="CO17">
        <v>13.20148</v>
      </c>
      <c r="CP17">
        <v>9.860623333333331</v>
      </c>
      <c r="CQ17">
        <v>410.4458</v>
      </c>
      <c r="CR17">
        <v>13.23748</v>
      </c>
      <c r="CS17">
        <v>600.0354333333332</v>
      </c>
      <c r="CT17">
        <v>101.5842</v>
      </c>
      <c r="CU17">
        <v>0.10014903</v>
      </c>
      <c r="CV17">
        <v>22.96172666666666</v>
      </c>
      <c r="CW17">
        <v>21.95072666666666</v>
      </c>
      <c r="CX17">
        <v>999.9000000000002</v>
      </c>
      <c r="CY17">
        <v>0</v>
      </c>
      <c r="CZ17">
        <v>0</v>
      </c>
      <c r="DA17">
        <v>10001.14366666667</v>
      </c>
      <c r="DB17">
        <v>0</v>
      </c>
      <c r="DC17">
        <v>282.8464</v>
      </c>
      <c r="DD17">
        <v>0.00500022</v>
      </c>
      <c r="DE17">
        <v>0</v>
      </c>
      <c r="DF17">
        <v>0</v>
      </c>
      <c r="DG17">
        <v>0</v>
      </c>
      <c r="DH17">
        <v>552.3199999999999</v>
      </c>
      <c r="DI17">
        <v>0.00500022</v>
      </c>
      <c r="DJ17">
        <v>124.4266666666667</v>
      </c>
      <c r="DK17">
        <v>-1.683333333333333</v>
      </c>
      <c r="DL17">
        <v>31.312</v>
      </c>
      <c r="DM17">
        <v>37.03513333333333</v>
      </c>
      <c r="DN17">
        <v>34.28513333333333</v>
      </c>
      <c r="DO17">
        <v>31.308</v>
      </c>
      <c r="DP17">
        <v>33.08716666666667</v>
      </c>
      <c r="DQ17">
        <v>0</v>
      </c>
      <c r="DR17">
        <v>0</v>
      </c>
      <c r="DS17">
        <v>0</v>
      </c>
      <c r="DT17">
        <v>1693327972.8</v>
      </c>
      <c r="DU17">
        <v>0</v>
      </c>
      <c r="DV17">
        <v>552.3679999999999</v>
      </c>
      <c r="DW17">
        <v>-19.26153853631011</v>
      </c>
      <c r="DX17">
        <v>24.06923072787188</v>
      </c>
      <c r="DY17">
        <v>124.68</v>
      </c>
      <c r="DZ17">
        <v>15</v>
      </c>
      <c r="EA17">
        <v>1693328000</v>
      </c>
      <c r="EB17" t="s">
        <v>311</v>
      </c>
      <c r="EC17">
        <v>1693327991</v>
      </c>
      <c r="ED17">
        <v>1693328000</v>
      </c>
      <c r="EE17">
        <v>1</v>
      </c>
      <c r="EF17">
        <v>0.475</v>
      </c>
      <c r="EG17">
        <v>-0.013</v>
      </c>
      <c r="EH17">
        <v>-0.542</v>
      </c>
      <c r="EI17">
        <v>-0.036</v>
      </c>
      <c r="EJ17">
        <v>408</v>
      </c>
      <c r="EK17">
        <v>10</v>
      </c>
      <c r="EL17">
        <v>0.67</v>
      </c>
      <c r="EM17">
        <v>0.04</v>
      </c>
      <c r="EN17">
        <v>100</v>
      </c>
      <c r="EO17">
        <v>100</v>
      </c>
      <c r="EP17">
        <v>-0.542</v>
      </c>
      <c r="EQ17">
        <v>-0.036</v>
      </c>
      <c r="ER17">
        <v>-1.403885260892489</v>
      </c>
      <c r="ES17">
        <v>-1.576349484901359E-05</v>
      </c>
      <c r="ET17">
        <v>2.573729931138326E-06</v>
      </c>
      <c r="EU17">
        <v>-5.475564338477752E-10</v>
      </c>
      <c r="EV17">
        <v>-0.0564262742043087</v>
      </c>
      <c r="EW17">
        <v>-0.01018517929758264</v>
      </c>
      <c r="EX17">
        <v>0.001658527226803643</v>
      </c>
      <c r="EY17">
        <v>-2.829097221525108E-05</v>
      </c>
      <c r="EZ17">
        <v>21</v>
      </c>
      <c r="FA17">
        <v>1995</v>
      </c>
      <c r="FB17">
        <v>1</v>
      </c>
      <c r="FC17">
        <v>16</v>
      </c>
      <c r="FD17">
        <v>799.5</v>
      </c>
      <c r="FE17">
        <v>799.6</v>
      </c>
      <c r="FF17">
        <v>1.03271</v>
      </c>
      <c r="FG17">
        <v>2.58179</v>
      </c>
      <c r="FH17">
        <v>1.39771</v>
      </c>
      <c r="FI17">
        <v>2.27051</v>
      </c>
      <c r="FJ17">
        <v>1.39526</v>
      </c>
      <c r="FK17">
        <v>2.40234</v>
      </c>
      <c r="FL17">
        <v>30.5662</v>
      </c>
      <c r="FM17">
        <v>15.997</v>
      </c>
      <c r="FN17">
        <v>18</v>
      </c>
      <c r="FO17">
        <v>582.2329999999999</v>
      </c>
      <c r="FP17">
        <v>397.897</v>
      </c>
      <c r="FQ17">
        <v>22.7739</v>
      </c>
      <c r="FR17">
        <v>24.2751</v>
      </c>
      <c r="FS17">
        <v>30.0001</v>
      </c>
      <c r="FT17">
        <v>24.0705</v>
      </c>
      <c r="FU17">
        <v>24.4166</v>
      </c>
      <c r="FV17">
        <v>20.7012</v>
      </c>
      <c r="FW17">
        <v>25.6546</v>
      </c>
      <c r="FX17">
        <v>83.5557</v>
      </c>
      <c r="FY17">
        <v>-999.9</v>
      </c>
      <c r="FZ17">
        <v>410</v>
      </c>
      <c r="GA17">
        <v>9.92008</v>
      </c>
      <c r="GB17">
        <v>99.14960000000001</v>
      </c>
      <c r="GC17">
        <v>93.76860000000001</v>
      </c>
    </row>
    <row r="18" spans="1:185">
      <c r="A18">
        <v>2</v>
      </c>
      <c r="B18">
        <v>1693328168.5</v>
      </c>
      <c r="C18">
        <v>196</v>
      </c>
      <c r="D18" t="s">
        <v>312</v>
      </c>
      <c r="E18" t="s">
        <v>313</v>
      </c>
      <c r="F18">
        <v>5</v>
      </c>
      <c r="H18" t="s">
        <v>307</v>
      </c>
      <c r="L18">
        <v>1693328160.75</v>
      </c>
      <c r="M18">
        <f>(N18)/1000</f>
        <v>0</v>
      </c>
      <c r="N18">
        <f>IF(CK18, AQ18, AK18)</f>
        <v>0</v>
      </c>
      <c r="O18">
        <f>IF(CK18, AL18, AJ18)</f>
        <v>0</v>
      </c>
      <c r="P18">
        <f>CM18 - IF(AX18&gt;1, O18*CG18*100.0/(AZ18*DA18), 0)</f>
        <v>0</v>
      </c>
      <c r="Q18">
        <f>((W18-M18/2)*P18-O18)/(W18+M18/2)</f>
        <v>0</v>
      </c>
      <c r="R18">
        <f>Q18*(CT18+CU18)/1000.0</f>
        <v>0</v>
      </c>
      <c r="S18">
        <f>(CM18 - IF(AX18&gt;1, O18*CG18*100.0/(AZ18*DA18), 0))*(CT18+CU18)/1000.0</f>
        <v>0</v>
      </c>
      <c r="T18">
        <f>2.0/((1/V18-1/U18)+SIGN(V18)*SQRT((1/V18-1/U18)*(1/V18-1/U18) + 4*CH18/((CH18+1)*(CH18+1))*(2*1/V18*1/U18-1/U18*1/U18)))</f>
        <v>0</v>
      </c>
      <c r="U18">
        <f>IF(LEFT(CI18,1)&lt;&gt;"0",IF(LEFT(CI18,1)="1",3.0,CJ18),$D$5+$E$5*(DA18*CT18/($K$5*1000))+$F$5*(DA18*CT18/($K$5*1000))*MAX(MIN(CG18,$J$5),$I$5)*MAX(MIN(CG18,$J$5),$I$5)+$G$5*MAX(MIN(CG18,$J$5),$I$5)*(DA18*CT18/($K$5*1000))+$H$5*(DA18*CT18/($K$5*1000))*(DA18*CT18/($K$5*1000)))</f>
        <v>0</v>
      </c>
      <c r="V18">
        <f>M18*(1000-(1000*0.61365*exp(17.502*Z18/(240.97+Z18))/(CT18+CU18)+CO18)/2)/(1000*0.61365*exp(17.502*Z18/(240.97+Z18))/(CT18+CU18)-CO18)</f>
        <v>0</v>
      </c>
      <c r="W18">
        <f>1/((CH18+1)/(T18/1.6)+1/(U18/1.37)) + CH18/((CH18+1)/(T18/1.6) + CH18/(U18/1.37))</f>
        <v>0</v>
      </c>
      <c r="X18">
        <f>(CC18*CF18)</f>
        <v>0</v>
      </c>
      <c r="Y18">
        <f>(CV18+(X18+2*0.95*5.67E-8*(((CV18+$B$7)+273)^4-(CV18+273)^4)-44100*M18)/(1.84*29.3*U18+8*0.95*5.67E-8*(CV18+273)^3))</f>
        <v>0</v>
      </c>
      <c r="Z18">
        <f>($C$7*CW18+$D$7*CX18+$E$7*Y18)</f>
        <v>0</v>
      </c>
      <c r="AA18">
        <f>0.61365*exp(17.502*Z18/(240.97+Z18))</f>
        <v>0</v>
      </c>
      <c r="AB18">
        <f>(AC18/AD18*100)</f>
        <v>0</v>
      </c>
      <c r="AC18">
        <f>CO18*(CT18+CU18)/1000</f>
        <v>0</v>
      </c>
      <c r="AD18">
        <f>0.61365*exp(17.502*CV18/(240.97+CV18))</f>
        <v>0</v>
      </c>
      <c r="AE18">
        <f>(AA18-CO18*(CT18+CU18)/1000)</f>
        <v>0</v>
      </c>
      <c r="AF18">
        <f>(-M18*44100)</f>
        <v>0</v>
      </c>
      <c r="AG18">
        <f>2*29.3*U18*0.92*(CV18-Z18)</f>
        <v>0</v>
      </c>
      <c r="AH18">
        <f>2*0.95*5.67E-8*(((CV18+$B$7)+273)^4-(Z18+273)^4)</f>
        <v>0</v>
      </c>
      <c r="AI18">
        <f>X18+AH18+AF18+AG18</f>
        <v>0</v>
      </c>
      <c r="AJ18">
        <f>CS18*AX18*(CN18-CM18*(1000-AX18*CP18)/(1000-AX18*CO18))/(100*CG18)</f>
        <v>0</v>
      </c>
      <c r="AK18">
        <f>1000*CS18*AX18*(CO18-CP18)/(100*CG18*(1000-AX18*CO18))</f>
        <v>0</v>
      </c>
      <c r="AL18">
        <f>(AM18 - AN18 - CT18*1E3/(8.314*(CV18+273.15)) * AP18/CS18 * AO18) * CS18/(100*CG18) * (1000 - CP18)/1000</f>
        <v>0</v>
      </c>
      <c r="AM18">
        <v>413.7688112554113</v>
      </c>
      <c r="AN18">
        <v>414.943133333333</v>
      </c>
      <c r="AO18">
        <v>-0.03831047619058661</v>
      </c>
      <c r="AP18">
        <v>67.26000000000001</v>
      </c>
      <c r="AQ18">
        <f>(AS18 - AR18 + CT18*1E3/(8.314*(CV18+273.15)) * AU18/CS18 * AT18) * CS18/(100*CG18) * 1000/(1000 - AS18)</f>
        <v>0</v>
      </c>
      <c r="AR18">
        <v>9.494489182831298</v>
      </c>
      <c r="AS18">
        <v>13.01274181818182</v>
      </c>
      <c r="AT18">
        <v>-0.003775875954295052</v>
      </c>
      <c r="AU18">
        <v>78.45731855850562</v>
      </c>
      <c r="AV18">
        <v>50</v>
      </c>
      <c r="AW18">
        <v>8</v>
      </c>
      <c r="AX18">
        <f>IF(AV18*$H$13&gt;=AZ18,1.0,(AZ18/(AZ18-AV18*$H$13)))</f>
        <v>0</v>
      </c>
      <c r="AY18">
        <f>(AX18-1)*100</f>
        <v>0</v>
      </c>
      <c r="AZ18">
        <f>MAX(0,($B$13+$C$13*DA18)/(1+$D$13*DA18)*CT18/(CV18+273)*$E$13)</f>
        <v>0</v>
      </c>
      <c r="BA18" t="s">
        <v>314</v>
      </c>
      <c r="BB18">
        <v>8143.56</v>
      </c>
      <c r="BC18">
        <v>605.404</v>
      </c>
      <c r="BD18">
        <v>3233.43</v>
      </c>
      <c r="BE18">
        <f>1-BC18/BD18</f>
        <v>0</v>
      </c>
      <c r="BF18">
        <v>-1.278589065530712</v>
      </c>
      <c r="BG18" t="s">
        <v>309</v>
      </c>
      <c r="BH18" t="s">
        <v>309</v>
      </c>
      <c r="BI18">
        <v>0</v>
      </c>
      <c r="BJ18">
        <v>0</v>
      </c>
      <c r="BK18">
        <f>1-BI18/BJ18</f>
        <v>0</v>
      </c>
      <c r="BL18">
        <v>0.5</v>
      </c>
      <c r="BM18">
        <f>CD18</f>
        <v>0</v>
      </c>
      <c r="BN18">
        <f>O18</f>
        <v>0</v>
      </c>
      <c r="BO18">
        <f>BK18*BL18*BM18</f>
        <v>0</v>
      </c>
      <c r="BP18">
        <f>(BN18-BF18)/BM18</f>
        <v>0</v>
      </c>
      <c r="BQ18">
        <f>(BD18-BJ18)/BJ18</f>
        <v>0</v>
      </c>
      <c r="BR18">
        <f>BC18/(BE18+BC18/BJ18)</f>
        <v>0</v>
      </c>
      <c r="BS18" t="s">
        <v>309</v>
      </c>
      <c r="BT18">
        <v>0</v>
      </c>
      <c r="BU18">
        <f>IF(BT18&lt;&gt;0, BT18, BR18)</f>
        <v>0</v>
      </c>
      <c r="BV18">
        <f>1-BU18/BJ18</f>
        <v>0</v>
      </c>
      <c r="BW18">
        <f>(BJ18-BI18)/(BJ18-BU18)</f>
        <v>0</v>
      </c>
      <c r="BX18">
        <f>(BD18-BJ18)/(BD18-BU18)</f>
        <v>0</v>
      </c>
      <c r="BY18">
        <f>(BJ18-BI18)/(BJ18-BC18)</f>
        <v>0</v>
      </c>
      <c r="BZ18">
        <f>(BD18-BJ18)/(BD18-BC18)</f>
        <v>0</v>
      </c>
      <c r="CA18">
        <f>(BW18*BU18/BI18)</f>
        <v>0</v>
      </c>
      <c r="CB18">
        <f>(1-CA18)</f>
        <v>0</v>
      </c>
      <c r="CC18">
        <f>$B$11*DB18+$C$11*DC18+$F$11*DD18*(1-DG18)</f>
        <v>0</v>
      </c>
      <c r="CD18">
        <f>CC18*CE18</f>
        <v>0</v>
      </c>
      <c r="CE18">
        <f>($B$11*$D$9+$C$11*$D$9+$F$11*((DQ18+DI18)/MAX(DQ18+DI18+DR18, 0.1)*$I$9+DR18/MAX(DQ18+DI18+DR18, 0.1)*$J$9))/($B$11+$C$11+$F$11)</f>
        <v>0</v>
      </c>
      <c r="CF18">
        <f>($B$11*$K$9+$C$11*$K$9+$F$11*((DQ18+DI18)/MAX(DQ18+DI18+DR18, 0.1)*$P$9+DR18/MAX(DQ18+DI18+DR18, 0.1)*$Q$9))/($B$11+$C$11+$F$11)</f>
        <v>0</v>
      </c>
      <c r="CG18">
        <v>6</v>
      </c>
      <c r="CH18">
        <v>0.5</v>
      </c>
      <c r="CI18" t="s">
        <v>310</v>
      </c>
      <c r="CJ18">
        <v>2</v>
      </c>
      <c r="CK18" t="b">
        <v>0</v>
      </c>
      <c r="CL18">
        <v>1693328160.75</v>
      </c>
      <c r="CM18">
        <v>409.6301666666666</v>
      </c>
      <c r="CN18">
        <v>409.7973</v>
      </c>
      <c r="CO18">
        <v>12.99513333333334</v>
      </c>
      <c r="CP18">
        <v>9.511773</v>
      </c>
      <c r="CQ18">
        <v>410.1101666666667</v>
      </c>
      <c r="CR18">
        <v>13.03713333333334</v>
      </c>
      <c r="CS18">
        <v>600.0216666666666</v>
      </c>
      <c r="CT18">
        <v>101.5845333333333</v>
      </c>
      <c r="CU18">
        <v>0.09999069333333335</v>
      </c>
      <c r="CV18">
        <v>22.77642666666667</v>
      </c>
      <c r="CW18">
        <v>21.80104666666666</v>
      </c>
      <c r="CX18">
        <v>999.9000000000002</v>
      </c>
      <c r="CY18">
        <v>0</v>
      </c>
      <c r="CZ18">
        <v>0</v>
      </c>
      <c r="DA18">
        <v>9996.540666666668</v>
      </c>
      <c r="DB18">
        <v>0</v>
      </c>
      <c r="DC18">
        <v>282.9271333333334</v>
      </c>
      <c r="DD18">
        <v>0.00500022</v>
      </c>
      <c r="DE18">
        <v>0</v>
      </c>
      <c r="DF18">
        <v>0</v>
      </c>
      <c r="DG18">
        <v>0</v>
      </c>
      <c r="DH18">
        <v>605.6833333333333</v>
      </c>
      <c r="DI18">
        <v>0.00500022</v>
      </c>
      <c r="DJ18">
        <v>129.7133333333333</v>
      </c>
      <c r="DK18">
        <v>-1.536666666666667</v>
      </c>
      <c r="DL18">
        <v>31.062</v>
      </c>
      <c r="DM18">
        <v>36.4454</v>
      </c>
      <c r="DN18">
        <v>33.75</v>
      </c>
      <c r="DO18">
        <v>32.1248</v>
      </c>
      <c r="DP18">
        <v>32.9916</v>
      </c>
      <c r="DQ18">
        <v>0</v>
      </c>
      <c r="DR18">
        <v>0</v>
      </c>
      <c r="DS18">
        <v>0</v>
      </c>
      <c r="DT18">
        <v>195.3999998569489</v>
      </c>
      <c r="DU18">
        <v>0</v>
      </c>
      <c r="DV18">
        <v>605.404</v>
      </c>
      <c r="DW18">
        <v>-22.75384619405244</v>
      </c>
      <c r="DX18">
        <v>-0.1153844421197145</v>
      </c>
      <c r="DY18">
        <v>129.308</v>
      </c>
      <c r="DZ18">
        <v>15</v>
      </c>
      <c r="EA18">
        <v>1693328205</v>
      </c>
      <c r="EB18" t="s">
        <v>315</v>
      </c>
      <c r="EC18">
        <v>1693328198.5</v>
      </c>
      <c r="ED18">
        <v>1693328205</v>
      </c>
      <c r="EE18">
        <v>2</v>
      </c>
      <c r="EF18">
        <v>0.06</v>
      </c>
      <c r="EG18">
        <v>-0</v>
      </c>
      <c r="EH18">
        <v>-0.48</v>
      </c>
      <c r="EI18">
        <v>-0.042</v>
      </c>
      <c r="EJ18">
        <v>409</v>
      </c>
      <c r="EK18">
        <v>9</v>
      </c>
      <c r="EL18">
        <v>1.06</v>
      </c>
      <c r="EM18">
        <v>0.03</v>
      </c>
      <c r="EN18">
        <v>100</v>
      </c>
      <c r="EO18">
        <v>100</v>
      </c>
      <c r="EP18">
        <v>-0.48</v>
      </c>
      <c r="EQ18">
        <v>-0.042</v>
      </c>
      <c r="ER18">
        <v>-0.9285341583609148</v>
      </c>
      <c r="ES18">
        <v>-1.576349484901359E-05</v>
      </c>
      <c r="ET18">
        <v>2.573729931138326E-06</v>
      </c>
      <c r="EU18">
        <v>-5.475564338477752E-10</v>
      </c>
      <c r="EV18">
        <v>-0.06973337197184856</v>
      </c>
      <c r="EW18">
        <v>-0.01018517929758264</v>
      </c>
      <c r="EX18">
        <v>0.001658527226803643</v>
      </c>
      <c r="EY18">
        <v>-2.829097221525108E-05</v>
      </c>
      <c r="EZ18">
        <v>21</v>
      </c>
      <c r="FA18">
        <v>1995</v>
      </c>
      <c r="FB18">
        <v>1</v>
      </c>
      <c r="FC18">
        <v>16</v>
      </c>
      <c r="FD18">
        <v>3</v>
      </c>
      <c r="FE18">
        <v>2.8</v>
      </c>
      <c r="FF18">
        <v>1.05469</v>
      </c>
      <c r="FG18">
        <v>2.57812</v>
      </c>
      <c r="FH18">
        <v>1.39771</v>
      </c>
      <c r="FI18">
        <v>2.27051</v>
      </c>
      <c r="FJ18">
        <v>1.39526</v>
      </c>
      <c r="FK18">
        <v>2.63062</v>
      </c>
      <c r="FL18">
        <v>30.5877</v>
      </c>
      <c r="FM18">
        <v>16.0058</v>
      </c>
      <c r="FN18">
        <v>18</v>
      </c>
      <c r="FO18">
        <v>544.5410000000001</v>
      </c>
      <c r="FP18">
        <v>396.832</v>
      </c>
      <c r="FQ18">
        <v>22.5489</v>
      </c>
      <c r="FR18">
        <v>24.2545</v>
      </c>
      <c r="FS18">
        <v>30.0004</v>
      </c>
      <c r="FT18">
        <v>24.0891</v>
      </c>
      <c r="FU18">
        <v>24.4432</v>
      </c>
      <c r="FV18">
        <v>21.126</v>
      </c>
      <c r="FW18">
        <v>26.545</v>
      </c>
      <c r="FX18">
        <v>74.6206</v>
      </c>
      <c r="FY18">
        <v>-999.9</v>
      </c>
      <c r="FZ18">
        <v>410</v>
      </c>
      <c r="GA18">
        <v>9.54904</v>
      </c>
      <c r="GB18">
        <v>99.12430000000001</v>
      </c>
      <c r="GC18">
        <v>93.7835</v>
      </c>
    </row>
    <row r="19" spans="1:185">
      <c r="A19">
        <v>3</v>
      </c>
      <c r="B19">
        <v>1693328415.5</v>
      </c>
      <c r="C19">
        <v>443</v>
      </c>
      <c r="D19" t="s">
        <v>316</v>
      </c>
      <c r="E19" t="s">
        <v>317</v>
      </c>
      <c r="F19">
        <v>5</v>
      </c>
      <c r="H19" t="s">
        <v>307</v>
      </c>
      <c r="L19">
        <v>1693328407.75</v>
      </c>
      <c r="M19">
        <f>(N19)/1000</f>
        <v>0</v>
      </c>
      <c r="N19">
        <f>IF(CK19, AQ19, AK19)</f>
        <v>0</v>
      </c>
      <c r="O19">
        <f>IF(CK19, AL19, AJ19)</f>
        <v>0</v>
      </c>
      <c r="P19">
        <f>CM19 - IF(AX19&gt;1, O19*CG19*100.0/(AZ19*DA19), 0)</f>
        <v>0</v>
      </c>
      <c r="Q19">
        <f>((W19-M19/2)*P19-O19)/(W19+M19/2)</f>
        <v>0</v>
      </c>
      <c r="R19">
        <f>Q19*(CT19+CU19)/1000.0</f>
        <v>0</v>
      </c>
      <c r="S19">
        <f>(CM19 - IF(AX19&gt;1, O19*CG19*100.0/(AZ19*DA19), 0))*(CT19+CU19)/1000.0</f>
        <v>0</v>
      </c>
      <c r="T19">
        <f>2.0/((1/V19-1/U19)+SIGN(V19)*SQRT((1/V19-1/U19)*(1/V19-1/U19) + 4*CH19/((CH19+1)*(CH19+1))*(2*1/V19*1/U19-1/U19*1/U19)))</f>
        <v>0</v>
      </c>
      <c r="U19">
        <f>IF(LEFT(CI19,1)&lt;&gt;"0",IF(LEFT(CI19,1)="1",3.0,CJ19),$D$5+$E$5*(DA19*CT19/($K$5*1000))+$F$5*(DA19*CT19/($K$5*1000))*MAX(MIN(CG19,$J$5),$I$5)*MAX(MIN(CG19,$J$5),$I$5)+$G$5*MAX(MIN(CG19,$J$5),$I$5)*(DA19*CT19/($K$5*1000))+$H$5*(DA19*CT19/($K$5*1000))*(DA19*CT19/($K$5*1000)))</f>
        <v>0</v>
      </c>
      <c r="V19">
        <f>M19*(1000-(1000*0.61365*exp(17.502*Z19/(240.97+Z19))/(CT19+CU19)+CO19)/2)/(1000*0.61365*exp(17.502*Z19/(240.97+Z19))/(CT19+CU19)-CO19)</f>
        <v>0</v>
      </c>
      <c r="W19">
        <f>1/((CH19+1)/(T19/1.6)+1/(U19/1.37)) + CH19/((CH19+1)/(T19/1.6) + CH19/(U19/1.37))</f>
        <v>0</v>
      </c>
      <c r="X19">
        <f>(CC19*CF19)</f>
        <v>0</v>
      </c>
      <c r="Y19">
        <f>(CV19+(X19+2*0.95*5.67E-8*(((CV19+$B$7)+273)^4-(CV19+273)^4)-44100*M19)/(1.84*29.3*U19+8*0.95*5.67E-8*(CV19+273)^3))</f>
        <v>0</v>
      </c>
      <c r="Z19">
        <f>($C$7*CW19+$D$7*CX19+$E$7*Y19)</f>
        <v>0</v>
      </c>
      <c r="AA19">
        <f>0.61365*exp(17.502*Z19/(240.97+Z19))</f>
        <v>0</v>
      </c>
      <c r="AB19">
        <f>(AC19/AD19*100)</f>
        <v>0</v>
      </c>
      <c r="AC19">
        <f>CO19*(CT19+CU19)/1000</f>
        <v>0</v>
      </c>
      <c r="AD19">
        <f>0.61365*exp(17.502*CV19/(240.97+CV19))</f>
        <v>0</v>
      </c>
      <c r="AE19">
        <f>(AA19-CO19*(CT19+CU19)/1000)</f>
        <v>0</v>
      </c>
      <c r="AF19">
        <f>(-M19*44100)</f>
        <v>0</v>
      </c>
      <c r="AG19">
        <f>2*29.3*U19*0.92*(CV19-Z19)</f>
        <v>0</v>
      </c>
      <c r="AH19">
        <f>2*0.95*5.67E-8*(((CV19+$B$7)+273)^4-(Z19+273)^4)</f>
        <v>0</v>
      </c>
      <c r="AI19">
        <f>X19+AH19+AF19+AG19</f>
        <v>0</v>
      </c>
      <c r="AJ19">
        <f>CS19*AX19*(CN19-CM19*(1000-AX19*CP19)/(1000-AX19*CO19))/(100*CG19)</f>
        <v>0</v>
      </c>
      <c r="AK19">
        <f>1000*CS19*AX19*(CO19-CP19)/(100*CG19*(1000-AX19*CO19))</f>
        <v>0</v>
      </c>
      <c r="AL19">
        <f>(AM19 - AN19 - CT19*1E3/(8.314*(CV19+273.15)) * AP19/CS19 * AO19) * CS19/(100*CG19) * (1000 - CP19)/1000</f>
        <v>0</v>
      </c>
      <c r="AM19">
        <v>414.7825978147188</v>
      </c>
      <c r="AN19">
        <v>416.5229090909091</v>
      </c>
      <c r="AO19">
        <v>0.03273177489176526</v>
      </c>
      <c r="AP19">
        <v>67.26000000000001</v>
      </c>
      <c r="AQ19">
        <f>(AS19 - AR19 + CT19*1E3/(8.314*(CV19+273.15)) * AU19/CS19 * AT19) * CS19/(100*CG19) * 1000/(1000 - AS19)</f>
        <v>0</v>
      </c>
      <c r="AR19">
        <v>11.5610653719531</v>
      </c>
      <c r="AS19">
        <v>13.90042606060605</v>
      </c>
      <c r="AT19">
        <v>-0.007324293163256155</v>
      </c>
      <c r="AU19">
        <v>78.45674814525267</v>
      </c>
      <c r="AV19">
        <v>74</v>
      </c>
      <c r="AW19">
        <v>12</v>
      </c>
      <c r="AX19">
        <f>IF(AV19*$H$13&gt;=AZ19,1.0,(AZ19/(AZ19-AV19*$H$13)))</f>
        <v>0</v>
      </c>
      <c r="AY19">
        <f>(AX19-1)*100</f>
        <v>0</v>
      </c>
      <c r="AZ19">
        <f>MAX(0,($B$13+$C$13*DA19)/(1+$D$13*DA19)*CT19/(CV19+273)*$E$13)</f>
        <v>0</v>
      </c>
      <c r="BA19" t="s">
        <v>318</v>
      </c>
      <c r="BB19">
        <v>8163.34</v>
      </c>
      <c r="BC19">
        <v>639.7719999999999</v>
      </c>
      <c r="BD19">
        <v>3377.1</v>
      </c>
      <c r="BE19">
        <f>1-BC19/BD19</f>
        <v>0</v>
      </c>
      <c r="BF19">
        <v>-1.361839951718049</v>
      </c>
      <c r="BG19" t="s">
        <v>309</v>
      </c>
      <c r="BH19" t="s">
        <v>309</v>
      </c>
      <c r="BI19">
        <v>0</v>
      </c>
      <c r="BJ19">
        <v>0</v>
      </c>
      <c r="BK19">
        <f>1-BI19/BJ19</f>
        <v>0</v>
      </c>
      <c r="BL19">
        <v>0.5</v>
      </c>
      <c r="BM19">
        <f>CD19</f>
        <v>0</v>
      </c>
      <c r="BN19">
        <f>O19</f>
        <v>0</v>
      </c>
      <c r="BO19">
        <f>BK19*BL19*BM19</f>
        <v>0</v>
      </c>
      <c r="BP19">
        <f>(BN19-BF19)/BM19</f>
        <v>0</v>
      </c>
      <c r="BQ19">
        <f>(BD19-BJ19)/BJ19</f>
        <v>0</v>
      </c>
      <c r="BR19">
        <f>BC19/(BE19+BC19/BJ19)</f>
        <v>0</v>
      </c>
      <c r="BS19" t="s">
        <v>309</v>
      </c>
      <c r="BT19">
        <v>0</v>
      </c>
      <c r="BU19">
        <f>IF(BT19&lt;&gt;0, BT19, BR19)</f>
        <v>0</v>
      </c>
      <c r="BV19">
        <f>1-BU19/BJ19</f>
        <v>0</v>
      </c>
      <c r="BW19">
        <f>(BJ19-BI19)/(BJ19-BU19)</f>
        <v>0</v>
      </c>
      <c r="BX19">
        <f>(BD19-BJ19)/(BD19-BU19)</f>
        <v>0</v>
      </c>
      <c r="BY19">
        <f>(BJ19-BI19)/(BJ19-BC19)</f>
        <v>0</v>
      </c>
      <c r="BZ19">
        <f>(BD19-BJ19)/(BD19-BC19)</f>
        <v>0</v>
      </c>
      <c r="CA19">
        <f>(BW19*BU19/BI19)</f>
        <v>0</v>
      </c>
      <c r="CB19">
        <f>(1-CA19)</f>
        <v>0</v>
      </c>
      <c r="CC19">
        <f>$B$11*DB19+$C$11*DC19+$F$11*DD19*(1-DG19)</f>
        <v>0</v>
      </c>
      <c r="CD19">
        <f>CC19*CE19</f>
        <v>0</v>
      </c>
      <c r="CE19">
        <f>($B$11*$D$9+$C$11*$D$9+$F$11*((DQ19+DI19)/MAX(DQ19+DI19+DR19, 0.1)*$I$9+DR19/MAX(DQ19+DI19+DR19, 0.1)*$J$9))/($B$11+$C$11+$F$11)</f>
        <v>0</v>
      </c>
      <c r="CF19">
        <f>($B$11*$K$9+$C$11*$K$9+$F$11*((DQ19+DI19)/MAX(DQ19+DI19+DR19, 0.1)*$P$9+DR19/MAX(DQ19+DI19+DR19, 0.1)*$Q$9))/($B$11+$C$11+$F$11)</f>
        <v>0</v>
      </c>
      <c r="CG19">
        <v>6</v>
      </c>
      <c r="CH19">
        <v>0.5</v>
      </c>
      <c r="CI19" t="s">
        <v>310</v>
      </c>
      <c r="CJ19">
        <v>2</v>
      </c>
      <c r="CK19" t="b">
        <v>0</v>
      </c>
      <c r="CL19">
        <v>1693328407.75</v>
      </c>
      <c r="CM19">
        <v>410.4041666666666</v>
      </c>
      <c r="CN19">
        <v>409.9551</v>
      </c>
      <c r="CO19">
        <v>13.85859666666667</v>
      </c>
      <c r="CP19">
        <v>11.66598</v>
      </c>
      <c r="CQ19">
        <v>411.0521666666667</v>
      </c>
      <c r="CR19">
        <v>13.87459666666667</v>
      </c>
      <c r="CS19">
        <v>600.1182000000001</v>
      </c>
      <c r="CT19">
        <v>101.5995333333333</v>
      </c>
      <c r="CU19">
        <v>0.09986864666666669</v>
      </c>
      <c r="CV19">
        <v>22.99063</v>
      </c>
      <c r="CW19">
        <v>22.27564666666667</v>
      </c>
      <c r="CX19">
        <v>999.9000000000002</v>
      </c>
      <c r="CY19">
        <v>0</v>
      </c>
      <c r="CZ19">
        <v>0</v>
      </c>
      <c r="DA19">
        <v>10000.54</v>
      </c>
      <c r="DB19">
        <v>0</v>
      </c>
      <c r="DC19">
        <v>431.7229666666667</v>
      </c>
      <c r="DD19">
        <v>0.00500022</v>
      </c>
      <c r="DE19">
        <v>0</v>
      </c>
      <c r="DF19">
        <v>0</v>
      </c>
      <c r="DG19">
        <v>0</v>
      </c>
      <c r="DH19">
        <v>639.9000000000001</v>
      </c>
      <c r="DI19">
        <v>0.00500022</v>
      </c>
      <c r="DJ19">
        <v>97.31</v>
      </c>
      <c r="DK19">
        <v>-1.903333333333334</v>
      </c>
      <c r="DL19">
        <v>31.0998</v>
      </c>
      <c r="DM19">
        <v>36.8998</v>
      </c>
      <c r="DN19">
        <v>33.9664</v>
      </c>
      <c r="DO19">
        <v>32.65806666666666</v>
      </c>
      <c r="DP19">
        <v>33.187</v>
      </c>
      <c r="DQ19">
        <v>0</v>
      </c>
      <c r="DR19">
        <v>0</v>
      </c>
      <c r="DS19">
        <v>0</v>
      </c>
      <c r="DT19">
        <v>246.3999998569489</v>
      </c>
      <c r="DU19">
        <v>0</v>
      </c>
      <c r="DV19">
        <v>639.7719999999999</v>
      </c>
      <c r="DW19">
        <v>-9.807692355400004</v>
      </c>
      <c r="DX19">
        <v>5.669230869700579</v>
      </c>
      <c r="DY19">
        <v>96.72</v>
      </c>
      <c r="DZ19">
        <v>15</v>
      </c>
      <c r="EA19">
        <v>1693328440.5</v>
      </c>
      <c r="EB19" t="s">
        <v>319</v>
      </c>
      <c r="EC19">
        <v>1693328435.5</v>
      </c>
      <c r="ED19">
        <v>1693328440.5</v>
      </c>
      <c r="EE19">
        <v>3</v>
      </c>
      <c r="EF19">
        <v>-0.169</v>
      </c>
      <c r="EG19">
        <v>-0.003</v>
      </c>
      <c r="EH19">
        <v>-0.648</v>
      </c>
      <c r="EI19">
        <v>-0.016</v>
      </c>
      <c r="EJ19">
        <v>410</v>
      </c>
      <c r="EK19">
        <v>11</v>
      </c>
      <c r="EL19">
        <v>1.39</v>
      </c>
      <c r="EM19">
        <v>0.07000000000000001</v>
      </c>
      <c r="EN19">
        <v>100</v>
      </c>
      <c r="EO19">
        <v>100</v>
      </c>
      <c r="EP19">
        <v>-0.648</v>
      </c>
      <c r="EQ19">
        <v>-0.016</v>
      </c>
      <c r="ER19">
        <v>-0.8682592688683817</v>
      </c>
      <c r="ES19">
        <v>-1.576349484901359E-05</v>
      </c>
      <c r="ET19">
        <v>2.573729931138326E-06</v>
      </c>
      <c r="EU19">
        <v>-5.475564338477752E-10</v>
      </c>
      <c r="EV19">
        <v>-0.07016772418628334</v>
      </c>
      <c r="EW19">
        <v>-0.01018517929758264</v>
      </c>
      <c r="EX19">
        <v>0.001658527226803643</v>
      </c>
      <c r="EY19">
        <v>-2.829097221525108E-05</v>
      </c>
      <c r="EZ19">
        <v>21</v>
      </c>
      <c r="FA19">
        <v>1995</v>
      </c>
      <c r="FB19">
        <v>1</v>
      </c>
      <c r="FC19">
        <v>16</v>
      </c>
      <c r="FD19">
        <v>3.6</v>
      </c>
      <c r="FE19">
        <v>3.5</v>
      </c>
      <c r="FF19">
        <v>1.06567</v>
      </c>
      <c r="FG19">
        <v>2.58545</v>
      </c>
      <c r="FH19">
        <v>1.39771</v>
      </c>
      <c r="FI19">
        <v>2.27051</v>
      </c>
      <c r="FJ19">
        <v>1.39526</v>
      </c>
      <c r="FK19">
        <v>2.63306</v>
      </c>
      <c r="FL19">
        <v>30.674</v>
      </c>
      <c r="FM19">
        <v>15.9883</v>
      </c>
      <c r="FN19">
        <v>18</v>
      </c>
      <c r="FO19">
        <v>518.04</v>
      </c>
      <c r="FP19">
        <v>397.925</v>
      </c>
      <c r="FQ19">
        <v>22.639</v>
      </c>
      <c r="FR19">
        <v>24.4434</v>
      </c>
      <c r="FS19">
        <v>30.0004</v>
      </c>
      <c r="FT19">
        <v>24.2525</v>
      </c>
      <c r="FU19">
        <v>24.6055</v>
      </c>
      <c r="FV19">
        <v>21.339</v>
      </c>
      <c r="FW19">
        <v>16.8227</v>
      </c>
      <c r="FX19">
        <v>66.3766</v>
      </c>
      <c r="FY19">
        <v>-999.9</v>
      </c>
      <c r="FZ19">
        <v>410</v>
      </c>
      <c r="GA19">
        <v>11.3776</v>
      </c>
      <c r="GB19">
        <v>99.1133</v>
      </c>
      <c r="GC19">
        <v>93.72709999999999</v>
      </c>
    </row>
    <row r="20" spans="1:185">
      <c r="A20">
        <v>4</v>
      </c>
      <c r="B20">
        <v>1693328577</v>
      </c>
      <c r="C20">
        <v>604.5</v>
      </c>
      <c r="D20" t="s">
        <v>320</v>
      </c>
      <c r="E20" t="s">
        <v>321</v>
      </c>
      <c r="F20">
        <v>5</v>
      </c>
      <c r="H20" t="s">
        <v>307</v>
      </c>
      <c r="L20">
        <v>1693328569.25</v>
      </c>
      <c r="M20">
        <f>(N20)/1000</f>
        <v>0</v>
      </c>
      <c r="N20">
        <f>IF(CK20, AQ20, AK20)</f>
        <v>0</v>
      </c>
      <c r="O20">
        <f>IF(CK20, AL20, AJ20)</f>
        <v>0</v>
      </c>
      <c r="P20">
        <f>CM20 - IF(AX20&gt;1, O20*CG20*100.0/(AZ20*DA20), 0)</f>
        <v>0</v>
      </c>
      <c r="Q20">
        <f>((W20-M20/2)*P20-O20)/(W20+M20/2)</f>
        <v>0</v>
      </c>
      <c r="R20">
        <f>Q20*(CT20+CU20)/1000.0</f>
        <v>0</v>
      </c>
      <c r="S20">
        <f>(CM20 - IF(AX20&gt;1, O20*CG20*100.0/(AZ20*DA20), 0))*(CT20+CU20)/1000.0</f>
        <v>0</v>
      </c>
      <c r="T20">
        <f>2.0/((1/V20-1/U20)+SIGN(V20)*SQRT((1/V20-1/U20)*(1/V20-1/U20) + 4*CH20/((CH20+1)*(CH20+1))*(2*1/V20*1/U20-1/U20*1/U20)))</f>
        <v>0</v>
      </c>
      <c r="U20">
        <f>IF(LEFT(CI20,1)&lt;&gt;"0",IF(LEFT(CI20,1)="1",3.0,CJ20),$D$5+$E$5*(DA20*CT20/($K$5*1000))+$F$5*(DA20*CT20/($K$5*1000))*MAX(MIN(CG20,$J$5),$I$5)*MAX(MIN(CG20,$J$5),$I$5)+$G$5*MAX(MIN(CG20,$J$5),$I$5)*(DA20*CT20/($K$5*1000))+$H$5*(DA20*CT20/($K$5*1000))*(DA20*CT20/($K$5*1000)))</f>
        <v>0</v>
      </c>
      <c r="V20">
        <f>M20*(1000-(1000*0.61365*exp(17.502*Z20/(240.97+Z20))/(CT20+CU20)+CO20)/2)/(1000*0.61365*exp(17.502*Z20/(240.97+Z20))/(CT20+CU20)-CO20)</f>
        <v>0</v>
      </c>
      <c r="W20">
        <f>1/((CH20+1)/(T20/1.6)+1/(U20/1.37)) + CH20/((CH20+1)/(T20/1.6) + CH20/(U20/1.37))</f>
        <v>0</v>
      </c>
      <c r="X20">
        <f>(CC20*CF20)</f>
        <v>0</v>
      </c>
      <c r="Y20">
        <f>(CV20+(X20+2*0.95*5.67E-8*(((CV20+$B$7)+273)^4-(CV20+273)^4)-44100*M20)/(1.84*29.3*U20+8*0.95*5.67E-8*(CV20+273)^3))</f>
        <v>0</v>
      </c>
      <c r="Z20">
        <f>($C$7*CW20+$D$7*CX20+$E$7*Y20)</f>
        <v>0</v>
      </c>
      <c r="AA20">
        <f>0.61365*exp(17.502*Z20/(240.97+Z20))</f>
        <v>0</v>
      </c>
      <c r="AB20">
        <f>(AC20/AD20*100)</f>
        <v>0</v>
      </c>
      <c r="AC20">
        <f>CO20*(CT20+CU20)/1000</f>
        <v>0</v>
      </c>
      <c r="AD20">
        <f>0.61365*exp(17.502*CV20/(240.97+CV20))</f>
        <v>0</v>
      </c>
      <c r="AE20">
        <f>(AA20-CO20*(CT20+CU20)/1000)</f>
        <v>0</v>
      </c>
      <c r="AF20">
        <f>(-M20*44100)</f>
        <v>0</v>
      </c>
      <c r="AG20">
        <f>2*29.3*U20*0.92*(CV20-Z20)</f>
        <v>0</v>
      </c>
      <c r="AH20">
        <f>2*0.95*5.67E-8*(((CV20+$B$7)+273)^4-(Z20+273)^4)</f>
        <v>0</v>
      </c>
      <c r="AI20">
        <f>X20+AH20+AF20+AG20</f>
        <v>0</v>
      </c>
      <c r="AJ20">
        <f>CS20*AX20*(CN20-CM20*(1000-AX20*CP20)/(1000-AX20*CO20))/(100*CG20)</f>
        <v>0</v>
      </c>
      <c r="AK20">
        <f>1000*CS20*AX20*(CO20-CP20)/(100*CG20*(1000-AX20*CO20))</f>
        <v>0</v>
      </c>
      <c r="AL20">
        <f>(AM20 - AN20 - CT20*1E3/(8.314*(CV20+273.15)) * AP20/CS20 * AO20) * CS20/(100*CG20) * (1000 - CP20)/1000</f>
        <v>0</v>
      </c>
      <c r="AM20">
        <v>415.0603952263396</v>
      </c>
      <c r="AN20">
        <v>415.9259636363638</v>
      </c>
      <c r="AO20">
        <v>0.003013245519853857</v>
      </c>
      <c r="AP20">
        <v>67.25892337962223</v>
      </c>
      <c r="AQ20">
        <f>(AS20 - AR20 + CT20*1E3/(8.314*(CV20+273.15)) * AU20/CS20 * AT20) * CS20/(100*CG20) * 1000/(1000 - AS20)</f>
        <v>0</v>
      </c>
      <c r="AR20">
        <v>12.18860594027416</v>
      </c>
      <c r="AS20">
        <v>13.72897515151515</v>
      </c>
      <c r="AT20">
        <v>-0.001213679101650416</v>
      </c>
      <c r="AU20">
        <v>78.44789560663132</v>
      </c>
      <c r="AV20">
        <v>19</v>
      </c>
      <c r="AW20">
        <v>3</v>
      </c>
      <c r="AX20">
        <f>IF(AV20*$H$13&gt;=AZ20,1.0,(AZ20/(AZ20-AV20*$H$13)))</f>
        <v>0</v>
      </c>
      <c r="AY20">
        <f>(AX20-1)*100</f>
        <v>0</v>
      </c>
      <c r="AZ20">
        <f>MAX(0,($B$13+$C$13*DA20)/(1+$D$13*DA20)*CT20/(CV20+273)*$E$13)</f>
        <v>0</v>
      </c>
      <c r="BA20" t="s">
        <v>322</v>
      </c>
      <c r="BB20">
        <v>8194.629999999999</v>
      </c>
      <c r="BC20">
        <v>600.024</v>
      </c>
      <c r="BD20">
        <v>2838.97</v>
      </c>
      <c r="BE20">
        <f>1-BC20/BD20</f>
        <v>0</v>
      </c>
      <c r="BF20">
        <v>-0.826262964613202</v>
      </c>
      <c r="BG20" t="s">
        <v>309</v>
      </c>
      <c r="BH20" t="s">
        <v>309</v>
      </c>
      <c r="BI20">
        <v>0</v>
      </c>
      <c r="BJ20">
        <v>0</v>
      </c>
      <c r="BK20">
        <f>1-BI20/BJ20</f>
        <v>0</v>
      </c>
      <c r="BL20">
        <v>0.5</v>
      </c>
      <c r="BM20">
        <f>CD20</f>
        <v>0</v>
      </c>
      <c r="BN20">
        <f>O20</f>
        <v>0</v>
      </c>
      <c r="BO20">
        <f>BK20*BL20*BM20</f>
        <v>0</v>
      </c>
      <c r="BP20">
        <f>(BN20-BF20)/BM20</f>
        <v>0</v>
      </c>
      <c r="BQ20">
        <f>(BD20-BJ20)/BJ20</f>
        <v>0</v>
      </c>
      <c r="BR20">
        <f>BC20/(BE20+BC20/BJ20)</f>
        <v>0</v>
      </c>
      <c r="BS20" t="s">
        <v>309</v>
      </c>
      <c r="BT20">
        <v>0</v>
      </c>
      <c r="BU20">
        <f>IF(BT20&lt;&gt;0, BT20, BR20)</f>
        <v>0</v>
      </c>
      <c r="BV20">
        <f>1-BU20/BJ20</f>
        <v>0</v>
      </c>
      <c r="BW20">
        <f>(BJ20-BI20)/(BJ20-BU20)</f>
        <v>0</v>
      </c>
      <c r="BX20">
        <f>(BD20-BJ20)/(BD20-BU20)</f>
        <v>0</v>
      </c>
      <c r="BY20">
        <f>(BJ20-BI20)/(BJ20-BC20)</f>
        <v>0</v>
      </c>
      <c r="BZ20">
        <f>(BD20-BJ20)/(BD20-BC20)</f>
        <v>0</v>
      </c>
      <c r="CA20">
        <f>(BW20*BU20/BI20)</f>
        <v>0</v>
      </c>
      <c r="CB20">
        <f>(1-CA20)</f>
        <v>0</v>
      </c>
      <c r="CC20">
        <f>$B$11*DB20+$C$11*DC20+$F$11*DD20*(1-DG20)</f>
        <v>0</v>
      </c>
      <c r="CD20">
        <f>CC20*CE20</f>
        <v>0</v>
      </c>
      <c r="CE20">
        <f>($B$11*$D$9+$C$11*$D$9+$F$11*((DQ20+DI20)/MAX(DQ20+DI20+DR20, 0.1)*$I$9+DR20/MAX(DQ20+DI20+DR20, 0.1)*$J$9))/($B$11+$C$11+$F$11)</f>
        <v>0</v>
      </c>
      <c r="CF20">
        <f>($B$11*$K$9+$C$11*$K$9+$F$11*((DQ20+DI20)/MAX(DQ20+DI20+DR20, 0.1)*$P$9+DR20/MAX(DQ20+DI20+DR20, 0.1)*$Q$9))/($B$11+$C$11+$F$11)</f>
        <v>0</v>
      </c>
      <c r="CG20">
        <v>6</v>
      </c>
      <c r="CH20">
        <v>0.5</v>
      </c>
      <c r="CI20" t="s">
        <v>310</v>
      </c>
      <c r="CJ20">
        <v>2</v>
      </c>
      <c r="CK20" t="b">
        <v>0</v>
      </c>
      <c r="CL20">
        <v>1693328569.25</v>
      </c>
      <c r="CM20">
        <v>410.1794666666666</v>
      </c>
      <c r="CN20">
        <v>409.9882666666666</v>
      </c>
      <c r="CO20">
        <v>13.73473333333334</v>
      </c>
      <c r="CP20">
        <v>12.20790333333333</v>
      </c>
      <c r="CQ20">
        <v>410.8864666666666</v>
      </c>
      <c r="CR20">
        <v>13.73273333333334</v>
      </c>
      <c r="CS20">
        <v>600.0487666666667</v>
      </c>
      <c r="CT20">
        <v>101.5996</v>
      </c>
      <c r="CU20">
        <v>0.1000009733333333</v>
      </c>
      <c r="CV20">
        <v>23.09049333333333</v>
      </c>
      <c r="CW20">
        <v>22.36426999999999</v>
      </c>
      <c r="CX20">
        <v>999.9000000000002</v>
      </c>
      <c r="CY20">
        <v>0</v>
      </c>
      <c r="CZ20">
        <v>0</v>
      </c>
      <c r="DA20">
        <v>9993.295</v>
      </c>
      <c r="DB20">
        <v>0</v>
      </c>
      <c r="DC20">
        <v>352.6221</v>
      </c>
      <c r="DD20">
        <v>0.00500022</v>
      </c>
      <c r="DE20">
        <v>0</v>
      </c>
      <c r="DF20">
        <v>0</v>
      </c>
      <c r="DG20">
        <v>0</v>
      </c>
      <c r="DH20">
        <v>600.4566666666667</v>
      </c>
      <c r="DI20">
        <v>0.00500022</v>
      </c>
      <c r="DJ20">
        <v>135.1666666666667</v>
      </c>
      <c r="DK20">
        <v>-1.613333333333333</v>
      </c>
      <c r="DL20">
        <v>31.437</v>
      </c>
      <c r="DM20">
        <v>37.39359999999999</v>
      </c>
      <c r="DN20">
        <v>33.93323333333333</v>
      </c>
      <c r="DO20">
        <v>34.27883333333333</v>
      </c>
      <c r="DP20">
        <v>33.67666666666667</v>
      </c>
      <c r="DQ20">
        <v>0</v>
      </c>
      <c r="DR20">
        <v>0</v>
      </c>
      <c r="DS20">
        <v>0</v>
      </c>
      <c r="DT20">
        <v>161.2000000476837</v>
      </c>
      <c r="DU20">
        <v>0</v>
      </c>
      <c r="DV20">
        <v>600.024</v>
      </c>
      <c r="DW20">
        <v>-15.4230768967176</v>
      </c>
      <c r="DX20">
        <v>0.3615383179939823</v>
      </c>
      <c r="DY20">
        <v>134.764</v>
      </c>
      <c r="DZ20">
        <v>15</v>
      </c>
      <c r="EA20">
        <v>1693328599.6</v>
      </c>
      <c r="EB20" t="s">
        <v>323</v>
      </c>
      <c r="EC20">
        <v>1693328594.1</v>
      </c>
      <c r="ED20">
        <v>1693328599.6</v>
      </c>
      <c r="EE20">
        <v>4</v>
      </c>
      <c r="EF20">
        <v>-0.06</v>
      </c>
      <c r="EG20">
        <v>0.003</v>
      </c>
      <c r="EH20">
        <v>-0.707</v>
      </c>
      <c r="EI20">
        <v>0.002</v>
      </c>
      <c r="EJ20">
        <v>410</v>
      </c>
      <c r="EK20">
        <v>12</v>
      </c>
      <c r="EL20">
        <v>1.48</v>
      </c>
      <c r="EM20">
        <v>0.07000000000000001</v>
      </c>
      <c r="EN20">
        <v>100</v>
      </c>
      <c r="EO20">
        <v>100</v>
      </c>
      <c r="EP20">
        <v>-0.707</v>
      </c>
      <c r="EQ20">
        <v>0.002</v>
      </c>
      <c r="ER20">
        <v>-1.037025022389505</v>
      </c>
      <c r="ES20">
        <v>-1.576349484901359E-05</v>
      </c>
      <c r="ET20">
        <v>2.573729931138326E-06</v>
      </c>
      <c r="EU20">
        <v>-5.475564338477752E-10</v>
      </c>
      <c r="EV20">
        <v>-0.07358496621912575</v>
      </c>
      <c r="EW20">
        <v>-0.01018517929758264</v>
      </c>
      <c r="EX20">
        <v>0.001658527226803643</v>
      </c>
      <c r="EY20">
        <v>-2.829097221525108E-05</v>
      </c>
      <c r="EZ20">
        <v>21</v>
      </c>
      <c r="FA20">
        <v>1995</v>
      </c>
      <c r="FB20">
        <v>1</v>
      </c>
      <c r="FC20">
        <v>16</v>
      </c>
      <c r="FD20">
        <v>2.4</v>
      </c>
      <c r="FE20">
        <v>2.3</v>
      </c>
      <c r="FF20">
        <v>1.06812</v>
      </c>
      <c r="FG20">
        <v>2.58667</v>
      </c>
      <c r="FH20">
        <v>1.39771</v>
      </c>
      <c r="FI20">
        <v>2.27173</v>
      </c>
      <c r="FJ20">
        <v>1.39526</v>
      </c>
      <c r="FK20">
        <v>2.6001</v>
      </c>
      <c r="FL20">
        <v>30.8253</v>
      </c>
      <c r="FM20">
        <v>15.9883</v>
      </c>
      <c r="FN20">
        <v>18</v>
      </c>
      <c r="FO20">
        <v>578.987</v>
      </c>
      <c r="FP20">
        <v>397.683</v>
      </c>
      <c r="FQ20">
        <v>22.776</v>
      </c>
      <c r="FR20">
        <v>24.5915</v>
      </c>
      <c r="FS20">
        <v>30.0004</v>
      </c>
      <c r="FT20">
        <v>24.3861</v>
      </c>
      <c r="FU20">
        <v>24.7375</v>
      </c>
      <c r="FV20">
        <v>21.397</v>
      </c>
      <c r="FW20">
        <v>11.8192</v>
      </c>
      <c r="FX20">
        <v>60.2139</v>
      </c>
      <c r="FY20">
        <v>-999.9</v>
      </c>
      <c r="FZ20">
        <v>410</v>
      </c>
      <c r="GA20">
        <v>12.3511</v>
      </c>
      <c r="GB20">
        <v>99.107</v>
      </c>
      <c r="GC20">
        <v>93.7208</v>
      </c>
    </row>
    <row r="21" spans="1:185">
      <c r="A21">
        <v>5</v>
      </c>
      <c r="B21">
        <v>1693328711.1</v>
      </c>
      <c r="C21">
        <v>738.5999999046326</v>
      </c>
      <c r="D21" t="s">
        <v>324</v>
      </c>
      <c r="E21" t="s">
        <v>325</v>
      </c>
      <c r="F21">
        <v>5</v>
      </c>
      <c r="H21" t="s">
        <v>307</v>
      </c>
      <c r="L21">
        <v>1693328703.349999</v>
      </c>
      <c r="M21">
        <f>(N21)/1000</f>
        <v>0</v>
      </c>
      <c r="N21">
        <f>IF(CK21, AQ21, AK21)</f>
        <v>0</v>
      </c>
      <c r="O21">
        <f>IF(CK21, AL21, AJ21)</f>
        <v>0</v>
      </c>
      <c r="P21">
        <f>CM21 - IF(AX21&gt;1, O21*CG21*100.0/(AZ21*DA21), 0)</f>
        <v>0</v>
      </c>
      <c r="Q21">
        <f>((W21-M21/2)*P21-O21)/(W21+M21/2)</f>
        <v>0</v>
      </c>
      <c r="R21">
        <f>Q21*(CT21+CU21)/1000.0</f>
        <v>0</v>
      </c>
      <c r="S21">
        <f>(CM21 - IF(AX21&gt;1, O21*CG21*100.0/(AZ21*DA21), 0))*(CT21+CU21)/1000.0</f>
        <v>0</v>
      </c>
      <c r="T21">
        <f>2.0/((1/V21-1/U21)+SIGN(V21)*SQRT((1/V21-1/U21)*(1/V21-1/U21) + 4*CH21/((CH21+1)*(CH21+1))*(2*1/V21*1/U21-1/U21*1/U21)))</f>
        <v>0</v>
      </c>
      <c r="U21">
        <f>IF(LEFT(CI21,1)&lt;&gt;"0",IF(LEFT(CI21,1)="1",3.0,CJ21),$D$5+$E$5*(DA21*CT21/($K$5*1000))+$F$5*(DA21*CT21/($K$5*1000))*MAX(MIN(CG21,$J$5),$I$5)*MAX(MIN(CG21,$J$5),$I$5)+$G$5*MAX(MIN(CG21,$J$5),$I$5)*(DA21*CT21/($K$5*1000))+$H$5*(DA21*CT21/($K$5*1000))*(DA21*CT21/($K$5*1000)))</f>
        <v>0</v>
      </c>
      <c r="V21">
        <f>M21*(1000-(1000*0.61365*exp(17.502*Z21/(240.97+Z21))/(CT21+CU21)+CO21)/2)/(1000*0.61365*exp(17.502*Z21/(240.97+Z21))/(CT21+CU21)-CO21)</f>
        <v>0</v>
      </c>
      <c r="W21">
        <f>1/((CH21+1)/(T21/1.6)+1/(U21/1.37)) + CH21/((CH21+1)/(T21/1.6) + CH21/(U21/1.37))</f>
        <v>0</v>
      </c>
      <c r="X21">
        <f>(CC21*CF21)</f>
        <v>0</v>
      </c>
      <c r="Y21">
        <f>(CV21+(X21+2*0.95*5.67E-8*(((CV21+$B$7)+273)^4-(CV21+273)^4)-44100*M21)/(1.84*29.3*U21+8*0.95*5.67E-8*(CV21+273)^3))</f>
        <v>0</v>
      </c>
      <c r="Z21">
        <f>($C$7*CW21+$D$7*CX21+$E$7*Y21)</f>
        <v>0</v>
      </c>
      <c r="AA21">
        <f>0.61365*exp(17.502*Z21/(240.97+Z21))</f>
        <v>0</v>
      </c>
      <c r="AB21">
        <f>(AC21/AD21*100)</f>
        <v>0</v>
      </c>
      <c r="AC21">
        <f>CO21*(CT21+CU21)/1000</f>
        <v>0</v>
      </c>
      <c r="AD21">
        <f>0.61365*exp(17.502*CV21/(240.97+CV21))</f>
        <v>0</v>
      </c>
      <c r="AE21">
        <f>(AA21-CO21*(CT21+CU21)/1000)</f>
        <v>0</v>
      </c>
      <c r="AF21">
        <f>(-M21*44100)</f>
        <v>0</v>
      </c>
      <c r="AG21">
        <f>2*29.3*U21*0.92*(CV21-Z21)</f>
        <v>0</v>
      </c>
      <c r="AH21">
        <f>2*0.95*5.67E-8*(((CV21+$B$7)+273)^4-(Z21+273)^4)</f>
        <v>0</v>
      </c>
      <c r="AI21">
        <f>X21+AH21+AF21+AG21</f>
        <v>0</v>
      </c>
      <c r="AJ21">
        <f>CS21*AX21*(CN21-CM21*(1000-AX21*CP21)/(1000-AX21*CO21))/(100*CG21)</f>
        <v>0</v>
      </c>
      <c r="AK21">
        <f>1000*CS21*AX21*(CO21-CP21)/(100*CG21*(1000-AX21*CO21))</f>
        <v>0</v>
      </c>
      <c r="AL21">
        <f>(AM21 - AN21 - CT21*1E3/(8.314*(CV21+273.15)) * AP21/CS21 * AO21) * CS21/(100*CG21) * (1000 - CP21)/1000</f>
        <v>0</v>
      </c>
      <c r="AM21">
        <v>415.466252450792</v>
      </c>
      <c r="AN21">
        <v>416.5622727272727</v>
      </c>
      <c r="AO21">
        <v>0.0253125455799707</v>
      </c>
      <c r="AP21">
        <v>67.25966835248489</v>
      </c>
      <c r="AQ21">
        <f>(AS21 - AR21 + CT21*1E3/(8.314*(CV21+273.15)) * AU21/CS21 * AT21) * CS21/(100*CG21) * 1000/(1000 - AS21)</f>
        <v>0</v>
      </c>
      <c r="AR21">
        <v>13.24244139615687</v>
      </c>
      <c r="AS21">
        <v>14.43522727272727</v>
      </c>
      <c r="AT21">
        <v>0.001296233257793987</v>
      </c>
      <c r="AU21">
        <v>78.45128180844404</v>
      </c>
      <c r="AV21">
        <v>37</v>
      </c>
      <c r="AW21">
        <v>6</v>
      </c>
      <c r="AX21">
        <f>IF(AV21*$H$13&gt;=AZ21,1.0,(AZ21/(AZ21-AV21*$H$13)))</f>
        <v>0</v>
      </c>
      <c r="AY21">
        <f>(AX21-1)*100</f>
        <v>0</v>
      </c>
      <c r="AZ21">
        <f>MAX(0,($B$13+$C$13*DA21)/(1+$D$13*DA21)*CT21/(CV21+273)*$E$13)</f>
        <v>0</v>
      </c>
      <c r="BA21" t="s">
        <v>326</v>
      </c>
      <c r="BB21">
        <v>8203</v>
      </c>
      <c r="BC21">
        <v>666.5269230769231</v>
      </c>
      <c r="BD21">
        <v>2603.65</v>
      </c>
      <c r="BE21">
        <f>1-BC21/BD21</f>
        <v>0</v>
      </c>
      <c r="BF21">
        <v>-0.8325944686150946</v>
      </c>
      <c r="BG21" t="s">
        <v>309</v>
      </c>
      <c r="BH21" t="s">
        <v>309</v>
      </c>
      <c r="BI21">
        <v>0</v>
      </c>
      <c r="BJ21">
        <v>0</v>
      </c>
      <c r="BK21">
        <f>1-BI21/BJ21</f>
        <v>0</v>
      </c>
      <c r="BL21">
        <v>0.5</v>
      </c>
      <c r="BM21">
        <f>CD21</f>
        <v>0</v>
      </c>
      <c r="BN21">
        <f>O21</f>
        <v>0</v>
      </c>
      <c r="BO21">
        <f>BK21*BL21*BM21</f>
        <v>0</v>
      </c>
      <c r="BP21">
        <f>(BN21-BF21)/BM21</f>
        <v>0</v>
      </c>
      <c r="BQ21">
        <f>(BD21-BJ21)/BJ21</f>
        <v>0</v>
      </c>
      <c r="BR21">
        <f>BC21/(BE21+BC21/BJ21)</f>
        <v>0</v>
      </c>
      <c r="BS21" t="s">
        <v>309</v>
      </c>
      <c r="BT21">
        <v>0</v>
      </c>
      <c r="BU21">
        <f>IF(BT21&lt;&gt;0, BT21, BR21)</f>
        <v>0</v>
      </c>
      <c r="BV21">
        <f>1-BU21/BJ21</f>
        <v>0</v>
      </c>
      <c r="BW21">
        <f>(BJ21-BI21)/(BJ21-BU21)</f>
        <v>0</v>
      </c>
      <c r="BX21">
        <f>(BD21-BJ21)/(BD21-BU21)</f>
        <v>0</v>
      </c>
      <c r="BY21">
        <f>(BJ21-BI21)/(BJ21-BC21)</f>
        <v>0</v>
      </c>
      <c r="BZ21">
        <f>(BD21-BJ21)/(BD21-BC21)</f>
        <v>0</v>
      </c>
      <c r="CA21">
        <f>(BW21*BU21/BI21)</f>
        <v>0</v>
      </c>
      <c r="CB21">
        <f>(1-CA21)</f>
        <v>0</v>
      </c>
      <c r="CC21">
        <f>$B$11*DB21+$C$11*DC21+$F$11*DD21*(1-DG21)</f>
        <v>0</v>
      </c>
      <c r="CD21">
        <f>CC21*CE21</f>
        <v>0</v>
      </c>
      <c r="CE21">
        <f>($B$11*$D$9+$C$11*$D$9+$F$11*((DQ21+DI21)/MAX(DQ21+DI21+DR21, 0.1)*$I$9+DR21/MAX(DQ21+DI21+DR21, 0.1)*$J$9))/($B$11+$C$11+$F$11)</f>
        <v>0</v>
      </c>
      <c r="CF21">
        <f>($B$11*$K$9+$C$11*$K$9+$F$11*((DQ21+DI21)/MAX(DQ21+DI21+DR21, 0.1)*$P$9+DR21/MAX(DQ21+DI21+DR21, 0.1)*$Q$9))/($B$11+$C$11+$F$11)</f>
        <v>0</v>
      </c>
      <c r="CG21">
        <v>6</v>
      </c>
      <c r="CH21">
        <v>0.5</v>
      </c>
      <c r="CI21" t="s">
        <v>310</v>
      </c>
      <c r="CJ21">
        <v>2</v>
      </c>
      <c r="CK21" t="b">
        <v>0</v>
      </c>
      <c r="CL21">
        <v>1693328703.349999</v>
      </c>
      <c r="CM21">
        <v>410.3263000000001</v>
      </c>
      <c r="CN21">
        <v>409.9747666666667</v>
      </c>
      <c r="CO21">
        <v>14.38693666666667</v>
      </c>
      <c r="CP21">
        <v>13.23165333333333</v>
      </c>
      <c r="CQ21">
        <v>411.0753000000001</v>
      </c>
      <c r="CR21">
        <v>14.36693666666667</v>
      </c>
      <c r="CS21">
        <v>600.0709333333333</v>
      </c>
      <c r="CT21">
        <v>101.6017333333333</v>
      </c>
      <c r="CU21">
        <v>0.1000311333333333</v>
      </c>
      <c r="CV21">
        <v>23.19100666666667</v>
      </c>
      <c r="CW21">
        <v>22.69188333333334</v>
      </c>
      <c r="CX21">
        <v>999.9000000000002</v>
      </c>
      <c r="CY21">
        <v>0</v>
      </c>
      <c r="CZ21">
        <v>0</v>
      </c>
      <c r="DA21">
        <v>10001.18233333333</v>
      </c>
      <c r="DB21">
        <v>0</v>
      </c>
      <c r="DC21">
        <v>480.2043</v>
      </c>
      <c r="DD21">
        <v>0.00500022</v>
      </c>
      <c r="DE21">
        <v>0</v>
      </c>
      <c r="DF21">
        <v>0</v>
      </c>
      <c r="DG21">
        <v>0</v>
      </c>
      <c r="DH21">
        <v>666.6433333333334</v>
      </c>
      <c r="DI21">
        <v>0.00500022</v>
      </c>
      <c r="DJ21">
        <v>122.1066666666667</v>
      </c>
      <c r="DK21">
        <v>-1.82</v>
      </c>
      <c r="DL21">
        <v>30.88326666666667</v>
      </c>
      <c r="DM21">
        <v>37.41013333333332</v>
      </c>
      <c r="DN21">
        <v>33.46026666666667</v>
      </c>
      <c r="DO21">
        <v>35.55173333333333</v>
      </c>
      <c r="DP21">
        <v>33.5893</v>
      </c>
      <c r="DQ21">
        <v>0</v>
      </c>
      <c r="DR21">
        <v>0</v>
      </c>
      <c r="DS21">
        <v>0</v>
      </c>
      <c r="DT21">
        <v>133.2000000476837</v>
      </c>
      <c r="DU21">
        <v>0</v>
      </c>
      <c r="DV21">
        <v>666.5269230769231</v>
      </c>
      <c r="DW21">
        <v>8.632478710437464</v>
      </c>
      <c r="DX21">
        <v>0.9367520712509956</v>
      </c>
      <c r="DY21">
        <v>122.1769230769231</v>
      </c>
      <c r="DZ21">
        <v>15</v>
      </c>
      <c r="EA21">
        <v>1693328731.1</v>
      </c>
      <c r="EB21" t="s">
        <v>327</v>
      </c>
      <c r="EC21">
        <v>1693328726.6</v>
      </c>
      <c r="ED21">
        <v>1693328731.1</v>
      </c>
      <c r="EE21">
        <v>5</v>
      </c>
      <c r="EF21">
        <v>-0.042</v>
      </c>
      <c r="EG21">
        <v>0.001</v>
      </c>
      <c r="EH21">
        <v>-0.749</v>
      </c>
      <c r="EI21">
        <v>0.02</v>
      </c>
      <c r="EJ21">
        <v>410</v>
      </c>
      <c r="EK21">
        <v>13</v>
      </c>
      <c r="EL21">
        <v>1</v>
      </c>
      <c r="EM21">
        <v>0.09</v>
      </c>
      <c r="EN21">
        <v>100</v>
      </c>
      <c r="EO21">
        <v>100</v>
      </c>
      <c r="EP21">
        <v>-0.749</v>
      </c>
      <c r="EQ21">
        <v>0.02</v>
      </c>
      <c r="ER21">
        <v>-1.096817232021185</v>
      </c>
      <c r="ES21">
        <v>-1.576349484901359E-05</v>
      </c>
      <c r="ET21">
        <v>2.573729931138326E-06</v>
      </c>
      <c r="EU21">
        <v>-5.475564338477752E-10</v>
      </c>
      <c r="EV21">
        <v>-0.07016644610022393</v>
      </c>
      <c r="EW21">
        <v>-0.01018517929758264</v>
      </c>
      <c r="EX21">
        <v>0.001658527226803643</v>
      </c>
      <c r="EY21">
        <v>-2.829097221525108E-05</v>
      </c>
      <c r="EZ21">
        <v>21</v>
      </c>
      <c r="FA21">
        <v>1995</v>
      </c>
      <c r="FB21">
        <v>1</v>
      </c>
      <c r="FC21">
        <v>16</v>
      </c>
      <c r="FD21">
        <v>1.9</v>
      </c>
      <c r="FE21">
        <v>1.9</v>
      </c>
      <c r="FF21">
        <v>1.06934</v>
      </c>
      <c r="FG21">
        <v>2.57935</v>
      </c>
      <c r="FH21">
        <v>1.39771</v>
      </c>
      <c r="FI21">
        <v>2.27051</v>
      </c>
      <c r="FJ21">
        <v>1.39526</v>
      </c>
      <c r="FK21">
        <v>2.47437</v>
      </c>
      <c r="FL21">
        <v>30.9335</v>
      </c>
      <c r="FM21">
        <v>15.9708</v>
      </c>
      <c r="FN21">
        <v>18</v>
      </c>
      <c r="FO21">
        <v>558.374</v>
      </c>
      <c r="FP21">
        <v>398.099</v>
      </c>
      <c r="FQ21">
        <v>22.9185</v>
      </c>
      <c r="FR21">
        <v>24.7045</v>
      </c>
      <c r="FS21">
        <v>30.0003</v>
      </c>
      <c r="FT21">
        <v>24.4915</v>
      </c>
      <c r="FU21">
        <v>24.8427</v>
      </c>
      <c r="FV21">
        <v>21.4355</v>
      </c>
      <c r="FW21">
        <v>5.95575</v>
      </c>
      <c r="FX21">
        <v>57.1298</v>
      </c>
      <c r="FY21">
        <v>-999.9</v>
      </c>
      <c r="FZ21">
        <v>410</v>
      </c>
      <c r="GA21">
        <v>13.2626</v>
      </c>
      <c r="GB21">
        <v>99.0855</v>
      </c>
      <c r="GC21">
        <v>93.69070000000001</v>
      </c>
    </row>
    <row r="22" spans="1:185">
      <c r="A22">
        <v>6</v>
      </c>
      <c r="B22">
        <v>1693328840.1</v>
      </c>
      <c r="C22">
        <v>867.5999999046326</v>
      </c>
      <c r="D22" t="s">
        <v>328</v>
      </c>
      <c r="E22" t="s">
        <v>329</v>
      </c>
      <c r="F22">
        <v>5</v>
      </c>
      <c r="H22" t="s">
        <v>307</v>
      </c>
      <c r="L22">
        <v>1693328832.099999</v>
      </c>
      <c r="M22">
        <f>(N22)/1000</f>
        <v>0</v>
      </c>
      <c r="N22">
        <f>IF(CK22, AQ22, AK22)</f>
        <v>0</v>
      </c>
      <c r="O22">
        <f>IF(CK22, AL22, AJ22)</f>
        <v>0</v>
      </c>
      <c r="P22">
        <f>CM22 - IF(AX22&gt;1, O22*CG22*100.0/(AZ22*DA22), 0)</f>
        <v>0</v>
      </c>
      <c r="Q22">
        <f>((W22-M22/2)*P22-O22)/(W22+M22/2)</f>
        <v>0</v>
      </c>
      <c r="R22">
        <f>Q22*(CT22+CU22)/1000.0</f>
        <v>0</v>
      </c>
      <c r="S22">
        <f>(CM22 - IF(AX22&gt;1, O22*CG22*100.0/(AZ22*DA22), 0))*(CT22+CU22)/1000.0</f>
        <v>0</v>
      </c>
      <c r="T22">
        <f>2.0/((1/V22-1/U22)+SIGN(V22)*SQRT((1/V22-1/U22)*(1/V22-1/U22) + 4*CH22/((CH22+1)*(CH22+1))*(2*1/V22*1/U22-1/U22*1/U22)))</f>
        <v>0</v>
      </c>
      <c r="U22">
        <f>IF(LEFT(CI22,1)&lt;&gt;"0",IF(LEFT(CI22,1)="1",3.0,CJ22),$D$5+$E$5*(DA22*CT22/($K$5*1000))+$F$5*(DA22*CT22/($K$5*1000))*MAX(MIN(CG22,$J$5),$I$5)*MAX(MIN(CG22,$J$5),$I$5)+$G$5*MAX(MIN(CG22,$J$5),$I$5)*(DA22*CT22/($K$5*1000))+$H$5*(DA22*CT22/($K$5*1000))*(DA22*CT22/($K$5*1000)))</f>
        <v>0</v>
      </c>
      <c r="V22">
        <f>M22*(1000-(1000*0.61365*exp(17.502*Z22/(240.97+Z22))/(CT22+CU22)+CO22)/2)/(1000*0.61365*exp(17.502*Z22/(240.97+Z22))/(CT22+CU22)-CO22)</f>
        <v>0</v>
      </c>
      <c r="W22">
        <f>1/((CH22+1)/(T22/1.6)+1/(U22/1.37)) + CH22/((CH22+1)/(T22/1.6) + CH22/(U22/1.37))</f>
        <v>0</v>
      </c>
      <c r="X22">
        <f>(CC22*CF22)</f>
        <v>0</v>
      </c>
      <c r="Y22">
        <f>(CV22+(X22+2*0.95*5.67E-8*(((CV22+$B$7)+273)^4-(CV22+273)^4)-44100*M22)/(1.84*29.3*U22+8*0.95*5.67E-8*(CV22+273)^3))</f>
        <v>0</v>
      </c>
      <c r="Z22">
        <f>($C$7*CW22+$D$7*CX22+$E$7*Y22)</f>
        <v>0</v>
      </c>
      <c r="AA22">
        <f>0.61365*exp(17.502*Z22/(240.97+Z22))</f>
        <v>0</v>
      </c>
      <c r="AB22">
        <f>(AC22/AD22*100)</f>
        <v>0</v>
      </c>
      <c r="AC22">
        <f>CO22*(CT22+CU22)/1000</f>
        <v>0</v>
      </c>
      <c r="AD22">
        <f>0.61365*exp(17.502*CV22/(240.97+CV22))</f>
        <v>0</v>
      </c>
      <c r="AE22">
        <f>(AA22-CO22*(CT22+CU22)/1000)</f>
        <v>0</v>
      </c>
      <c r="AF22">
        <f>(-M22*44100)</f>
        <v>0</v>
      </c>
      <c r="AG22">
        <f>2*29.3*U22*0.92*(CV22-Z22)</f>
        <v>0</v>
      </c>
      <c r="AH22">
        <f>2*0.95*5.67E-8*(((CV22+$B$7)+273)^4-(Z22+273)^4)</f>
        <v>0</v>
      </c>
      <c r="AI22">
        <f>X22+AH22+AF22+AG22</f>
        <v>0</v>
      </c>
      <c r="AJ22">
        <f>CS22*AX22*(CN22-CM22*(1000-AX22*CP22)/(1000-AX22*CO22))/(100*CG22)</f>
        <v>0</v>
      </c>
      <c r="AK22">
        <f>1000*CS22*AX22*(CO22-CP22)/(100*CG22*(1000-AX22*CO22))</f>
        <v>0</v>
      </c>
      <c r="AL22">
        <f>(AM22 - AN22 - CT22*1E3/(8.314*(CV22+273.15)) * AP22/CS22 * AO22) * CS22/(100*CG22) * (1000 - CP22)/1000</f>
        <v>0</v>
      </c>
      <c r="AM22">
        <v>415.3746006406618</v>
      </c>
      <c r="AN22">
        <v>416.3349575757575</v>
      </c>
      <c r="AO22">
        <v>0.01052097432486506</v>
      </c>
      <c r="AP22">
        <v>67.25930844368058</v>
      </c>
      <c r="AQ22">
        <f>(AS22 - AR22 + CT22*1E3/(8.314*(CV22+273.15)) * AU22/CS22 * AT22) * CS22/(100*CG22) * 1000/(1000 - AS22)</f>
        <v>0</v>
      </c>
      <c r="AR22">
        <v>13.07465570229175</v>
      </c>
      <c r="AS22">
        <v>14.38118606060606</v>
      </c>
      <c r="AT22">
        <v>8.917775226439625E-05</v>
      </c>
      <c r="AU22">
        <v>78.44823144954063</v>
      </c>
      <c r="AV22">
        <v>0</v>
      </c>
      <c r="AW22">
        <v>0</v>
      </c>
      <c r="AX22">
        <f>IF(AV22*$H$13&gt;=AZ22,1.0,(AZ22/(AZ22-AV22*$H$13)))</f>
        <v>0</v>
      </c>
      <c r="AY22">
        <f>(AX22-1)*100</f>
        <v>0</v>
      </c>
      <c r="AZ22">
        <f>MAX(0,($B$13+$C$13*DA22)/(1+$D$13*DA22)*CT22/(CV22+273)*$E$13)</f>
        <v>0</v>
      </c>
      <c r="BA22" t="s">
        <v>330</v>
      </c>
      <c r="BB22">
        <v>8186.64</v>
      </c>
      <c r="BC22">
        <v>649.556</v>
      </c>
      <c r="BD22">
        <v>3201.53</v>
      </c>
      <c r="BE22">
        <f>1-BC22/BD22</f>
        <v>0</v>
      </c>
      <c r="BF22">
        <v>-0.8439272195437746</v>
      </c>
      <c r="BG22" t="s">
        <v>309</v>
      </c>
      <c r="BH22" t="s">
        <v>309</v>
      </c>
      <c r="BI22">
        <v>0</v>
      </c>
      <c r="BJ22">
        <v>0</v>
      </c>
      <c r="BK22">
        <f>1-BI22/BJ22</f>
        <v>0</v>
      </c>
      <c r="BL22">
        <v>0.5</v>
      </c>
      <c r="BM22">
        <f>CD22</f>
        <v>0</v>
      </c>
      <c r="BN22">
        <f>O22</f>
        <v>0</v>
      </c>
      <c r="BO22">
        <f>BK22*BL22*BM22</f>
        <v>0</v>
      </c>
      <c r="BP22">
        <f>(BN22-BF22)/BM22</f>
        <v>0</v>
      </c>
      <c r="BQ22">
        <f>(BD22-BJ22)/BJ22</f>
        <v>0</v>
      </c>
      <c r="BR22">
        <f>BC22/(BE22+BC22/BJ22)</f>
        <v>0</v>
      </c>
      <c r="BS22" t="s">
        <v>309</v>
      </c>
      <c r="BT22">
        <v>0</v>
      </c>
      <c r="BU22">
        <f>IF(BT22&lt;&gt;0, BT22, BR22)</f>
        <v>0</v>
      </c>
      <c r="BV22">
        <f>1-BU22/BJ22</f>
        <v>0</v>
      </c>
      <c r="BW22">
        <f>(BJ22-BI22)/(BJ22-BU22)</f>
        <v>0</v>
      </c>
      <c r="BX22">
        <f>(BD22-BJ22)/(BD22-BU22)</f>
        <v>0</v>
      </c>
      <c r="BY22">
        <f>(BJ22-BI22)/(BJ22-BC22)</f>
        <v>0</v>
      </c>
      <c r="BZ22">
        <f>(BD22-BJ22)/(BD22-BC22)</f>
        <v>0</v>
      </c>
      <c r="CA22">
        <f>(BW22*BU22/BI22)</f>
        <v>0</v>
      </c>
      <c r="CB22">
        <f>(1-CA22)</f>
        <v>0</v>
      </c>
      <c r="CC22">
        <f>$B$11*DB22+$C$11*DC22+$F$11*DD22*(1-DG22)</f>
        <v>0</v>
      </c>
      <c r="CD22">
        <f>CC22*CE22</f>
        <v>0</v>
      </c>
      <c r="CE22">
        <f>($B$11*$D$9+$C$11*$D$9+$F$11*((DQ22+DI22)/MAX(DQ22+DI22+DR22, 0.1)*$I$9+DR22/MAX(DQ22+DI22+DR22, 0.1)*$J$9))/($B$11+$C$11+$F$11)</f>
        <v>0</v>
      </c>
      <c r="CF22">
        <f>($B$11*$K$9+$C$11*$K$9+$F$11*((DQ22+DI22)/MAX(DQ22+DI22+DR22, 0.1)*$P$9+DR22/MAX(DQ22+DI22+DR22, 0.1)*$Q$9))/($B$11+$C$11+$F$11)</f>
        <v>0</v>
      </c>
      <c r="CG22">
        <v>6</v>
      </c>
      <c r="CH22">
        <v>0.5</v>
      </c>
      <c r="CI22" t="s">
        <v>310</v>
      </c>
      <c r="CJ22">
        <v>2</v>
      </c>
      <c r="CK22" t="b">
        <v>0</v>
      </c>
      <c r="CL22">
        <v>1693328832.099999</v>
      </c>
      <c r="CM22">
        <v>410.3029677419354</v>
      </c>
      <c r="CN22">
        <v>409.9872580645161</v>
      </c>
      <c r="CO22">
        <v>14.34861290322581</v>
      </c>
      <c r="CP22">
        <v>13.07968064516129</v>
      </c>
      <c r="CQ22">
        <v>410.9459677419354</v>
      </c>
      <c r="CR22">
        <v>14.32561290322581</v>
      </c>
      <c r="CS22">
        <v>599.9939999999999</v>
      </c>
      <c r="CT22">
        <v>101.6016129032259</v>
      </c>
      <c r="CU22">
        <v>0.09996148064516132</v>
      </c>
      <c r="CV22">
        <v>23.2291064516129</v>
      </c>
      <c r="CW22">
        <v>22.68435161290322</v>
      </c>
      <c r="CX22">
        <v>999.9000000000003</v>
      </c>
      <c r="CY22">
        <v>0</v>
      </c>
      <c r="CZ22">
        <v>0</v>
      </c>
      <c r="DA22">
        <v>10001.20258064516</v>
      </c>
      <c r="DB22">
        <v>0</v>
      </c>
      <c r="DC22">
        <v>508.1163225806452</v>
      </c>
      <c r="DD22">
        <v>0.00500022</v>
      </c>
      <c r="DE22">
        <v>0</v>
      </c>
      <c r="DF22">
        <v>0</v>
      </c>
      <c r="DG22">
        <v>0</v>
      </c>
      <c r="DH22">
        <v>650.6548387096776</v>
      </c>
      <c r="DI22">
        <v>0.00500022</v>
      </c>
      <c r="DJ22">
        <v>102.8258064516129</v>
      </c>
      <c r="DK22">
        <v>-1.580645161290322</v>
      </c>
      <c r="DL22">
        <v>31.08435483870968</v>
      </c>
      <c r="DM22">
        <v>37.40899999999998</v>
      </c>
      <c r="DN22">
        <v>34.1006129032258</v>
      </c>
      <c r="DO22">
        <v>33.95332258064516</v>
      </c>
      <c r="DP22">
        <v>33.41699999999999</v>
      </c>
      <c r="DQ22">
        <v>0</v>
      </c>
      <c r="DR22">
        <v>0</v>
      </c>
      <c r="DS22">
        <v>0</v>
      </c>
      <c r="DT22">
        <v>128.6000001430511</v>
      </c>
      <c r="DU22">
        <v>0</v>
      </c>
      <c r="DV22">
        <v>649.556</v>
      </c>
      <c r="DW22">
        <v>-32.57692306048611</v>
      </c>
      <c r="DX22">
        <v>7.607692162783996</v>
      </c>
      <c r="DY22">
        <v>103.376</v>
      </c>
      <c r="DZ22">
        <v>15</v>
      </c>
      <c r="EA22">
        <v>1693328871.1</v>
      </c>
      <c r="EB22" t="s">
        <v>331</v>
      </c>
      <c r="EC22">
        <v>1693328871.1</v>
      </c>
      <c r="ED22">
        <v>1693328870.1</v>
      </c>
      <c r="EE22">
        <v>6</v>
      </c>
      <c r="EF22">
        <v>0.107</v>
      </c>
      <c r="EG22">
        <v>0.005</v>
      </c>
      <c r="EH22">
        <v>-0.643</v>
      </c>
      <c r="EI22">
        <v>0.023</v>
      </c>
      <c r="EJ22">
        <v>410</v>
      </c>
      <c r="EK22">
        <v>13</v>
      </c>
      <c r="EL22">
        <v>0.77</v>
      </c>
      <c r="EM22">
        <v>0.17</v>
      </c>
      <c r="EN22">
        <v>100</v>
      </c>
      <c r="EO22">
        <v>100</v>
      </c>
      <c r="EP22">
        <v>-0.643</v>
      </c>
      <c r="EQ22">
        <v>0.023</v>
      </c>
      <c r="ER22">
        <v>-1.138910087211112</v>
      </c>
      <c r="ES22">
        <v>-1.576349484901359E-05</v>
      </c>
      <c r="ET22">
        <v>2.573729931138326E-06</v>
      </c>
      <c r="EU22">
        <v>-5.475564338477752E-10</v>
      </c>
      <c r="EV22">
        <v>-0.06944104904443486</v>
      </c>
      <c r="EW22">
        <v>-0.01018517929758264</v>
      </c>
      <c r="EX22">
        <v>0.001658527226803643</v>
      </c>
      <c r="EY22">
        <v>-2.829097221525108E-05</v>
      </c>
      <c r="EZ22">
        <v>21</v>
      </c>
      <c r="FA22">
        <v>1995</v>
      </c>
      <c r="FB22">
        <v>1</v>
      </c>
      <c r="FC22">
        <v>16</v>
      </c>
      <c r="FD22">
        <v>1.9</v>
      </c>
      <c r="FE22">
        <v>1.8</v>
      </c>
      <c r="FF22">
        <v>1.07056</v>
      </c>
      <c r="FG22">
        <v>2.58179</v>
      </c>
      <c r="FH22">
        <v>1.39771</v>
      </c>
      <c r="FI22">
        <v>2.27173</v>
      </c>
      <c r="FJ22">
        <v>1.39526</v>
      </c>
      <c r="FK22">
        <v>2.57812</v>
      </c>
      <c r="FL22">
        <v>31.0202</v>
      </c>
      <c r="FM22">
        <v>15.9795</v>
      </c>
      <c r="FN22">
        <v>18</v>
      </c>
      <c r="FO22">
        <v>602.3390000000001</v>
      </c>
      <c r="FP22">
        <v>397.29</v>
      </c>
      <c r="FQ22">
        <v>22.9565</v>
      </c>
      <c r="FR22">
        <v>24.7872</v>
      </c>
      <c r="FS22">
        <v>30.0003</v>
      </c>
      <c r="FT22">
        <v>24.5759</v>
      </c>
      <c r="FU22">
        <v>24.926</v>
      </c>
      <c r="FV22">
        <v>21.4446</v>
      </c>
      <c r="FW22">
        <v>6.16151</v>
      </c>
      <c r="FX22">
        <v>53.329</v>
      </c>
      <c r="FY22">
        <v>-999.9</v>
      </c>
      <c r="FZ22">
        <v>410</v>
      </c>
      <c r="GA22">
        <v>13.1718</v>
      </c>
      <c r="GB22">
        <v>99.0771</v>
      </c>
      <c r="GC22">
        <v>93.68040000000001</v>
      </c>
    </row>
    <row r="23" spans="1:185">
      <c r="A23">
        <v>7</v>
      </c>
      <c r="B23">
        <v>1693329081.1</v>
      </c>
      <c r="C23">
        <v>1108.599999904633</v>
      </c>
      <c r="D23" t="s">
        <v>332</v>
      </c>
      <c r="E23" t="s">
        <v>333</v>
      </c>
      <c r="F23">
        <v>5</v>
      </c>
      <c r="H23" t="s">
        <v>307</v>
      </c>
      <c r="L23">
        <v>1693329073.099999</v>
      </c>
      <c r="M23">
        <f>(N23)/1000</f>
        <v>0</v>
      </c>
      <c r="N23">
        <f>IF(CK23, AQ23, AK23)</f>
        <v>0</v>
      </c>
      <c r="O23">
        <f>IF(CK23, AL23, AJ23)</f>
        <v>0</v>
      </c>
      <c r="P23">
        <f>CM23 - IF(AX23&gt;1, O23*CG23*100.0/(AZ23*DA23), 0)</f>
        <v>0</v>
      </c>
      <c r="Q23">
        <f>((W23-M23/2)*P23-O23)/(W23+M23/2)</f>
        <v>0</v>
      </c>
      <c r="R23">
        <f>Q23*(CT23+CU23)/1000.0</f>
        <v>0</v>
      </c>
      <c r="S23">
        <f>(CM23 - IF(AX23&gt;1, O23*CG23*100.0/(AZ23*DA23), 0))*(CT23+CU23)/1000.0</f>
        <v>0</v>
      </c>
      <c r="T23">
        <f>2.0/((1/V23-1/U23)+SIGN(V23)*SQRT((1/V23-1/U23)*(1/V23-1/U23) + 4*CH23/((CH23+1)*(CH23+1))*(2*1/V23*1/U23-1/U23*1/U23)))</f>
        <v>0</v>
      </c>
      <c r="U23">
        <f>IF(LEFT(CI23,1)&lt;&gt;"0",IF(LEFT(CI23,1)="1",3.0,CJ23),$D$5+$E$5*(DA23*CT23/($K$5*1000))+$F$5*(DA23*CT23/($K$5*1000))*MAX(MIN(CG23,$J$5),$I$5)*MAX(MIN(CG23,$J$5),$I$5)+$G$5*MAX(MIN(CG23,$J$5),$I$5)*(DA23*CT23/($K$5*1000))+$H$5*(DA23*CT23/($K$5*1000))*(DA23*CT23/($K$5*1000)))</f>
        <v>0</v>
      </c>
      <c r="V23">
        <f>M23*(1000-(1000*0.61365*exp(17.502*Z23/(240.97+Z23))/(CT23+CU23)+CO23)/2)/(1000*0.61365*exp(17.502*Z23/(240.97+Z23))/(CT23+CU23)-CO23)</f>
        <v>0</v>
      </c>
      <c r="W23">
        <f>1/((CH23+1)/(T23/1.6)+1/(U23/1.37)) + CH23/((CH23+1)/(T23/1.6) + CH23/(U23/1.37))</f>
        <v>0</v>
      </c>
      <c r="X23">
        <f>(CC23*CF23)</f>
        <v>0</v>
      </c>
      <c r="Y23">
        <f>(CV23+(X23+2*0.95*5.67E-8*(((CV23+$B$7)+273)^4-(CV23+273)^4)-44100*M23)/(1.84*29.3*U23+8*0.95*5.67E-8*(CV23+273)^3))</f>
        <v>0</v>
      </c>
      <c r="Z23">
        <f>($C$7*CW23+$D$7*CX23+$E$7*Y23)</f>
        <v>0</v>
      </c>
      <c r="AA23">
        <f>0.61365*exp(17.502*Z23/(240.97+Z23))</f>
        <v>0</v>
      </c>
      <c r="AB23">
        <f>(AC23/AD23*100)</f>
        <v>0</v>
      </c>
      <c r="AC23">
        <f>CO23*(CT23+CU23)/1000</f>
        <v>0</v>
      </c>
      <c r="AD23">
        <f>0.61365*exp(17.502*CV23/(240.97+CV23))</f>
        <v>0</v>
      </c>
      <c r="AE23">
        <f>(AA23-CO23*(CT23+CU23)/1000)</f>
        <v>0</v>
      </c>
      <c r="AF23">
        <f>(-M23*44100)</f>
        <v>0</v>
      </c>
      <c r="AG23">
        <f>2*29.3*U23*0.92*(CV23-Z23)</f>
        <v>0</v>
      </c>
      <c r="AH23">
        <f>2*0.95*5.67E-8*(((CV23+$B$7)+273)^4-(Z23+273)^4)</f>
        <v>0</v>
      </c>
      <c r="AI23">
        <f>X23+AH23+AF23+AG23</f>
        <v>0</v>
      </c>
      <c r="AJ23">
        <f>CS23*AX23*(CN23-CM23*(1000-AX23*CP23)/(1000-AX23*CO23))/(100*CG23)</f>
        <v>0</v>
      </c>
      <c r="AK23">
        <f>1000*CS23*AX23*(CO23-CP23)/(100*CG23*(1000-AX23*CO23))</f>
        <v>0</v>
      </c>
      <c r="AL23">
        <f>(AM23 - AN23 - CT23*1E3/(8.314*(CV23+273.15)) * AP23/CS23 * AO23) * CS23/(100*CG23) * (1000 - CP23)/1000</f>
        <v>0</v>
      </c>
      <c r="AM23">
        <v>416.2753163324323</v>
      </c>
      <c r="AN23">
        <v>417.3465212121211</v>
      </c>
      <c r="AO23">
        <v>-0.005151385999165951</v>
      </c>
      <c r="AP23">
        <v>67.259590237434</v>
      </c>
      <c r="AQ23">
        <f>(AS23 - AR23 + CT23*1E3/(8.314*(CV23+273.15)) * AU23/CS23 * AT23) * CS23/(100*CG23) * 1000/(1000 - AS23)</f>
        <v>0</v>
      </c>
      <c r="AR23">
        <v>15.10181201664689</v>
      </c>
      <c r="AS23">
        <v>16.07259030303031</v>
      </c>
      <c r="AT23">
        <v>0.001160457655319398</v>
      </c>
      <c r="AU23">
        <v>78.45008331941965</v>
      </c>
      <c r="AV23">
        <v>35</v>
      </c>
      <c r="AW23">
        <v>6</v>
      </c>
      <c r="AX23">
        <f>IF(AV23*$H$13&gt;=AZ23,1.0,(AZ23/(AZ23-AV23*$H$13)))</f>
        <v>0</v>
      </c>
      <c r="AY23">
        <f>(AX23-1)*100</f>
        <v>0</v>
      </c>
      <c r="AZ23">
        <f>MAX(0,($B$13+$C$13*DA23)/(1+$D$13*DA23)*CT23/(CV23+273)*$E$13)</f>
        <v>0</v>
      </c>
      <c r="BA23" t="s">
        <v>334</v>
      </c>
      <c r="BB23">
        <v>8191.57</v>
      </c>
      <c r="BC23">
        <v>629.5500000000001</v>
      </c>
      <c r="BD23">
        <v>2885.62</v>
      </c>
      <c r="BE23">
        <f>1-BC23/BD23</f>
        <v>0</v>
      </c>
      <c r="BF23">
        <v>-0.7930237877687237</v>
      </c>
      <c r="BG23" t="s">
        <v>309</v>
      </c>
      <c r="BH23" t="s">
        <v>309</v>
      </c>
      <c r="BI23">
        <v>0</v>
      </c>
      <c r="BJ23">
        <v>0</v>
      </c>
      <c r="BK23">
        <f>1-BI23/BJ23</f>
        <v>0</v>
      </c>
      <c r="BL23">
        <v>0.5</v>
      </c>
      <c r="BM23">
        <f>CD23</f>
        <v>0</v>
      </c>
      <c r="BN23">
        <f>O23</f>
        <v>0</v>
      </c>
      <c r="BO23">
        <f>BK23*BL23*BM23</f>
        <v>0</v>
      </c>
      <c r="BP23">
        <f>(BN23-BF23)/BM23</f>
        <v>0</v>
      </c>
      <c r="BQ23">
        <f>(BD23-BJ23)/BJ23</f>
        <v>0</v>
      </c>
      <c r="BR23">
        <f>BC23/(BE23+BC23/BJ23)</f>
        <v>0</v>
      </c>
      <c r="BS23" t="s">
        <v>309</v>
      </c>
      <c r="BT23">
        <v>0</v>
      </c>
      <c r="BU23">
        <f>IF(BT23&lt;&gt;0, BT23, BR23)</f>
        <v>0</v>
      </c>
      <c r="BV23">
        <f>1-BU23/BJ23</f>
        <v>0</v>
      </c>
      <c r="BW23">
        <f>(BJ23-BI23)/(BJ23-BU23)</f>
        <v>0</v>
      </c>
      <c r="BX23">
        <f>(BD23-BJ23)/(BD23-BU23)</f>
        <v>0</v>
      </c>
      <c r="BY23">
        <f>(BJ23-BI23)/(BJ23-BC23)</f>
        <v>0</v>
      </c>
      <c r="BZ23">
        <f>(BD23-BJ23)/(BD23-BC23)</f>
        <v>0</v>
      </c>
      <c r="CA23">
        <f>(BW23*BU23/BI23)</f>
        <v>0</v>
      </c>
      <c r="CB23">
        <f>(1-CA23)</f>
        <v>0</v>
      </c>
      <c r="CC23">
        <f>$B$11*DB23+$C$11*DC23+$F$11*DD23*(1-DG23)</f>
        <v>0</v>
      </c>
      <c r="CD23">
        <f>CC23*CE23</f>
        <v>0</v>
      </c>
      <c r="CE23">
        <f>($B$11*$D$9+$C$11*$D$9+$F$11*((DQ23+DI23)/MAX(DQ23+DI23+DR23, 0.1)*$I$9+DR23/MAX(DQ23+DI23+DR23, 0.1)*$J$9))/($B$11+$C$11+$F$11)</f>
        <v>0</v>
      </c>
      <c r="CF23">
        <f>($B$11*$K$9+$C$11*$K$9+$F$11*((DQ23+DI23)/MAX(DQ23+DI23+DR23, 0.1)*$P$9+DR23/MAX(DQ23+DI23+DR23, 0.1)*$Q$9))/($B$11+$C$11+$F$11)</f>
        <v>0</v>
      </c>
      <c r="CG23">
        <v>6</v>
      </c>
      <c r="CH23">
        <v>0.5</v>
      </c>
      <c r="CI23" t="s">
        <v>310</v>
      </c>
      <c r="CJ23">
        <v>2</v>
      </c>
      <c r="CK23" t="b">
        <v>0</v>
      </c>
      <c r="CL23">
        <v>1693329073.099999</v>
      </c>
      <c r="CM23">
        <v>410.413806451613</v>
      </c>
      <c r="CN23">
        <v>409.9895161290323</v>
      </c>
      <c r="CO23">
        <v>15.99379677419355</v>
      </c>
      <c r="CP23">
        <v>15.10973225806451</v>
      </c>
      <c r="CQ23">
        <v>411.095806451613</v>
      </c>
      <c r="CR23">
        <v>15.95679677419355</v>
      </c>
      <c r="CS23">
        <v>600.0028709677421</v>
      </c>
      <c r="CT23">
        <v>101.5905161290322</v>
      </c>
      <c r="CU23">
        <v>0.09998338387096774</v>
      </c>
      <c r="CV23">
        <v>23.48906129032257</v>
      </c>
      <c r="CW23">
        <v>22.80584516129032</v>
      </c>
      <c r="CX23">
        <v>999.9000000000003</v>
      </c>
      <c r="CY23">
        <v>0</v>
      </c>
      <c r="CZ23">
        <v>0</v>
      </c>
      <c r="DA23">
        <v>9995.860967741935</v>
      </c>
      <c r="DB23">
        <v>0</v>
      </c>
      <c r="DC23">
        <v>519.5300967741935</v>
      </c>
      <c r="DD23">
        <v>0.00500022</v>
      </c>
      <c r="DE23">
        <v>0</v>
      </c>
      <c r="DF23">
        <v>0</v>
      </c>
      <c r="DG23">
        <v>0</v>
      </c>
      <c r="DH23">
        <v>630.2290322580645</v>
      </c>
      <c r="DI23">
        <v>0.00500022</v>
      </c>
      <c r="DJ23">
        <v>204.183870967742</v>
      </c>
      <c r="DK23">
        <v>-1.135483870967742</v>
      </c>
      <c r="DL23">
        <v>31.45325806451613</v>
      </c>
      <c r="DM23">
        <v>37.80216129032258</v>
      </c>
      <c r="DN23">
        <v>34.42322580645161</v>
      </c>
      <c r="DO23">
        <v>32.25583870967742</v>
      </c>
      <c r="DP23">
        <v>33.54199999999999</v>
      </c>
      <c r="DQ23">
        <v>0</v>
      </c>
      <c r="DR23">
        <v>0</v>
      </c>
      <c r="DS23">
        <v>0</v>
      </c>
      <c r="DT23">
        <v>240.4000000953674</v>
      </c>
      <c r="DU23">
        <v>0</v>
      </c>
      <c r="DV23">
        <v>629.5500000000001</v>
      </c>
      <c r="DW23">
        <v>-48.01709403206136</v>
      </c>
      <c r="DX23">
        <v>-34.32136729610333</v>
      </c>
      <c r="DY23">
        <v>203.6653846153846</v>
      </c>
      <c r="DZ23">
        <v>15</v>
      </c>
      <c r="EA23">
        <v>1693329102.1</v>
      </c>
      <c r="EB23" t="s">
        <v>335</v>
      </c>
      <c r="EC23">
        <v>1693329102.1</v>
      </c>
      <c r="ED23">
        <v>1693329101.1</v>
      </c>
      <c r="EE23">
        <v>7</v>
      </c>
      <c r="EF23">
        <v>-0.04</v>
      </c>
      <c r="EG23">
        <v>-0.015</v>
      </c>
      <c r="EH23">
        <v>-0.6820000000000001</v>
      </c>
      <c r="EI23">
        <v>0.037</v>
      </c>
      <c r="EJ23">
        <v>410</v>
      </c>
      <c r="EK23">
        <v>15</v>
      </c>
      <c r="EL23">
        <v>0.75</v>
      </c>
      <c r="EM23">
        <v>0.17</v>
      </c>
      <c r="EN23">
        <v>100</v>
      </c>
      <c r="EO23">
        <v>100</v>
      </c>
      <c r="EP23">
        <v>-0.6820000000000001</v>
      </c>
      <c r="EQ23">
        <v>0.037</v>
      </c>
      <c r="ER23">
        <v>-1.032472695081041</v>
      </c>
      <c r="ES23">
        <v>-1.576349484901359E-05</v>
      </c>
      <c r="ET23">
        <v>2.573729931138326E-06</v>
      </c>
      <c r="EU23">
        <v>-5.475564338477752E-10</v>
      </c>
      <c r="EV23">
        <v>-0.06410770501588982</v>
      </c>
      <c r="EW23">
        <v>-0.01018517929758264</v>
      </c>
      <c r="EX23">
        <v>0.001658527226803643</v>
      </c>
      <c r="EY23">
        <v>-2.829097221525108E-05</v>
      </c>
      <c r="EZ23">
        <v>21</v>
      </c>
      <c r="FA23">
        <v>1995</v>
      </c>
      <c r="FB23">
        <v>1</v>
      </c>
      <c r="FC23">
        <v>16</v>
      </c>
      <c r="FD23">
        <v>3.5</v>
      </c>
      <c r="FE23">
        <v>3.5</v>
      </c>
      <c r="FF23">
        <v>1.073</v>
      </c>
      <c r="FG23">
        <v>2.59033</v>
      </c>
      <c r="FH23">
        <v>1.39771</v>
      </c>
      <c r="FI23">
        <v>2.27051</v>
      </c>
      <c r="FJ23">
        <v>1.39526</v>
      </c>
      <c r="FK23">
        <v>2.57446</v>
      </c>
      <c r="FL23">
        <v>31.2809</v>
      </c>
      <c r="FM23">
        <v>15.962</v>
      </c>
      <c r="FN23">
        <v>18</v>
      </c>
      <c r="FO23">
        <v>560.922</v>
      </c>
      <c r="FP23">
        <v>397.32</v>
      </c>
      <c r="FQ23">
        <v>23.2488</v>
      </c>
      <c r="FR23">
        <v>24.9305</v>
      </c>
      <c r="FS23">
        <v>30.0001</v>
      </c>
      <c r="FT23">
        <v>24.727</v>
      </c>
      <c r="FU23">
        <v>25.0759</v>
      </c>
      <c r="FV23">
        <v>21.4872</v>
      </c>
      <c r="FW23">
        <v>1.20443</v>
      </c>
      <c r="FX23">
        <v>62.1076</v>
      </c>
      <c r="FY23">
        <v>-999.9</v>
      </c>
      <c r="FZ23">
        <v>410</v>
      </c>
      <c r="GA23">
        <v>14.7038</v>
      </c>
      <c r="GB23">
        <v>99.0617</v>
      </c>
      <c r="GC23">
        <v>93.65649999999999</v>
      </c>
    </row>
    <row r="24" spans="1:185">
      <c r="A24">
        <v>8</v>
      </c>
      <c r="B24">
        <v>1693329214.1</v>
      </c>
      <c r="C24">
        <v>1241.599999904633</v>
      </c>
      <c r="D24" t="s">
        <v>336</v>
      </c>
      <c r="E24" t="s">
        <v>337</v>
      </c>
      <c r="F24">
        <v>5</v>
      </c>
      <c r="H24" t="s">
        <v>307</v>
      </c>
      <c r="L24">
        <v>1693329206.099999</v>
      </c>
      <c r="M24">
        <f>(N24)/1000</f>
        <v>0</v>
      </c>
      <c r="N24">
        <f>IF(CK24, AQ24, AK24)</f>
        <v>0</v>
      </c>
      <c r="O24">
        <f>IF(CK24, AL24, AJ24)</f>
        <v>0</v>
      </c>
      <c r="P24">
        <f>CM24 - IF(AX24&gt;1, O24*CG24*100.0/(AZ24*DA24), 0)</f>
        <v>0</v>
      </c>
      <c r="Q24">
        <f>((W24-M24/2)*P24-O24)/(W24+M24/2)</f>
        <v>0</v>
      </c>
      <c r="R24">
        <f>Q24*(CT24+CU24)/1000.0</f>
        <v>0</v>
      </c>
      <c r="S24">
        <f>(CM24 - IF(AX24&gt;1, O24*CG24*100.0/(AZ24*DA24), 0))*(CT24+CU24)/1000.0</f>
        <v>0</v>
      </c>
      <c r="T24">
        <f>2.0/((1/V24-1/U24)+SIGN(V24)*SQRT((1/V24-1/U24)*(1/V24-1/U24) + 4*CH24/((CH24+1)*(CH24+1))*(2*1/V24*1/U24-1/U24*1/U24)))</f>
        <v>0</v>
      </c>
      <c r="U24">
        <f>IF(LEFT(CI24,1)&lt;&gt;"0",IF(LEFT(CI24,1)="1",3.0,CJ24),$D$5+$E$5*(DA24*CT24/($K$5*1000))+$F$5*(DA24*CT24/($K$5*1000))*MAX(MIN(CG24,$J$5),$I$5)*MAX(MIN(CG24,$J$5),$I$5)+$G$5*MAX(MIN(CG24,$J$5),$I$5)*(DA24*CT24/($K$5*1000))+$H$5*(DA24*CT24/($K$5*1000))*(DA24*CT24/($K$5*1000)))</f>
        <v>0</v>
      </c>
      <c r="V24">
        <f>M24*(1000-(1000*0.61365*exp(17.502*Z24/(240.97+Z24))/(CT24+CU24)+CO24)/2)/(1000*0.61365*exp(17.502*Z24/(240.97+Z24))/(CT24+CU24)-CO24)</f>
        <v>0</v>
      </c>
      <c r="W24">
        <f>1/((CH24+1)/(T24/1.6)+1/(U24/1.37)) + CH24/((CH24+1)/(T24/1.6) + CH24/(U24/1.37))</f>
        <v>0</v>
      </c>
      <c r="X24">
        <f>(CC24*CF24)</f>
        <v>0</v>
      </c>
      <c r="Y24">
        <f>(CV24+(X24+2*0.95*5.67E-8*(((CV24+$B$7)+273)^4-(CV24+273)^4)-44100*M24)/(1.84*29.3*U24+8*0.95*5.67E-8*(CV24+273)^3))</f>
        <v>0</v>
      </c>
      <c r="Z24">
        <f>($C$7*CW24+$D$7*CX24+$E$7*Y24)</f>
        <v>0</v>
      </c>
      <c r="AA24">
        <f>0.61365*exp(17.502*Z24/(240.97+Z24))</f>
        <v>0</v>
      </c>
      <c r="AB24">
        <f>(AC24/AD24*100)</f>
        <v>0</v>
      </c>
      <c r="AC24">
        <f>CO24*(CT24+CU24)/1000</f>
        <v>0</v>
      </c>
      <c r="AD24">
        <f>0.61365*exp(17.502*CV24/(240.97+CV24))</f>
        <v>0</v>
      </c>
      <c r="AE24">
        <f>(AA24-CO24*(CT24+CU24)/1000)</f>
        <v>0</v>
      </c>
      <c r="AF24">
        <f>(-M24*44100)</f>
        <v>0</v>
      </c>
      <c r="AG24">
        <f>2*29.3*U24*0.92*(CV24-Z24)</f>
        <v>0</v>
      </c>
      <c r="AH24">
        <f>2*0.95*5.67E-8*(((CV24+$B$7)+273)^4-(Z24+273)^4)</f>
        <v>0</v>
      </c>
      <c r="AI24">
        <f>X24+AH24+AF24+AG24</f>
        <v>0</v>
      </c>
      <c r="AJ24">
        <f>CS24*AX24*(CN24-CM24*(1000-AX24*CP24)/(1000-AX24*CO24))/(100*CG24)</f>
        <v>0</v>
      </c>
      <c r="AK24">
        <f>1000*CS24*AX24*(CO24-CP24)/(100*CG24*(1000-AX24*CO24))</f>
        <v>0</v>
      </c>
      <c r="AL24">
        <f>(AM24 - AN24 - CT24*1E3/(8.314*(CV24+273.15)) * AP24/CS24 * AO24) * CS24/(100*CG24) * (1000 - CP24)/1000</f>
        <v>0</v>
      </c>
      <c r="AM24">
        <v>416.1252362532541</v>
      </c>
      <c r="AN24">
        <v>416.9124969696969</v>
      </c>
      <c r="AO24">
        <v>0.004386070640673126</v>
      </c>
      <c r="AP24">
        <v>67.25929947809379</v>
      </c>
      <c r="AQ24">
        <f>(AS24 - AR24 + CT24*1E3/(8.314*(CV24+273.15)) * AU24/CS24 * AT24) * CS24/(100*CG24) * 1000/(1000 - AS24)</f>
        <v>0</v>
      </c>
      <c r="AR24">
        <v>14.71830253485736</v>
      </c>
      <c r="AS24">
        <v>15.31744363636363</v>
      </c>
      <c r="AT24">
        <v>0.000258650838668074</v>
      </c>
      <c r="AU24">
        <v>78.44781040264189</v>
      </c>
      <c r="AV24">
        <v>14</v>
      </c>
      <c r="AW24">
        <v>2</v>
      </c>
      <c r="AX24">
        <f>IF(AV24*$H$13&gt;=AZ24,1.0,(AZ24/(AZ24-AV24*$H$13)))</f>
        <v>0</v>
      </c>
      <c r="AY24">
        <f>(AX24-1)*100</f>
        <v>0</v>
      </c>
      <c r="AZ24">
        <f>MAX(0,($B$13+$C$13*DA24)/(1+$D$13*DA24)*CT24/(CV24+273)*$E$13)</f>
        <v>0</v>
      </c>
      <c r="BA24" t="s">
        <v>338</v>
      </c>
      <c r="BB24">
        <v>8206.280000000001</v>
      </c>
      <c r="BC24">
        <v>570.3920000000001</v>
      </c>
      <c r="BD24">
        <v>1873.1</v>
      </c>
      <c r="BE24">
        <f>1-BC24/BD24</f>
        <v>0</v>
      </c>
      <c r="BF24">
        <v>-0.6819235871869089</v>
      </c>
      <c r="BG24" t="s">
        <v>309</v>
      </c>
      <c r="BH24" t="s">
        <v>309</v>
      </c>
      <c r="BI24">
        <v>0</v>
      </c>
      <c r="BJ24">
        <v>0</v>
      </c>
      <c r="BK24">
        <f>1-BI24/BJ24</f>
        <v>0</v>
      </c>
      <c r="BL24">
        <v>0.5</v>
      </c>
      <c r="BM24">
        <f>CD24</f>
        <v>0</v>
      </c>
      <c r="BN24">
        <f>O24</f>
        <v>0</v>
      </c>
      <c r="BO24">
        <f>BK24*BL24*BM24</f>
        <v>0</v>
      </c>
      <c r="BP24">
        <f>(BN24-BF24)/BM24</f>
        <v>0</v>
      </c>
      <c r="BQ24">
        <f>(BD24-BJ24)/BJ24</f>
        <v>0</v>
      </c>
      <c r="BR24">
        <f>BC24/(BE24+BC24/BJ24)</f>
        <v>0</v>
      </c>
      <c r="BS24" t="s">
        <v>309</v>
      </c>
      <c r="BT24">
        <v>0</v>
      </c>
      <c r="BU24">
        <f>IF(BT24&lt;&gt;0, BT24, BR24)</f>
        <v>0</v>
      </c>
      <c r="BV24">
        <f>1-BU24/BJ24</f>
        <v>0</v>
      </c>
      <c r="BW24">
        <f>(BJ24-BI24)/(BJ24-BU24)</f>
        <v>0</v>
      </c>
      <c r="BX24">
        <f>(BD24-BJ24)/(BD24-BU24)</f>
        <v>0</v>
      </c>
      <c r="BY24">
        <f>(BJ24-BI24)/(BJ24-BC24)</f>
        <v>0</v>
      </c>
      <c r="BZ24">
        <f>(BD24-BJ24)/(BD24-BC24)</f>
        <v>0</v>
      </c>
      <c r="CA24">
        <f>(BW24*BU24/BI24)</f>
        <v>0</v>
      </c>
      <c r="CB24">
        <f>(1-CA24)</f>
        <v>0</v>
      </c>
      <c r="CC24">
        <f>$B$11*DB24+$C$11*DC24+$F$11*DD24*(1-DG24)</f>
        <v>0</v>
      </c>
      <c r="CD24">
        <f>CC24*CE24</f>
        <v>0</v>
      </c>
      <c r="CE24">
        <f>($B$11*$D$9+$C$11*$D$9+$F$11*((DQ24+DI24)/MAX(DQ24+DI24+DR24, 0.1)*$I$9+DR24/MAX(DQ24+DI24+DR24, 0.1)*$J$9))/($B$11+$C$11+$F$11)</f>
        <v>0</v>
      </c>
      <c r="CF24">
        <f>($B$11*$K$9+$C$11*$K$9+$F$11*((DQ24+DI24)/MAX(DQ24+DI24+DR24, 0.1)*$P$9+DR24/MAX(DQ24+DI24+DR24, 0.1)*$Q$9))/($B$11+$C$11+$F$11)</f>
        <v>0</v>
      </c>
      <c r="CG24">
        <v>6</v>
      </c>
      <c r="CH24">
        <v>0.5</v>
      </c>
      <c r="CI24" t="s">
        <v>310</v>
      </c>
      <c r="CJ24">
        <v>2</v>
      </c>
      <c r="CK24" t="b">
        <v>0</v>
      </c>
      <c r="CL24">
        <v>1693329206.099999</v>
      </c>
      <c r="CM24">
        <v>410.4359677419356</v>
      </c>
      <c r="CN24">
        <v>409.9914516129032</v>
      </c>
      <c r="CO24">
        <v>15.29290967741936</v>
      </c>
      <c r="CP24">
        <v>14.72328709677419</v>
      </c>
      <c r="CQ24">
        <v>411.1519677419356</v>
      </c>
      <c r="CR24">
        <v>15.24590967741936</v>
      </c>
      <c r="CS24">
        <v>599.985</v>
      </c>
      <c r="CT24">
        <v>101.5874516129032</v>
      </c>
      <c r="CU24">
        <v>0.09998783548387097</v>
      </c>
      <c r="CV24">
        <v>23.5606935483871</v>
      </c>
      <c r="CW24">
        <v>23.15575806451613</v>
      </c>
      <c r="CX24">
        <v>999.9000000000003</v>
      </c>
      <c r="CY24">
        <v>0</v>
      </c>
      <c r="CZ24">
        <v>0</v>
      </c>
      <c r="DA24">
        <v>9999.439032258064</v>
      </c>
      <c r="DB24">
        <v>0</v>
      </c>
      <c r="DC24">
        <v>475.8501290322582</v>
      </c>
      <c r="DD24">
        <v>0.00500022</v>
      </c>
      <c r="DE24">
        <v>0</v>
      </c>
      <c r="DF24">
        <v>0</v>
      </c>
      <c r="DG24">
        <v>0</v>
      </c>
      <c r="DH24">
        <v>570.967741935484</v>
      </c>
      <c r="DI24">
        <v>0.00500022</v>
      </c>
      <c r="DJ24">
        <v>180.4290322580645</v>
      </c>
      <c r="DK24">
        <v>-1.512903225806452</v>
      </c>
      <c r="DL24">
        <v>31.73170967741935</v>
      </c>
      <c r="DM24">
        <v>37.79399999999999</v>
      </c>
      <c r="DN24">
        <v>34.62899999999999</v>
      </c>
      <c r="DO24">
        <v>34.00587096774193</v>
      </c>
      <c r="DP24">
        <v>33.88890322580645</v>
      </c>
      <c r="DQ24">
        <v>0</v>
      </c>
      <c r="DR24">
        <v>0</v>
      </c>
      <c r="DS24">
        <v>0</v>
      </c>
      <c r="DT24">
        <v>132.4000000953674</v>
      </c>
      <c r="DU24">
        <v>0</v>
      </c>
      <c r="DV24">
        <v>570.3920000000001</v>
      </c>
      <c r="DW24">
        <v>-12.53846178910542</v>
      </c>
      <c r="DX24">
        <v>-6.153846190525606</v>
      </c>
      <c r="DY24">
        <v>180.916</v>
      </c>
      <c r="DZ24">
        <v>15</v>
      </c>
      <c r="EA24">
        <v>1693329237.1</v>
      </c>
      <c r="EB24" t="s">
        <v>339</v>
      </c>
      <c r="EC24">
        <v>1693329237.1</v>
      </c>
      <c r="ED24">
        <v>1693329232.1</v>
      </c>
      <c r="EE24">
        <v>8</v>
      </c>
      <c r="EF24">
        <v>-0.033</v>
      </c>
      <c r="EG24">
        <v>0.008</v>
      </c>
      <c r="EH24">
        <v>-0.716</v>
      </c>
      <c r="EI24">
        <v>0.047</v>
      </c>
      <c r="EJ24">
        <v>410</v>
      </c>
      <c r="EK24">
        <v>15</v>
      </c>
      <c r="EL24">
        <v>0.5</v>
      </c>
      <c r="EM24">
        <v>0.28</v>
      </c>
      <c r="EN24">
        <v>100</v>
      </c>
      <c r="EO24">
        <v>100</v>
      </c>
      <c r="EP24">
        <v>-0.716</v>
      </c>
      <c r="EQ24">
        <v>0.047</v>
      </c>
      <c r="ER24">
        <v>-1.072663160572783</v>
      </c>
      <c r="ES24">
        <v>-1.576349484901359E-05</v>
      </c>
      <c r="ET24">
        <v>2.573729931138326E-06</v>
      </c>
      <c r="EU24">
        <v>-5.475564338477752E-10</v>
      </c>
      <c r="EV24">
        <v>-0.07920811410533715</v>
      </c>
      <c r="EW24">
        <v>-0.01018517929758264</v>
      </c>
      <c r="EX24">
        <v>0.001658527226803643</v>
      </c>
      <c r="EY24">
        <v>-2.829097221525108E-05</v>
      </c>
      <c r="EZ24">
        <v>21</v>
      </c>
      <c r="FA24">
        <v>1995</v>
      </c>
      <c r="FB24">
        <v>1</v>
      </c>
      <c r="FC24">
        <v>16</v>
      </c>
      <c r="FD24">
        <v>1.9</v>
      </c>
      <c r="FE24">
        <v>1.9</v>
      </c>
      <c r="FF24">
        <v>1.07178</v>
      </c>
      <c r="FG24">
        <v>2.60254</v>
      </c>
      <c r="FH24">
        <v>1.39771</v>
      </c>
      <c r="FI24">
        <v>2.27051</v>
      </c>
      <c r="FJ24">
        <v>1.39526</v>
      </c>
      <c r="FK24">
        <v>2.37427</v>
      </c>
      <c r="FL24">
        <v>31.3244</v>
      </c>
      <c r="FM24">
        <v>15.9533</v>
      </c>
      <c r="FN24">
        <v>18</v>
      </c>
      <c r="FO24">
        <v>584.796</v>
      </c>
      <c r="FP24">
        <v>397.237</v>
      </c>
      <c r="FQ24">
        <v>23.23</v>
      </c>
      <c r="FR24">
        <v>24.9759</v>
      </c>
      <c r="FS24">
        <v>30.0003</v>
      </c>
      <c r="FT24">
        <v>24.7747</v>
      </c>
      <c r="FU24">
        <v>25.1259</v>
      </c>
      <c r="FV24">
        <v>21.4901</v>
      </c>
      <c r="FW24">
        <v>0</v>
      </c>
      <c r="FX24">
        <v>59.8424</v>
      </c>
      <c r="FY24">
        <v>-999.9</v>
      </c>
      <c r="FZ24">
        <v>410</v>
      </c>
      <c r="GA24">
        <v>15.1483</v>
      </c>
      <c r="GB24">
        <v>99.05889999999999</v>
      </c>
      <c r="GC24">
        <v>93.6511</v>
      </c>
    </row>
    <row r="25" spans="1:185">
      <c r="A25">
        <v>9</v>
      </c>
      <c r="B25">
        <v>1693329343.1</v>
      </c>
      <c r="C25">
        <v>1370.599999904633</v>
      </c>
      <c r="D25" t="s">
        <v>340</v>
      </c>
      <c r="E25" t="s">
        <v>341</v>
      </c>
      <c r="F25">
        <v>5</v>
      </c>
      <c r="H25" t="s">
        <v>307</v>
      </c>
      <c r="L25">
        <v>1693329335.099999</v>
      </c>
      <c r="M25">
        <f>(N25)/1000</f>
        <v>0</v>
      </c>
      <c r="N25">
        <f>IF(CK25, AQ25, AK25)</f>
        <v>0</v>
      </c>
      <c r="O25">
        <f>IF(CK25, AL25, AJ25)</f>
        <v>0</v>
      </c>
      <c r="P25">
        <f>CM25 - IF(AX25&gt;1, O25*CG25*100.0/(AZ25*DA25), 0)</f>
        <v>0</v>
      </c>
      <c r="Q25">
        <f>((W25-M25/2)*P25-O25)/(W25+M25/2)</f>
        <v>0</v>
      </c>
      <c r="R25">
        <f>Q25*(CT25+CU25)/1000.0</f>
        <v>0</v>
      </c>
      <c r="S25">
        <f>(CM25 - IF(AX25&gt;1, O25*CG25*100.0/(AZ25*DA25), 0))*(CT25+CU25)/1000.0</f>
        <v>0</v>
      </c>
      <c r="T25">
        <f>2.0/((1/V25-1/U25)+SIGN(V25)*SQRT((1/V25-1/U25)*(1/V25-1/U25) + 4*CH25/((CH25+1)*(CH25+1))*(2*1/V25*1/U25-1/U25*1/U25)))</f>
        <v>0</v>
      </c>
      <c r="U25">
        <f>IF(LEFT(CI25,1)&lt;&gt;"0",IF(LEFT(CI25,1)="1",3.0,CJ25),$D$5+$E$5*(DA25*CT25/($K$5*1000))+$F$5*(DA25*CT25/($K$5*1000))*MAX(MIN(CG25,$J$5),$I$5)*MAX(MIN(CG25,$J$5),$I$5)+$G$5*MAX(MIN(CG25,$J$5),$I$5)*(DA25*CT25/($K$5*1000))+$H$5*(DA25*CT25/($K$5*1000))*(DA25*CT25/($K$5*1000)))</f>
        <v>0</v>
      </c>
      <c r="V25">
        <f>M25*(1000-(1000*0.61365*exp(17.502*Z25/(240.97+Z25))/(CT25+CU25)+CO25)/2)/(1000*0.61365*exp(17.502*Z25/(240.97+Z25))/(CT25+CU25)-CO25)</f>
        <v>0</v>
      </c>
      <c r="W25">
        <f>1/((CH25+1)/(T25/1.6)+1/(U25/1.37)) + CH25/((CH25+1)/(T25/1.6) + CH25/(U25/1.37))</f>
        <v>0</v>
      </c>
      <c r="X25">
        <f>(CC25*CF25)</f>
        <v>0</v>
      </c>
      <c r="Y25">
        <f>(CV25+(X25+2*0.95*5.67E-8*(((CV25+$B$7)+273)^4-(CV25+273)^4)-44100*M25)/(1.84*29.3*U25+8*0.95*5.67E-8*(CV25+273)^3))</f>
        <v>0</v>
      </c>
      <c r="Z25">
        <f>($C$7*CW25+$D$7*CX25+$E$7*Y25)</f>
        <v>0</v>
      </c>
      <c r="AA25">
        <f>0.61365*exp(17.502*Z25/(240.97+Z25))</f>
        <v>0</v>
      </c>
      <c r="AB25">
        <f>(AC25/AD25*100)</f>
        <v>0</v>
      </c>
      <c r="AC25">
        <f>CO25*(CT25+CU25)/1000</f>
        <v>0</v>
      </c>
      <c r="AD25">
        <f>0.61365*exp(17.502*CV25/(240.97+CV25))</f>
        <v>0</v>
      </c>
      <c r="AE25">
        <f>(AA25-CO25*(CT25+CU25)/1000)</f>
        <v>0</v>
      </c>
      <c r="AF25">
        <f>(-M25*44100)</f>
        <v>0</v>
      </c>
      <c r="AG25">
        <f>2*29.3*U25*0.92*(CV25-Z25)</f>
        <v>0</v>
      </c>
      <c r="AH25">
        <f>2*0.95*5.67E-8*(((CV25+$B$7)+273)^4-(Z25+273)^4)</f>
        <v>0</v>
      </c>
      <c r="AI25">
        <f>X25+AH25+AF25+AG25</f>
        <v>0</v>
      </c>
      <c r="AJ25">
        <f>CS25*AX25*(CN25-CM25*(1000-AX25*CP25)/(1000-AX25*CO25))/(100*CG25)</f>
        <v>0</v>
      </c>
      <c r="AK25">
        <f>1000*CS25*AX25*(CO25-CP25)/(100*CG25*(1000-AX25*CO25))</f>
        <v>0</v>
      </c>
      <c r="AL25">
        <f>(AM25 - AN25 - CT25*1E3/(8.314*(CV25+273.15)) * AP25/CS25 * AO25) * CS25/(100*CG25) * (1000 - CP25)/1000</f>
        <v>0</v>
      </c>
      <c r="AM25">
        <v>415.0034382213263</v>
      </c>
      <c r="AN25">
        <v>415.9954121212122</v>
      </c>
      <c r="AO25">
        <v>-0.06135085433879495</v>
      </c>
      <c r="AP25">
        <v>67.25888969641198</v>
      </c>
      <c r="AQ25">
        <f>(AS25 - AR25 + CT25*1E3/(8.314*(CV25+273.15)) * AU25/CS25 * AT25) * CS25/(100*CG25) * 1000/(1000 - AS25)</f>
        <v>0</v>
      </c>
      <c r="AR25">
        <v>12.05504543930991</v>
      </c>
      <c r="AS25">
        <v>14.83886606060606</v>
      </c>
      <c r="AT25">
        <v>-0.03654822533821196</v>
      </c>
      <c r="AU25">
        <v>78.44612234161367</v>
      </c>
      <c r="AV25">
        <v>17</v>
      </c>
      <c r="AW25">
        <v>3</v>
      </c>
      <c r="AX25">
        <f>IF(AV25*$H$13&gt;=AZ25,1.0,(AZ25/(AZ25-AV25*$H$13)))</f>
        <v>0</v>
      </c>
      <c r="AY25">
        <f>(AX25-1)*100</f>
        <v>0</v>
      </c>
      <c r="AZ25">
        <f>MAX(0,($B$13+$C$13*DA25)/(1+$D$13*DA25)*CT25/(CV25+273)*$E$13)</f>
        <v>0</v>
      </c>
      <c r="BA25" t="s">
        <v>342</v>
      </c>
      <c r="BB25">
        <v>8147.03</v>
      </c>
      <c r="BC25">
        <v>615.4692307692308</v>
      </c>
      <c r="BD25">
        <v>3104.17</v>
      </c>
      <c r="BE25">
        <f>1-BC25/BD25</f>
        <v>0</v>
      </c>
      <c r="BF25">
        <v>-1.106617872827938</v>
      </c>
      <c r="BG25" t="s">
        <v>309</v>
      </c>
      <c r="BH25" t="s">
        <v>309</v>
      </c>
      <c r="BI25">
        <v>0</v>
      </c>
      <c r="BJ25">
        <v>0</v>
      </c>
      <c r="BK25">
        <f>1-BI25/BJ25</f>
        <v>0</v>
      </c>
      <c r="BL25">
        <v>0.5</v>
      </c>
      <c r="BM25">
        <f>CD25</f>
        <v>0</v>
      </c>
      <c r="BN25">
        <f>O25</f>
        <v>0</v>
      </c>
      <c r="BO25">
        <f>BK25*BL25*BM25</f>
        <v>0</v>
      </c>
      <c r="BP25">
        <f>(BN25-BF25)/BM25</f>
        <v>0</v>
      </c>
      <c r="BQ25">
        <f>(BD25-BJ25)/BJ25</f>
        <v>0</v>
      </c>
      <c r="BR25">
        <f>BC25/(BE25+BC25/BJ25)</f>
        <v>0</v>
      </c>
      <c r="BS25" t="s">
        <v>309</v>
      </c>
      <c r="BT25">
        <v>0</v>
      </c>
      <c r="BU25">
        <f>IF(BT25&lt;&gt;0, BT25, BR25)</f>
        <v>0</v>
      </c>
      <c r="BV25">
        <f>1-BU25/BJ25</f>
        <v>0</v>
      </c>
      <c r="BW25">
        <f>(BJ25-BI25)/(BJ25-BU25)</f>
        <v>0</v>
      </c>
      <c r="BX25">
        <f>(BD25-BJ25)/(BD25-BU25)</f>
        <v>0</v>
      </c>
      <c r="BY25">
        <f>(BJ25-BI25)/(BJ25-BC25)</f>
        <v>0</v>
      </c>
      <c r="BZ25">
        <f>(BD25-BJ25)/(BD25-BC25)</f>
        <v>0</v>
      </c>
      <c r="CA25">
        <f>(BW25*BU25/BI25)</f>
        <v>0</v>
      </c>
      <c r="CB25">
        <f>(1-CA25)</f>
        <v>0</v>
      </c>
      <c r="CC25">
        <f>$B$11*DB25+$C$11*DC25+$F$11*DD25*(1-DG25)</f>
        <v>0</v>
      </c>
      <c r="CD25">
        <f>CC25*CE25</f>
        <v>0</v>
      </c>
      <c r="CE25">
        <f>($B$11*$D$9+$C$11*$D$9+$F$11*((DQ25+DI25)/MAX(DQ25+DI25+DR25, 0.1)*$I$9+DR25/MAX(DQ25+DI25+DR25, 0.1)*$J$9))/($B$11+$C$11+$F$11)</f>
        <v>0</v>
      </c>
      <c r="CF25">
        <f>($B$11*$K$9+$C$11*$K$9+$F$11*((DQ25+DI25)/MAX(DQ25+DI25+DR25, 0.1)*$P$9+DR25/MAX(DQ25+DI25+DR25, 0.1)*$Q$9))/($B$11+$C$11+$F$11)</f>
        <v>0</v>
      </c>
      <c r="CG25">
        <v>6</v>
      </c>
      <c r="CH25">
        <v>0.5</v>
      </c>
      <c r="CI25" t="s">
        <v>310</v>
      </c>
      <c r="CJ25">
        <v>2</v>
      </c>
      <c r="CK25" t="b">
        <v>0</v>
      </c>
      <c r="CL25">
        <v>1693329335.099999</v>
      </c>
      <c r="CM25">
        <v>409.9887741935484</v>
      </c>
      <c r="CN25">
        <v>410.092870967742</v>
      </c>
      <c r="CO25">
        <v>15.11277741935484</v>
      </c>
      <c r="CP25">
        <v>12.20466451612903</v>
      </c>
      <c r="CQ25">
        <v>410.6017741935484</v>
      </c>
      <c r="CR25">
        <v>15.11577741935484</v>
      </c>
      <c r="CS25">
        <v>600.0681290322581</v>
      </c>
      <c r="CT25">
        <v>101.5781612903226</v>
      </c>
      <c r="CU25">
        <v>0.1000049677419355</v>
      </c>
      <c r="CV25">
        <v>23.69915806451613</v>
      </c>
      <c r="CW25">
        <v>22.85991612903226</v>
      </c>
      <c r="CX25">
        <v>999.9000000000003</v>
      </c>
      <c r="CY25">
        <v>0</v>
      </c>
      <c r="CZ25">
        <v>0</v>
      </c>
      <c r="DA25">
        <v>10005.64258064516</v>
      </c>
      <c r="DB25">
        <v>0</v>
      </c>
      <c r="DC25">
        <v>510.568935483871</v>
      </c>
      <c r="DD25">
        <v>0.00500022</v>
      </c>
      <c r="DE25">
        <v>0</v>
      </c>
      <c r="DF25">
        <v>0</v>
      </c>
      <c r="DG25">
        <v>0</v>
      </c>
      <c r="DH25">
        <v>615.6967741935482</v>
      </c>
      <c r="DI25">
        <v>0.00500022</v>
      </c>
      <c r="DJ25">
        <v>116.9129032258064</v>
      </c>
      <c r="DK25">
        <v>-1.62258064516129</v>
      </c>
      <c r="DL25">
        <v>32.125</v>
      </c>
      <c r="DM25">
        <v>38.40299999999998</v>
      </c>
      <c r="DN25">
        <v>34.76596774193548</v>
      </c>
      <c r="DO25">
        <v>36.18116129032257</v>
      </c>
      <c r="DP25">
        <v>34.49790322580645</v>
      </c>
      <c r="DQ25">
        <v>0</v>
      </c>
      <c r="DR25">
        <v>0</v>
      </c>
      <c r="DS25">
        <v>0</v>
      </c>
      <c r="DT25">
        <v>128.2000000476837</v>
      </c>
      <c r="DU25">
        <v>0</v>
      </c>
      <c r="DV25">
        <v>615.4692307692308</v>
      </c>
      <c r="DW25">
        <v>-33.01880326225051</v>
      </c>
      <c r="DX25">
        <v>-6.516239230065371</v>
      </c>
      <c r="DY25">
        <v>117.7153846153846</v>
      </c>
      <c r="DZ25">
        <v>15</v>
      </c>
      <c r="EA25">
        <v>1693329372.1</v>
      </c>
      <c r="EB25" t="s">
        <v>343</v>
      </c>
      <c r="EC25">
        <v>1693329371.6</v>
      </c>
      <c r="ED25">
        <v>1693329372.1</v>
      </c>
      <c r="EE25">
        <v>9</v>
      </c>
      <c r="EF25">
        <v>0.104</v>
      </c>
      <c r="EG25">
        <v>-0.003</v>
      </c>
      <c r="EH25">
        <v>-0.613</v>
      </c>
      <c r="EI25">
        <v>-0.003</v>
      </c>
      <c r="EJ25">
        <v>410</v>
      </c>
      <c r="EK25">
        <v>12</v>
      </c>
      <c r="EL25">
        <v>0.53</v>
      </c>
      <c r="EM25">
        <v>0.03</v>
      </c>
      <c r="EN25">
        <v>100</v>
      </c>
      <c r="EO25">
        <v>100</v>
      </c>
      <c r="EP25">
        <v>-0.613</v>
      </c>
      <c r="EQ25">
        <v>-0.003</v>
      </c>
      <c r="ER25">
        <v>-1.105948623883747</v>
      </c>
      <c r="ES25">
        <v>-1.576349484901359E-05</v>
      </c>
      <c r="ET25">
        <v>2.573729931138326E-06</v>
      </c>
      <c r="EU25">
        <v>-5.475564338477752E-10</v>
      </c>
      <c r="EV25">
        <v>-0.07143495302922268</v>
      </c>
      <c r="EW25">
        <v>-0.01018517929758264</v>
      </c>
      <c r="EX25">
        <v>0.001658527226803643</v>
      </c>
      <c r="EY25">
        <v>-2.829097221525108E-05</v>
      </c>
      <c r="EZ25">
        <v>21</v>
      </c>
      <c r="FA25">
        <v>1995</v>
      </c>
      <c r="FB25">
        <v>1</v>
      </c>
      <c r="FC25">
        <v>16</v>
      </c>
      <c r="FD25">
        <v>1.8</v>
      </c>
      <c r="FE25">
        <v>1.9</v>
      </c>
      <c r="FF25">
        <v>1.07056</v>
      </c>
      <c r="FG25">
        <v>2.60254</v>
      </c>
      <c r="FH25">
        <v>1.39771</v>
      </c>
      <c r="FI25">
        <v>2.27051</v>
      </c>
      <c r="FJ25">
        <v>1.39526</v>
      </c>
      <c r="FK25">
        <v>2.44751</v>
      </c>
      <c r="FL25">
        <v>31.4988</v>
      </c>
      <c r="FM25">
        <v>15.9533</v>
      </c>
      <c r="FN25">
        <v>18</v>
      </c>
      <c r="FO25">
        <v>580.956</v>
      </c>
      <c r="FP25">
        <v>394.657</v>
      </c>
      <c r="FQ25">
        <v>23.399</v>
      </c>
      <c r="FR25">
        <v>25.0783</v>
      </c>
      <c r="FS25">
        <v>30.0003</v>
      </c>
      <c r="FT25">
        <v>24.8643</v>
      </c>
      <c r="FU25">
        <v>25.2128</v>
      </c>
      <c r="FV25">
        <v>21.4423</v>
      </c>
      <c r="FW25">
        <v>12.9696</v>
      </c>
      <c r="FX25">
        <v>56.2005</v>
      </c>
      <c r="FY25">
        <v>-999.9</v>
      </c>
      <c r="FZ25">
        <v>410</v>
      </c>
      <c r="GA25">
        <v>12.4036</v>
      </c>
      <c r="GB25">
        <v>99.0448</v>
      </c>
      <c r="GC25">
        <v>93.6384</v>
      </c>
    </row>
    <row r="26" spans="1:185">
      <c r="A26">
        <v>10</v>
      </c>
      <c r="B26">
        <v>1693329486.6</v>
      </c>
      <c r="C26">
        <v>1514.099999904633</v>
      </c>
      <c r="D26" t="s">
        <v>344</v>
      </c>
      <c r="E26" t="s">
        <v>345</v>
      </c>
      <c r="F26">
        <v>5</v>
      </c>
      <c r="H26" t="s">
        <v>307</v>
      </c>
      <c r="L26">
        <v>1693329478.849999</v>
      </c>
      <c r="M26">
        <f>(N26)/1000</f>
        <v>0</v>
      </c>
      <c r="N26">
        <f>IF(CK26, AQ26, AK26)</f>
        <v>0</v>
      </c>
      <c r="O26">
        <f>IF(CK26, AL26, AJ26)</f>
        <v>0</v>
      </c>
      <c r="P26">
        <f>CM26 - IF(AX26&gt;1, O26*CG26*100.0/(AZ26*DA26), 0)</f>
        <v>0</v>
      </c>
      <c r="Q26">
        <f>((W26-M26/2)*P26-O26)/(W26+M26/2)</f>
        <v>0</v>
      </c>
      <c r="R26">
        <f>Q26*(CT26+CU26)/1000.0</f>
        <v>0</v>
      </c>
      <c r="S26">
        <f>(CM26 - IF(AX26&gt;1, O26*CG26*100.0/(AZ26*DA26), 0))*(CT26+CU26)/1000.0</f>
        <v>0</v>
      </c>
      <c r="T26">
        <f>2.0/((1/V26-1/U26)+SIGN(V26)*SQRT((1/V26-1/U26)*(1/V26-1/U26) + 4*CH26/((CH26+1)*(CH26+1))*(2*1/V26*1/U26-1/U26*1/U26)))</f>
        <v>0</v>
      </c>
      <c r="U26">
        <f>IF(LEFT(CI26,1)&lt;&gt;"0",IF(LEFT(CI26,1)="1",3.0,CJ26),$D$5+$E$5*(DA26*CT26/($K$5*1000))+$F$5*(DA26*CT26/($K$5*1000))*MAX(MIN(CG26,$J$5),$I$5)*MAX(MIN(CG26,$J$5),$I$5)+$G$5*MAX(MIN(CG26,$J$5),$I$5)*(DA26*CT26/($K$5*1000))+$H$5*(DA26*CT26/($K$5*1000))*(DA26*CT26/($K$5*1000)))</f>
        <v>0</v>
      </c>
      <c r="V26">
        <f>M26*(1000-(1000*0.61365*exp(17.502*Z26/(240.97+Z26))/(CT26+CU26)+CO26)/2)/(1000*0.61365*exp(17.502*Z26/(240.97+Z26))/(CT26+CU26)-CO26)</f>
        <v>0</v>
      </c>
      <c r="W26">
        <f>1/((CH26+1)/(T26/1.6)+1/(U26/1.37)) + CH26/((CH26+1)/(T26/1.6) + CH26/(U26/1.37))</f>
        <v>0</v>
      </c>
      <c r="X26">
        <f>(CC26*CF26)</f>
        <v>0</v>
      </c>
      <c r="Y26">
        <f>(CV26+(X26+2*0.95*5.67E-8*(((CV26+$B$7)+273)^4-(CV26+273)^4)-44100*M26)/(1.84*29.3*U26+8*0.95*5.67E-8*(CV26+273)^3))</f>
        <v>0</v>
      </c>
      <c r="Z26">
        <f>($C$7*CW26+$D$7*CX26+$E$7*Y26)</f>
        <v>0</v>
      </c>
      <c r="AA26">
        <f>0.61365*exp(17.502*Z26/(240.97+Z26))</f>
        <v>0</v>
      </c>
      <c r="AB26">
        <f>(AC26/AD26*100)</f>
        <v>0</v>
      </c>
      <c r="AC26">
        <f>CO26*(CT26+CU26)/1000</f>
        <v>0</v>
      </c>
      <c r="AD26">
        <f>0.61365*exp(17.502*CV26/(240.97+CV26))</f>
        <v>0</v>
      </c>
      <c r="AE26">
        <f>(AA26-CO26*(CT26+CU26)/1000)</f>
        <v>0</v>
      </c>
      <c r="AF26">
        <f>(-M26*44100)</f>
        <v>0</v>
      </c>
      <c r="AG26">
        <f>2*29.3*U26*0.92*(CV26-Z26)</f>
        <v>0</v>
      </c>
      <c r="AH26">
        <f>2*0.95*5.67E-8*(((CV26+$B$7)+273)^4-(Z26+273)^4)</f>
        <v>0</v>
      </c>
      <c r="AI26">
        <f>X26+AH26+AF26+AG26</f>
        <v>0</v>
      </c>
      <c r="AJ26">
        <f>CS26*AX26*(CN26-CM26*(1000-AX26*CP26)/(1000-AX26*CO26))/(100*CG26)</f>
        <v>0</v>
      </c>
      <c r="AK26">
        <f>1000*CS26*AX26*(CO26-CP26)/(100*CG26*(1000-AX26*CO26))</f>
        <v>0</v>
      </c>
      <c r="AL26">
        <f>(AM26 - AN26 - CT26*1E3/(8.314*(CV26+273.15)) * AP26/CS26 * AO26) * CS26/(100*CG26) * (1000 - CP26)/1000</f>
        <v>0</v>
      </c>
      <c r="AM26">
        <v>415.8005137901728</v>
      </c>
      <c r="AN26">
        <v>416.4772969696971</v>
      </c>
      <c r="AO26">
        <v>-0.003493579546757864</v>
      </c>
      <c r="AP26">
        <v>67.25814023531159</v>
      </c>
      <c r="AQ26">
        <f>(AS26 - AR26 + CT26*1E3/(8.314*(CV26+273.15)) * AU26/CS26 * AT26) * CS26/(100*CG26) * 1000/(1000 - AS26)</f>
        <v>0</v>
      </c>
      <c r="AR26">
        <v>13.86833791963578</v>
      </c>
      <c r="AS26">
        <v>14.92751212121212</v>
      </c>
      <c r="AT26">
        <v>-0.002128888728988019</v>
      </c>
      <c r="AU26">
        <v>78.44335097503156</v>
      </c>
      <c r="AV26">
        <v>1</v>
      </c>
      <c r="AW26">
        <v>0</v>
      </c>
      <c r="AX26">
        <f>IF(AV26*$H$13&gt;=AZ26,1.0,(AZ26/(AZ26-AV26*$H$13)))</f>
        <v>0</v>
      </c>
      <c r="AY26">
        <f>(AX26-1)*100</f>
        <v>0</v>
      </c>
      <c r="AZ26">
        <f>MAX(0,($B$13+$C$13*DA26)/(1+$D$13*DA26)*CT26/(CV26+273)*$E$13)</f>
        <v>0</v>
      </c>
      <c r="BA26" t="s">
        <v>346</v>
      </c>
      <c r="BB26">
        <v>8206.309999999999</v>
      </c>
      <c r="BC26">
        <v>552.4640000000001</v>
      </c>
      <c r="BD26">
        <v>2708.18</v>
      </c>
      <c r="BE26">
        <f>1-BC26/BD26</f>
        <v>0</v>
      </c>
      <c r="BF26">
        <v>-0.5354813780352369</v>
      </c>
      <c r="BG26" t="s">
        <v>309</v>
      </c>
      <c r="BH26" t="s">
        <v>309</v>
      </c>
      <c r="BI26">
        <v>0</v>
      </c>
      <c r="BJ26">
        <v>0</v>
      </c>
      <c r="BK26">
        <f>1-BI26/BJ26</f>
        <v>0</v>
      </c>
      <c r="BL26">
        <v>0.5</v>
      </c>
      <c r="BM26">
        <f>CD26</f>
        <v>0</v>
      </c>
      <c r="BN26">
        <f>O26</f>
        <v>0</v>
      </c>
      <c r="BO26">
        <f>BK26*BL26*BM26</f>
        <v>0</v>
      </c>
      <c r="BP26">
        <f>(BN26-BF26)/BM26</f>
        <v>0</v>
      </c>
      <c r="BQ26">
        <f>(BD26-BJ26)/BJ26</f>
        <v>0</v>
      </c>
      <c r="BR26">
        <f>BC26/(BE26+BC26/BJ26)</f>
        <v>0</v>
      </c>
      <c r="BS26" t="s">
        <v>309</v>
      </c>
      <c r="BT26">
        <v>0</v>
      </c>
      <c r="BU26">
        <f>IF(BT26&lt;&gt;0, BT26, BR26)</f>
        <v>0</v>
      </c>
      <c r="BV26">
        <f>1-BU26/BJ26</f>
        <v>0</v>
      </c>
      <c r="BW26">
        <f>(BJ26-BI26)/(BJ26-BU26)</f>
        <v>0</v>
      </c>
      <c r="BX26">
        <f>(BD26-BJ26)/(BD26-BU26)</f>
        <v>0</v>
      </c>
      <c r="BY26">
        <f>(BJ26-BI26)/(BJ26-BC26)</f>
        <v>0</v>
      </c>
      <c r="BZ26">
        <f>(BD26-BJ26)/(BD26-BC26)</f>
        <v>0</v>
      </c>
      <c r="CA26">
        <f>(BW26*BU26/BI26)</f>
        <v>0</v>
      </c>
      <c r="CB26">
        <f>(1-CA26)</f>
        <v>0</v>
      </c>
      <c r="CC26">
        <f>$B$11*DB26+$C$11*DC26+$F$11*DD26*(1-DG26)</f>
        <v>0</v>
      </c>
      <c r="CD26">
        <f>CC26*CE26</f>
        <v>0</v>
      </c>
      <c r="CE26">
        <f>($B$11*$D$9+$C$11*$D$9+$F$11*((DQ26+DI26)/MAX(DQ26+DI26+DR26, 0.1)*$I$9+DR26/MAX(DQ26+DI26+DR26, 0.1)*$J$9))/($B$11+$C$11+$F$11)</f>
        <v>0</v>
      </c>
      <c r="CF26">
        <f>($B$11*$K$9+$C$11*$K$9+$F$11*((DQ26+DI26)/MAX(DQ26+DI26+DR26, 0.1)*$P$9+DR26/MAX(DQ26+DI26+DR26, 0.1)*$Q$9))/($B$11+$C$11+$F$11)</f>
        <v>0</v>
      </c>
      <c r="CG26">
        <v>6</v>
      </c>
      <c r="CH26">
        <v>0.5</v>
      </c>
      <c r="CI26" t="s">
        <v>310</v>
      </c>
      <c r="CJ26">
        <v>2</v>
      </c>
      <c r="CK26" t="b">
        <v>0</v>
      </c>
      <c r="CL26">
        <v>1693329478.849999</v>
      </c>
      <c r="CM26">
        <v>410.0955</v>
      </c>
      <c r="CN26">
        <v>410.0033</v>
      </c>
      <c r="CO26">
        <v>14.95423666666667</v>
      </c>
      <c r="CP26">
        <v>13.88953666666666</v>
      </c>
      <c r="CQ26">
        <v>410.8375</v>
      </c>
      <c r="CR26">
        <v>14.91823666666667</v>
      </c>
      <c r="CS26">
        <v>600.0270333333334</v>
      </c>
      <c r="CT26">
        <v>101.5736333333333</v>
      </c>
      <c r="CU26">
        <v>0.09995608666666668</v>
      </c>
      <c r="CV26">
        <v>23.68424666666666</v>
      </c>
      <c r="CW26">
        <v>23.03946333333333</v>
      </c>
      <c r="CX26">
        <v>999.9000000000002</v>
      </c>
      <c r="CY26">
        <v>0</v>
      </c>
      <c r="CZ26">
        <v>0</v>
      </c>
      <c r="DA26">
        <v>9998.043666666666</v>
      </c>
      <c r="DB26">
        <v>0</v>
      </c>
      <c r="DC26">
        <v>500.0081333333334</v>
      </c>
      <c r="DD26">
        <v>0.00500022</v>
      </c>
      <c r="DE26">
        <v>0</v>
      </c>
      <c r="DF26">
        <v>0</v>
      </c>
      <c r="DG26">
        <v>0</v>
      </c>
      <c r="DH26">
        <v>552.6800000000001</v>
      </c>
      <c r="DI26">
        <v>0.00500022</v>
      </c>
      <c r="DJ26">
        <v>175.7266666666666</v>
      </c>
      <c r="DK26">
        <v>-1.31</v>
      </c>
      <c r="DL26">
        <v>32.1229</v>
      </c>
      <c r="DM26">
        <v>38.37706666666666</v>
      </c>
      <c r="DN26">
        <v>35.062</v>
      </c>
      <c r="DO26">
        <v>33.81016666666667</v>
      </c>
      <c r="DP26">
        <v>34.22063333333334</v>
      </c>
      <c r="DQ26">
        <v>0</v>
      </c>
      <c r="DR26">
        <v>0</v>
      </c>
      <c r="DS26">
        <v>0</v>
      </c>
      <c r="DT26">
        <v>143</v>
      </c>
      <c r="DU26">
        <v>0</v>
      </c>
      <c r="DV26">
        <v>552.4640000000001</v>
      </c>
      <c r="DW26">
        <v>-37.53846129374063</v>
      </c>
      <c r="DX26">
        <v>1.64615400707404</v>
      </c>
      <c r="DY26">
        <v>176.064</v>
      </c>
      <c r="DZ26">
        <v>15</v>
      </c>
      <c r="EA26">
        <v>1693329510.6</v>
      </c>
      <c r="EB26" t="s">
        <v>347</v>
      </c>
      <c r="EC26">
        <v>1693329500.6</v>
      </c>
      <c r="ED26">
        <v>1693329510.6</v>
      </c>
      <c r="EE26">
        <v>10</v>
      </c>
      <c r="EF26">
        <v>-0.129</v>
      </c>
      <c r="EG26">
        <v>0.008999999999999999</v>
      </c>
      <c r="EH26">
        <v>-0.742</v>
      </c>
      <c r="EI26">
        <v>0.036</v>
      </c>
      <c r="EJ26">
        <v>410</v>
      </c>
      <c r="EK26">
        <v>14</v>
      </c>
      <c r="EL26">
        <v>0.92</v>
      </c>
      <c r="EM26">
        <v>0.23</v>
      </c>
      <c r="EN26">
        <v>100</v>
      </c>
      <c r="EO26">
        <v>100</v>
      </c>
      <c r="EP26">
        <v>-0.742</v>
      </c>
      <c r="EQ26">
        <v>0.036</v>
      </c>
      <c r="ER26">
        <v>-1.002384409603981</v>
      </c>
      <c r="ES26">
        <v>-1.576349484901359E-05</v>
      </c>
      <c r="ET26">
        <v>2.573729931138326E-06</v>
      </c>
      <c r="EU26">
        <v>-5.475564338477752E-10</v>
      </c>
      <c r="EV26">
        <v>-0.07464672723152585</v>
      </c>
      <c r="EW26">
        <v>-0.01018517929758264</v>
      </c>
      <c r="EX26">
        <v>0.001658527226803643</v>
      </c>
      <c r="EY26">
        <v>-2.829097221525108E-05</v>
      </c>
      <c r="EZ26">
        <v>21</v>
      </c>
      <c r="FA26">
        <v>1995</v>
      </c>
      <c r="FB26">
        <v>1</v>
      </c>
      <c r="FC26">
        <v>16</v>
      </c>
      <c r="FD26">
        <v>1.9</v>
      </c>
      <c r="FE26">
        <v>1.9</v>
      </c>
      <c r="FF26">
        <v>1.07178</v>
      </c>
      <c r="FG26">
        <v>2.59888</v>
      </c>
      <c r="FH26">
        <v>1.39771</v>
      </c>
      <c r="FI26">
        <v>2.27051</v>
      </c>
      <c r="FJ26">
        <v>1.39526</v>
      </c>
      <c r="FK26">
        <v>2.36816</v>
      </c>
      <c r="FL26">
        <v>31.6736</v>
      </c>
      <c r="FM26">
        <v>15.9445</v>
      </c>
      <c r="FN26">
        <v>18</v>
      </c>
      <c r="FO26">
        <v>600.182</v>
      </c>
      <c r="FP26">
        <v>394.409</v>
      </c>
      <c r="FQ26">
        <v>23.4452</v>
      </c>
      <c r="FR26">
        <v>25.1743</v>
      </c>
      <c r="FS26">
        <v>30.0002</v>
      </c>
      <c r="FT26">
        <v>24.9618</v>
      </c>
      <c r="FU26">
        <v>25.3119</v>
      </c>
      <c r="FV26">
        <v>21.4775</v>
      </c>
      <c r="FW26">
        <v>4.15648</v>
      </c>
      <c r="FX26">
        <v>53.0031</v>
      </c>
      <c r="FY26">
        <v>-999.9</v>
      </c>
      <c r="FZ26">
        <v>410</v>
      </c>
      <c r="GA26">
        <v>13.8644</v>
      </c>
      <c r="GB26">
        <v>99.0303</v>
      </c>
      <c r="GC26">
        <v>93.6296</v>
      </c>
    </row>
    <row r="27" spans="1:185">
      <c r="A27">
        <v>11</v>
      </c>
      <c r="B27">
        <v>1693329679.6</v>
      </c>
      <c r="C27">
        <v>1707.099999904633</v>
      </c>
      <c r="D27" t="s">
        <v>348</v>
      </c>
      <c r="E27" t="s">
        <v>349</v>
      </c>
      <c r="F27">
        <v>5</v>
      </c>
      <c r="H27" t="s">
        <v>307</v>
      </c>
      <c r="L27">
        <v>1693329671.599999</v>
      </c>
      <c r="M27">
        <f>(N27)/1000</f>
        <v>0</v>
      </c>
      <c r="N27">
        <f>IF(CK27, AQ27, AK27)</f>
        <v>0</v>
      </c>
      <c r="O27">
        <f>IF(CK27, AL27, AJ27)</f>
        <v>0</v>
      </c>
      <c r="P27">
        <f>CM27 - IF(AX27&gt;1, O27*CG27*100.0/(AZ27*DA27), 0)</f>
        <v>0</v>
      </c>
      <c r="Q27">
        <f>((W27-M27/2)*P27-O27)/(W27+M27/2)</f>
        <v>0</v>
      </c>
      <c r="R27">
        <f>Q27*(CT27+CU27)/1000.0</f>
        <v>0</v>
      </c>
      <c r="S27">
        <f>(CM27 - IF(AX27&gt;1, O27*CG27*100.0/(AZ27*DA27), 0))*(CT27+CU27)/1000.0</f>
        <v>0</v>
      </c>
      <c r="T27">
        <f>2.0/((1/V27-1/U27)+SIGN(V27)*SQRT((1/V27-1/U27)*(1/V27-1/U27) + 4*CH27/((CH27+1)*(CH27+1))*(2*1/V27*1/U27-1/U27*1/U27)))</f>
        <v>0</v>
      </c>
      <c r="U27">
        <f>IF(LEFT(CI27,1)&lt;&gt;"0",IF(LEFT(CI27,1)="1",3.0,CJ27),$D$5+$E$5*(DA27*CT27/($K$5*1000))+$F$5*(DA27*CT27/($K$5*1000))*MAX(MIN(CG27,$J$5),$I$5)*MAX(MIN(CG27,$J$5),$I$5)+$G$5*MAX(MIN(CG27,$J$5),$I$5)*(DA27*CT27/($K$5*1000))+$H$5*(DA27*CT27/($K$5*1000))*(DA27*CT27/($K$5*1000)))</f>
        <v>0</v>
      </c>
      <c r="V27">
        <f>M27*(1000-(1000*0.61365*exp(17.502*Z27/(240.97+Z27))/(CT27+CU27)+CO27)/2)/(1000*0.61365*exp(17.502*Z27/(240.97+Z27))/(CT27+CU27)-CO27)</f>
        <v>0</v>
      </c>
      <c r="W27">
        <f>1/((CH27+1)/(T27/1.6)+1/(U27/1.37)) + CH27/((CH27+1)/(T27/1.6) + CH27/(U27/1.37))</f>
        <v>0</v>
      </c>
      <c r="X27">
        <f>(CC27*CF27)</f>
        <v>0</v>
      </c>
      <c r="Y27">
        <f>(CV27+(X27+2*0.95*5.67E-8*(((CV27+$B$7)+273)^4-(CV27+273)^4)-44100*M27)/(1.84*29.3*U27+8*0.95*5.67E-8*(CV27+273)^3))</f>
        <v>0</v>
      </c>
      <c r="Z27">
        <f>($C$7*CW27+$D$7*CX27+$E$7*Y27)</f>
        <v>0</v>
      </c>
      <c r="AA27">
        <f>0.61365*exp(17.502*Z27/(240.97+Z27))</f>
        <v>0</v>
      </c>
      <c r="AB27">
        <f>(AC27/AD27*100)</f>
        <v>0</v>
      </c>
      <c r="AC27">
        <f>CO27*(CT27+CU27)/1000</f>
        <v>0</v>
      </c>
      <c r="AD27">
        <f>0.61365*exp(17.502*CV27/(240.97+CV27))</f>
        <v>0</v>
      </c>
      <c r="AE27">
        <f>(AA27-CO27*(CT27+CU27)/1000)</f>
        <v>0</v>
      </c>
      <c r="AF27">
        <f>(-M27*44100)</f>
        <v>0</v>
      </c>
      <c r="AG27">
        <f>2*29.3*U27*0.92*(CV27-Z27)</f>
        <v>0</v>
      </c>
      <c r="AH27">
        <f>2*0.95*5.67E-8*(((CV27+$B$7)+273)^4-(Z27+273)^4)</f>
        <v>0</v>
      </c>
      <c r="AI27">
        <f>X27+AH27+AF27+AG27</f>
        <v>0</v>
      </c>
      <c r="AJ27">
        <f>CS27*AX27*(CN27-CM27*(1000-AX27*CP27)/(1000-AX27*CO27))/(100*CG27)</f>
        <v>0</v>
      </c>
      <c r="AK27">
        <f>1000*CS27*AX27*(CO27-CP27)/(100*CG27*(1000-AX27*CO27))</f>
        <v>0</v>
      </c>
      <c r="AL27">
        <f>(AM27 - AN27 - CT27*1E3/(8.314*(CV27+273.15)) * AP27/CS27 * AO27) * CS27/(100*CG27) * (1000 - CP27)/1000</f>
        <v>0</v>
      </c>
      <c r="AM27">
        <v>416.0361839888378</v>
      </c>
      <c r="AN27">
        <v>416.6488606060605</v>
      </c>
      <c r="AO27">
        <v>0.02468885924665675</v>
      </c>
      <c r="AP27">
        <v>67.25672271209017</v>
      </c>
      <c r="AQ27">
        <f>(AS27 - AR27 + CT27*1E3/(8.314*(CV27+273.15)) * AU27/CS27 * AT27) * CS27/(100*CG27) * 1000/(1000 - AS27)</f>
        <v>0</v>
      </c>
      <c r="AR27">
        <v>14.51259264761905</v>
      </c>
      <c r="AS27">
        <v>15.17882121212121</v>
      </c>
      <c r="AT27">
        <v>0.001064385026738835</v>
      </c>
      <c r="AU27">
        <v>78.55</v>
      </c>
      <c r="AV27">
        <v>0</v>
      </c>
      <c r="AW27">
        <v>0</v>
      </c>
      <c r="AX27">
        <f>IF(AV27*$H$13&gt;=AZ27,1.0,(AZ27/(AZ27-AV27*$H$13)))</f>
        <v>0</v>
      </c>
      <c r="AY27">
        <f>(AX27-1)*100</f>
        <v>0</v>
      </c>
      <c r="AZ27">
        <f>MAX(0,($B$13+$C$13*DA27)/(1+$D$13*DA27)*CT27/(CV27+273)*$E$13)</f>
        <v>0</v>
      </c>
      <c r="BA27" t="s">
        <v>350</v>
      </c>
      <c r="BB27">
        <v>8197.959999999999</v>
      </c>
      <c r="BC27">
        <v>608.0769230769231</v>
      </c>
      <c r="BD27">
        <v>2753.04</v>
      </c>
      <c r="BE27">
        <f>1-BC27/BD27</f>
        <v>0</v>
      </c>
      <c r="BF27">
        <v>-0.505926457361056</v>
      </c>
      <c r="BG27" t="s">
        <v>309</v>
      </c>
      <c r="BH27" t="s">
        <v>309</v>
      </c>
      <c r="BI27">
        <v>0</v>
      </c>
      <c r="BJ27">
        <v>0</v>
      </c>
      <c r="BK27">
        <f>1-BI27/BJ27</f>
        <v>0</v>
      </c>
      <c r="BL27">
        <v>0.5</v>
      </c>
      <c r="BM27">
        <f>CD27</f>
        <v>0</v>
      </c>
      <c r="BN27">
        <f>O27</f>
        <v>0</v>
      </c>
      <c r="BO27">
        <f>BK27*BL27*BM27</f>
        <v>0</v>
      </c>
      <c r="BP27">
        <f>(BN27-BF27)/BM27</f>
        <v>0</v>
      </c>
      <c r="BQ27">
        <f>(BD27-BJ27)/BJ27</f>
        <v>0</v>
      </c>
      <c r="BR27">
        <f>BC27/(BE27+BC27/BJ27)</f>
        <v>0</v>
      </c>
      <c r="BS27" t="s">
        <v>309</v>
      </c>
      <c r="BT27">
        <v>0</v>
      </c>
      <c r="BU27">
        <f>IF(BT27&lt;&gt;0, BT27, BR27)</f>
        <v>0</v>
      </c>
      <c r="BV27">
        <f>1-BU27/BJ27</f>
        <v>0</v>
      </c>
      <c r="BW27">
        <f>(BJ27-BI27)/(BJ27-BU27)</f>
        <v>0</v>
      </c>
      <c r="BX27">
        <f>(BD27-BJ27)/(BD27-BU27)</f>
        <v>0</v>
      </c>
      <c r="BY27">
        <f>(BJ27-BI27)/(BJ27-BC27)</f>
        <v>0</v>
      </c>
      <c r="BZ27">
        <f>(BD27-BJ27)/(BD27-BC27)</f>
        <v>0</v>
      </c>
      <c r="CA27">
        <f>(BW27*BU27/BI27)</f>
        <v>0</v>
      </c>
      <c r="CB27">
        <f>(1-CA27)</f>
        <v>0</v>
      </c>
      <c r="CC27">
        <f>$B$11*DB27+$C$11*DC27+$F$11*DD27*(1-DG27)</f>
        <v>0</v>
      </c>
      <c r="CD27">
        <f>CC27*CE27</f>
        <v>0</v>
      </c>
      <c r="CE27">
        <f>($B$11*$D$9+$C$11*$D$9+$F$11*((DQ27+DI27)/MAX(DQ27+DI27+DR27, 0.1)*$I$9+DR27/MAX(DQ27+DI27+DR27, 0.1)*$J$9))/($B$11+$C$11+$F$11)</f>
        <v>0</v>
      </c>
      <c r="CF27">
        <f>($B$11*$K$9+$C$11*$K$9+$F$11*((DQ27+DI27)/MAX(DQ27+DI27+DR27, 0.1)*$P$9+DR27/MAX(DQ27+DI27+DR27, 0.1)*$Q$9))/($B$11+$C$11+$F$11)</f>
        <v>0</v>
      </c>
      <c r="CG27">
        <v>6</v>
      </c>
      <c r="CH27">
        <v>0.5</v>
      </c>
      <c r="CI27" t="s">
        <v>310</v>
      </c>
      <c r="CJ27">
        <v>2</v>
      </c>
      <c r="CK27" t="b">
        <v>0</v>
      </c>
      <c r="CL27">
        <v>1693329671.599999</v>
      </c>
      <c r="CM27">
        <v>410.2141612903225</v>
      </c>
      <c r="CN27">
        <v>409.9673225806452</v>
      </c>
      <c r="CO27">
        <v>15.12897096774194</v>
      </c>
      <c r="CP27">
        <v>14.50699677419355</v>
      </c>
      <c r="CQ27">
        <v>410.9561612903225</v>
      </c>
      <c r="CR27">
        <v>15.08497096774193</v>
      </c>
      <c r="CS27">
        <v>600.0305806451614</v>
      </c>
      <c r="CT27">
        <v>101.5811612903226</v>
      </c>
      <c r="CU27">
        <v>0.09999785161290323</v>
      </c>
      <c r="CV27">
        <v>23.67355483870968</v>
      </c>
      <c r="CW27">
        <v>23.23690967741936</v>
      </c>
      <c r="CX27">
        <v>999.9000000000003</v>
      </c>
      <c r="CY27">
        <v>0</v>
      </c>
      <c r="CZ27">
        <v>0</v>
      </c>
      <c r="DA27">
        <v>9998.368064516129</v>
      </c>
      <c r="DB27">
        <v>0</v>
      </c>
      <c r="DC27">
        <v>454.0747741935484</v>
      </c>
      <c r="DD27">
        <v>0.00500022</v>
      </c>
      <c r="DE27">
        <v>0</v>
      </c>
      <c r="DF27">
        <v>0</v>
      </c>
      <c r="DG27">
        <v>0</v>
      </c>
      <c r="DH27">
        <v>607.4225806451612</v>
      </c>
      <c r="DI27">
        <v>0.00500022</v>
      </c>
      <c r="DJ27">
        <v>121.8677419354838</v>
      </c>
      <c r="DK27">
        <v>-1.341935483870968</v>
      </c>
      <c r="DL27">
        <v>32.046</v>
      </c>
      <c r="DM27">
        <v>38.07216129032258</v>
      </c>
      <c r="DN27">
        <v>35.018</v>
      </c>
      <c r="DO27">
        <v>33.784</v>
      </c>
      <c r="DP27">
        <v>34.09854838709677</v>
      </c>
      <c r="DQ27">
        <v>0</v>
      </c>
      <c r="DR27">
        <v>0</v>
      </c>
      <c r="DS27">
        <v>0</v>
      </c>
      <c r="DT27">
        <v>192.3999998569489</v>
      </c>
      <c r="DU27">
        <v>0</v>
      </c>
      <c r="DV27">
        <v>608.0769230769231</v>
      </c>
      <c r="DW27">
        <v>-40.5333337476609</v>
      </c>
      <c r="DX27">
        <v>-3.791452588205588</v>
      </c>
      <c r="DY27">
        <v>121.4038461538462</v>
      </c>
      <c r="DZ27">
        <v>15</v>
      </c>
      <c r="EA27">
        <v>1693329720.1</v>
      </c>
      <c r="EB27" t="s">
        <v>351</v>
      </c>
      <c r="EC27">
        <v>1693329500.6</v>
      </c>
      <c r="ED27">
        <v>1693329702.6</v>
      </c>
      <c r="EE27">
        <v>11</v>
      </c>
      <c r="EF27">
        <v>-0.129</v>
      </c>
      <c r="EG27">
        <v>-0.005</v>
      </c>
      <c r="EH27">
        <v>-0.742</v>
      </c>
      <c r="EI27">
        <v>0.044</v>
      </c>
      <c r="EJ27">
        <v>410</v>
      </c>
      <c r="EK27">
        <v>15</v>
      </c>
      <c r="EL27">
        <v>0.92</v>
      </c>
      <c r="EM27">
        <v>0.26</v>
      </c>
      <c r="EN27">
        <v>100</v>
      </c>
      <c r="EO27">
        <v>100</v>
      </c>
      <c r="EP27">
        <v>-0.742</v>
      </c>
      <c r="EQ27">
        <v>0.044</v>
      </c>
      <c r="ER27">
        <v>-1.13145791303542</v>
      </c>
      <c r="ES27">
        <v>-1.576349484901359E-05</v>
      </c>
      <c r="ET27">
        <v>2.573729931138326E-06</v>
      </c>
      <c r="EU27">
        <v>-5.475564338477752E-10</v>
      </c>
      <c r="EV27">
        <v>-0.06518990483465172</v>
      </c>
      <c r="EW27">
        <v>-0.01018517929758264</v>
      </c>
      <c r="EX27">
        <v>0.001658527226803643</v>
      </c>
      <c r="EY27">
        <v>-2.829097221525108E-05</v>
      </c>
      <c r="EZ27">
        <v>21</v>
      </c>
      <c r="FA27">
        <v>1995</v>
      </c>
      <c r="FB27">
        <v>1</v>
      </c>
      <c r="FC27">
        <v>16</v>
      </c>
      <c r="FD27">
        <v>3</v>
      </c>
      <c r="FE27">
        <v>2.8</v>
      </c>
      <c r="FF27">
        <v>1.073</v>
      </c>
      <c r="FG27">
        <v>2.60132</v>
      </c>
      <c r="FH27">
        <v>1.39771</v>
      </c>
      <c r="FI27">
        <v>2.27051</v>
      </c>
      <c r="FJ27">
        <v>1.39526</v>
      </c>
      <c r="FK27">
        <v>2.41699</v>
      </c>
      <c r="FL27">
        <v>31.783</v>
      </c>
      <c r="FM27">
        <v>15.9358</v>
      </c>
      <c r="FN27">
        <v>18</v>
      </c>
      <c r="FO27">
        <v>607.934</v>
      </c>
      <c r="FP27">
        <v>394.47</v>
      </c>
      <c r="FQ27">
        <v>23.3761</v>
      </c>
      <c r="FR27">
        <v>25.2151</v>
      </c>
      <c r="FS27">
        <v>30.0002</v>
      </c>
      <c r="FT27">
        <v>25.0201</v>
      </c>
      <c r="FU27">
        <v>25.3717</v>
      </c>
      <c r="FV27">
        <v>21.4942</v>
      </c>
      <c r="FW27">
        <v>0</v>
      </c>
      <c r="FX27">
        <v>49.513</v>
      </c>
      <c r="FY27">
        <v>-999.9</v>
      </c>
      <c r="FZ27">
        <v>410</v>
      </c>
      <c r="GA27">
        <v>15.4562</v>
      </c>
      <c r="GB27">
        <v>99.0759</v>
      </c>
      <c r="GC27">
        <v>93.6178</v>
      </c>
    </row>
    <row r="28" spans="1:185">
      <c r="A28">
        <v>12</v>
      </c>
      <c r="B28">
        <v>1693329857.6</v>
      </c>
      <c r="C28">
        <v>1885.099999904633</v>
      </c>
      <c r="D28" t="s">
        <v>352</v>
      </c>
      <c r="E28" t="s">
        <v>353</v>
      </c>
      <c r="F28">
        <v>5</v>
      </c>
      <c r="H28" t="s">
        <v>307</v>
      </c>
      <c r="L28">
        <v>1693329849.849999</v>
      </c>
      <c r="M28">
        <f>(N28)/1000</f>
        <v>0</v>
      </c>
      <c r="N28">
        <f>IF(CK28, AQ28, AK28)</f>
        <v>0</v>
      </c>
      <c r="O28">
        <f>IF(CK28, AL28, AJ28)</f>
        <v>0</v>
      </c>
      <c r="P28">
        <f>CM28 - IF(AX28&gt;1, O28*CG28*100.0/(AZ28*DA28), 0)</f>
        <v>0</v>
      </c>
      <c r="Q28">
        <f>((W28-M28/2)*P28-O28)/(W28+M28/2)</f>
        <v>0</v>
      </c>
      <c r="R28">
        <f>Q28*(CT28+CU28)/1000.0</f>
        <v>0</v>
      </c>
      <c r="S28">
        <f>(CM28 - IF(AX28&gt;1, O28*CG28*100.0/(AZ28*DA28), 0))*(CT28+CU28)/1000.0</f>
        <v>0</v>
      </c>
      <c r="T28">
        <f>2.0/((1/V28-1/U28)+SIGN(V28)*SQRT((1/V28-1/U28)*(1/V28-1/U28) + 4*CH28/((CH28+1)*(CH28+1))*(2*1/V28*1/U28-1/U28*1/U28)))</f>
        <v>0</v>
      </c>
      <c r="U28">
        <f>IF(LEFT(CI28,1)&lt;&gt;"0",IF(LEFT(CI28,1)="1",3.0,CJ28),$D$5+$E$5*(DA28*CT28/($K$5*1000))+$F$5*(DA28*CT28/($K$5*1000))*MAX(MIN(CG28,$J$5),$I$5)*MAX(MIN(CG28,$J$5),$I$5)+$G$5*MAX(MIN(CG28,$J$5),$I$5)*(DA28*CT28/($K$5*1000))+$H$5*(DA28*CT28/($K$5*1000))*(DA28*CT28/($K$5*1000)))</f>
        <v>0</v>
      </c>
      <c r="V28">
        <f>M28*(1000-(1000*0.61365*exp(17.502*Z28/(240.97+Z28))/(CT28+CU28)+CO28)/2)/(1000*0.61365*exp(17.502*Z28/(240.97+Z28))/(CT28+CU28)-CO28)</f>
        <v>0</v>
      </c>
      <c r="W28">
        <f>1/((CH28+1)/(T28/1.6)+1/(U28/1.37)) + CH28/((CH28+1)/(T28/1.6) + CH28/(U28/1.37))</f>
        <v>0</v>
      </c>
      <c r="X28">
        <f>(CC28*CF28)</f>
        <v>0</v>
      </c>
      <c r="Y28">
        <f>(CV28+(X28+2*0.95*5.67E-8*(((CV28+$B$7)+273)^4-(CV28+273)^4)-44100*M28)/(1.84*29.3*U28+8*0.95*5.67E-8*(CV28+273)^3))</f>
        <v>0</v>
      </c>
      <c r="Z28">
        <f>($C$7*CW28+$D$7*CX28+$E$7*Y28)</f>
        <v>0</v>
      </c>
      <c r="AA28">
        <f>0.61365*exp(17.502*Z28/(240.97+Z28))</f>
        <v>0</v>
      </c>
      <c r="AB28">
        <f>(AC28/AD28*100)</f>
        <v>0</v>
      </c>
      <c r="AC28">
        <f>CO28*(CT28+CU28)/1000</f>
        <v>0</v>
      </c>
      <c r="AD28">
        <f>0.61365*exp(17.502*CV28/(240.97+CV28))</f>
        <v>0</v>
      </c>
      <c r="AE28">
        <f>(AA28-CO28*(CT28+CU28)/1000)</f>
        <v>0</v>
      </c>
      <c r="AF28">
        <f>(-M28*44100)</f>
        <v>0</v>
      </c>
      <c r="AG28">
        <f>2*29.3*U28*0.92*(CV28-Z28)</f>
        <v>0</v>
      </c>
      <c r="AH28">
        <f>2*0.95*5.67E-8*(((CV28+$B$7)+273)^4-(Z28+273)^4)</f>
        <v>0</v>
      </c>
      <c r="AI28">
        <f>X28+AH28+AF28+AG28</f>
        <v>0</v>
      </c>
      <c r="AJ28">
        <f>CS28*AX28*(CN28-CM28*(1000-AX28*CP28)/(1000-AX28*CO28))/(100*CG28)</f>
        <v>0</v>
      </c>
      <c r="AK28">
        <f>1000*CS28*AX28*(CO28-CP28)/(100*CG28*(1000-AX28*CO28))</f>
        <v>0</v>
      </c>
      <c r="AL28">
        <f>(AM28 - AN28 - CT28*1E3/(8.314*(CV28+273.15)) * AP28/CS28 * AO28) * CS28/(100*CG28) * (1000 - CP28)/1000</f>
        <v>0</v>
      </c>
      <c r="AM28">
        <v>416.5144118597867</v>
      </c>
      <c r="AN28">
        <v>417.2169454545454</v>
      </c>
      <c r="AO28">
        <v>0.01014764579447259</v>
      </c>
      <c r="AP28">
        <v>67.25935889360983</v>
      </c>
      <c r="AQ28">
        <f>(AS28 - AR28 + CT28*1E3/(8.314*(CV28+273.15)) * AU28/CS28 * AT28) * CS28/(100*CG28) * 1000/(1000 - AS28)</f>
        <v>0</v>
      </c>
      <c r="AR28">
        <v>15.66392518263014</v>
      </c>
      <c r="AS28">
        <v>15.83621818181818</v>
      </c>
      <c r="AT28">
        <v>0.009456735100713704</v>
      </c>
      <c r="AU28">
        <v>78.44872559517515</v>
      </c>
      <c r="AV28">
        <v>67</v>
      </c>
      <c r="AW28">
        <v>11</v>
      </c>
      <c r="AX28">
        <f>IF(AV28*$H$13&gt;=AZ28,1.0,(AZ28/(AZ28-AV28*$H$13)))</f>
        <v>0</v>
      </c>
      <c r="AY28">
        <f>(AX28-1)*100</f>
        <v>0</v>
      </c>
      <c r="AZ28">
        <f>MAX(0,($B$13+$C$13*DA28)/(1+$D$13*DA28)*CT28/(CV28+273)*$E$13)</f>
        <v>0</v>
      </c>
      <c r="BA28" t="s">
        <v>354</v>
      </c>
      <c r="BB28">
        <v>8212.32</v>
      </c>
      <c r="BC28">
        <v>530.1</v>
      </c>
      <c r="BD28">
        <v>1703.69</v>
      </c>
      <c r="BE28">
        <f>1-BC28/BD28</f>
        <v>0</v>
      </c>
      <c r="BF28">
        <v>-0.7437685364285855</v>
      </c>
      <c r="BG28" t="s">
        <v>309</v>
      </c>
      <c r="BH28" t="s">
        <v>309</v>
      </c>
      <c r="BI28">
        <v>0</v>
      </c>
      <c r="BJ28">
        <v>0</v>
      </c>
      <c r="BK28">
        <f>1-BI28/BJ28</f>
        <v>0</v>
      </c>
      <c r="BL28">
        <v>0.5</v>
      </c>
      <c r="BM28">
        <f>CD28</f>
        <v>0</v>
      </c>
      <c r="BN28">
        <f>O28</f>
        <v>0</v>
      </c>
      <c r="BO28">
        <f>BK28*BL28*BM28</f>
        <v>0</v>
      </c>
      <c r="BP28">
        <f>(BN28-BF28)/BM28</f>
        <v>0</v>
      </c>
      <c r="BQ28">
        <f>(BD28-BJ28)/BJ28</f>
        <v>0</v>
      </c>
      <c r="BR28">
        <f>BC28/(BE28+BC28/BJ28)</f>
        <v>0</v>
      </c>
      <c r="BS28" t="s">
        <v>309</v>
      </c>
      <c r="BT28">
        <v>0</v>
      </c>
      <c r="BU28">
        <f>IF(BT28&lt;&gt;0, BT28, BR28)</f>
        <v>0</v>
      </c>
      <c r="BV28">
        <f>1-BU28/BJ28</f>
        <v>0</v>
      </c>
      <c r="BW28">
        <f>(BJ28-BI28)/(BJ28-BU28)</f>
        <v>0</v>
      </c>
      <c r="BX28">
        <f>(BD28-BJ28)/(BD28-BU28)</f>
        <v>0</v>
      </c>
      <c r="BY28">
        <f>(BJ28-BI28)/(BJ28-BC28)</f>
        <v>0</v>
      </c>
      <c r="BZ28">
        <f>(BD28-BJ28)/(BD28-BC28)</f>
        <v>0</v>
      </c>
      <c r="CA28">
        <f>(BW28*BU28/BI28)</f>
        <v>0</v>
      </c>
      <c r="CB28">
        <f>(1-CA28)</f>
        <v>0</v>
      </c>
      <c r="CC28">
        <f>$B$11*DB28+$C$11*DC28+$F$11*DD28*(1-DG28)</f>
        <v>0</v>
      </c>
      <c r="CD28">
        <f>CC28*CE28</f>
        <v>0</v>
      </c>
      <c r="CE28">
        <f>($B$11*$D$9+$C$11*$D$9+$F$11*((DQ28+DI28)/MAX(DQ28+DI28+DR28, 0.1)*$I$9+DR28/MAX(DQ28+DI28+DR28, 0.1)*$J$9))/($B$11+$C$11+$F$11)</f>
        <v>0</v>
      </c>
      <c r="CF28">
        <f>($B$11*$K$9+$C$11*$K$9+$F$11*((DQ28+DI28)/MAX(DQ28+DI28+DR28, 0.1)*$P$9+DR28/MAX(DQ28+DI28+DR28, 0.1)*$Q$9))/($B$11+$C$11+$F$11)</f>
        <v>0</v>
      </c>
      <c r="CG28">
        <v>6</v>
      </c>
      <c r="CH28">
        <v>0.5</v>
      </c>
      <c r="CI28" t="s">
        <v>310</v>
      </c>
      <c r="CJ28">
        <v>2</v>
      </c>
      <c r="CK28" t="b">
        <v>0</v>
      </c>
      <c r="CL28">
        <v>1693329849.849999</v>
      </c>
      <c r="CM28">
        <v>410.6764333333333</v>
      </c>
      <c r="CN28">
        <v>409.9861333333334</v>
      </c>
      <c r="CO28">
        <v>15.76336</v>
      </c>
      <c r="CP28">
        <v>15.63523666666667</v>
      </c>
      <c r="CQ28">
        <v>411.2824333333332</v>
      </c>
      <c r="CR28">
        <v>15.68736</v>
      </c>
      <c r="CS28">
        <v>600.0069333333334</v>
      </c>
      <c r="CT28">
        <v>101.589</v>
      </c>
      <c r="CU28">
        <v>0.1000562766666667</v>
      </c>
      <c r="CV28">
        <v>23.90525666666667</v>
      </c>
      <c r="CW28">
        <v>23.47622333333333</v>
      </c>
      <c r="CX28">
        <v>999.9000000000002</v>
      </c>
      <c r="CY28">
        <v>0</v>
      </c>
      <c r="CZ28">
        <v>0</v>
      </c>
      <c r="DA28">
        <v>10000.71133333333</v>
      </c>
      <c r="DB28">
        <v>0</v>
      </c>
      <c r="DC28">
        <v>466.3032333333333</v>
      </c>
      <c r="DD28">
        <v>0.00500022</v>
      </c>
      <c r="DE28">
        <v>0</v>
      </c>
      <c r="DF28">
        <v>0</v>
      </c>
      <c r="DG28">
        <v>0</v>
      </c>
      <c r="DH28">
        <v>529.9100000000001</v>
      </c>
      <c r="DI28">
        <v>0.00500022</v>
      </c>
      <c r="DJ28">
        <v>182.1666666666666</v>
      </c>
      <c r="DK28">
        <v>-1.42</v>
      </c>
      <c r="DL28">
        <v>32.2185</v>
      </c>
      <c r="DM28">
        <v>38.44749999999999</v>
      </c>
      <c r="DN28">
        <v>35.0893</v>
      </c>
      <c r="DO28">
        <v>34.77263333333334</v>
      </c>
      <c r="DP28">
        <v>34.45596666666667</v>
      </c>
      <c r="DQ28">
        <v>0</v>
      </c>
      <c r="DR28">
        <v>0</v>
      </c>
      <c r="DS28">
        <v>0</v>
      </c>
      <c r="DT28">
        <v>177.4000000953674</v>
      </c>
      <c r="DU28">
        <v>0</v>
      </c>
      <c r="DV28">
        <v>530.1</v>
      </c>
      <c r="DW28">
        <v>26.00341902024135</v>
      </c>
      <c r="DX28">
        <v>12.58803418189394</v>
      </c>
      <c r="DY28">
        <v>182.3769230769231</v>
      </c>
      <c r="DZ28">
        <v>15</v>
      </c>
      <c r="EA28">
        <v>1693329883.1</v>
      </c>
      <c r="EB28" t="s">
        <v>355</v>
      </c>
      <c r="EC28">
        <v>1693329883.1</v>
      </c>
      <c r="ED28">
        <v>1693329875.1</v>
      </c>
      <c r="EE28">
        <v>12</v>
      </c>
      <c r="EF28">
        <v>0.136</v>
      </c>
      <c r="EG28">
        <v>0.006</v>
      </c>
      <c r="EH28">
        <v>-0.606</v>
      </c>
      <c r="EI28">
        <v>0.076</v>
      </c>
      <c r="EJ28">
        <v>410</v>
      </c>
      <c r="EK28">
        <v>16</v>
      </c>
      <c r="EL28">
        <v>1.17</v>
      </c>
      <c r="EM28">
        <v>0.41</v>
      </c>
      <c r="EN28">
        <v>100</v>
      </c>
      <c r="EO28">
        <v>100</v>
      </c>
      <c r="EP28">
        <v>-0.606</v>
      </c>
      <c r="EQ28">
        <v>0.076</v>
      </c>
      <c r="ER28">
        <v>-1.13145791303542</v>
      </c>
      <c r="ES28">
        <v>-1.576349484901359E-05</v>
      </c>
      <c r="ET28">
        <v>2.573729931138326E-06</v>
      </c>
      <c r="EU28">
        <v>-5.475564338477752E-10</v>
      </c>
      <c r="EV28">
        <v>-0.06988888930480534</v>
      </c>
      <c r="EW28">
        <v>-0.01018517929758264</v>
      </c>
      <c r="EX28">
        <v>0.001658527226803643</v>
      </c>
      <c r="EY28">
        <v>-2.829097221525108E-05</v>
      </c>
      <c r="EZ28">
        <v>21</v>
      </c>
      <c r="FA28">
        <v>1995</v>
      </c>
      <c r="FB28">
        <v>1</v>
      </c>
      <c r="FC28">
        <v>16</v>
      </c>
      <c r="FD28">
        <v>6</v>
      </c>
      <c r="FE28">
        <v>2.6</v>
      </c>
      <c r="FF28">
        <v>1.073</v>
      </c>
      <c r="FG28">
        <v>2.59521</v>
      </c>
      <c r="FH28">
        <v>1.39771</v>
      </c>
      <c r="FI28">
        <v>2.26807</v>
      </c>
      <c r="FJ28">
        <v>1.39526</v>
      </c>
      <c r="FK28">
        <v>2.4231</v>
      </c>
      <c r="FL28">
        <v>31.9146</v>
      </c>
      <c r="FM28">
        <v>15.9182</v>
      </c>
      <c r="FN28">
        <v>18</v>
      </c>
      <c r="FO28">
        <v>525.878</v>
      </c>
      <c r="FP28">
        <v>395.395</v>
      </c>
      <c r="FQ28">
        <v>23.581</v>
      </c>
      <c r="FR28">
        <v>25.2814</v>
      </c>
      <c r="FS28">
        <v>30.0002</v>
      </c>
      <c r="FT28">
        <v>25.0879</v>
      </c>
      <c r="FU28">
        <v>25.4409</v>
      </c>
      <c r="FV28">
        <v>21.5035</v>
      </c>
      <c r="FW28">
        <v>0</v>
      </c>
      <c r="FX28">
        <v>78.8698</v>
      </c>
      <c r="FY28">
        <v>-999.9</v>
      </c>
      <c r="FZ28">
        <v>410</v>
      </c>
      <c r="GA28">
        <v>23.0737</v>
      </c>
      <c r="GB28">
        <v>99.0103</v>
      </c>
      <c r="GC28">
        <v>93.6125</v>
      </c>
    </row>
    <row r="29" spans="1:185">
      <c r="A29">
        <v>13</v>
      </c>
      <c r="B29">
        <v>1693330026.1</v>
      </c>
      <c r="C29">
        <v>2053.599999904633</v>
      </c>
      <c r="D29" t="s">
        <v>356</v>
      </c>
      <c r="E29" t="s">
        <v>357</v>
      </c>
      <c r="F29">
        <v>5</v>
      </c>
      <c r="H29" t="s">
        <v>307</v>
      </c>
      <c r="L29">
        <v>1693330018.349999</v>
      </c>
      <c r="M29">
        <f>(N29)/1000</f>
        <v>0</v>
      </c>
      <c r="N29">
        <f>IF(CK29, AQ29, AK29)</f>
        <v>0</v>
      </c>
      <c r="O29">
        <f>IF(CK29, AL29, AJ29)</f>
        <v>0</v>
      </c>
      <c r="P29">
        <f>CM29 - IF(AX29&gt;1, O29*CG29*100.0/(AZ29*DA29), 0)</f>
        <v>0</v>
      </c>
      <c r="Q29">
        <f>((W29-M29/2)*P29-O29)/(W29+M29/2)</f>
        <v>0</v>
      </c>
      <c r="R29">
        <f>Q29*(CT29+CU29)/1000.0</f>
        <v>0</v>
      </c>
      <c r="S29">
        <f>(CM29 - IF(AX29&gt;1, O29*CG29*100.0/(AZ29*DA29), 0))*(CT29+CU29)/1000.0</f>
        <v>0</v>
      </c>
      <c r="T29">
        <f>2.0/((1/V29-1/U29)+SIGN(V29)*SQRT((1/V29-1/U29)*(1/V29-1/U29) + 4*CH29/((CH29+1)*(CH29+1))*(2*1/V29*1/U29-1/U29*1/U29)))</f>
        <v>0</v>
      </c>
      <c r="U29">
        <f>IF(LEFT(CI29,1)&lt;&gt;"0",IF(LEFT(CI29,1)="1",3.0,CJ29),$D$5+$E$5*(DA29*CT29/($K$5*1000))+$F$5*(DA29*CT29/($K$5*1000))*MAX(MIN(CG29,$J$5),$I$5)*MAX(MIN(CG29,$J$5),$I$5)+$G$5*MAX(MIN(CG29,$J$5),$I$5)*(DA29*CT29/($K$5*1000))+$H$5*(DA29*CT29/($K$5*1000))*(DA29*CT29/($K$5*1000)))</f>
        <v>0</v>
      </c>
      <c r="V29">
        <f>M29*(1000-(1000*0.61365*exp(17.502*Z29/(240.97+Z29))/(CT29+CU29)+CO29)/2)/(1000*0.61365*exp(17.502*Z29/(240.97+Z29))/(CT29+CU29)-CO29)</f>
        <v>0</v>
      </c>
      <c r="W29">
        <f>1/((CH29+1)/(T29/1.6)+1/(U29/1.37)) + CH29/((CH29+1)/(T29/1.6) + CH29/(U29/1.37))</f>
        <v>0</v>
      </c>
      <c r="X29">
        <f>(CC29*CF29)</f>
        <v>0</v>
      </c>
      <c r="Y29">
        <f>(CV29+(X29+2*0.95*5.67E-8*(((CV29+$B$7)+273)^4-(CV29+273)^4)-44100*M29)/(1.84*29.3*U29+8*0.95*5.67E-8*(CV29+273)^3))</f>
        <v>0</v>
      </c>
      <c r="Z29">
        <f>($C$7*CW29+$D$7*CX29+$E$7*Y29)</f>
        <v>0</v>
      </c>
      <c r="AA29">
        <f>0.61365*exp(17.502*Z29/(240.97+Z29))</f>
        <v>0</v>
      </c>
      <c r="AB29">
        <f>(AC29/AD29*100)</f>
        <v>0</v>
      </c>
      <c r="AC29">
        <f>CO29*(CT29+CU29)/1000</f>
        <v>0</v>
      </c>
      <c r="AD29">
        <f>0.61365*exp(17.502*CV29/(240.97+CV29))</f>
        <v>0</v>
      </c>
      <c r="AE29">
        <f>(AA29-CO29*(CT29+CU29)/1000)</f>
        <v>0</v>
      </c>
      <c r="AF29">
        <f>(-M29*44100)</f>
        <v>0</v>
      </c>
      <c r="AG29">
        <f>2*29.3*U29*0.92*(CV29-Z29)</f>
        <v>0</v>
      </c>
      <c r="AH29">
        <f>2*0.95*5.67E-8*(((CV29+$B$7)+273)^4-(Z29+273)^4)</f>
        <v>0</v>
      </c>
      <c r="AI29">
        <f>X29+AH29+AF29+AG29</f>
        <v>0</v>
      </c>
      <c r="AJ29">
        <f>CS29*AX29*(CN29-CM29*(1000-AX29*CP29)/(1000-AX29*CO29))/(100*CG29)</f>
        <v>0</v>
      </c>
      <c r="AK29">
        <f>1000*CS29*AX29*(CO29-CP29)/(100*CG29*(1000-AX29*CO29))</f>
        <v>0</v>
      </c>
      <c r="AL29">
        <f>(AM29 - AN29 - CT29*1E3/(8.314*(CV29+273.15)) * AP29/CS29 * AO29) * CS29/(100*CG29) * (1000 - CP29)/1000</f>
        <v>0</v>
      </c>
      <c r="AM29">
        <v>415.6945424033387</v>
      </c>
      <c r="AN29">
        <v>418.0902909090908</v>
      </c>
      <c r="AO29">
        <v>0.03336221865580592</v>
      </c>
      <c r="AP29">
        <v>67.25860156949054</v>
      </c>
      <c r="AQ29">
        <f>(AS29 - AR29 + CT29*1E3/(8.314*(CV29+273.15)) * AU29/CS29 * AT29) * CS29/(100*CG29) * 1000/(1000 - AS29)</f>
        <v>0</v>
      </c>
      <c r="AR29">
        <v>13.74364969742031</v>
      </c>
      <c r="AS29">
        <v>15.30120363636363</v>
      </c>
      <c r="AT29">
        <v>0.00646105081027285</v>
      </c>
      <c r="AU29">
        <v>78.44505797321855</v>
      </c>
      <c r="AV29">
        <v>25</v>
      </c>
      <c r="AW29">
        <v>4</v>
      </c>
      <c r="AX29">
        <f>IF(AV29*$H$13&gt;=AZ29,1.0,(AZ29/(AZ29-AV29*$H$13)))</f>
        <v>0</v>
      </c>
      <c r="AY29">
        <f>(AX29-1)*100</f>
        <v>0</v>
      </c>
      <c r="AZ29">
        <f>MAX(0,($B$13+$C$13*DA29)/(1+$D$13*DA29)*CT29/(CV29+273)*$E$13)</f>
        <v>0</v>
      </c>
      <c r="BA29" t="s">
        <v>358</v>
      </c>
      <c r="BB29">
        <v>8161.48</v>
      </c>
      <c r="BC29">
        <v>583.7499999999999</v>
      </c>
      <c r="BD29">
        <v>2545.08</v>
      </c>
      <c r="BE29">
        <f>1-BC29/BD29</f>
        <v>0</v>
      </c>
      <c r="BF29">
        <v>-2.332768144208043</v>
      </c>
      <c r="BG29" t="s">
        <v>309</v>
      </c>
      <c r="BH29" t="s">
        <v>309</v>
      </c>
      <c r="BI29">
        <v>0</v>
      </c>
      <c r="BJ29">
        <v>0</v>
      </c>
      <c r="BK29">
        <f>1-BI29/BJ29</f>
        <v>0</v>
      </c>
      <c r="BL29">
        <v>0.5</v>
      </c>
      <c r="BM29">
        <f>CD29</f>
        <v>0</v>
      </c>
      <c r="BN29">
        <f>O29</f>
        <v>0</v>
      </c>
      <c r="BO29">
        <f>BK29*BL29*BM29</f>
        <v>0</v>
      </c>
      <c r="BP29">
        <f>(BN29-BF29)/BM29</f>
        <v>0</v>
      </c>
      <c r="BQ29">
        <f>(BD29-BJ29)/BJ29</f>
        <v>0</v>
      </c>
      <c r="BR29">
        <f>BC29/(BE29+BC29/BJ29)</f>
        <v>0</v>
      </c>
      <c r="BS29" t="s">
        <v>309</v>
      </c>
      <c r="BT29">
        <v>0</v>
      </c>
      <c r="BU29">
        <f>IF(BT29&lt;&gt;0, BT29, BR29)</f>
        <v>0</v>
      </c>
      <c r="BV29">
        <f>1-BU29/BJ29</f>
        <v>0</v>
      </c>
      <c r="BW29">
        <f>(BJ29-BI29)/(BJ29-BU29)</f>
        <v>0</v>
      </c>
      <c r="BX29">
        <f>(BD29-BJ29)/(BD29-BU29)</f>
        <v>0</v>
      </c>
      <c r="BY29">
        <f>(BJ29-BI29)/(BJ29-BC29)</f>
        <v>0</v>
      </c>
      <c r="BZ29">
        <f>(BD29-BJ29)/(BD29-BC29)</f>
        <v>0</v>
      </c>
      <c r="CA29">
        <f>(BW29*BU29/BI29)</f>
        <v>0</v>
      </c>
      <c r="CB29">
        <f>(1-CA29)</f>
        <v>0</v>
      </c>
      <c r="CC29">
        <f>$B$11*DB29+$C$11*DC29+$F$11*DD29*(1-DG29)</f>
        <v>0</v>
      </c>
      <c r="CD29">
        <f>CC29*CE29</f>
        <v>0</v>
      </c>
      <c r="CE29">
        <f>($B$11*$D$9+$C$11*$D$9+$F$11*((DQ29+DI29)/MAX(DQ29+DI29+DR29, 0.1)*$I$9+DR29/MAX(DQ29+DI29+DR29, 0.1)*$J$9))/($B$11+$C$11+$F$11)</f>
        <v>0</v>
      </c>
      <c r="CF29">
        <f>($B$11*$K$9+$C$11*$K$9+$F$11*((DQ29+DI29)/MAX(DQ29+DI29+DR29, 0.1)*$P$9+DR29/MAX(DQ29+DI29+DR29, 0.1)*$Q$9))/($B$11+$C$11+$F$11)</f>
        <v>0</v>
      </c>
      <c r="CG29">
        <v>6</v>
      </c>
      <c r="CH29">
        <v>0.5</v>
      </c>
      <c r="CI29" t="s">
        <v>310</v>
      </c>
      <c r="CJ29">
        <v>2</v>
      </c>
      <c r="CK29" t="b">
        <v>0</v>
      </c>
      <c r="CL29">
        <v>1693330018.349999</v>
      </c>
      <c r="CM29">
        <v>411.6831</v>
      </c>
      <c r="CN29">
        <v>409.9747</v>
      </c>
      <c r="CO29">
        <v>15.21833333333333</v>
      </c>
      <c r="CP29">
        <v>13.72502</v>
      </c>
      <c r="CQ29">
        <v>412.3061</v>
      </c>
      <c r="CR29">
        <v>15.18733333333333</v>
      </c>
      <c r="CS29">
        <v>600.0246666666667</v>
      </c>
      <c r="CT29">
        <v>101.5874666666667</v>
      </c>
      <c r="CU29">
        <v>0.10002036</v>
      </c>
      <c r="CV29">
        <v>23.92845666666667</v>
      </c>
      <c r="CW29">
        <v>23.24389666666667</v>
      </c>
      <c r="CX29">
        <v>999.9000000000002</v>
      </c>
      <c r="CY29">
        <v>0</v>
      </c>
      <c r="CZ29">
        <v>0</v>
      </c>
      <c r="DA29">
        <v>9997.795333333335</v>
      </c>
      <c r="DB29">
        <v>0</v>
      </c>
      <c r="DC29">
        <v>438.1379333333334</v>
      </c>
      <c r="DD29">
        <v>0.00500022</v>
      </c>
      <c r="DE29">
        <v>0</v>
      </c>
      <c r="DF29">
        <v>0</v>
      </c>
      <c r="DG29">
        <v>0</v>
      </c>
      <c r="DH29">
        <v>583.5600000000001</v>
      </c>
      <c r="DI29">
        <v>0.00500022</v>
      </c>
      <c r="DJ29">
        <v>127.23</v>
      </c>
      <c r="DK29">
        <v>-1.363333333333334</v>
      </c>
      <c r="DL29">
        <v>32.12483333333333</v>
      </c>
      <c r="DM29">
        <v>38.68493333333332</v>
      </c>
      <c r="DN29">
        <v>34.93506666666666</v>
      </c>
      <c r="DO29">
        <v>36.56233333333333</v>
      </c>
      <c r="DP29">
        <v>34.6684</v>
      </c>
      <c r="DQ29">
        <v>0</v>
      </c>
      <c r="DR29">
        <v>0</v>
      </c>
      <c r="DS29">
        <v>0</v>
      </c>
      <c r="DT29">
        <v>167.7999999523163</v>
      </c>
      <c r="DU29">
        <v>0</v>
      </c>
      <c r="DV29">
        <v>583.7499999999999</v>
      </c>
      <c r="DW29">
        <v>31.63418784508326</v>
      </c>
      <c r="DX29">
        <v>-24.87863236322198</v>
      </c>
      <c r="DY29">
        <v>127.1192307692308</v>
      </c>
      <c r="DZ29">
        <v>15</v>
      </c>
      <c r="EA29">
        <v>1693330058.1</v>
      </c>
      <c r="EB29" t="s">
        <v>359</v>
      </c>
      <c r="EC29">
        <v>1693330054.1</v>
      </c>
      <c r="ED29">
        <v>1693330058.1</v>
      </c>
      <c r="EE29">
        <v>13</v>
      </c>
      <c r="EF29">
        <v>-0.017</v>
      </c>
      <c r="EG29">
        <v>-0.005</v>
      </c>
      <c r="EH29">
        <v>-0.623</v>
      </c>
      <c r="EI29">
        <v>0.031</v>
      </c>
      <c r="EJ29">
        <v>410</v>
      </c>
      <c r="EK29">
        <v>14</v>
      </c>
      <c r="EL29">
        <v>2.21</v>
      </c>
      <c r="EM29">
        <v>0.1</v>
      </c>
      <c r="EN29">
        <v>100</v>
      </c>
      <c r="EO29">
        <v>100</v>
      </c>
      <c r="EP29">
        <v>-0.623</v>
      </c>
      <c r="EQ29">
        <v>0.031</v>
      </c>
      <c r="ER29">
        <v>-0.9956999647304841</v>
      </c>
      <c r="ES29">
        <v>-1.576349484901359E-05</v>
      </c>
      <c r="ET29">
        <v>2.573729931138326E-06</v>
      </c>
      <c r="EU29">
        <v>-5.475564338477752E-10</v>
      </c>
      <c r="EV29">
        <v>-0.0636585986699057</v>
      </c>
      <c r="EW29">
        <v>-0.01018517929758264</v>
      </c>
      <c r="EX29">
        <v>0.001658527226803643</v>
      </c>
      <c r="EY29">
        <v>-2.829097221525108E-05</v>
      </c>
      <c r="EZ29">
        <v>21</v>
      </c>
      <c r="FA29">
        <v>1995</v>
      </c>
      <c r="FB29">
        <v>1</v>
      </c>
      <c r="FC29">
        <v>16</v>
      </c>
      <c r="FD29">
        <v>2.4</v>
      </c>
      <c r="FE29">
        <v>2.5</v>
      </c>
      <c r="FF29">
        <v>1.07178</v>
      </c>
      <c r="FG29">
        <v>2.60498</v>
      </c>
      <c r="FH29">
        <v>1.39771</v>
      </c>
      <c r="FI29">
        <v>2.26685</v>
      </c>
      <c r="FJ29">
        <v>1.39526</v>
      </c>
      <c r="FK29">
        <v>2.47559</v>
      </c>
      <c r="FL29">
        <v>31.9365</v>
      </c>
      <c r="FM29">
        <v>15.9095</v>
      </c>
      <c r="FN29">
        <v>18</v>
      </c>
      <c r="FO29">
        <v>572.082</v>
      </c>
      <c r="FP29">
        <v>393.755</v>
      </c>
      <c r="FQ29">
        <v>23.6485</v>
      </c>
      <c r="FR29">
        <v>25.315</v>
      </c>
      <c r="FS29">
        <v>30</v>
      </c>
      <c r="FT29">
        <v>25.1171</v>
      </c>
      <c r="FU29">
        <v>25.4668</v>
      </c>
      <c r="FV29">
        <v>21.4767</v>
      </c>
      <c r="FW29">
        <v>10.4479</v>
      </c>
      <c r="FX29">
        <v>78.9462</v>
      </c>
      <c r="FY29">
        <v>-999.9</v>
      </c>
      <c r="FZ29">
        <v>410</v>
      </c>
      <c r="GA29">
        <v>13.7783</v>
      </c>
      <c r="GB29">
        <v>99.0099</v>
      </c>
      <c r="GC29">
        <v>93.6168</v>
      </c>
    </row>
    <row r="30" spans="1:185">
      <c r="A30">
        <v>14</v>
      </c>
      <c r="B30">
        <v>1693330194.1</v>
      </c>
      <c r="C30">
        <v>2221.599999904633</v>
      </c>
      <c r="D30" t="s">
        <v>360</v>
      </c>
      <c r="E30" t="s">
        <v>361</v>
      </c>
      <c r="F30">
        <v>5</v>
      </c>
      <c r="H30" t="s">
        <v>307</v>
      </c>
      <c r="L30">
        <v>1693330186.099999</v>
      </c>
      <c r="M30">
        <f>(N30)/1000</f>
        <v>0</v>
      </c>
      <c r="N30">
        <f>IF(CK30, AQ30, AK30)</f>
        <v>0</v>
      </c>
      <c r="O30">
        <f>IF(CK30, AL30, AJ30)</f>
        <v>0</v>
      </c>
      <c r="P30">
        <f>CM30 - IF(AX30&gt;1, O30*CG30*100.0/(AZ30*DA30), 0)</f>
        <v>0</v>
      </c>
      <c r="Q30">
        <f>((W30-M30/2)*P30-O30)/(W30+M30/2)</f>
        <v>0</v>
      </c>
      <c r="R30">
        <f>Q30*(CT30+CU30)/1000.0</f>
        <v>0</v>
      </c>
      <c r="S30">
        <f>(CM30 - IF(AX30&gt;1, O30*CG30*100.0/(AZ30*DA30), 0))*(CT30+CU30)/1000.0</f>
        <v>0</v>
      </c>
      <c r="T30">
        <f>2.0/((1/V30-1/U30)+SIGN(V30)*SQRT((1/V30-1/U30)*(1/V30-1/U30) + 4*CH30/((CH30+1)*(CH30+1))*(2*1/V30*1/U30-1/U30*1/U30)))</f>
        <v>0</v>
      </c>
      <c r="U30">
        <f>IF(LEFT(CI30,1)&lt;&gt;"0",IF(LEFT(CI30,1)="1",3.0,CJ30),$D$5+$E$5*(DA30*CT30/($K$5*1000))+$F$5*(DA30*CT30/($K$5*1000))*MAX(MIN(CG30,$J$5),$I$5)*MAX(MIN(CG30,$J$5),$I$5)+$G$5*MAX(MIN(CG30,$J$5),$I$5)*(DA30*CT30/($K$5*1000))+$H$5*(DA30*CT30/($K$5*1000))*(DA30*CT30/($K$5*1000)))</f>
        <v>0</v>
      </c>
      <c r="V30">
        <f>M30*(1000-(1000*0.61365*exp(17.502*Z30/(240.97+Z30))/(CT30+CU30)+CO30)/2)/(1000*0.61365*exp(17.502*Z30/(240.97+Z30))/(CT30+CU30)-CO30)</f>
        <v>0</v>
      </c>
      <c r="W30">
        <f>1/((CH30+1)/(T30/1.6)+1/(U30/1.37)) + CH30/((CH30+1)/(T30/1.6) + CH30/(U30/1.37))</f>
        <v>0</v>
      </c>
      <c r="X30">
        <f>(CC30*CF30)</f>
        <v>0</v>
      </c>
      <c r="Y30">
        <f>(CV30+(X30+2*0.95*5.67E-8*(((CV30+$B$7)+273)^4-(CV30+273)^4)-44100*M30)/(1.84*29.3*U30+8*0.95*5.67E-8*(CV30+273)^3))</f>
        <v>0</v>
      </c>
      <c r="Z30">
        <f>($C$7*CW30+$D$7*CX30+$E$7*Y30)</f>
        <v>0</v>
      </c>
      <c r="AA30">
        <f>0.61365*exp(17.502*Z30/(240.97+Z30))</f>
        <v>0</v>
      </c>
      <c r="AB30">
        <f>(AC30/AD30*100)</f>
        <v>0</v>
      </c>
      <c r="AC30">
        <f>CO30*(CT30+CU30)/1000</f>
        <v>0</v>
      </c>
      <c r="AD30">
        <f>0.61365*exp(17.502*CV30/(240.97+CV30))</f>
        <v>0</v>
      </c>
      <c r="AE30">
        <f>(AA30-CO30*(CT30+CU30)/1000)</f>
        <v>0</v>
      </c>
      <c r="AF30">
        <f>(-M30*44100)</f>
        <v>0</v>
      </c>
      <c r="AG30">
        <f>2*29.3*U30*0.92*(CV30-Z30)</f>
        <v>0</v>
      </c>
      <c r="AH30">
        <f>2*0.95*5.67E-8*(((CV30+$B$7)+273)^4-(Z30+273)^4)</f>
        <v>0</v>
      </c>
      <c r="AI30">
        <f>X30+AH30+AF30+AG30</f>
        <v>0</v>
      </c>
      <c r="AJ30">
        <f>CS30*AX30*(CN30-CM30*(1000-AX30*CP30)/(1000-AX30*CO30))/(100*CG30)</f>
        <v>0</v>
      </c>
      <c r="AK30">
        <f>1000*CS30*AX30*(CO30-CP30)/(100*CG30*(1000-AX30*CO30))</f>
        <v>0</v>
      </c>
      <c r="AL30">
        <f>(AM30 - AN30 - CT30*1E3/(8.314*(CV30+273.15)) * AP30/CS30 * AO30) * CS30/(100*CG30) * (1000 - CP30)/1000</f>
        <v>0</v>
      </c>
      <c r="AM30">
        <v>415.9059926087043</v>
      </c>
      <c r="AN30">
        <v>417.3106606060604</v>
      </c>
      <c r="AO30">
        <v>-0.01451200483572561</v>
      </c>
      <c r="AP30">
        <v>67.25744235257342</v>
      </c>
      <c r="AQ30">
        <f>(AS30 - AR30 + CT30*1E3/(8.314*(CV30+273.15)) * AU30/CS30 * AT30) * CS30/(100*CG30) * 1000/(1000 - AS30)</f>
        <v>0</v>
      </c>
      <c r="AR30">
        <v>14.08033392722944</v>
      </c>
      <c r="AS30">
        <v>15.30074606060606</v>
      </c>
      <c r="AT30">
        <v>-0.007833437229433023</v>
      </c>
      <c r="AU30">
        <v>78.55</v>
      </c>
      <c r="AV30">
        <v>5</v>
      </c>
      <c r="AW30">
        <v>1</v>
      </c>
      <c r="AX30">
        <f>IF(AV30*$H$13&gt;=AZ30,1.0,(AZ30/(AZ30-AV30*$H$13)))</f>
        <v>0</v>
      </c>
      <c r="AY30">
        <f>(AX30-1)*100</f>
        <v>0</v>
      </c>
      <c r="AZ30">
        <f>MAX(0,($B$13+$C$13*DA30)/(1+$D$13*DA30)*CT30/(CV30+273)*$E$13)</f>
        <v>0</v>
      </c>
      <c r="BA30" t="s">
        <v>362</v>
      </c>
      <c r="BB30">
        <v>8175.06</v>
      </c>
      <c r="BC30">
        <v>584.748</v>
      </c>
      <c r="BD30">
        <v>2268.77</v>
      </c>
      <c r="BE30">
        <f>1-BC30/BD30</f>
        <v>0</v>
      </c>
      <c r="BF30">
        <v>-1.449372543782384</v>
      </c>
      <c r="BG30" t="s">
        <v>309</v>
      </c>
      <c r="BH30" t="s">
        <v>309</v>
      </c>
      <c r="BI30">
        <v>0</v>
      </c>
      <c r="BJ30">
        <v>0</v>
      </c>
      <c r="BK30">
        <f>1-BI30/BJ30</f>
        <v>0</v>
      </c>
      <c r="BL30">
        <v>0.5</v>
      </c>
      <c r="BM30">
        <f>CD30</f>
        <v>0</v>
      </c>
      <c r="BN30">
        <f>O30</f>
        <v>0</v>
      </c>
      <c r="BO30">
        <f>BK30*BL30*BM30</f>
        <v>0</v>
      </c>
      <c r="BP30">
        <f>(BN30-BF30)/BM30</f>
        <v>0</v>
      </c>
      <c r="BQ30">
        <f>(BD30-BJ30)/BJ30</f>
        <v>0</v>
      </c>
      <c r="BR30">
        <f>BC30/(BE30+BC30/BJ30)</f>
        <v>0</v>
      </c>
      <c r="BS30" t="s">
        <v>309</v>
      </c>
      <c r="BT30">
        <v>0</v>
      </c>
      <c r="BU30">
        <f>IF(BT30&lt;&gt;0, BT30, BR30)</f>
        <v>0</v>
      </c>
      <c r="BV30">
        <f>1-BU30/BJ30</f>
        <v>0</v>
      </c>
      <c r="BW30">
        <f>(BJ30-BI30)/(BJ30-BU30)</f>
        <v>0</v>
      </c>
      <c r="BX30">
        <f>(BD30-BJ30)/(BD30-BU30)</f>
        <v>0</v>
      </c>
      <c r="BY30">
        <f>(BJ30-BI30)/(BJ30-BC30)</f>
        <v>0</v>
      </c>
      <c r="BZ30">
        <f>(BD30-BJ30)/(BD30-BC30)</f>
        <v>0</v>
      </c>
      <c r="CA30">
        <f>(BW30*BU30/BI30)</f>
        <v>0</v>
      </c>
      <c r="CB30">
        <f>(1-CA30)</f>
        <v>0</v>
      </c>
      <c r="CC30">
        <f>$B$11*DB30+$C$11*DC30+$F$11*DD30*(1-DG30)</f>
        <v>0</v>
      </c>
      <c r="CD30">
        <f>CC30*CE30</f>
        <v>0</v>
      </c>
      <c r="CE30">
        <f>($B$11*$D$9+$C$11*$D$9+$F$11*((DQ30+DI30)/MAX(DQ30+DI30+DR30, 0.1)*$I$9+DR30/MAX(DQ30+DI30+DR30, 0.1)*$J$9))/($B$11+$C$11+$F$11)</f>
        <v>0</v>
      </c>
      <c r="CF30">
        <f>($B$11*$K$9+$C$11*$K$9+$F$11*((DQ30+DI30)/MAX(DQ30+DI30+DR30, 0.1)*$P$9+DR30/MAX(DQ30+DI30+DR30, 0.1)*$Q$9))/($B$11+$C$11+$F$11)</f>
        <v>0</v>
      </c>
      <c r="CG30">
        <v>6</v>
      </c>
      <c r="CH30">
        <v>0.5</v>
      </c>
      <c r="CI30" t="s">
        <v>310</v>
      </c>
      <c r="CJ30">
        <v>2</v>
      </c>
      <c r="CK30" t="b">
        <v>0</v>
      </c>
      <c r="CL30">
        <v>1693330186.099999</v>
      </c>
      <c r="CM30">
        <v>410.9698064516128</v>
      </c>
      <c r="CN30">
        <v>410.0183548387097</v>
      </c>
      <c r="CO30">
        <v>15.32941935483871</v>
      </c>
      <c r="CP30">
        <v>14.13658709677419</v>
      </c>
      <c r="CQ30">
        <v>411.5518064516128</v>
      </c>
      <c r="CR30">
        <v>15.29341935483871</v>
      </c>
      <c r="CS30">
        <v>600.0294516129034</v>
      </c>
      <c r="CT30">
        <v>101.5912580645162</v>
      </c>
      <c r="CU30">
        <v>0.09994049354838709</v>
      </c>
      <c r="CV30">
        <v>23.8888806451613</v>
      </c>
      <c r="CW30">
        <v>23.27029677419355</v>
      </c>
      <c r="CX30">
        <v>999.9000000000003</v>
      </c>
      <c r="CY30">
        <v>0</v>
      </c>
      <c r="CZ30">
        <v>0</v>
      </c>
      <c r="DA30">
        <v>10006.1435483871</v>
      </c>
      <c r="DB30">
        <v>0</v>
      </c>
      <c r="DC30">
        <v>451.2072903225807</v>
      </c>
      <c r="DD30">
        <v>0.00500022</v>
      </c>
      <c r="DE30">
        <v>0</v>
      </c>
      <c r="DF30">
        <v>0</v>
      </c>
      <c r="DG30">
        <v>0</v>
      </c>
      <c r="DH30">
        <v>585.1516129032258</v>
      </c>
      <c r="DI30">
        <v>0.00500022</v>
      </c>
      <c r="DJ30">
        <v>123.9806451612903</v>
      </c>
      <c r="DK30">
        <v>-1.267741935483871</v>
      </c>
      <c r="DL30">
        <v>32.171</v>
      </c>
      <c r="DM30">
        <v>38.625</v>
      </c>
      <c r="DN30">
        <v>35.1308064516129</v>
      </c>
      <c r="DO30">
        <v>34.12674193548386</v>
      </c>
      <c r="DP30">
        <v>34.49383870967742</v>
      </c>
      <c r="DQ30">
        <v>0</v>
      </c>
      <c r="DR30">
        <v>0</v>
      </c>
      <c r="DS30">
        <v>0</v>
      </c>
      <c r="DT30">
        <v>167.2000000476837</v>
      </c>
      <c r="DU30">
        <v>0</v>
      </c>
      <c r="DV30">
        <v>584.748</v>
      </c>
      <c r="DW30">
        <v>8.569230971677042</v>
      </c>
      <c r="DX30">
        <v>2.407691874847392</v>
      </c>
      <c r="DY30">
        <v>124.62</v>
      </c>
      <c r="DZ30">
        <v>15</v>
      </c>
      <c r="EA30">
        <v>1693330234.6</v>
      </c>
      <c r="EB30" t="s">
        <v>363</v>
      </c>
      <c r="EC30">
        <v>1693330234.6</v>
      </c>
      <c r="ED30">
        <v>1693330217.6</v>
      </c>
      <c r="EE30">
        <v>14</v>
      </c>
      <c r="EF30">
        <v>0.041</v>
      </c>
      <c r="EG30">
        <v>-0.001</v>
      </c>
      <c r="EH30">
        <v>-0.582</v>
      </c>
      <c r="EI30">
        <v>0.036</v>
      </c>
      <c r="EJ30">
        <v>410</v>
      </c>
      <c r="EK30">
        <v>14</v>
      </c>
      <c r="EL30">
        <v>0.75</v>
      </c>
      <c r="EM30">
        <v>0.12</v>
      </c>
      <c r="EN30">
        <v>100</v>
      </c>
      <c r="EO30">
        <v>100</v>
      </c>
      <c r="EP30">
        <v>-0.582</v>
      </c>
      <c r="EQ30">
        <v>0.036</v>
      </c>
      <c r="ER30">
        <v>-1.012472786132234</v>
      </c>
      <c r="ES30">
        <v>-1.576349484901359E-05</v>
      </c>
      <c r="ET30">
        <v>2.573729931138326E-06</v>
      </c>
      <c r="EU30">
        <v>-5.475564338477752E-10</v>
      </c>
      <c r="EV30">
        <v>-0.06887062911801053</v>
      </c>
      <c r="EW30">
        <v>-0.01018517929758264</v>
      </c>
      <c r="EX30">
        <v>0.001658527226803643</v>
      </c>
      <c r="EY30">
        <v>-2.829097221525108E-05</v>
      </c>
      <c r="EZ30">
        <v>21</v>
      </c>
      <c r="FA30">
        <v>1995</v>
      </c>
      <c r="FB30">
        <v>1</v>
      </c>
      <c r="FC30">
        <v>16</v>
      </c>
      <c r="FD30">
        <v>2.3</v>
      </c>
      <c r="FE30">
        <v>2.3</v>
      </c>
      <c r="FF30">
        <v>1.073</v>
      </c>
      <c r="FG30">
        <v>2.60986</v>
      </c>
      <c r="FH30">
        <v>1.39771</v>
      </c>
      <c r="FI30">
        <v>2.26685</v>
      </c>
      <c r="FJ30">
        <v>1.39526</v>
      </c>
      <c r="FK30">
        <v>2.42676</v>
      </c>
      <c r="FL30">
        <v>32.0024</v>
      </c>
      <c r="FM30">
        <v>15.9007</v>
      </c>
      <c r="FN30">
        <v>18</v>
      </c>
      <c r="FO30">
        <v>594.869</v>
      </c>
      <c r="FP30">
        <v>392.009</v>
      </c>
      <c r="FQ30">
        <v>23.6568</v>
      </c>
      <c r="FR30">
        <v>25.3299</v>
      </c>
      <c r="FS30">
        <v>30</v>
      </c>
      <c r="FT30">
        <v>25.1401</v>
      </c>
      <c r="FU30">
        <v>25.4893</v>
      </c>
      <c r="FV30">
        <v>21.4864</v>
      </c>
      <c r="FW30">
        <v>7.84917</v>
      </c>
      <c r="FX30">
        <v>73.8481</v>
      </c>
      <c r="FY30">
        <v>-999.9</v>
      </c>
      <c r="FZ30">
        <v>410</v>
      </c>
      <c r="GA30">
        <v>14.1984</v>
      </c>
      <c r="GB30">
        <v>99.0176</v>
      </c>
      <c r="GC30">
        <v>93.6181</v>
      </c>
    </row>
    <row r="31" spans="1:185">
      <c r="A31">
        <v>15</v>
      </c>
      <c r="B31">
        <v>1693330335.6</v>
      </c>
      <c r="C31">
        <v>2363.099999904633</v>
      </c>
      <c r="D31" t="s">
        <v>364</v>
      </c>
      <c r="E31" t="s">
        <v>365</v>
      </c>
      <c r="F31">
        <v>5</v>
      </c>
      <c r="H31" t="s">
        <v>307</v>
      </c>
      <c r="L31">
        <v>1693330327.599999</v>
      </c>
      <c r="M31">
        <f>(N31)/1000</f>
        <v>0</v>
      </c>
      <c r="N31">
        <f>IF(CK31, AQ31, AK31)</f>
        <v>0</v>
      </c>
      <c r="O31">
        <f>IF(CK31, AL31, AJ31)</f>
        <v>0</v>
      </c>
      <c r="P31">
        <f>CM31 - IF(AX31&gt;1, O31*CG31*100.0/(AZ31*DA31), 0)</f>
        <v>0</v>
      </c>
      <c r="Q31">
        <f>((W31-M31/2)*P31-O31)/(W31+M31/2)</f>
        <v>0</v>
      </c>
      <c r="R31">
        <f>Q31*(CT31+CU31)/1000.0</f>
        <v>0</v>
      </c>
      <c r="S31">
        <f>(CM31 - IF(AX31&gt;1, O31*CG31*100.0/(AZ31*DA31), 0))*(CT31+CU31)/1000.0</f>
        <v>0</v>
      </c>
      <c r="T31">
        <f>2.0/((1/V31-1/U31)+SIGN(V31)*SQRT((1/V31-1/U31)*(1/V31-1/U31) + 4*CH31/((CH31+1)*(CH31+1))*(2*1/V31*1/U31-1/U31*1/U31)))</f>
        <v>0</v>
      </c>
      <c r="U31">
        <f>IF(LEFT(CI31,1)&lt;&gt;"0",IF(LEFT(CI31,1)="1",3.0,CJ31),$D$5+$E$5*(DA31*CT31/($K$5*1000))+$F$5*(DA31*CT31/($K$5*1000))*MAX(MIN(CG31,$J$5),$I$5)*MAX(MIN(CG31,$J$5),$I$5)+$G$5*MAX(MIN(CG31,$J$5),$I$5)*(DA31*CT31/($K$5*1000))+$H$5*(DA31*CT31/($K$5*1000))*(DA31*CT31/($K$5*1000)))</f>
        <v>0</v>
      </c>
      <c r="V31">
        <f>M31*(1000-(1000*0.61365*exp(17.502*Z31/(240.97+Z31))/(CT31+CU31)+CO31)/2)/(1000*0.61365*exp(17.502*Z31/(240.97+Z31))/(CT31+CU31)-CO31)</f>
        <v>0</v>
      </c>
      <c r="W31">
        <f>1/((CH31+1)/(T31/1.6)+1/(U31/1.37)) + CH31/((CH31+1)/(T31/1.6) + CH31/(U31/1.37))</f>
        <v>0</v>
      </c>
      <c r="X31">
        <f>(CC31*CF31)</f>
        <v>0</v>
      </c>
      <c r="Y31">
        <f>(CV31+(X31+2*0.95*5.67E-8*(((CV31+$B$7)+273)^4-(CV31+273)^4)-44100*M31)/(1.84*29.3*U31+8*0.95*5.67E-8*(CV31+273)^3))</f>
        <v>0</v>
      </c>
      <c r="Z31">
        <f>($C$7*CW31+$D$7*CX31+$E$7*Y31)</f>
        <v>0</v>
      </c>
      <c r="AA31">
        <f>0.61365*exp(17.502*Z31/(240.97+Z31))</f>
        <v>0</v>
      </c>
      <c r="AB31">
        <f>(AC31/AD31*100)</f>
        <v>0</v>
      </c>
      <c r="AC31">
        <f>CO31*(CT31+CU31)/1000</f>
        <v>0</v>
      </c>
      <c r="AD31">
        <f>0.61365*exp(17.502*CV31/(240.97+CV31))</f>
        <v>0</v>
      </c>
      <c r="AE31">
        <f>(AA31-CO31*(CT31+CU31)/1000)</f>
        <v>0</v>
      </c>
      <c r="AF31">
        <f>(-M31*44100)</f>
        <v>0</v>
      </c>
      <c r="AG31">
        <f>2*29.3*U31*0.92*(CV31-Z31)</f>
        <v>0</v>
      </c>
      <c r="AH31">
        <f>2*0.95*5.67E-8*(((CV31+$B$7)+273)^4-(Z31+273)^4)</f>
        <v>0</v>
      </c>
      <c r="AI31">
        <f>X31+AH31+AF31+AG31</f>
        <v>0</v>
      </c>
      <c r="AJ31">
        <f>CS31*AX31*(CN31-CM31*(1000-AX31*CP31)/(1000-AX31*CO31))/(100*CG31)</f>
        <v>0</v>
      </c>
      <c r="AK31">
        <f>1000*CS31*AX31*(CO31-CP31)/(100*CG31*(1000-AX31*CO31))</f>
        <v>0</v>
      </c>
      <c r="AL31">
        <f>(AM31 - AN31 - CT31*1E3/(8.314*(CV31+273.15)) * AP31/CS31 * AO31) * CS31/(100*CG31) * (1000 - CP31)/1000</f>
        <v>0</v>
      </c>
      <c r="AM31">
        <v>416.1328323010622</v>
      </c>
      <c r="AN31">
        <v>417.123618181818</v>
      </c>
      <c r="AO31">
        <v>0.03395330347731116</v>
      </c>
      <c r="AP31">
        <v>67.25692656831178</v>
      </c>
      <c r="AQ31">
        <f>(AS31 - AR31 + CT31*1E3/(8.314*(CV31+273.15)) * AU31/CS31 * AT31) * CS31/(100*CG31) * 1000/(1000 - AS31)</f>
        <v>0</v>
      </c>
      <c r="AR31">
        <v>14.80191456627705</v>
      </c>
      <c r="AS31">
        <v>15.71536545454544</v>
      </c>
      <c r="AT31">
        <v>0.009862458874457169</v>
      </c>
      <c r="AU31">
        <v>78.55</v>
      </c>
      <c r="AV31">
        <v>4</v>
      </c>
      <c r="AW31">
        <v>1</v>
      </c>
      <c r="AX31">
        <f>IF(AV31*$H$13&gt;=AZ31,1.0,(AZ31/(AZ31-AV31*$H$13)))</f>
        <v>0</v>
      </c>
      <c r="AY31">
        <f>(AX31-1)*100</f>
        <v>0</v>
      </c>
      <c r="AZ31">
        <f>MAX(0,($B$13+$C$13*DA31)/(1+$D$13*DA31)*CT31/(CV31+273)*$E$13)</f>
        <v>0</v>
      </c>
      <c r="BA31" t="s">
        <v>366</v>
      </c>
      <c r="BB31">
        <v>8201.1</v>
      </c>
      <c r="BC31">
        <v>591.5346153846154</v>
      </c>
      <c r="BD31">
        <v>2830.1</v>
      </c>
      <c r="BE31">
        <f>1-BC31/BD31</f>
        <v>0</v>
      </c>
      <c r="BF31">
        <v>-0.7719235349183498</v>
      </c>
      <c r="BG31" t="s">
        <v>309</v>
      </c>
      <c r="BH31" t="s">
        <v>309</v>
      </c>
      <c r="BI31">
        <v>0</v>
      </c>
      <c r="BJ31">
        <v>0</v>
      </c>
      <c r="BK31">
        <f>1-BI31/BJ31</f>
        <v>0</v>
      </c>
      <c r="BL31">
        <v>0.5</v>
      </c>
      <c r="BM31">
        <f>CD31</f>
        <v>0</v>
      </c>
      <c r="BN31">
        <f>O31</f>
        <v>0</v>
      </c>
      <c r="BO31">
        <f>BK31*BL31*BM31</f>
        <v>0</v>
      </c>
      <c r="BP31">
        <f>(BN31-BF31)/BM31</f>
        <v>0</v>
      </c>
      <c r="BQ31">
        <f>(BD31-BJ31)/BJ31</f>
        <v>0</v>
      </c>
      <c r="BR31">
        <f>BC31/(BE31+BC31/BJ31)</f>
        <v>0</v>
      </c>
      <c r="BS31" t="s">
        <v>309</v>
      </c>
      <c r="BT31">
        <v>0</v>
      </c>
      <c r="BU31">
        <f>IF(BT31&lt;&gt;0, BT31, BR31)</f>
        <v>0</v>
      </c>
      <c r="BV31">
        <f>1-BU31/BJ31</f>
        <v>0</v>
      </c>
      <c r="BW31">
        <f>(BJ31-BI31)/(BJ31-BU31)</f>
        <v>0</v>
      </c>
      <c r="BX31">
        <f>(BD31-BJ31)/(BD31-BU31)</f>
        <v>0</v>
      </c>
      <c r="BY31">
        <f>(BJ31-BI31)/(BJ31-BC31)</f>
        <v>0</v>
      </c>
      <c r="BZ31">
        <f>(BD31-BJ31)/(BD31-BC31)</f>
        <v>0</v>
      </c>
      <c r="CA31">
        <f>(BW31*BU31/BI31)</f>
        <v>0</v>
      </c>
      <c r="CB31">
        <f>(1-CA31)</f>
        <v>0</v>
      </c>
      <c r="CC31">
        <f>$B$11*DB31+$C$11*DC31+$F$11*DD31*(1-DG31)</f>
        <v>0</v>
      </c>
      <c r="CD31">
        <f>CC31*CE31</f>
        <v>0</v>
      </c>
      <c r="CE31">
        <f>($B$11*$D$9+$C$11*$D$9+$F$11*((DQ31+DI31)/MAX(DQ31+DI31+DR31, 0.1)*$I$9+DR31/MAX(DQ31+DI31+DR31, 0.1)*$J$9))/($B$11+$C$11+$F$11)</f>
        <v>0</v>
      </c>
      <c r="CF31">
        <f>($B$11*$K$9+$C$11*$K$9+$F$11*((DQ31+DI31)/MAX(DQ31+DI31+DR31, 0.1)*$P$9+DR31/MAX(DQ31+DI31+DR31, 0.1)*$Q$9))/($B$11+$C$11+$F$11)</f>
        <v>0</v>
      </c>
      <c r="CG31">
        <v>6</v>
      </c>
      <c r="CH31">
        <v>0.5</v>
      </c>
      <c r="CI31" t="s">
        <v>310</v>
      </c>
      <c r="CJ31">
        <v>2</v>
      </c>
      <c r="CK31" t="b">
        <v>0</v>
      </c>
      <c r="CL31">
        <v>1693330327.599999</v>
      </c>
      <c r="CM31">
        <v>410.3748709677419</v>
      </c>
      <c r="CN31">
        <v>409.9575483870968</v>
      </c>
      <c r="CO31">
        <v>15.60678064516129</v>
      </c>
      <c r="CP31">
        <v>14.75622258064516</v>
      </c>
      <c r="CQ31">
        <v>411.0048709677419</v>
      </c>
      <c r="CR31">
        <v>15.55578064516129</v>
      </c>
      <c r="CS31">
        <v>600.0150967741936</v>
      </c>
      <c r="CT31">
        <v>101.5889032258065</v>
      </c>
      <c r="CU31">
        <v>0.1000026290322581</v>
      </c>
      <c r="CV31">
        <v>24.01828387096774</v>
      </c>
      <c r="CW31">
        <v>23.48235161290322</v>
      </c>
      <c r="CX31">
        <v>999.9000000000003</v>
      </c>
      <c r="CY31">
        <v>0</v>
      </c>
      <c r="CZ31">
        <v>0</v>
      </c>
      <c r="DA31">
        <v>9997.938709677419</v>
      </c>
      <c r="DB31">
        <v>0</v>
      </c>
      <c r="DC31">
        <v>219.5681612903226</v>
      </c>
      <c r="DD31">
        <v>0.00500022</v>
      </c>
      <c r="DE31">
        <v>0</v>
      </c>
      <c r="DF31">
        <v>0</v>
      </c>
      <c r="DG31">
        <v>0</v>
      </c>
      <c r="DH31">
        <v>591.8838709677418</v>
      </c>
      <c r="DI31">
        <v>0.00500022</v>
      </c>
      <c r="DJ31">
        <v>113.5612903225807</v>
      </c>
      <c r="DK31">
        <v>-1.5</v>
      </c>
      <c r="DL31">
        <v>32.504</v>
      </c>
      <c r="DM31">
        <v>38.56199999999998</v>
      </c>
      <c r="DN31">
        <v>35.41099999999999</v>
      </c>
      <c r="DO31">
        <v>35.42319354838709</v>
      </c>
      <c r="DP31">
        <v>34.72764516129033</v>
      </c>
      <c r="DQ31">
        <v>0</v>
      </c>
      <c r="DR31">
        <v>0</v>
      </c>
      <c r="DS31">
        <v>0</v>
      </c>
      <c r="DT31">
        <v>141.2000000476837</v>
      </c>
      <c r="DU31">
        <v>0</v>
      </c>
      <c r="DV31">
        <v>591.5346153846154</v>
      </c>
      <c r="DW31">
        <v>-11.17606816963697</v>
      </c>
      <c r="DX31">
        <v>6.728205127313182</v>
      </c>
      <c r="DY31">
        <v>114.2923076923077</v>
      </c>
      <c r="DZ31">
        <v>15</v>
      </c>
      <c r="EA31">
        <v>1693330361.1</v>
      </c>
      <c r="EB31" t="s">
        <v>367</v>
      </c>
      <c r="EC31">
        <v>1693330361.1</v>
      </c>
      <c r="ED31">
        <v>1693330357.6</v>
      </c>
      <c r="EE31">
        <v>15</v>
      </c>
      <c r="EF31">
        <v>-0.049</v>
      </c>
      <c r="EG31">
        <v>0</v>
      </c>
      <c r="EH31">
        <v>-0.63</v>
      </c>
      <c r="EI31">
        <v>0.051</v>
      </c>
      <c r="EJ31">
        <v>410</v>
      </c>
      <c r="EK31">
        <v>15</v>
      </c>
      <c r="EL31">
        <v>1.45</v>
      </c>
      <c r="EM31">
        <v>0.11</v>
      </c>
      <c r="EN31">
        <v>100</v>
      </c>
      <c r="EO31">
        <v>100</v>
      </c>
      <c r="EP31">
        <v>-0.63</v>
      </c>
      <c r="EQ31">
        <v>0.051</v>
      </c>
      <c r="ER31">
        <v>-0.9713007209366249</v>
      </c>
      <c r="ES31">
        <v>-1.576349484901359E-05</v>
      </c>
      <c r="ET31">
        <v>2.573729931138326E-06</v>
      </c>
      <c r="EU31">
        <v>-5.475564338477752E-10</v>
      </c>
      <c r="EV31">
        <v>-0.06954611657871687</v>
      </c>
      <c r="EW31">
        <v>-0.01018517929758264</v>
      </c>
      <c r="EX31">
        <v>0.001658527226803643</v>
      </c>
      <c r="EY31">
        <v>-2.829097221525108E-05</v>
      </c>
      <c r="EZ31">
        <v>21</v>
      </c>
      <c r="FA31">
        <v>1995</v>
      </c>
      <c r="FB31">
        <v>1</v>
      </c>
      <c r="FC31">
        <v>16</v>
      </c>
      <c r="FD31">
        <v>1.7</v>
      </c>
      <c r="FE31">
        <v>2</v>
      </c>
      <c r="FF31">
        <v>1.073</v>
      </c>
      <c r="FG31">
        <v>2.60864</v>
      </c>
      <c r="FH31">
        <v>1.39771</v>
      </c>
      <c r="FI31">
        <v>2.26685</v>
      </c>
      <c r="FJ31">
        <v>1.39526</v>
      </c>
      <c r="FK31">
        <v>2.54272</v>
      </c>
      <c r="FL31">
        <v>32.0904</v>
      </c>
      <c r="FM31">
        <v>15.8832</v>
      </c>
      <c r="FN31">
        <v>18</v>
      </c>
      <c r="FO31">
        <v>595.923</v>
      </c>
      <c r="FP31">
        <v>392.111</v>
      </c>
      <c r="FQ31">
        <v>23.6943</v>
      </c>
      <c r="FR31">
        <v>25.3235</v>
      </c>
      <c r="FS31">
        <v>30</v>
      </c>
      <c r="FT31">
        <v>25.1401</v>
      </c>
      <c r="FU31">
        <v>25.4914</v>
      </c>
      <c r="FV31">
        <v>21.504</v>
      </c>
      <c r="FW31">
        <v>4.32168</v>
      </c>
      <c r="FX31">
        <v>70.80370000000001</v>
      </c>
      <c r="FY31">
        <v>-999.9</v>
      </c>
      <c r="FZ31">
        <v>410</v>
      </c>
      <c r="GA31">
        <v>14.7706</v>
      </c>
      <c r="GB31">
        <v>99.02200000000001</v>
      </c>
      <c r="GC31">
        <v>93.6189</v>
      </c>
    </row>
    <row r="32" spans="1:185">
      <c r="A32">
        <v>16</v>
      </c>
      <c r="B32">
        <v>1693330483</v>
      </c>
      <c r="C32">
        <v>2510.5</v>
      </c>
      <c r="D32" t="s">
        <v>368</v>
      </c>
      <c r="E32" t="s">
        <v>369</v>
      </c>
      <c r="F32">
        <v>5</v>
      </c>
      <c r="H32" t="s">
        <v>307</v>
      </c>
      <c r="L32">
        <v>1693330475.25</v>
      </c>
      <c r="M32">
        <f>(N32)/1000</f>
        <v>0</v>
      </c>
      <c r="N32">
        <f>IF(CK32, AQ32, AK32)</f>
        <v>0</v>
      </c>
      <c r="O32">
        <f>IF(CK32, AL32, AJ32)</f>
        <v>0</v>
      </c>
      <c r="P32">
        <f>CM32 - IF(AX32&gt;1, O32*CG32*100.0/(AZ32*DA32), 0)</f>
        <v>0</v>
      </c>
      <c r="Q32">
        <f>((W32-M32/2)*P32-O32)/(W32+M32/2)</f>
        <v>0</v>
      </c>
      <c r="R32">
        <f>Q32*(CT32+CU32)/1000.0</f>
        <v>0</v>
      </c>
      <c r="S32">
        <f>(CM32 - IF(AX32&gt;1, O32*CG32*100.0/(AZ32*DA32), 0))*(CT32+CU32)/1000.0</f>
        <v>0</v>
      </c>
      <c r="T32">
        <f>2.0/((1/V32-1/U32)+SIGN(V32)*SQRT((1/V32-1/U32)*(1/V32-1/U32) + 4*CH32/((CH32+1)*(CH32+1))*(2*1/V32*1/U32-1/U32*1/U32)))</f>
        <v>0</v>
      </c>
      <c r="U32">
        <f>IF(LEFT(CI32,1)&lt;&gt;"0",IF(LEFT(CI32,1)="1",3.0,CJ32),$D$5+$E$5*(DA32*CT32/($K$5*1000))+$F$5*(DA32*CT32/($K$5*1000))*MAX(MIN(CG32,$J$5),$I$5)*MAX(MIN(CG32,$J$5),$I$5)+$G$5*MAX(MIN(CG32,$J$5),$I$5)*(DA32*CT32/($K$5*1000))+$H$5*(DA32*CT32/($K$5*1000))*(DA32*CT32/($K$5*1000)))</f>
        <v>0</v>
      </c>
      <c r="V32">
        <f>M32*(1000-(1000*0.61365*exp(17.502*Z32/(240.97+Z32))/(CT32+CU32)+CO32)/2)/(1000*0.61365*exp(17.502*Z32/(240.97+Z32))/(CT32+CU32)-CO32)</f>
        <v>0</v>
      </c>
      <c r="W32">
        <f>1/((CH32+1)/(T32/1.6)+1/(U32/1.37)) + CH32/((CH32+1)/(T32/1.6) + CH32/(U32/1.37))</f>
        <v>0</v>
      </c>
      <c r="X32">
        <f>(CC32*CF32)</f>
        <v>0</v>
      </c>
      <c r="Y32">
        <f>(CV32+(X32+2*0.95*5.67E-8*(((CV32+$B$7)+273)^4-(CV32+273)^4)-44100*M32)/(1.84*29.3*U32+8*0.95*5.67E-8*(CV32+273)^3))</f>
        <v>0</v>
      </c>
      <c r="Z32">
        <f>($C$7*CW32+$D$7*CX32+$E$7*Y32)</f>
        <v>0</v>
      </c>
      <c r="AA32">
        <f>0.61365*exp(17.502*Z32/(240.97+Z32))</f>
        <v>0</v>
      </c>
      <c r="AB32">
        <f>(AC32/AD32*100)</f>
        <v>0</v>
      </c>
      <c r="AC32">
        <f>CO32*(CT32+CU32)/1000</f>
        <v>0</v>
      </c>
      <c r="AD32">
        <f>0.61365*exp(17.502*CV32/(240.97+CV32))</f>
        <v>0</v>
      </c>
      <c r="AE32">
        <f>(AA32-CO32*(CT32+CU32)/1000)</f>
        <v>0</v>
      </c>
      <c r="AF32">
        <f>(-M32*44100)</f>
        <v>0</v>
      </c>
      <c r="AG32">
        <f>2*29.3*U32*0.92*(CV32-Z32)</f>
        <v>0</v>
      </c>
      <c r="AH32">
        <f>2*0.95*5.67E-8*(((CV32+$B$7)+273)^4-(Z32+273)^4)</f>
        <v>0</v>
      </c>
      <c r="AI32">
        <f>X32+AH32+AF32+AG32</f>
        <v>0</v>
      </c>
      <c r="AJ32">
        <f>CS32*AX32*(CN32-CM32*(1000-AX32*CP32)/(1000-AX32*CO32))/(100*CG32)</f>
        <v>0</v>
      </c>
      <c r="AK32">
        <f>1000*CS32*AX32*(CO32-CP32)/(100*CG32*(1000-AX32*CO32))</f>
        <v>0</v>
      </c>
      <c r="AL32">
        <f>(AM32 - AN32 - CT32*1E3/(8.314*(CV32+273.15)) * AP32/CS32 * AO32) * CS32/(100*CG32) * (1000 - CP32)/1000</f>
        <v>0</v>
      </c>
      <c r="AM32">
        <v>416.6464918207349</v>
      </c>
      <c r="AN32">
        <v>417.4361393939395</v>
      </c>
      <c r="AO32">
        <v>0.1163520335055185</v>
      </c>
      <c r="AP32">
        <v>67.25462695287165</v>
      </c>
      <c r="AQ32">
        <f>(AS32 - AR32 + CT32*1E3/(8.314*(CV32+273.15)) * AU32/CS32 * AT32) * CS32/(100*CG32) * 1000/(1000 - AS32)</f>
        <v>0</v>
      </c>
      <c r="AR32">
        <v>15.97722786900433</v>
      </c>
      <c r="AS32">
        <v>16.54680242424242</v>
      </c>
      <c r="AT32">
        <v>0.005164225108224731</v>
      </c>
      <c r="AU32">
        <v>78.55</v>
      </c>
      <c r="AV32">
        <v>32</v>
      </c>
      <c r="AW32">
        <v>5</v>
      </c>
      <c r="AX32">
        <f>IF(AV32*$H$13&gt;=AZ32,1.0,(AZ32/(AZ32-AV32*$H$13)))</f>
        <v>0</v>
      </c>
      <c r="AY32">
        <f>(AX32-1)*100</f>
        <v>0</v>
      </c>
      <c r="AZ32">
        <f>MAX(0,($B$13+$C$13*DA32)/(1+$D$13*DA32)*CT32/(CV32+273)*$E$13)</f>
        <v>0</v>
      </c>
      <c r="BA32" t="s">
        <v>370</v>
      </c>
      <c r="BB32">
        <v>8267.639999999999</v>
      </c>
      <c r="BC32">
        <v>485.4346153846154</v>
      </c>
      <c r="BD32">
        <v>1385.2</v>
      </c>
      <c r="BE32">
        <f>1-BC32/BD32</f>
        <v>0</v>
      </c>
      <c r="BF32">
        <v>-0.5746878489918414</v>
      </c>
      <c r="BG32" t="s">
        <v>309</v>
      </c>
      <c r="BH32" t="s">
        <v>309</v>
      </c>
      <c r="BI32">
        <v>0</v>
      </c>
      <c r="BJ32">
        <v>0</v>
      </c>
      <c r="BK32">
        <f>1-BI32/BJ32</f>
        <v>0</v>
      </c>
      <c r="BL32">
        <v>0.5</v>
      </c>
      <c r="BM32">
        <f>CD32</f>
        <v>0</v>
      </c>
      <c r="BN32">
        <f>O32</f>
        <v>0</v>
      </c>
      <c r="BO32">
        <f>BK32*BL32*BM32</f>
        <v>0</v>
      </c>
      <c r="BP32">
        <f>(BN32-BF32)/BM32</f>
        <v>0</v>
      </c>
      <c r="BQ32">
        <f>(BD32-BJ32)/BJ32</f>
        <v>0</v>
      </c>
      <c r="BR32">
        <f>BC32/(BE32+BC32/BJ32)</f>
        <v>0</v>
      </c>
      <c r="BS32" t="s">
        <v>309</v>
      </c>
      <c r="BT32">
        <v>0</v>
      </c>
      <c r="BU32">
        <f>IF(BT32&lt;&gt;0, BT32, BR32)</f>
        <v>0</v>
      </c>
      <c r="BV32">
        <f>1-BU32/BJ32</f>
        <v>0</v>
      </c>
      <c r="BW32">
        <f>(BJ32-BI32)/(BJ32-BU32)</f>
        <v>0</v>
      </c>
      <c r="BX32">
        <f>(BD32-BJ32)/(BD32-BU32)</f>
        <v>0</v>
      </c>
      <c r="BY32">
        <f>(BJ32-BI32)/(BJ32-BC32)</f>
        <v>0</v>
      </c>
      <c r="BZ32">
        <f>(BD32-BJ32)/(BD32-BC32)</f>
        <v>0</v>
      </c>
      <c r="CA32">
        <f>(BW32*BU32/BI32)</f>
        <v>0</v>
      </c>
      <c r="CB32">
        <f>(1-CA32)</f>
        <v>0</v>
      </c>
      <c r="CC32">
        <f>$B$11*DB32+$C$11*DC32+$F$11*DD32*(1-DG32)</f>
        <v>0</v>
      </c>
      <c r="CD32">
        <f>CC32*CE32</f>
        <v>0</v>
      </c>
      <c r="CE32">
        <f>($B$11*$D$9+$C$11*$D$9+$F$11*((DQ32+DI32)/MAX(DQ32+DI32+DR32, 0.1)*$I$9+DR32/MAX(DQ32+DI32+DR32, 0.1)*$J$9))/($B$11+$C$11+$F$11)</f>
        <v>0</v>
      </c>
      <c r="CF32">
        <f>($B$11*$K$9+$C$11*$K$9+$F$11*((DQ32+DI32)/MAX(DQ32+DI32+DR32, 0.1)*$P$9+DR32/MAX(DQ32+DI32+DR32, 0.1)*$Q$9))/($B$11+$C$11+$F$11)</f>
        <v>0</v>
      </c>
      <c r="CG32">
        <v>6</v>
      </c>
      <c r="CH32">
        <v>0.5</v>
      </c>
      <c r="CI32" t="s">
        <v>310</v>
      </c>
      <c r="CJ32">
        <v>2</v>
      </c>
      <c r="CK32" t="b">
        <v>0</v>
      </c>
      <c r="CL32">
        <v>1693330475.25</v>
      </c>
      <c r="CM32">
        <v>410.3601666666667</v>
      </c>
      <c r="CN32">
        <v>409.9996</v>
      </c>
      <c r="CO32">
        <v>16.48506</v>
      </c>
      <c r="CP32">
        <v>15.9719</v>
      </c>
      <c r="CQ32">
        <v>410.9611666666667</v>
      </c>
      <c r="CR32">
        <v>16.41306</v>
      </c>
      <c r="CS32">
        <v>600.0116333333333</v>
      </c>
      <c r="CT32">
        <v>101.5879333333333</v>
      </c>
      <c r="CU32">
        <v>0.1000053833333333</v>
      </c>
      <c r="CV32">
        <v>24.20482666666667</v>
      </c>
      <c r="CW32">
        <v>23.77500333333334</v>
      </c>
      <c r="CX32">
        <v>999.9000000000002</v>
      </c>
      <c r="CY32">
        <v>0</v>
      </c>
      <c r="CZ32">
        <v>0</v>
      </c>
      <c r="DA32">
        <v>9997.968666666666</v>
      </c>
      <c r="DB32">
        <v>0</v>
      </c>
      <c r="DC32">
        <v>410.7425333333333</v>
      </c>
      <c r="DD32">
        <v>0.00500022</v>
      </c>
      <c r="DE32">
        <v>0</v>
      </c>
      <c r="DF32">
        <v>0</v>
      </c>
      <c r="DG32">
        <v>0</v>
      </c>
      <c r="DH32">
        <v>486.0600000000001</v>
      </c>
      <c r="DI32">
        <v>0.00500022</v>
      </c>
      <c r="DJ32">
        <v>121.2933333333333</v>
      </c>
      <c r="DK32">
        <v>-1.733333333333334</v>
      </c>
      <c r="DL32">
        <v>32.812</v>
      </c>
      <c r="DM32">
        <v>38.69119999999999</v>
      </c>
      <c r="DN32">
        <v>35.7122</v>
      </c>
      <c r="DO32">
        <v>35.279</v>
      </c>
      <c r="DP32">
        <v>35</v>
      </c>
      <c r="DQ32">
        <v>0</v>
      </c>
      <c r="DR32">
        <v>0</v>
      </c>
      <c r="DS32">
        <v>0</v>
      </c>
      <c r="DT32">
        <v>147.2000000476837</v>
      </c>
      <c r="DU32">
        <v>0</v>
      </c>
      <c r="DV32">
        <v>485.4346153846154</v>
      </c>
      <c r="DW32">
        <v>4.851281739773529</v>
      </c>
      <c r="DX32">
        <v>-27.17948699695872</v>
      </c>
      <c r="DY32">
        <v>121.8384615384615</v>
      </c>
      <c r="DZ32">
        <v>15</v>
      </c>
      <c r="EA32">
        <v>1693330501</v>
      </c>
      <c r="EB32" t="s">
        <v>371</v>
      </c>
      <c r="EC32">
        <v>1693330500</v>
      </c>
      <c r="ED32">
        <v>1693330501</v>
      </c>
      <c r="EE32">
        <v>16</v>
      </c>
      <c r="EF32">
        <v>0.029</v>
      </c>
      <c r="EG32">
        <v>-0.002</v>
      </c>
      <c r="EH32">
        <v>-0.601</v>
      </c>
      <c r="EI32">
        <v>0.07199999999999999</v>
      </c>
      <c r="EJ32">
        <v>410</v>
      </c>
      <c r="EK32">
        <v>16</v>
      </c>
      <c r="EL32">
        <v>1.01</v>
      </c>
      <c r="EM32">
        <v>0.32</v>
      </c>
      <c r="EN32">
        <v>100</v>
      </c>
      <c r="EO32">
        <v>100</v>
      </c>
      <c r="EP32">
        <v>-0.601</v>
      </c>
      <c r="EQ32">
        <v>0.07199999999999999</v>
      </c>
      <c r="ER32">
        <v>-1.020047420685269</v>
      </c>
      <c r="ES32">
        <v>-1.576349484901359E-05</v>
      </c>
      <c r="ET32">
        <v>2.573729931138326E-06</v>
      </c>
      <c r="EU32">
        <v>-5.475564338477752E-10</v>
      </c>
      <c r="EV32">
        <v>-0.06924046151336394</v>
      </c>
      <c r="EW32">
        <v>-0.01018517929758264</v>
      </c>
      <c r="EX32">
        <v>0.001658527226803643</v>
      </c>
      <c r="EY32">
        <v>-2.829097221525108E-05</v>
      </c>
      <c r="EZ32">
        <v>21</v>
      </c>
      <c r="FA32">
        <v>1995</v>
      </c>
      <c r="FB32">
        <v>1</v>
      </c>
      <c r="FC32">
        <v>16</v>
      </c>
      <c r="FD32">
        <v>2</v>
      </c>
      <c r="FE32">
        <v>2.1</v>
      </c>
      <c r="FF32">
        <v>1.07422</v>
      </c>
      <c r="FG32">
        <v>2.60986</v>
      </c>
      <c r="FH32">
        <v>1.39771</v>
      </c>
      <c r="FI32">
        <v>2.26562</v>
      </c>
      <c r="FJ32">
        <v>1.39526</v>
      </c>
      <c r="FK32">
        <v>2.39014</v>
      </c>
      <c r="FL32">
        <v>32.1784</v>
      </c>
      <c r="FM32">
        <v>15.8657</v>
      </c>
      <c r="FN32">
        <v>18</v>
      </c>
      <c r="FO32">
        <v>565.1180000000001</v>
      </c>
      <c r="FP32">
        <v>392.23</v>
      </c>
      <c r="FQ32">
        <v>23.8194</v>
      </c>
      <c r="FR32">
        <v>25.3256</v>
      </c>
      <c r="FS32">
        <v>30.0001</v>
      </c>
      <c r="FT32">
        <v>25.1465</v>
      </c>
      <c r="FU32">
        <v>25.4977</v>
      </c>
      <c r="FV32">
        <v>21.5243</v>
      </c>
      <c r="FW32">
        <v>0</v>
      </c>
      <c r="FX32">
        <v>74.2307</v>
      </c>
      <c r="FY32">
        <v>-999.9</v>
      </c>
      <c r="FZ32">
        <v>410</v>
      </c>
      <c r="GA32">
        <v>19.1224</v>
      </c>
      <c r="GB32">
        <v>99.0111</v>
      </c>
      <c r="GC32">
        <v>93.6152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2023-08-29T17:35:58Z</dcterms:created>
  <dcterms:modified xsi:type="dcterms:W3CDTF">2023-08-29T17:35:58Z</dcterms:modified>
</cp:coreProperties>
</file>